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10.111.100.10\Departments\Fund Accounting\Operations\Printing\September 2021\Accounts Excel\"/>
    </mc:Choice>
  </mc:AlternateContent>
  <bookViews>
    <workbookView xWindow="0" yWindow="0" windowWidth="23040" windowHeight="9192" tabRatio="868"/>
  </bookViews>
  <sheets>
    <sheet name="BS" sheetId="1" r:id="rId1"/>
    <sheet name="IS" sheetId="2" r:id="rId2"/>
    <sheet name="OCI" sheetId="62" r:id="rId3"/>
    <sheet name="DS" sheetId="4" state="hidden" r:id="rId4"/>
    <sheet name="UHF" sheetId="5" state="hidden" r:id="rId5"/>
    <sheet name="UHF New V2" sheetId="74" r:id="rId6"/>
    <sheet name="CFs" sheetId="6" r:id="rId7"/>
    <sheet name="Notes 1-6" sheetId="88" r:id="rId8"/>
    <sheet name="1-5" sheetId="77" state="hidden" r:id="rId9"/>
    <sheet name="5-5.1.1" sheetId="76" r:id="rId10"/>
    <sheet name="5.2" sheetId="71" r:id="rId11"/>
    <sheet name="7-16" sheetId="89" r:id="rId12"/>
    <sheet name="6-10" sheetId="80" state="hidden" r:id="rId13"/>
    <sheet name="5.4" sheetId="70" state="hidden" r:id="rId14"/>
    <sheet name="10.1" sheetId="81" r:id="rId15"/>
    <sheet name="10.2-10.3" sheetId="7" r:id="rId16"/>
    <sheet name="UHF New" sheetId="72" state="hidden" r:id="rId17"/>
    <sheet name="UHF OLD" sheetId="66" state="hidden" r:id="rId18"/>
    <sheet name="Sheet4" sheetId="73" state="hidden" r:id="rId19"/>
    <sheet name="5.1" sheetId="59" state="hidden" r:id="rId20"/>
    <sheet name="Sheet3" sheetId="65" state="hidden" r:id="rId21"/>
    <sheet name="11" sheetId="79" state="hidden" r:id="rId22"/>
    <sheet name="12-14" sheetId="78" r:id="rId23"/>
    <sheet name="RP" sheetId="67" state="hidden" r:id="rId24"/>
    <sheet name="CF Working" sheetId="61" state="hidden" r:id="rId25"/>
    <sheet name="TB MCBPSM" sheetId="54" state="hidden" r:id="rId26"/>
    <sheet name="Sheet2" sheetId="64" state="hidden" r:id="rId27"/>
    <sheet name="TB-31 Dec" sheetId="75" state="hidden" r:id="rId28"/>
    <sheet name="Associate" sheetId="90" state="hidden" r:id="rId29"/>
    <sheet name="SMA" sheetId="91" state="hidden" r:id="rId30"/>
    <sheet name="Executive" sheetId="92" state="hidden" r:id="rId31"/>
    <sheet name="Sheet1" sheetId="63" state="hidden" r:id="rId32"/>
    <sheet name="Note 1-5 (2)" sheetId="46" state="hidden" r:id="rId33"/>
    <sheet name="5.1-5.3" sheetId="21" state="hidden" r:id="rId34"/>
    <sheet name="5.4-8" sheetId="32" state="hidden" r:id="rId35"/>
    <sheet name="5.1-5.3 (2)" sheetId="47" state="hidden" r:id="rId36"/>
    <sheet name="20-25.1.2" sheetId="26" state="hidden" r:id="rId37"/>
    <sheet name="25.1.3-25.2" sheetId="28" state="hidden" r:id="rId38"/>
    <sheet name="Note 25.2.1-30.1" sheetId="29" state="hidden" r:id="rId39"/>
    <sheet name="Element income final" sheetId="49" state="hidden" r:id="rId40"/>
    <sheet name="Element income final 2015" sheetId="50" state="hidden" r:id="rId41"/>
    <sheet name="29-31.3" sheetId="27" state="hidden" r:id="rId42"/>
    <sheet name="credit 2011" sheetId="31" state="hidden" r:id="rId43"/>
    <sheet name="bank rating" sheetId="30" state="hidden" r:id="rId44"/>
    <sheet name="Element of Income " sheetId="36" state="hidden" r:id="rId45"/>
    <sheet name="Element working" sheetId="37" state="hidden" r:id="rId46"/>
    <sheet name="Set off" sheetId="38" state="hidden" r:id="rId47"/>
    <sheet name="Trial Balance" sheetId="34" state="hidden" r:id="rId48"/>
    <sheet name="investment topsheet" sheetId="22" state="hidden" r:id="rId49"/>
    <sheet name="invst Control Sheet" sheetId="23" state="hidden"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0" localSheetId="11">#REF!</definedName>
    <definedName name="\0" localSheetId="7">#REF!</definedName>
    <definedName name="\0">#REF!</definedName>
    <definedName name="\a" localSheetId="21">#REF!</definedName>
    <definedName name="\A" localSheetId="22">'[1]P&amp;L Commentary'!#REF!</definedName>
    <definedName name="\A" localSheetId="9">'[1]P&amp;L Commentary'!#REF!</definedName>
    <definedName name="\A" localSheetId="7">'[2]last qrt2001'!#REF!</definedName>
    <definedName name="\A" localSheetId="2">'[1]P&amp;L Commentary'!#REF!</definedName>
    <definedName name="\A" localSheetId="16">'[1]P&amp;L Commentary'!#REF!</definedName>
    <definedName name="\A" localSheetId="5">'[1]P&amp;L Commentary'!#REF!</definedName>
    <definedName name="\A" localSheetId="17">'[1]P&amp;L Commentary'!#REF!</definedName>
    <definedName name="\A">'[1]P&amp;L Commentary'!#REF!</definedName>
    <definedName name="\b" localSheetId="21">#REF!</definedName>
    <definedName name="\b" localSheetId="22">#REF!</definedName>
    <definedName name="\b" localSheetId="9">#REF!</definedName>
    <definedName name="\B" localSheetId="7">'[2]last qrt2001'!#REF!</definedName>
    <definedName name="\b" localSheetId="16">#REF!</definedName>
    <definedName name="\b" localSheetId="5">#REF!</definedName>
    <definedName name="\b" localSheetId="17">#REF!</definedName>
    <definedName name="\b">#REF!</definedName>
    <definedName name="\c" localSheetId="21">#REF!</definedName>
    <definedName name="\c" localSheetId="22">#REF!</definedName>
    <definedName name="\c" localSheetId="9">#REF!</definedName>
    <definedName name="\c" localSheetId="7">#REF!</definedName>
    <definedName name="\c" localSheetId="16">#REF!</definedName>
    <definedName name="\c" localSheetId="5">#REF!</definedName>
    <definedName name="\c" localSheetId="17">#REF!</definedName>
    <definedName name="\c">#REF!</definedName>
    <definedName name="\d" localSheetId="21">#REF!</definedName>
    <definedName name="\d" localSheetId="22">#REF!</definedName>
    <definedName name="\d" localSheetId="9">#REF!</definedName>
    <definedName name="\d" localSheetId="7">#REF!</definedName>
    <definedName name="\d" localSheetId="16">#REF!</definedName>
    <definedName name="\d" localSheetId="5">#REF!</definedName>
    <definedName name="\d" localSheetId="17">#REF!</definedName>
    <definedName name="\d">#REF!</definedName>
    <definedName name="\e" localSheetId="21">#REF!</definedName>
    <definedName name="\e" localSheetId="22">#REF!</definedName>
    <definedName name="\e" localSheetId="9">#REF!</definedName>
    <definedName name="\e" localSheetId="7">#REF!</definedName>
    <definedName name="\e" localSheetId="16">#REF!</definedName>
    <definedName name="\e" localSheetId="5">#REF!</definedName>
    <definedName name="\e" localSheetId="17">#REF!</definedName>
    <definedName name="\e">#REF!</definedName>
    <definedName name="\H" localSheetId="21">'[3]Toyota PL ckd'!#REF!</definedName>
    <definedName name="\H" localSheetId="22">'[3]Toyota PL ckd'!#REF!</definedName>
    <definedName name="\H" localSheetId="9">'[3]Toyota PL ckd'!#REF!</definedName>
    <definedName name="\H" localSheetId="2">'[3]Toyota PL ckd'!#REF!</definedName>
    <definedName name="\H" localSheetId="16">'[3]Toyota PL ckd'!#REF!</definedName>
    <definedName name="\H" localSheetId="5">'[3]Toyota PL ckd'!#REF!</definedName>
    <definedName name="\H" localSheetId="17">'[3]Toyota PL ckd'!#REF!</definedName>
    <definedName name="\H">'[3]Toyota PL ckd'!#REF!</definedName>
    <definedName name="\i" localSheetId="21">#REF!</definedName>
    <definedName name="\i" localSheetId="22">#REF!</definedName>
    <definedName name="\i" localSheetId="9">#REF!</definedName>
    <definedName name="\i" localSheetId="7">#REF!</definedName>
    <definedName name="\i" localSheetId="16">#REF!</definedName>
    <definedName name="\i" localSheetId="5">#REF!</definedName>
    <definedName name="\i" localSheetId="17">#REF!</definedName>
    <definedName name="\i">#REF!</definedName>
    <definedName name="\K" localSheetId="21">#REF!</definedName>
    <definedName name="\K" localSheetId="22">#REF!</definedName>
    <definedName name="\K" localSheetId="9">#REF!</definedName>
    <definedName name="\K" localSheetId="2">#REF!</definedName>
    <definedName name="\K" localSheetId="16">#REF!</definedName>
    <definedName name="\K" localSheetId="5">#REF!</definedName>
    <definedName name="\K" localSheetId="17">#REF!</definedName>
    <definedName name="\K">#REF!</definedName>
    <definedName name="\l" localSheetId="21">#REF!</definedName>
    <definedName name="\l" localSheetId="22">#REF!</definedName>
    <definedName name="\l" localSheetId="9">#REF!</definedName>
    <definedName name="\l" localSheetId="7">#REF!</definedName>
    <definedName name="\l" localSheetId="16">#REF!</definedName>
    <definedName name="\l" localSheetId="5">#REF!</definedName>
    <definedName name="\l" localSheetId="17">#REF!</definedName>
    <definedName name="\l">#REF!</definedName>
    <definedName name="\m" localSheetId="21">#REF!</definedName>
    <definedName name="\M" localSheetId="22">'[4]Stock in Trade'!#REF!</definedName>
    <definedName name="\M" localSheetId="9">'[4]Stock in Trade'!#REF!</definedName>
    <definedName name="\m" localSheetId="7">#REF!</definedName>
    <definedName name="\M" localSheetId="2">'[4]Stock in Trade'!#REF!</definedName>
    <definedName name="\M" localSheetId="16">'[4]Stock in Trade'!#REF!</definedName>
    <definedName name="\M" localSheetId="5">'[4]Stock in Trade'!#REF!</definedName>
    <definedName name="\M" localSheetId="17">'[4]Stock in Trade'!#REF!</definedName>
    <definedName name="\M">'[4]Stock in Trade'!#REF!</definedName>
    <definedName name="\mansoor" localSheetId="21">#REF!</definedName>
    <definedName name="\mansoor" localSheetId="22">#REF!</definedName>
    <definedName name="\mansoor" localSheetId="9">#REF!</definedName>
    <definedName name="\mansoor" localSheetId="7">#REF!</definedName>
    <definedName name="\mansoor" localSheetId="16">#REF!</definedName>
    <definedName name="\mansoor" localSheetId="5">#REF!</definedName>
    <definedName name="\mansoor" localSheetId="17">#REF!</definedName>
    <definedName name="\mansoor">#REF!</definedName>
    <definedName name="\n" localSheetId="21">#REF!</definedName>
    <definedName name="\N" localSheetId="22">#REF!</definedName>
    <definedName name="\N" localSheetId="9">#REF!</definedName>
    <definedName name="\n" localSheetId="7">#REF!</definedName>
    <definedName name="\N" localSheetId="2">#REF!</definedName>
    <definedName name="\N" localSheetId="16">#REF!</definedName>
    <definedName name="\N" localSheetId="5">#REF!</definedName>
    <definedName name="\N" localSheetId="17">#REF!</definedName>
    <definedName name="\N">#REF!</definedName>
    <definedName name="\o" localSheetId="21">#REF!</definedName>
    <definedName name="\o" localSheetId="22">#REF!</definedName>
    <definedName name="\o" localSheetId="9">#REF!</definedName>
    <definedName name="\o" localSheetId="7">#REF!</definedName>
    <definedName name="\o" localSheetId="16">#REF!</definedName>
    <definedName name="\o" localSheetId="5">#REF!</definedName>
    <definedName name="\o" localSheetId="17">#REF!</definedName>
    <definedName name="\o">#REF!</definedName>
    <definedName name="\p" localSheetId="21">#REF!</definedName>
    <definedName name="\P" localSheetId="22">'[1]P&amp;L Commentary'!#REF!</definedName>
    <definedName name="\P" localSheetId="9">'[1]P&amp;L Commentary'!#REF!</definedName>
    <definedName name="\P" localSheetId="2">'[1]P&amp;L Commentary'!#REF!</definedName>
    <definedName name="\P" localSheetId="16">'[1]P&amp;L Commentary'!#REF!</definedName>
    <definedName name="\P" localSheetId="5">'[1]P&amp;L Commentary'!#REF!</definedName>
    <definedName name="\P" localSheetId="17">'[1]P&amp;L Commentary'!#REF!</definedName>
    <definedName name="\P">'[1]P&amp;L Commentary'!#REF!</definedName>
    <definedName name="\q" localSheetId="21">#REF!</definedName>
    <definedName name="\Q" localSheetId="22">'[1]P&amp;L Commentary'!#REF!</definedName>
    <definedName name="\Q" localSheetId="9">'[1]P&amp;L Commentary'!#REF!</definedName>
    <definedName name="\q" localSheetId="7">#REF!</definedName>
    <definedName name="\Q" localSheetId="2">'[1]P&amp;L Commentary'!#REF!</definedName>
    <definedName name="\Q" localSheetId="16">'[1]P&amp;L Commentary'!#REF!</definedName>
    <definedName name="\Q" localSheetId="5">'[1]P&amp;L Commentary'!#REF!</definedName>
    <definedName name="\Q" localSheetId="17">'[1]P&amp;L Commentary'!#REF!</definedName>
    <definedName name="\Q">'[1]P&amp;L Commentary'!#REF!</definedName>
    <definedName name="\R" localSheetId="21">'[2]last qrt2001'!#REF!</definedName>
    <definedName name="\R" localSheetId="22">'[2]last qrt2001'!#REF!</definedName>
    <definedName name="\R" localSheetId="9">'[2]last qrt2001'!#REF!</definedName>
    <definedName name="\R" localSheetId="7">'[2]last qrt2001'!#REF!</definedName>
    <definedName name="\R" localSheetId="16">'[2]last qrt2001'!#REF!</definedName>
    <definedName name="\R" localSheetId="5">'[2]last qrt2001'!#REF!</definedName>
    <definedName name="\R" localSheetId="17">'[2]last qrt2001'!#REF!</definedName>
    <definedName name="\R">'[2]last qrt2001'!#REF!</definedName>
    <definedName name="\S" localSheetId="21">'[2]last qrt2001'!#REF!</definedName>
    <definedName name="\S" localSheetId="22">'[2]last qrt2001'!#REF!</definedName>
    <definedName name="\S" localSheetId="9">'[2]last qrt2001'!#REF!</definedName>
    <definedName name="\S" localSheetId="7">'[2]last qrt2001'!#REF!</definedName>
    <definedName name="\S" localSheetId="16">'[2]last qrt2001'!#REF!</definedName>
    <definedName name="\S" localSheetId="5">'[2]last qrt2001'!#REF!</definedName>
    <definedName name="\S" localSheetId="17">'[2]last qrt2001'!#REF!</definedName>
    <definedName name="\S">'[2]last qrt2001'!#REF!</definedName>
    <definedName name="\T" localSheetId="21">'[5]Notes1-5(old)'!#REF!</definedName>
    <definedName name="\T" localSheetId="22">#REF!</definedName>
    <definedName name="\T" localSheetId="9">#REF!</definedName>
    <definedName name="\T" localSheetId="7">'[5]Notes1-5(old)'!#REF!</definedName>
    <definedName name="\T" localSheetId="2">#REF!</definedName>
    <definedName name="\T" localSheetId="16">#REF!</definedName>
    <definedName name="\T" localSheetId="5">#REF!</definedName>
    <definedName name="\T" localSheetId="17">#REF!</definedName>
    <definedName name="\T">#REF!</definedName>
    <definedName name="\z" localSheetId="21">#REF!</definedName>
    <definedName name="\z" localSheetId="22">#REF!</definedName>
    <definedName name="\z" localSheetId="9">#REF!</definedName>
    <definedName name="\z" localSheetId="7">#REF!</definedName>
    <definedName name="\z" localSheetId="16">#REF!</definedName>
    <definedName name="\z" localSheetId="5">#REF!</definedName>
    <definedName name="\z" localSheetId="17">#REF!</definedName>
    <definedName name="\z">#REF!</definedName>
    <definedName name="________________ASS2">#REF!</definedName>
    <definedName name="_______________ASS2">#REF!</definedName>
    <definedName name="_____________ASH1">[6]Sheet4!$B$524:$E$625</definedName>
    <definedName name="_____________ASH2">[6]Sheet4!$P$422:$Q$523</definedName>
    <definedName name="_____________ASS1">#REF!</definedName>
    <definedName name="_____________ASS2">#REF!</definedName>
    <definedName name="_____________EPZ1">[6]Sheet4!$F$428:$F$519</definedName>
    <definedName name="_____________EPZ2">[6]Sheet4!$S$326:$S$417</definedName>
    <definedName name="_____________LIA1">#REF!</definedName>
    <definedName name="_____________LIA2">#REF!</definedName>
    <definedName name="_____________PL1">#REF!</definedName>
    <definedName name="_____________PL2">#REF!</definedName>
    <definedName name="_____________PP2">#REF!</definedName>
    <definedName name="_____________PP3">#REF!</definedName>
    <definedName name="_____________REC1999">'[7]RC-0997'!$B$132:$Q$171</definedName>
    <definedName name="_____________UAE1">[6]Sheet4!$D$116:$D$207</definedName>
    <definedName name="_____________UAE2">[6]Sheet4!$Q$14:$Q$105</definedName>
    <definedName name="_____________UK1">[6]Sheet4!$F$324:$F$415</definedName>
    <definedName name="_____________UK2">[6]Sheet4!$S$222:$S$313</definedName>
    <definedName name="_____________USA1">[6]Sheet4!$D$428:$D$519</definedName>
    <definedName name="_____________USA2">[6]Sheet4!$Q$326:$Q$417</definedName>
    <definedName name="____________ASH1">[6]Sheet4!$B$524:$E$625</definedName>
    <definedName name="____________ASH2">[6]Sheet4!$P$422:$Q$523</definedName>
    <definedName name="____________ASS1" localSheetId="11">#REF!</definedName>
    <definedName name="____________ASS1" localSheetId="7">#REF!</definedName>
    <definedName name="____________ASS1">#REF!</definedName>
    <definedName name="____________ASS2" localSheetId="11">#REF!</definedName>
    <definedName name="____________ASS2" localSheetId="7">#REF!</definedName>
    <definedName name="____________ASS2">#REF!</definedName>
    <definedName name="____________EPZ1">[6]Sheet4!$F$428:$F$519</definedName>
    <definedName name="____________EPZ2">[6]Sheet4!$S$326:$S$417</definedName>
    <definedName name="____________LIA1" localSheetId="11">#REF!</definedName>
    <definedName name="____________LIA1" localSheetId="7">#REF!</definedName>
    <definedName name="____________LIA1">#REF!</definedName>
    <definedName name="____________LIA2" localSheetId="11">#REF!</definedName>
    <definedName name="____________LIA2" localSheetId="7">#REF!</definedName>
    <definedName name="____________LIA2">#REF!</definedName>
    <definedName name="____________PL1" localSheetId="11">#REF!</definedName>
    <definedName name="____________PL1" localSheetId="7">#REF!</definedName>
    <definedName name="____________PL1">#REF!</definedName>
    <definedName name="____________PL2" localSheetId="11">#REF!</definedName>
    <definedName name="____________PL2" localSheetId="7">#REF!</definedName>
    <definedName name="____________PL2">#REF!</definedName>
    <definedName name="____________PP2" localSheetId="11">#REF!</definedName>
    <definedName name="____________PP2" localSheetId="7">#REF!</definedName>
    <definedName name="____________PP2">#REF!</definedName>
    <definedName name="____________PP3" localSheetId="11">#REF!</definedName>
    <definedName name="____________PP3" localSheetId="7">#REF!</definedName>
    <definedName name="____________PP3">#REF!</definedName>
    <definedName name="____________REC1999">'[7]RC-0997'!$B$132:$Q$171</definedName>
    <definedName name="____________UAE1">[6]Sheet4!$D$116:$D$207</definedName>
    <definedName name="____________UAE2">[6]Sheet4!$Q$14:$Q$105</definedName>
    <definedName name="____________UK1">[6]Sheet4!$F$324:$F$415</definedName>
    <definedName name="____________UK2">[6]Sheet4!$S$222:$S$313</definedName>
    <definedName name="____________USA1">[6]Sheet4!$D$428:$D$519</definedName>
    <definedName name="____________USA2">[6]Sheet4!$Q$326:$Q$417</definedName>
    <definedName name="___________ASH1">[6]Sheet4!$B$524:$E$625</definedName>
    <definedName name="___________ASH2">[6]Sheet4!$P$422:$Q$523</definedName>
    <definedName name="___________ASS1" localSheetId="11">#REF!</definedName>
    <definedName name="___________ASS1" localSheetId="7">#REF!</definedName>
    <definedName name="___________ASS1">#REF!</definedName>
    <definedName name="___________ASS2" localSheetId="11">#REF!</definedName>
    <definedName name="___________ASS2" localSheetId="7">#REF!</definedName>
    <definedName name="___________ASS2">#REF!</definedName>
    <definedName name="___________EPZ1">[6]Sheet4!$F$428:$F$519</definedName>
    <definedName name="___________EPZ2">[6]Sheet4!$S$326:$S$417</definedName>
    <definedName name="___________LIA1" localSheetId="11">#REF!</definedName>
    <definedName name="___________LIA1" localSheetId="7">#REF!</definedName>
    <definedName name="___________LIA1">#REF!</definedName>
    <definedName name="___________LIA2" localSheetId="11">#REF!</definedName>
    <definedName name="___________LIA2" localSheetId="7">#REF!</definedName>
    <definedName name="___________LIA2">#REF!</definedName>
    <definedName name="___________PL1" localSheetId="11">#REF!</definedName>
    <definedName name="___________PL1" localSheetId="7">#REF!</definedName>
    <definedName name="___________PL1">#REF!</definedName>
    <definedName name="___________PL2" localSheetId="11">#REF!</definedName>
    <definedName name="___________PL2" localSheetId="7">#REF!</definedName>
    <definedName name="___________PL2">#REF!</definedName>
    <definedName name="___________PP2" localSheetId="11">#REF!</definedName>
    <definedName name="___________PP2" localSheetId="7">#REF!</definedName>
    <definedName name="___________PP2">#REF!</definedName>
    <definedName name="___________PP3" localSheetId="11">#REF!</definedName>
    <definedName name="___________PP3" localSheetId="7">#REF!</definedName>
    <definedName name="___________PP3">#REF!</definedName>
    <definedName name="___________REC1999">'[7]RC-0997'!$B$132:$Q$171</definedName>
    <definedName name="___________UAE1">[6]Sheet4!$D$116:$D$207</definedName>
    <definedName name="___________UAE2">[6]Sheet4!$Q$14:$Q$105</definedName>
    <definedName name="___________UK1">[6]Sheet4!$F$324:$F$415</definedName>
    <definedName name="___________UK2">[6]Sheet4!$S$222:$S$313</definedName>
    <definedName name="___________USA1">[6]Sheet4!$D$428:$D$519</definedName>
    <definedName name="___________USA2">[6]Sheet4!$Q$326:$Q$417</definedName>
    <definedName name="__________ASH1">[6]Sheet4!$B$524:$E$625</definedName>
    <definedName name="__________ASH2">[6]Sheet4!$P$422:$Q$523</definedName>
    <definedName name="__________ASS1" localSheetId="11">#REF!</definedName>
    <definedName name="__________ASS1" localSheetId="7">#REF!</definedName>
    <definedName name="__________ASS1">#REF!</definedName>
    <definedName name="__________ASS2" localSheetId="11">#REF!</definedName>
    <definedName name="__________ASS2" localSheetId="7">#REF!</definedName>
    <definedName name="__________ASS2">#REF!</definedName>
    <definedName name="__________EPZ1">[6]Sheet4!$F$428:$F$519</definedName>
    <definedName name="__________EPZ2">[6]Sheet4!$S$326:$S$417</definedName>
    <definedName name="__________LIA1" localSheetId="11">#REF!</definedName>
    <definedName name="__________LIA1" localSheetId="7">#REF!</definedName>
    <definedName name="__________LIA1">#REF!</definedName>
    <definedName name="__________LIA2" localSheetId="11">#REF!</definedName>
    <definedName name="__________LIA2" localSheetId="7">#REF!</definedName>
    <definedName name="__________LIA2">#REF!</definedName>
    <definedName name="__________PL1" localSheetId="11">#REF!</definedName>
    <definedName name="__________PL1" localSheetId="7">#REF!</definedName>
    <definedName name="__________PL1">#REF!</definedName>
    <definedName name="__________PL2" localSheetId="11">#REF!</definedName>
    <definedName name="__________PL2" localSheetId="7">#REF!</definedName>
    <definedName name="__________PL2">#REF!</definedName>
    <definedName name="__________PP2" localSheetId="11">#REF!</definedName>
    <definedName name="__________PP2" localSheetId="7">#REF!</definedName>
    <definedName name="__________PP2">#REF!</definedName>
    <definedName name="__________PP3" localSheetId="11">#REF!</definedName>
    <definedName name="__________PP3" localSheetId="7">#REF!</definedName>
    <definedName name="__________PP3">#REF!</definedName>
    <definedName name="__________REC1999">'[7]RC-0997'!$B$132:$Q$171</definedName>
    <definedName name="__________UAE1">[6]Sheet4!$D$116:$D$207</definedName>
    <definedName name="__________UAE2">[6]Sheet4!$Q$14:$Q$105</definedName>
    <definedName name="__________UK1">[6]Sheet4!$F$324:$F$415</definedName>
    <definedName name="__________UK2">[6]Sheet4!$S$222:$S$313</definedName>
    <definedName name="__________USA1">[6]Sheet4!$D$428:$D$519</definedName>
    <definedName name="__________USA2">[6]Sheet4!$Q$326:$Q$417</definedName>
    <definedName name="_________ASH1" localSheetId="7">[6]Sheet4!$B$524:$E$625</definedName>
    <definedName name="_________ASH1">[8]Sheet4!$B$524:$E$625</definedName>
    <definedName name="_________ASH2" localSheetId="7">[6]Sheet4!$P$422:$Q$523</definedName>
    <definedName name="_________ASH2">[8]Sheet4!$P$422:$Q$523</definedName>
    <definedName name="_________ASS1" localSheetId="11">#REF!</definedName>
    <definedName name="_________ASS1" localSheetId="7">#REF!</definedName>
    <definedName name="_________ASS1">#REF!</definedName>
    <definedName name="_________ASS2" localSheetId="11">#REF!</definedName>
    <definedName name="_________ASS2" localSheetId="7">#REF!</definedName>
    <definedName name="_________ASS2">#REF!</definedName>
    <definedName name="_________EPZ1" localSheetId="7">[6]Sheet4!$F$428:$F$519</definedName>
    <definedName name="_________EPZ1">[8]Sheet4!$F$428:$F$519</definedName>
    <definedName name="_________EPZ2" localSheetId="7">[6]Sheet4!$S$326:$S$417</definedName>
    <definedName name="_________EPZ2">[8]Sheet4!$S$326:$S$417</definedName>
    <definedName name="_________LIA1" localSheetId="11">#REF!</definedName>
    <definedName name="_________LIA1" localSheetId="7">#REF!</definedName>
    <definedName name="_________LIA1">#REF!</definedName>
    <definedName name="_________LIA2" localSheetId="11">#REF!</definedName>
    <definedName name="_________LIA2" localSheetId="7">#REF!</definedName>
    <definedName name="_________LIA2">#REF!</definedName>
    <definedName name="_________LN2" localSheetId="21">#REF!</definedName>
    <definedName name="_________LN2" localSheetId="22">#REF!</definedName>
    <definedName name="_________LN2" localSheetId="9">#REF!</definedName>
    <definedName name="_________LN2" localSheetId="16">#REF!</definedName>
    <definedName name="_________LN2" localSheetId="5">#REF!</definedName>
    <definedName name="_________LN2" localSheetId="17">#REF!</definedName>
    <definedName name="_________LN2">#REF!</definedName>
    <definedName name="_________PL1" localSheetId="11">#REF!</definedName>
    <definedName name="_________PL1" localSheetId="7">#REF!</definedName>
    <definedName name="_________PL1">#REF!</definedName>
    <definedName name="_________PL2" localSheetId="11">#REF!</definedName>
    <definedName name="_________PL2" localSheetId="7">#REF!</definedName>
    <definedName name="_________PL2">#REF!</definedName>
    <definedName name="_________PP2" localSheetId="11">#REF!</definedName>
    <definedName name="_________PP2" localSheetId="7">#REF!</definedName>
    <definedName name="_________PP2">#REF!</definedName>
    <definedName name="_________PP3" localSheetId="11">#REF!</definedName>
    <definedName name="_________PP3" localSheetId="7">#REF!</definedName>
    <definedName name="_________PP3">#REF!</definedName>
    <definedName name="_________REC1999">'[7]RC-0997'!$B$132:$Q$171</definedName>
    <definedName name="_________UAE1" localSheetId="7">[6]Sheet4!$D$116:$D$207</definedName>
    <definedName name="_________UAE1">[8]Sheet4!$D$116:$D$207</definedName>
    <definedName name="_________UAE2" localSheetId="7">[6]Sheet4!$Q$14:$Q$105</definedName>
    <definedName name="_________UAE2">[8]Sheet4!$Q$14:$Q$105</definedName>
    <definedName name="_________UK1" localSheetId="7">[6]Sheet4!$F$324:$F$415</definedName>
    <definedName name="_________UK1">[8]Sheet4!$F$324:$F$415</definedName>
    <definedName name="_________UK2" localSheetId="7">[6]Sheet4!$S$222:$S$313</definedName>
    <definedName name="_________UK2">[8]Sheet4!$S$222:$S$313</definedName>
    <definedName name="_________USA1" localSheetId="7">[6]Sheet4!$D$428:$D$519</definedName>
    <definedName name="_________USA1">[8]Sheet4!$D$428:$D$519</definedName>
    <definedName name="_________USA2" localSheetId="7">[6]Sheet4!$Q$326:$Q$417</definedName>
    <definedName name="_________USA2">[8]Sheet4!$Q$326:$Q$417</definedName>
    <definedName name="________ASH1">[8]Sheet4!$B$524:$E$625</definedName>
    <definedName name="________ASH2">[8]Sheet4!$P$422:$Q$523</definedName>
    <definedName name="________ASS1" localSheetId="11">#REF!</definedName>
    <definedName name="________ASS1" localSheetId="7">#REF!</definedName>
    <definedName name="________ASS1">#REF!</definedName>
    <definedName name="________ASS2" localSheetId="11">#REF!</definedName>
    <definedName name="________ASS2" localSheetId="7">#REF!</definedName>
    <definedName name="________ASS2">#REF!</definedName>
    <definedName name="________EPZ1">[8]Sheet4!$F$428:$F$519</definedName>
    <definedName name="________EPZ2">[8]Sheet4!$S$326:$S$417</definedName>
    <definedName name="________jun99">'[9]PUR&amp;SAL'!#REF!</definedName>
    <definedName name="________LIA1" localSheetId="11">#REF!</definedName>
    <definedName name="________LIA1" localSheetId="7">#REF!</definedName>
    <definedName name="________LIA1">#REF!</definedName>
    <definedName name="________LIA2" localSheetId="11">#REF!</definedName>
    <definedName name="________LIA2" localSheetId="7">#REF!</definedName>
    <definedName name="________LIA2">#REF!</definedName>
    <definedName name="________PL1" localSheetId="11">#REF!</definedName>
    <definedName name="________PL1" localSheetId="7">#REF!</definedName>
    <definedName name="________PL1">#REF!</definedName>
    <definedName name="________PL2" localSheetId="11">#REF!</definedName>
    <definedName name="________PL2" localSheetId="7">#REF!</definedName>
    <definedName name="________PL2">#REF!</definedName>
    <definedName name="________PP2" localSheetId="11">#REF!</definedName>
    <definedName name="________PP2" localSheetId="7">#REF!</definedName>
    <definedName name="________PP2">#REF!</definedName>
    <definedName name="________PP3" localSheetId="11">#REF!</definedName>
    <definedName name="________PP3" localSheetId="7">#REF!</definedName>
    <definedName name="________PP3">#REF!</definedName>
    <definedName name="________REC1999">'[7]RC-0997'!$B$132:$Q$171</definedName>
    <definedName name="________SEC107">#REF!</definedName>
    <definedName name="________UAE1">[8]Sheet4!$D$116:$D$207</definedName>
    <definedName name="________UAE2">[8]Sheet4!$Q$14:$Q$105</definedName>
    <definedName name="________UK1">[8]Sheet4!$F$324:$F$415</definedName>
    <definedName name="________UK2">[8]Sheet4!$S$222:$S$313</definedName>
    <definedName name="________USA1">[8]Sheet4!$D$428:$D$519</definedName>
    <definedName name="________USA2">[8]Sheet4!$Q$326:$Q$417</definedName>
    <definedName name="________ws1">'[10]Revenue-Fire-Marine-Motor'!#REF!</definedName>
    <definedName name="_______ASH1">[8]Sheet4!$B$524:$E$625</definedName>
    <definedName name="_______ASH2">[8]Sheet4!$P$422:$Q$523</definedName>
    <definedName name="_______ASS1" localSheetId="11">#REF!</definedName>
    <definedName name="_______ASS1" localSheetId="7">#REF!</definedName>
    <definedName name="_______ASS1">#REF!</definedName>
    <definedName name="_______ASS2" localSheetId="11">#REF!</definedName>
    <definedName name="_______ASS2" localSheetId="7">#REF!</definedName>
    <definedName name="_______ASS2">#REF!</definedName>
    <definedName name="_______EPZ1">[8]Sheet4!$F$428:$F$519</definedName>
    <definedName name="_______EPZ2">[8]Sheet4!$S$326:$S$417</definedName>
    <definedName name="_______jun99">'[9]PUR&amp;SAL'!#REF!</definedName>
    <definedName name="_______LIA1" localSheetId="11">#REF!</definedName>
    <definedName name="_______LIA1" localSheetId="7">#REF!</definedName>
    <definedName name="_______LIA1">#REF!</definedName>
    <definedName name="_______LIA2" localSheetId="11">#REF!</definedName>
    <definedName name="_______LIA2" localSheetId="7">#REF!</definedName>
    <definedName name="_______LIA2">#REF!</definedName>
    <definedName name="_______LN2" localSheetId="21">#REF!</definedName>
    <definedName name="_______LN2" localSheetId="22">#REF!</definedName>
    <definedName name="_______LN2" localSheetId="9">#REF!</definedName>
    <definedName name="_______LN2" localSheetId="16">#REF!</definedName>
    <definedName name="_______LN2" localSheetId="5">#REF!</definedName>
    <definedName name="_______LN2" localSheetId="17">#REF!</definedName>
    <definedName name="_______LN2">#REF!</definedName>
    <definedName name="_______PL1" localSheetId="11">#REF!</definedName>
    <definedName name="_______PL1" localSheetId="7">#REF!</definedName>
    <definedName name="_______PL1">#REF!</definedName>
    <definedName name="_______PL2" localSheetId="11">#REF!</definedName>
    <definedName name="_______PL2" localSheetId="7">#REF!</definedName>
    <definedName name="_______PL2">#REF!</definedName>
    <definedName name="_______PP2" localSheetId="11">#REF!</definedName>
    <definedName name="_______PP2" localSheetId="7">#REF!</definedName>
    <definedName name="_______PP2">#REF!</definedName>
    <definedName name="_______PP3" localSheetId="11">#REF!</definedName>
    <definedName name="_______PP3" localSheetId="7">#REF!</definedName>
    <definedName name="_______PP3">#REF!</definedName>
    <definedName name="_______REC1999">'[7]RC-0997'!$B$132:$Q$171</definedName>
    <definedName name="_______SEC107">#REF!</definedName>
    <definedName name="_______UAE1">[8]Sheet4!$D$116:$D$207</definedName>
    <definedName name="_______UAE2">[8]Sheet4!$Q$14:$Q$105</definedName>
    <definedName name="_______UK1">[8]Sheet4!$F$324:$F$415</definedName>
    <definedName name="_______UK2">[8]Sheet4!$S$222:$S$313</definedName>
    <definedName name="_______USA1">[8]Sheet4!$D$428:$D$519</definedName>
    <definedName name="_______USA2">[8]Sheet4!$Q$326:$Q$417</definedName>
    <definedName name="_______ws1">'[10]Revenue-Fire-Marine-Motor'!#REF!</definedName>
    <definedName name="______ASH1">[8]Sheet4!$B$524:$E$625</definedName>
    <definedName name="______ASH2">[8]Sheet4!$P$422:$Q$523</definedName>
    <definedName name="______ASS1" localSheetId="11">#REF!</definedName>
    <definedName name="______ASS1" localSheetId="7">#REF!</definedName>
    <definedName name="______ASS1">#REF!</definedName>
    <definedName name="______ASS2" localSheetId="11">#REF!</definedName>
    <definedName name="______ASS2" localSheetId="7">#REF!</definedName>
    <definedName name="______ASS2">#REF!</definedName>
    <definedName name="______EPZ1">[8]Sheet4!$F$428:$F$519</definedName>
    <definedName name="______EPZ2">[8]Sheet4!$S$326:$S$417</definedName>
    <definedName name="______jun99">'[9]PUR&amp;SAL'!#REF!</definedName>
    <definedName name="______LIA1" localSheetId="11">#REF!</definedName>
    <definedName name="______LIA1" localSheetId="7">#REF!</definedName>
    <definedName name="______LIA1">#REF!</definedName>
    <definedName name="______LIA2" localSheetId="11">#REF!</definedName>
    <definedName name="______LIA2" localSheetId="7">#REF!</definedName>
    <definedName name="______LIA2">#REF!</definedName>
    <definedName name="______LN2" localSheetId="21">#REF!</definedName>
    <definedName name="______LN2" localSheetId="22">#REF!</definedName>
    <definedName name="______LN2" localSheetId="9">#REF!</definedName>
    <definedName name="______LN2" localSheetId="16">#REF!</definedName>
    <definedName name="______LN2" localSheetId="5">#REF!</definedName>
    <definedName name="______LN2" localSheetId="17">#REF!</definedName>
    <definedName name="______LN2">#REF!</definedName>
    <definedName name="______PL1" localSheetId="11">#REF!</definedName>
    <definedName name="______PL1" localSheetId="7">#REF!</definedName>
    <definedName name="______PL1">#REF!</definedName>
    <definedName name="______PL2" localSheetId="11">#REF!</definedName>
    <definedName name="______PL2" localSheetId="7">#REF!</definedName>
    <definedName name="______PL2">#REF!</definedName>
    <definedName name="______PP2" localSheetId="11">#REF!</definedName>
    <definedName name="______PP2" localSheetId="7">#REF!</definedName>
    <definedName name="______PP2">#REF!</definedName>
    <definedName name="______PP3" localSheetId="11">#REF!</definedName>
    <definedName name="______PP3" localSheetId="7">#REF!</definedName>
    <definedName name="______PP3">#REF!</definedName>
    <definedName name="______REC1999">'[7]RC-0997'!$B$132:$Q$171</definedName>
    <definedName name="______SEC107">#REF!</definedName>
    <definedName name="______UAE1">[8]Sheet4!$D$116:$D$207</definedName>
    <definedName name="______UAE2">[8]Sheet4!$Q$14:$Q$105</definedName>
    <definedName name="______UK1">[8]Sheet4!$F$324:$F$415</definedName>
    <definedName name="______UK2">[8]Sheet4!$S$222:$S$313</definedName>
    <definedName name="______USA1">[8]Sheet4!$D$428:$D$519</definedName>
    <definedName name="______USA2">[8]Sheet4!$Q$326:$Q$417</definedName>
    <definedName name="______ws1">'[10]Revenue-Fire-Marine-Motor'!#REF!</definedName>
    <definedName name="_____ASH1">[8]Sheet4!$B$524:$E$625</definedName>
    <definedName name="_____ASH2">[8]Sheet4!$P$422:$Q$523</definedName>
    <definedName name="_____ASS1" localSheetId="11">#REF!</definedName>
    <definedName name="_____ASS1" localSheetId="7">#REF!</definedName>
    <definedName name="_____ASS1">#REF!</definedName>
    <definedName name="_____ASS2" localSheetId="11">#REF!</definedName>
    <definedName name="_____ASS2" localSheetId="7">#REF!</definedName>
    <definedName name="_____ASS2">#REF!</definedName>
    <definedName name="_____EPZ1">[8]Sheet4!$F$428:$F$519</definedName>
    <definedName name="_____EPZ2">[8]Sheet4!$S$326:$S$417</definedName>
    <definedName name="_____jun99">'[9]PUR&amp;SAL'!#REF!</definedName>
    <definedName name="_____LIA1" localSheetId="11">#REF!</definedName>
    <definedName name="_____LIA1" localSheetId="7">#REF!</definedName>
    <definedName name="_____LIA1">#REF!</definedName>
    <definedName name="_____LIA2" localSheetId="11">#REF!</definedName>
    <definedName name="_____LIA2" localSheetId="7">#REF!</definedName>
    <definedName name="_____LIA2">#REF!</definedName>
    <definedName name="_____LN2" localSheetId="21">#REF!</definedName>
    <definedName name="_____LN2" localSheetId="22">#REF!</definedName>
    <definedName name="_____LN2" localSheetId="9">#REF!</definedName>
    <definedName name="_____LN2" localSheetId="16">#REF!</definedName>
    <definedName name="_____LN2" localSheetId="5">#REF!</definedName>
    <definedName name="_____LN2" localSheetId="17">#REF!</definedName>
    <definedName name="_____LN2">#REF!</definedName>
    <definedName name="_____PL1" localSheetId="11">#REF!</definedName>
    <definedName name="_____PL1" localSheetId="7">#REF!</definedName>
    <definedName name="_____PL1">#REF!</definedName>
    <definedName name="_____PL2" localSheetId="11">#REF!</definedName>
    <definedName name="_____PL2" localSheetId="7">#REF!</definedName>
    <definedName name="_____PL2">#REF!</definedName>
    <definedName name="_____PP2" localSheetId="11">#REF!</definedName>
    <definedName name="_____PP2" localSheetId="7">#REF!</definedName>
    <definedName name="_____PP2">#REF!</definedName>
    <definedName name="_____PP3" localSheetId="11">#REF!</definedName>
    <definedName name="_____PP3" localSheetId="7">#REF!</definedName>
    <definedName name="_____PP3">#REF!</definedName>
    <definedName name="_____REC1999">'[7]RC-0997'!$B$132:$Q$171</definedName>
    <definedName name="_____SEC107">#REF!</definedName>
    <definedName name="_____UAE1">[8]Sheet4!$D$116:$D$207</definedName>
    <definedName name="_____UAE2">[8]Sheet4!$Q$14:$Q$105</definedName>
    <definedName name="_____UK1">[8]Sheet4!$F$324:$F$415</definedName>
    <definedName name="_____UK2">[8]Sheet4!$S$222:$S$313</definedName>
    <definedName name="_____USA1">[8]Sheet4!$D$428:$D$519</definedName>
    <definedName name="_____USA2">[8]Sheet4!$Q$326:$Q$417</definedName>
    <definedName name="_____ws1">'[10]Revenue-Fire-Marine-Motor'!#REF!</definedName>
    <definedName name="____ASH1">[8]Sheet4!$B$524:$E$625</definedName>
    <definedName name="____ASH2">[8]Sheet4!$P$422:$Q$523</definedName>
    <definedName name="____ASS1" localSheetId="11">#REF!</definedName>
    <definedName name="____ASS1" localSheetId="7">#REF!</definedName>
    <definedName name="____ASS1">#REF!</definedName>
    <definedName name="____ASS2" localSheetId="11">#REF!</definedName>
    <definedName name="____ASS2" localSheetId="7">#REF!</definedName>
    <definedName name="____ASS2">#REF!</definedName>
    <definedName name="____EPZ1">[8]Sheet4!$F$428:$F$519</definedName>
    <definedName name="____EPZ2">[8]Sheet4!$S$326:$S$417</definedName>
    <definedName name="____jun99">'[9]PUR&amp;SAL'!#REF!</definedName>
    <definedName name="____LIA1" localSheetId="11">#REF!</definedName>
    <definedName name="____LIA1" localSheetId="7">#REF!</definedName>
    <definedName name="____LIA1">#REF!</definedName>
    <definedName name="____LIA2" localSheetId="11">#REF!</definedName>
    <definedName name="____LIA2" localSheetId="7">#REF!</definedName>
    <definedName name="____LIA2">#REF!</definedName>
    <definedName name="____LN2" localSheetId="21">#REF!</definedName>
    <definedName name="____LN2" localSheetId="22">#REF!</definedName>
    <definedName name="____LN2" localSheetId="9">#REF!</definedName>
    <definedName name="____LN2" localSheetId="16">#REF!</definedName>
    <definedName name="____LN2" localSheetId="5">#REF!</definedName>
    <definedName name="____LN2" localSheetId="17">#REF!</definedName>
    <definedName name="____LN2">#REF!</definedName>
    <definedName name="____PL1" localSheetId="11">#REF!</definedName>
    <definedName name="____PL1" localSheetId="7">#REF!</definedName>
    <definedName name="____PL1">#REF!</definedName>
    <definedName name="____PL2" localSheetId="11">#REF!</definedName>
    <definedName name="____PL2" localSheetId="7">#REF!</definedName>
    <definedName name="____PL2">#REF!</definedName>
    <definedName name="____PP2" localSheetId="11">#REF!</definedName>
    <definedName name="____PP2" localSheetId="7">#REF!</definedName>
    <definedName name="____PP2">#REF!</definedName>
    <definedName name="____PP3" localSheetId="11">#REF!</definedName>
    <definedName name="____PP3" localSheetId="7">#REF!</definedName>
    <definedName name="____PP3">#REF!</definedName>
    <definedName name="____REC1999">'[7]RC-0997'!$B$132:$Q$171</definedName>
    <definedName name="____SEC107">#REF!</definedName>
    <definedName name="____UAE1">[8]Sheet4!$D$116:$D$207</definedName>
    <definedName name="____UAE2">[8]Sheet4!$Q$14:$Q$105</definedName>
    <definedName name="____UK1">[8]Sheet4!$F$324:$F$415</definedName>
    <definedName name="____UK2">[8]Sheet4!$S$222:$S$313</definedName>
    <definedName name="____USA1">[8]Sheet4!$D$428:$D$519</definedName>
    <definedName name="____USA2">[8]Sheet4!$Q$326:$Q$417</definedName>
    <definedName name="____ws1">'[10]Revenue-Fire-Marine-Motor'!#REF!</definedName>
    <definedName name="___ASH1" localSheetId="21">[8]Sheet4!$B$524:$E$625</definedName>
    <definedName name="___ASH1" localSheetId="7">[8]Sheet4!$B$524:$E$625</definedName>
    <definedName name="___ASH1">[6]Sheet4!$B$524:$E$625</definedName>
    <definedName name="___ASH2" localSheetId="21">[8]Sheet4!$P$422:$Q$523</definedName>
    <definedName name="___ASH2" localSheetId="7">[8]Sheet4!$P$422:$Q$523</definedName>
    <definedName name="___ASH2">[6]Sheet4!$P$422:$Q$523</definedName>
    <definedName name="___ASS1" localSheetId="21">#REF!</definedName>
    <definedName name="___ASS1" localSheetId="22">#REF!</definedName>
    <definedName name="___ASS1" localSheetId="9">#REF!</definedName>
    <definedName name="___ASS1" localSheetId="7">#REF!</definedName>
    <definedName name="___ASS1" localSheetId="16">#REF!</definedName>
    <definedName name="___ASS1" localSheetId="5">#REF!</definedName>
    <definedName name="___ASS1" localSheetId="17">#REF!</definedName>
    <definedName name="___ASS1">#REF!</definedName>
    <definedName name="___ASS2" localSheetId="21">#REF!</definedName>
    <definedName name="___ASS2" localSheetId="22">#REF!</definedName>
    <definedName name="___ASS2" localSheetId="9">#REF!</definedName>
    <definedName name="___ASS2" localSheetId="7">#REF!</definedName>
    <definedName name="___ASS2" localSheetId="16">#REF!</definedName>
    <definedName name="___ASS2" localSheetId="5">#REF!</definedName>
    <definedName name="___ASS2" localSheetId="17">#REF!</definedName>
    <definedName name="___ASS2">#REF!</definedName>
    <definedName name="___crt1">'[11]I-B'!$A$1:$A$65536</definedName>
    <definedName name="___crt2">'[11]I-BR'!$A$1:$A$65536</definedName>
    <definedName name="___EPZ1" localSheetId="21">[8]Sheet4!$F$428:$F$519</definedName>
    <definedName name="___EPZ1" localSheetId="7">[8]Sheet4!$F$428:$F$519</definedName>
    <definedName name="___EPZ1">[6]Sheet4!$F$428:$F$519</definedName>
    <definedName name="___EPZ2" localSheetId="21">[8]Sheet4!$S$326:$S$417</definedName>
    <definedName name="___EPZ2" localSheetId="7">[8]Sheet4!$S$326:$S$417</definedName>
    <definedName name="___EPZ2">[6]Sheet4!$S$326:$S$417</definedName>
    <definedName name="___FMT1">'[11]I-B'!$D$1:$D$65536</definedName>
    <definedName name="___FMT2">'[11]I-BR'!$D$1:$D$65536</definedName>
    <definedName name="___hub0207" localSheetId="21">[12]AL905!#REF!</definedName>
    <definedName name="___hub0207" localSheetId="22">[12]AL905!#REF!</definedName>
    <definedName name="___hub0207" localSheetId="9">[12]AL905!#REF!</definedName>
    <definedName name="___hub0207" localSheetId="16">[12]AL905!#REF!</definedName>
    <definedName name="___hub0207" localSheetId="5">[12]AL905!#REF!</definedName>
    <definedName name="___hub0207" localSheetId="17">[12]AL905!#REF!</definedName>
    <definedName name="___hub0207">[12]AL905!#REF!</definedName>
    <definedName name="___jun99">'[9]PUR&amp;SAL'!#REF!</definedName>
    <definedName name="___LIA1" localSheetId="21">#REF!</definedName>
    <definedName name="___LIA1" localSheetId="22">#REF!</definedName>
    <definedName name="___LIA1" localSheetId="9">#REF!</definedName>
    <definedName name="___LIA1" localSheetId="7">#REF!</definedName>
    <definedName name="___LIA1" localSheetId="16">#REF!</definedName>
    <definedName name="___LIA1" localSheetId="5">#REF!</definedName>
    <definedName name="___LIA1" localSheetId="17">#REF!</definedName>
    <definedName name="___LIA1">#REF!</definedName>
    <definedName name="___LIA2" localSheetId="21">#REF!</definedName>
    <definedName name="___LIA2" localSheetId="22">#REF!</definedName>
    <definedName name="___LIA2" localSheetId="9">#REF!</definedName>
    <definedName name="___LIA2" localSheetId="7">#REF!</definedName>
    <definedName name="___LIA2" localSheetId="16">#REF!</definedName>
    <definedName name="___LIA2" localSheetId="5">#REF!</definedName>
    <definedName name="___LIA2" localSheetId="17">#REF!</definedName>
    <definedName name="___LIA2">#REF!</definedName>
    <definedName name="___LMT1">'[11]I-B'!$F$1:$F$65536</definedName>
    <definedName name="___LMT2">'[11]I-BR'!$F$1:$F$65536</definedName>
    <definedName name="___LN2" localSheetId="21">#REF!</definedName>
    <definedName name="___LN2" localSheetId="22">#REF!</definedName>
    <definedName name="___LN2" localSheetId="9">#REF!</definedName>
    <definedName name="___LN2" localSheetId="16">#REF!</definedName>
    <definedName name="___LN2" localSheetId="5">#REF!</definedName>
    <definedName name="___LN2" localSheetId="17">#REF!</definedName>
    <definedName name="___LN2">#REF!</definedName>
    <definedName name="___PL1" localSheetId="21">#REF!</definedName>
    <definedName name="___PL1" localSheetId="22">#REF!</definedName>
    <definedName name="___PL1" localSheetId="9">#REF!</definedName>
    <definedName name="___PL1" localSheetId="7">#REF!</definedName>
    <definedName name="___PL1" localSheetId="16">#REF!</definedName>
    <definedName name="___PL1" localSheetId="5">#REF!</definedName>
    <definedName name="___PL1" localSheetId="17">#REF!</definedName>
    <definedName name="___PL1">#REF!</definedName>
    <definedName name="___PL2" localSheetId="21">#REF!</definedName>
    <definedName name="___PL2" localSheetId="22">#REF!</definedName>
    <definedName name="___PL2" localSheetId="9">#REF!</definedName>
    <definedName name="___PL2" localSheetId="7">#REF!</definedName>
    <definedName name="___PL2" localSheetId="16">#REF!</definedName>
    <definedName name="___PL2" localSheetId="5">#REF!</definedName>
    <definedName name="___PL2" localSheetId="17">#REF!</definedName>
    <definedName name="___PL2">#REF!</definedName>
    <definedName name="___PP2" localSheetId="21">#REF!</definedName>
    <definedName name="___PP2" localSheetId="22">#REF!</definedName>
    <definedName name="___PP2" localSheetId="9">#REF!</definedName>
    <definedName name="___PP2" localSheetId="7">#REF!</definedName>
    <definedName name="___PP2" localSheetId="16">#REF!</definedName>
    <definedName name="___PP2" localSheetId="5">#REF!</definedName>
    <definedName name="___PP2" localSheetId="17">#REF!</definedName>
    <definedName name="___PP2">#REF!</definedName>
    <definedName name="___PP3" localSheetId="21">#REF!</definedName>
    <definedName name="___PP3" localSheetId="22">#REF!</definedName>
    <definedName name="___PP3" localSheetId="9">#REF!</definedName>
    <definedName name="___PP3" localSheetId="7">#REF!</definedName>
    <definedName name="___PP3" localSheetId="16">#REF!</definedName>
    <definedName name="___PP3" localSheetId="5">#REF!</definedName>
    <definedName name="___PP3" localSheetId="17">#REF!</definedName>
    <definedName name="___PP3">#REF!</definedName>
    <definedName name="___REC1999">'[7]RC-0997'!$B$132:$Q$171</definedName>
    <definedName name="___SEC107">#REF!</definedName>
    <definedName name="___UAE1" localSheetId="21">[8]Sheet4!$D$116:$D$207</definedName>
    <definedName name="___UAE1" localSheetId="7">[8]Sheet4!$D$116:$D$207</definedName>
    <definedName name="___UAE1">[6]Sheet4!$D$116:$D$207</definedName>
    <definedName name="___UAE2" localSheetId="21">[8]Sheet4!$Q$14:$Q$105</definedName>
    <definedName name="___UAE2" localSheetId="7">[8]Sheet4!$Q$14:$Q$105</definedName>
    <definedName name="___UAE2">[6]Sheet4!$Q$14:$Q$105</definedName>
    <definedName name="___UK1" localSheetId="21">[8]Sheet4!$F$324:$F$415</definedName>
    <definedName name="___UK1" localSheetId="7">[8]Sheet4!$F$324:$F$415</definedName>
    <definedName name="___UK1">[6]Sheet4!$F$324:$F$415</definedName>
    <definedName name="___UK2" localSheetId="21">[8]Sheet4!$S$222:$S$313</definedName>
    <definedName name="___UK2" localSheetId="7">[8]Sheet4!$S$222:$S$313</definedName>
    <definedName name="___UK2">[6]Sheet4!$S$222:$S$313</definedName>
    <definedName name="___USA1" localSheetId="21">[8]Sheet4!$D$428:$D$519</definedName>
    <definedName name="___USA1" localSheetId="7">[8]Sheet4!$D$428:$D$519</definedName>
    <definedName name="___USA1">[6]Sheet4!$D$428:$D$519</definedName>
    <definedName name="___USA2" localSheetId="21">[8]Sheet4!$Q$326:$Q$417</definedName>
    <definedName name="___USA2" localSheetId="7">[8]Sheet4!$Q$326:$Q$417</definedName>
    <definedName name="___USA2">[6]Sheet4!$Q$326:$Q$417</definedName>
    <definedName name="___ws1">'[10]Revenue-Fire-Marine-Motor'!#REF!</definedName>
    <definedName name="__123Graph_A" localSheetId="21" hidden="1">'[13]34-38.2'!#REF!</definedName>
    <definedName name="__123Graph_A" localSheetId="22" hidden="1">'[13]34-38.2'!#REF!</definedName>
    <definedName name="__123Graph_A" localSheetId="9" hidden="1">'[13]34-38.2'!#REF!</definedName>
    <definedName name="__123Graph_A" localSheetId="2" hidden="1">'[13]34-38.2'!#REF!</definedName>
    <definedName name="__123Graph_A" localSheetId="16" hidden="1">'[13]34-38.2'!#REF!</definedName>
    <definedName name="__123Graph_A" localSheetId="5" hidden="1">'[13]34-38.2'!#REF!</definedName>
    <definedName name="__123Graph_A" localSheetId="17" hidden="1">'[13]34-38.2'!#REF!</definedName>
    <definedName name="__123Graph_A" hidden="1">'[13]34-38.2'!#REF!</definedName>
    <definedName name="__123Graph_ACHART1" localSheetId="21" hidden="1">[14]FG!#REF!</definedName>
    <definedName name="__123Graph_ACHART1" localSheetId="22" hidden="1">[14]FG!#REF!</definedName>
    <definedName name="__123Graph_ACHART1" localSheetId="9" hidden="1">[14]FG!#REF!</definedName>
    <definedName name="__123Graph_ACHART1" localSheetId="2" hidden="1">[14]FG!#REF!</definedName>
    <definedName name="__123Graph_ACHART1" localSheetId="16" hidden="1">[14]FG!#REF!</definedName>
    <definedName name="__123Graph_ACHART1" localSheetId="5" hidden="1">[14]FG!#REF!</definedName>
    <definedName name="__123Graph_ACHART1" localSheetId="17" hidden="1">[14]FG!#REF!</definedName>
    <definedName name="__123Graph_ACHART1" hidden="1">[14]FG!#REF!</definedName>
    <definedName name="__123Graph_ACHART2" localSheetId="21" hidden="1">[14]FG!#REF!</definedName>
    <definedName name="__123Graph_ACHART2" localSheetId="22" hidden="1">[14]FG!#REF!</definedName>
    <definedName name="__123Graph_ACHART2" localSheetId="9" hidden="1">[14]FG!#REF!</definedName>
    <definedName name="__123Graph_ACHART2" localSheetId="2" hidden="1">[14]FG!#REF!</definedName>
    <definedName name="__123Graph_ACHART2" localSheetId="16" hidden="1">[14]FG!#REF!</definedName>
    <definedName name="__123Graph_ACHART2" localSheetId="5" hidden="1">[14]FG!#REF!</definedName>
    <definedName name="__123Graph_ACHART2" localSheetId="17" hidden="1">[14]FG!#REF!</definedName>
    <definedName name="__123Graph_ACHART2" hidden="1">[14]FG!#REF!</definedName>
    <definedName name="__123Graph_ACURRENT" hidden="1">[14]NORMAL!$E$29:$E$44</definedName>
    <definedName name="__123Graph_B" localSheetId="21" hidden="1">'[13]34-38.2'!#REF!</definedName>
    <definedName name="__123Graph_B" localSheetId="22" hidden="1">'[13]34-38.2'!#REF!</definedName>
    <definedName name="__123Graph_B" localSheetId="9" hidden="1">'[13]34-38.2'!#REF!</definedName>
    <definedName name="__123Graph_B" localSheetId="2" hidden="1">'[13]34-38.2'!#REF!</definedName>
    <definedName name="__123Graph_B" localSheetId="16" hidden="1">'[13]34-38.2'!#REF!</definedName>
    <definedName name="__123Graph_B" localSheetId="5" hidden="1">'[13]34-38.2'!#REF!</definedName>
    <definedName name="__123Graph_B" localSheetId="17" hidden="1">'[13]34-38.2'!#REF!</definedName>
    <definedName name="__123Graph_B" hidden="1">'[13]34-38.2'!#REF!</definedName>
    <definedName name="__123Graph_BCURRENT" hidden="1">[14]NORMAL!$F$29:$F$44</definedName>
    <definedName name="__123Graph_C" localSheetId="21" hidden="1">'[13]34-38.2'!#REF!</definedName>
    <definedName name="__123Graph_C" localSheetId="22" hidden="1">'[13]34-38.2'!#REF!</definedName>
    <definedName name="__123Graph_C" localSheetId="9" hidden="1">'[13]34-38.2'!#REF!</definedName>
    <definedName name="__123Graph_C" localSheetId="2" hidden="1">'[13]34-38.2'!#REF!</definedName>
    <definedName name="__123Graph_C" localSheetId="16" hidden="1">'[13]34-38.2'!#REF!</definedName>
    <definedName name="__123Graph_C" localSheetId="5" hidden="1">'[13]34-38.2'!#REF!</definedName>
    <definedName name="__123Graph_C" localSheetId="17" hidden="1">'[13]34-38.2'!#REF!</definedName>
    <definedName name="__123Graph_C" hidden="1">'[13]34-38.2'!#REF!</definedName>
    <definedName name="__123Graph_CCURRENT" localSheetId="21" hidden="1">[14]NORMAL!#REF!</definedName>
    <definedName name="__123Graph_CCURRENT" localSheetId="22" hidden="1">[14]NORMAL!#REF!</definedName>
    <definedName name="__123Graph_CCURRENT" localSheetId="9" hidden="1">[14]NORMAL!#REF!</definedName>
    <definedName name="__123Graph_CCURRENT" localSheetId="2" hidden="1">[14]NORMAL!#REF!</definedName>
    <definedName name="__123Graph_CCURRENT" localSheetId="16" hidden="1">[14]NORMAL!#REF!</definedName>
    <definedName name="__123Graph_CCURRENT" localSheetId="5" hidden="1">[14]NORMAL!#REF!</definedName>
    <definedName name="__123Graph_CCURRENT" localSheetId="17" hidden="1">[14]NORMAL!#REF!</definedName>
    <definedName name="__123Graph_CCURRENT" hidden="1">[14]NORMAL!#REF!</definedName>
    <definedName name="__123Graph_D" localSheetId="21" hidden="1">'[13]34-38.2'!#REF!</definedName>
    <definedName name="__123Graph_D" localSheetId="22" hidden="1">'[13]34-38.2'!#REF!</definedName>
    <definedName name="__123Graph_D" localSheetId="9" hidden="1">'[13]34-38.2'!#REF!</definedName>
    <definedName name="__123Graph_D" localSheetId="2" hidden="1">'[13]34-38.2'!#REF!</definedName>
    <definedName name="__123Graph_D" localSheetId="16" hidden="1">'[13]34-38.2'!#REF!</definedName>
    <definedName name="__123Graph_D" localSheetId="5" hidden="1">'[13]34-38.2'!#REF!</definedName>
    <definedName name="__123Graph_D" localSheetId="17" hidden="1">'[13]34-38.2'!#REF!</definedName>
    <definedName name="__123Graph_D" hidden="1">'[13]34-38.2'!#REF!</definedName>
    <definedName name="__123Graph_DCURRENT" hidden="1">[14]NORMAL!$G$29:$G$44</definedName>
    <definedName name="__123Graph_E" localSheetId="21" hidden="1">'[13]34-38.2'!#REF!</definedName>
    <definedName name="__123Graph_E" localSheetId="22" hidden="1">'[13]34-38.2'!#REF!</definedName>
    <definedName name="__123Graph_E" localSheetId="9" hidden="1">'[13]34-38.2'!#REF!</definedName>
    <definedName name="__123Graph_E" localSheetId="2" hidden="1">'[13]34-38.2'!#REF!</definedName>
    <definedName name="__123Graph_E" localSheetId="16" hidden="1">'[13]34-38.2'!#REF!</definedName>
    <definedName name="__123Graph_E" localSheetId="5" hidden="1">'[13]34-38.2'!#REF!</definedName>
    <definedName name="__123Graph_E" localSheetId="17" hidden="1">'[13]34-38.2'!#REF!</definedName>
    <definedName name="__123Graph_E" hidden="1">'[13]34-38.2'!#REF!</definedName>
    <definedName name="__123Graph_ECURRENT" hidden="1">[14]NORMAL!$H$29:$H$44</definedName>
    <definedName name="__123Graph_F" hidden="1">[14]NORMAL!$I$38:$I$60</definedName>
    <definedName name="__123Graph_FCURRENT" hidden="1">[14]NORMAL!$I$38:$I$60</definedName>
    <definedName name="__123Graph_X" localSheetId="21" hidden="1">[15]A!#REF!</definedName>
    <definedName name="__123Graph_X" localSheetId="22" hidden="1">[15]A!#REF!</definedName>
    <definedName name="__123Graph_X" localSheetId="9" hidden="1">[15]A!#REF!</definedName>
    <definedName name="__123Graph_X" localSheetId="2" hidden="1">[15]A!#REF!</definedName>
    <definedName name="__123Graph_X" localSheetId="16" hidden="1">[15]A!#REF!</definedName>
    <definedName name="__123Graph_X" localSheetId="5" hidden="1">[15]A!#REF!</definedName>
    <definedName name="__123Graph_X" localSheetId="17" hidden="1">[15]A!#REF!</definedName>
    <definedName name="__123Graph_X" hidden="1">[15]A!#REF!</definedName>
    <definedName name="__a99999" localSheetId="21">#REF!</definedName>
    <definedName name="__a99999" localSheetId="22">#REF!</definedName>
    <definedName name="__a99999" localSheetId="9">#REF!</definedName>
    <definedName name="__a99999" localSheetId="16">#REF!</definedName>
    <definedName name="__a99999" localSheetId="5">#REF!</definedName>
    <definedName name="__a99999" localSheetId="17">#REF!</definedName>
    <definedName name="__a99999">#REF!</definedName>
    <definedName name="__ASH1" localSheetId="21">[8]Sheet4!$B$524:$E$625</definedName>
    <definedName name="__ASH1" localSheetId="7">[8]Sheet4!$B$524:$E$625</definedName>
    <definedName name="__ASH1">[6]Sheet4!$B$524:$E$625</definedName>
    <definedName name="__ASH2" localSheetId="21">[8]Sheet4!$P$422:$Q$523</definedName>
    <definedName name="__ASH2" localSheetId="7">[8]Sheet4!$P$422:$Q$523</definedName>
    <definedName name="__ASH2">[6]Sheet4!$P$422:$Q$523</definedName>
    <definedName name="__ASS1" localSheetId="21">#REF!</definedName>
    <definedName name="__ASS1" localSheetId="22">#REF!</definedName>
    <definedName name="__ASS1" localSheetId="9">#REF!</definedName>
    <definedName name="__ASS1" localSheetId="7">#REF!</definedName>
    <definedName name="__ASS1" localSheetId="16">#REF!</definedName>
    <definedName name="__ASS1" localSheetId="5">#REF!</definedName>
    <definedName name="__ASS1" localSheetId="17">#REF!</definedName>
    <definedName name="__ASS1">#REF!</definedName>
    <definedName name="__ASS2" localSheetId="21">#REF!</definedName>
    <definedName name="__ASS2" localSheetId="22">#REF!</definedName>
    <definedName name="__ASS2" localSheetId="9">#REF!</definedName>
    <definedName name="__ASS2" localSheetId="7">#REF!</definedName>
    <definedName name="__ASS2" localSheetId="16">#REF!</definedName>
    <definedName name="__ASS2" localSheetId="5">#REF!</definedName>
    <definedName name="__ASS2" localSheetId="17">#REF!</definedName>
    <definedName name="__ASS2">#REF!</definedName>
    <definedName name="__BSC1" localSheetId="21">#REF!</definedName>
    <definedName name="__BSC1" localSheetId="22">#REF!</definedName>
    <definedName name="__BSC1" localSheetId="9">#REF!</definedName>
    <definedName name="__BSC1" localSheetId="16">#REF!</definedName>
    <definedName name="__BSC1" localSheetId="5">#REF!</definedName>
    <definedName name="__BSC1" localSheetId="17">#REF!</definedName>
    <definedName name="__BSC1">#REF!</definedName>
    <definedName name="__BSD1" localSheetId="21">#REF!</definedName>
    <definedName name="__BSD1" localSheetId="22">#REF!</definedName>
    <definedName name="__BSD1" localSheetId="9">#REF!</definedName>
    <definedName name="__BSD1" localSheetId="16">#REF!</definedName>
    <definedName name="__BSD1" localSheetId="5">#REF!</definedName>
    <definedName name="__BSD1" localSheetId="17">#REF!</definedName>
    <definedName name="__BSD1">#REF!</definedName>
    <definedName name="__BSH1" localSheetId="21">#REF!</definedName>
    <definedName name="__BSH1" localSheetId="22">#REF!</definedName>
    <definedName name="__BSH1" localSheetId="9">#REF!</definedName>
    <definedName name="__BSH1" localSheetId="16">#REF!</definedName>
    <definedName name="__BSH1" localSheetId="5">#REF!</definedName>
    <definedName name="__BSH1" localSheetId="17">#REF!</definedName>
    <definedName name="__BSH1">#REF!</definedName>
    <definedName name="__BSP1" localSheetId="21">#REF!</definedName>
    <definedName name="__BSP1" localSheetId="22">#REF!</definedName>
    <definedName name="__BSP1" localSheetId="9">#REF!</definedName>
    <definedName name="__BSP1" localSheetId="16">#REF!</definedName>
    <definedName name="__BSP1" localSheetId="5">#REF!</definedName>
    <definedName name="__BSP1" localSheetId="17">#REF!</definedName>
    <definedName name="__BSP1">#REF!</definedName>
    <definedName name="__BSS1" localSheetId="21">#REF!</definedName>
    <definedName name="__BSS1" localSheetId="22">#REF!</definedName>
    <definedName name="__BSS1" localSheetId="9">#REF!</definedName>
    <definedName name="__BSS1" localSheetId="16">#REF!</definedName>
    <definedName name="__BSS1" localSheetId="5">#REF!</definedName>
    <definedName name="__BSS1" localSheetId="17">#REF!</definedName>
    <definedName name="__BSS1">#REF!</definedName>
    <definedName name="__BST1" localSheetId="21">#REF!</definedName>
    <definedName name="__BST1" localSheetId="22">#REF!</definedName>
    <definedName name="__BST1" localSheetId="9">#REF!</definedName>
    <definedName name="__BST1" localSheetId="16">#REF!</definedName>
    <definedName name="__BST1" localSheetId="5">#REF!</definedName>
    <definedName name="__BST1" localSheetId="17">#REF!</definedName>
    <definedName name="__BST1">#REF!</definedName>
    <definedName name="__Col1" localSheetId="21">#REF!</definedName>
    <definedName name="__Col1" localSheetId="22">#REF!</definedName>
    <definedName name="__Col1" localSheetId="9">#REF!</definedName>
    <definedName name="__Col1" localSheetId="16">#REF!</definedName>
    <definedName name="__Col1" localSheetId="5">#REF!</definedName>
    <definedName name="__Col1" localSheetId="17">#REF!</definedName>
    <definedName name="__Col1">#REF!</definedName>
    <definedName name="__crt1">'[11]I-B'!$A$1:$A$65536</definedName>
    <definedName name="__crt2">'[11]I-BR'!$A$1:$A$65536</definedName>
    <definedName name="__EPZ1" localSheetId="21">[8]Sheet4!$F$428:$F$519</definedName>
    <definedName name="__EPZ1" localSheetId="7">[8]Sheet4!$F$428:$F$519</definedName>
    <definedName name="__EPZ1">[6]Sheet4!$F$428:$F$519</definedName>
    <definedName name="__EPZ2" localSheetId="21">[8]Sheet4!$S$326:$S$417</definedName>
    <definedName name="__EPZ2" localSheetId="7">[8]Sheet4!$S$326:$S$417</definedName>
    <definedName name="__EPZ2">[6]Sheet4!$S$326:$S$417</definedName>
    <definedName name="__FMT1">'[11]I-B'!$D$1:$D$65536</definedName>
    <definedName name="__FMT2">'[11]I-BR'!$D$1:$D$65536</definedName>
    <definedName name="__hub0207" localSheetId="21">[12]AL905!#REF!</definedName>
    <definedName name="__hub0207" localSheetId="22">[12]AL905!#REF!</definedName>
    <definedName name="__hub0207" localSheetId="9">[12]AL905!#REF!</definedName>
    <definedName name="__hub0207" localSheetId="16">[12]AL905!#REF!</definedName>
    <definedName name="__hub0207" localSheetId="5">[12]AL905!#REF!</definedName>
    <definedName name="__hub0207" localSheetId="17">[12]AL905!#REF!</definedName>
    <definedName name="__hub0207">[12]AL905!#REF!</definedName>
    <definedName name="__IEC1" localSheetId="21">#REF!</definedName>
    <definedName name="__IEC1" localSheetId="22">#REF!</definedName>
    <definedName name="__IEC1" localSheetId="9">#REF!</definedName>
    <definedName name="__IEC1" localSheetId="16">#REF!</definedName>
    <definedName name="__IEC1" localSheetId="5">#REF!</definedName>
    <definedName name="__IEC1" localSheetId="17">#REF!</definedName>
    <definedName name="__IEC1">#REF!</definedName>
    <definedName name="__IED1" localSheetId="21">#REF!</definedName>
    <definedName name="__IED1" localSheetId="22">#REF!</definedName>
    <definedName name="__IED1" localSheetId="9">#REF!</definedName>
    <definedName name="__IED1" localSheetId="16">#REF!</definedName>
    <definedName name="__IED1" localSheetId="5">#REF!</definedName>
    <definedName name="__IED1" localSheetId="17">#REF!</definedName>
    <definedName name="__IED1">#REF!</definedName>
    <definedName name="__IEH1" localSheetId="21">#REF!</definedName>
    <definedName name="__IEH1" localSheetId="22">#REF!</definedName>
    <definedName name="__IEH1" localSheetId="9">#REF!</definedName>
    <definedName name="__IEH1" localSheetId="16">#REF!</definedName>
    <definedName name="__IEH1" localSheetId="5">#REF!</definedName>
    <definedName name="__IEH1" localSheetId="17">#REF!</definedName>
    <definedName name="__IEH1">#REF!</definedName>
    <definedName name="__IEP1" localSheetId="21">#REF!</definedName>
    <definedName name="__IEP1" localSheetId="22">#REF!</definedName>
    <definedName name="__IEP1" localSheetId="9">#REF!</definedName>
    <definedName name="__IEP1" localSheetId="16">#REF!</definedName>
    <definedName name="__IEP1" localSheetId="5">#REF!</definedName>
    <definedName name="__IEP1" localSheetId="17">#REF!</definedName>
    <definedName name="__IEP1">#REF!</definedName>
    <definedName name="__IES1" localSheetId="21">#REF!</definedName>
    <definedName name="__IES1" localSheetId="22">#REF!</definedName>
    <definedName name="__IES1" localSheetId="9">#REF!</definedName>
    <definedName name="__IES1" localSheetId="16">#REF!</definedName>
    <definedName name="__IES1" localSheetId="5">#REF!</definedName>
    <definedName name="__IES1" localSheetId="17">#REF!</definedName>
    <definedName name="__IES1">#REF!</definedName>
    <definedName name="__IET1" localSheetId="21">#REF!</definedName>
    <definedName name="__IET1" localSheetId="22">#REF!</definedName>
    <definedName name="__IET1" localSheetId="9">#REF!</definedName>
    <definedName name="__IET1" localSheetId="16">#REF!</definedName>
    <definedName name="__IET1" localSheetId="5">#REF!</definedName>
    <definedName name="__IET1" localSheetId="17">#REF!</definedName>
    <definedName name="__IET1">#REF!</definedName>
    <definedName name="__jun99">'[9]PUR&amp;SAL'!#REF!</definedName>
    <definedName name="__LIA1" localSheetId="21">#REF!</definedName>
    <definedName name="__LIA1" localSheetId="22">#REF!</definedName>
    <definedName name="__LIA1" localSheetId="9">#REF!</definedName>
    <definedName name="__LIA1" localSheetId="7">#REF!</definedName>
    <definedName name="__LIA1" localSheetId="16">#REF!</definedName>
    <definedName name="__LIA1" localSheetId="5">#REF!</definedName>
    <definedName name="__LIA1" localSheetId="17">#REF!</definedName>
    <definedName name="__LIA1">#REF!</definedName>
    <definedName name="__LIA2" localSheetId="21">#REF!</definedName>
    <definedName name="__LIA2" localSheetId="22">#REF!</definedName>
    <definedName name="__LIA2" localSheetId="9">#REF!</definedName>
    <definedName name="__LIA2" localSheetId="7">#REF!</definedName>
    <definedName name="__LIA2" localSheetId="16">#REF!</definedName>
    <definedName name="__LIA2" localSheetId="5">#REF!</definedName>
    <definedName name="__LIA2" localSheetId="17">#REF!</definedName>
    <definedName name="__LIA2">#REF!</definedName>
    <definedName name="__LMT1">'[11]I-B'!$F$1:$F$65536</definedName>
    <definedName name="__LMT2">'[11]I-BR'!$F$1:$F$65536</definedName>
    <definedName name="__LN2" localSheetId="21">#REF!</definedName>
    <definedName name="__LN2" localSheetId="22">#REF!</definedName>
    <definedName name="__LN2" localSheetId="9">#REF!</definedName>
    <definedName name="__LN2" localSheetId="16">#REF!</definedName>
    <definedName name="__LN2" localSheetId="5">#REF!</definedName>
    <definedName name="__LN2" localSheetId="17">#REF!</definedName>
    <definedName name="__LN2">#REF!</definedName>
    <definedName name="__PL1" localSheetId="21">#REF!</definedName>
    <definedName name="__PL1" localSheetId="22">#REF!</definedName>
    <definedName name="__PL1" localSheetId="9">#REF!</definedName>
    <definedName name="__PL1" localSheetId="7">#REF!</definedName>
    <definedName name="__PL1" localSheetId="16">#REF!</definedName>
    <definedName name="__PL1" localSheetId="5">#REF!</definedName>
    <definedName name="__PL1" localSheetId="17">#REF!</definedName>
    <definedName name="__PL1">#REF!</definedName>
    <definedName name="__PL2" localSheetId="21">#REF!</definedName>
    <definedName name="__PL2" localSheetId="22">#REF!</definedName>
    <definedName name="__PL2" localSheetId="9">#REF!</definedName>
    <definedName name="__PL2" localSheetId="7">#REF!</definedName>
    <definedName name="__PL2" localSheetId="16">#REF!</definedName>
    <definedName name="__PL2" localSheetId="5">#REF!</definedName>
    <definedName name="__PL2" localSheetId="17">#REF!</definedName>
    <definedName name="__PL2">#REF!</definedName>
    <definedName name="__pL3" localSheetId="21">#REF!</definedName>
    <definedName name="__pL3" localSheetId="22">#REF!</definedName>
    <definedName name="__pL3" localSheetId="9">#REF!</definedName>
    <definedName name="__pL3" localSheetId="16">#REF!</definedName>
    <definedName name="__pL3" localSheetId="5">#REF!</definedName>
    <definedName name="__pL3" localSheetId="17">#REF!</definedName>
    <definedName name="__pL3">#REF!</definedName>
    <definedName name="__PP2" localSheetId="21">#REF!</definedName>
    <definedName name="__PP2" localSheetId="22">#REF!</definedName>
    <definedName name="__PP2" localSheetId="9">#REF!</definedName>
    <definedName name="__PP2" localSheetId="7">#REF!</definedName>
    <definedName name="__PP2" localSheetId="16">#REF!</definedName>
    <definedName name="__PP2" localSheetId="5">#REF!</definedName>
    <definedName name="__PP2" localSheetId="17">#REF!</definedName>
    <definedName name="__PP2">#REF!</definedName>
    <definedName name="__PP3" localSheetId="21">#REF!</definedName>
    <definedName name="__PP3" localSheetId="22">#REF!</definedName>
    <definedName name="__PP3" localSheetId="9">#REF!</definedName>
    <definedName name="__PP3" localSheetId="7">#REF!</definedName>
    <definedName name="__PP3" localSheetId="16">#REF!</definedName>
    <definedName name="__PP3" localSheetId="5">#REF!</definedName>
    <definedName name="__PP3" localSheetId="17">#REF!</definedName>
    <definedName name="__PP3">#REF!</definedName>
    <definedName name="__REC1999">'[7]RC-0997'!$B$132:$Q$171</definedName>
    <definedName name="__SAL2003" localSheetId="21">#REF!</definedName>
    <definedName name="__SAL2003" localSheetId="22">#REF!</definedName>
    <definedName name="__SAL2003" localSheetId="9">#REF!</definedName>
    <definedName name="__SAL2003" localSheetId="16">#REF!</definedName>
    <definedName name="__SAL2003" localSheetId="5">#REF!</definedName>
    <definedName name="__SAL2003" localSheetId="17">#REF!</definedName>
    <definedName name="__SAL2003">#REF!</definedName>
    <definedName name="__SAL2004" localSheetId="21">#REF!</definedName>
    <definedName name="__SAL2004" localSheetId="22">#REF!</definedName>
    <definedName name="__SAL2004" localSheetId="9">#REF!</definedName>
    <definedName name="__SAL2004" localSheetId="16">#REF!</definedName>
    <definedName name="__SAL2004" localSheetId="5">#REF!</definedName>
    <definedName name="__SAL2004" localSheetId="17">#REF!</definedName>
    <definedName name="__SAL2004">#REF!</definedName>
    <definedName name="__SEC107">#REF!</definedName>
    <definedName name="__tam2" localSheetId="11" hidden="1">#REF!</definedName>
    <definedName name="__tam2" localSheetId="7" hidden="1">#REF!</definedName>
    <definedName name="__tam2" hidden="1">#REF!</definedName>
    <definedName name="__TMO1" localSheetId="21">'[16]BS-OVS'!#REF!</definedName>
    <definedName name="__TMO1" localSheetId="22">'[16]BS-OVS'!#REF!</definedName>
    <definedName name="__TMO1" localSheetId="9">'[16]BS-OVS'!#REF!</definedName>
    <definedName name="__TMO1" localSheetId="16">'[16]BS-OVS'!#REF!</definedName>
    <definedName name="__TMO1" localSheetId="5">'[16]BS-OVS'!#REF!</definedName>
    <definedName name="__TMO1" localSheetId="17">'[16]BS-OVS'!#REF!</definedName>
    <definedName name="__TMO1">'[16]BS-OVS'!#REF!</definedName>
    <definedName name="__UAE1" localSheetId="21">[8]Sheet4!$D$116:$D$207</definedName>
    <definedName name="__UAE1" localSheetId="7">[8]Sheet4!$D$116:$D$207</definedName>
    <definedName name="__UAE1">[6]Sheet4!$D$116:$D$207</definedName>
    <definedName name="__UAE2" localSheetId="21">[8]Sheet4!$Q$14:$Q$105</definedName>
    <definedName name="__UAE2" localSheetId="7">[8]Sheet4!$Q$14:$Q$105</definedName>
    <definedName name="__UAE2">[6]Sheet4!$Q$14:$Q$105</definedName>
    <definedName name="__UK1" localSheetId="21">[8]Sheet4!$F$324:$F$415</definedName>
    <definedName name="__UK1" localSheetId="7">[8]Sheet4!$F$324:$F$415</definedName>
    <definedName name="__UK1">[6]Sheet4!$F$324:$F$415</definedName>
    <definedName name="__UK2" localSheetId="21">[8]Sheet4!$S$222:$S$313</definedName>
    <definedName name="__UK2" localSheetId="7">[8]Sheet4!$S$222:$S$313</definedName>
    <definedName name="__UK2">[6]Sheet4!$S$222:$S$313</definedName>
    <definedName name="__USA1" localSheetId="21">[8]Sheet4!$D$428:$D$519</definedName>
    <definedName name="__USA1" localSheetId="7">[8]Sheet4!$D$428:$D$519</definedName>
    <definedName name="__USA1">[6]Sheet4!$D$428:$D$519</definedName>
    <definedName name="__USA2" localSheetId="21">[8]Sheet4!$Q$326:$Q$417</definedName>
    <definedName name="__USA2" localSheetId="7">[8]Sheet4!$Q$326:$Q$417</definedName>
    <definedName name="__USA2">[6]Sheet4!$Q$326:$Q$417</definedName>
    <definedName name="__ws1">'[10]Revenue-Fire-Marine-Motor'!#REF!</definedName>
    <definedName name="_1" localSheetId="21">#REF!</definedName>
    <definedName name="_1" localSheetId="22">#REF!</definedName>
    <definedName name="_1" localSheetId="9">#REF!</definedName>
    <definedName name="_1" localSheetId="7">#REF!</definedName>
    <definedName name="_1" localSheetId="16">#REF!</definedName>
    <definedName name="_1" localSheetId="5">#REF!</definedName>
    <definedName name="_1" localSheetId="17">#REF!</definedName>
    <definedName name="_1">#REF!</definedName>
    <definedName name="_1.1" localSheetId="21">#REF!</definedName>
    <definedName name="_1.1" localSheetId="22">#REF!</definedName>
    <definedName name="_1.1" localSheetId="9">#REF!</definedName>
    <definedName name="_1.1" localSheetId="7">#REF!</definedName>
    <definedName name="_1.1" localSheetId="16">#REF!</definedName>
    <definedName name="_1.1" localSheetId="5">#REF!</definedName>
    <definedName name="_1.1" localSheetId="17">#REF!</definedName>
    <definedName name="_1.1">#REF!</definedName>
    <definedName name="_1.2" localSheetId="21">[17]Sheet3!#REF!</definedName>
    <definedName name="_1.2" localSheetId="22">'[18]Abu Dhabi'!#REF!</definedName>
    <definedName name="_1.2" localSheetId="9">'[18]Abu Dhabi'!#REF!</definedName>
    <definedName name="_1.2" localSheetId="7">[17]Sheet3!#REF!</definedName>
    <definedName name="_1.2" localSheetId="16">'[18]Abu Dhabi'!#REF!</definedName>
    <definedName name="_1.2" localSheetId="5">'[18]Abu Dhabi'!#REF!</definedName>
    <definedName name="_1.2" localSheetId="17">'[18]Abu Dhabi'!#REF!</definedName>
    <definedName name="_1.2">'[18]Abu Dhabi'!#REF!</definedName>
    <definedName name="_10" localSheetId="21">#REF!</definedName>
    <definedName name="_10" localSheetId="22">#REF!</definedName>
    <definedName name="_10" localSheetId="9">#REF!</definedName>
    <definedName name="_10" localSheetId="7">#REF!</definedName>
    <definedName name="_10" localSheetId="2">#REF!</definedName>
    <definedName name="_10" localSheetId="16">#REF!</definedName>
    <definedName name="_10" localSheetId="5">#REF!</definedName>
    <definedName name="_10" localSheetId="17">#REF!</definedName>
    <definedName name="_10">#REF!</definedName>
    <definedName name="_107A">#REF!</definedName>
    <definedName name="_11" localSheetId="21">#REF!</definedName>
    <definedName name="_11" localSheetId="22">#REF!</definedName>
    <definedName name="_11" localSheetId="9">#REF!</definedName>
    <definedName name="_11" localSheetId="7">#REF!</definedName>
    <definedName name="_11" localSheetId="2">#REF!</definedName>
    <definedName name="_11" localSheetId="16">#REF!</definedName>
    <definedName name="_11" localSheetId="5">#REF!</definedName>
    <definedName name="_11" localSheetId="17">#REF!</definedName>
    <definedName name="_11">#REF!</definedName>
    <definedName name="_12" localSheetId="21">#REF!</definedName>
    <definedName name="_12" localSheetId="22">#REF!</definedName>
    <definedName name="_12" localSheetId="9">#REF!</definedName>
    <definedName name="_12" localSheetId="7">#REF!</definedName>
    <definedName name="_12" localSheetId="2">#REF!</definedName>
    <definedName name="_12" localSheetId="16">#REF!</definedName>
    <definedName name="_12" localSheetId="5">#REF!</definedName>
    <definedName name="_12" localSheetId="17">#REF!</definedName>
    <definedName name="_12">#REF!</definedName>
    <definedName name="_123" localSheetId="21">#REF!</definedName>
    <definedName name="_123" localSheetId="22">#REF!</definedName>
    <definedName name="_123" localSheetId="9">#REF!</definedName>
    <definedName name="_123" localSheetId="2">#REF!</definedName>
    <definedName name="_123" localSheetId="16">#REF!</definedName>
    <definedName name="_123" localSheetId="5">#REF!</definedName>
    <definedName name="_123" localSheetId="17">#REF!</definedName>
    <definedName name="_123">#REF!</definedName>
    <definedName name="_13" localSheetId="21">#REF!</definedName>
    <definedName name="_13" localSheetId="22">#REF!</definedName>
    <definedName name="_13" localSheetId="9">#REF!</definedName>
    <definedName name="_13" localSheetId="7">#REF!</definedName>
    <definedName name="_13" localSheetId="2">#REF!</definedName>
    <definedName name="_13" localSheetId="16">#REF!</definedName>
    <definedName name="_13" localSheetId="5">#REF!</definedName>
    <definedName name="_13" localSheetId="17">#REF!</definedName>
    <definedName name="_13">#REF!</definedName>
    <definedName name="_14" localSheetId="21">#REF!</definedName>
    <definedName name="_14" localSheetId="22">#REF!</definedName>
    <definedName name="_14" localSheetId="9">#REF!</definedName>
    <definedName name="_14" localSheetId="7">#REF!</definedName>
    <definedName name="_14" localSheetId="2">#REF!</definedName>
    <definedName name="_14" localSheetId="16">#REF!</definedName>
    <definedName name="_14" localSheetId="5">#REF!</definedName>
    <definedName name="_14" localSheetId="17">#REF!</definedName>
    <definedName name="_14">#REF!</definedName>
    <definedName name="_14D" localSheetId="11">[19]Furniture!#REF!</definedName>
    <definedName name="_14D" localSheetId="7">[19]Furniture!#REF!</definedName>
    <definedName name="_14D">[19]Furniture!#REF!</definedName>
    <definedName name="_15" localSheetId="21">#REF!</definedName>
    <definedName name="_15" localSheetId="22">#REF!</definedName>
    <definedName name="_15" localSheetId="9">#REF!</definedName>
    <definedName name="_15" localSheetId="7">#REF!</definedName>
    <definedName name="_15" localSheetId="2">#REF!</definedName>
    <definedName name="_15" localSheetId="16">#REF!</definedName>
    <definedName name="_15" localSheetId="5">#REF!</definedName>
    <definedName name="_15" localSheetId="17">#REF!</definedName>
    <definedName name="_15">#REF!</definedName>
    <definedName name="_16" localSheetId="21">#REF!</definedName>
    <definedName name="_16" localSheetId="22">#REF!</definedName>
    <definedName name="_16" localSheetId="9">#REF!</definedName>
    <definedName name="_16" localSheetId="7">#REF!</definedName>
    <definedName name="_16" localSheetId="2">#REF!</definedName>
    <definedName name="_16" localSheetId="16">#REF!</definedName>
    <definedName name="_16" localSheetId="5">#REF!</definedName>
    <definedName name="_16" localSheetId="17">#REF!</definedName>
    <definedName name="_16">#REF!</definedName>
    <definedName name="_17" localSheetId="21">#REF!</definedName>
    <definedName name="_17" localSheetId="22">#REF!</definedName>
    <definedName name="_17" localSheetId="9">#REF!</definedName>
    <definedName name="_17" localSheetId="7">#REF!</definedName>
    <definedName name="_17" localSheetId="2">#REF!</definedName>
    <definedName name="_17" localSheetId="16">#REF!</definedName>
    <definedName name="_17" localSheetId="5">#REF!</definedName>
    <definedName name="_17" localSheetId="17">#REF!</definedName>
    <definedName name="_17">#REF!</definedName>
    <definedName name="_18" localSheetId="21">#REF!</definedName>
    <definedName name="_18" localSheetId="22">#REF!</definedName>
    <definedName name="_18" localSheetId="9">#REF!</definedName>
    <definedName name="_18" localSheetId="7">#REF!</definedName>
    <definedName name="_18" localSheetId="2">#REF!</definedName>
    <definedName name="_18" localSheetId="16">#REF!</definedName>
    <definedName name="_18" localSheetId="5">#REF!</definedName>
    <definedName name="_18" localSheetId="17">#REF!</definedName>
    <definedName name="_18">#REF!</definedName>
    <definedName name="_19" localSheetId="21">#REF!</definedName>
    <definedName name="_19" localSheetId="22">#REF!</definedName>
    <definedName name="_19" localSheetId="9">#REF!</definedName>
    <definedName name="_19" localSheetId="7">#REF!</definedName>
    <definedName name="_19" localSheetId="16">#REF!</definedName>
    <definedName name="_19" localSheetId="5">#REF!</definedName>
    <definedName name="_19" localSheetId="17">#REF!</definedName>
    <definedName name="_19">#REF!</definedName>
    <definedName name="_19E____ဠ0__큌〈Ř" localSheetId="11">#REF!</definedName>
    <definedName name="_19E____ဠ0__큌〈Ř" localSheetId="7">#REF!</definedName>
    <definedName name="_19E____ဠ0__큌〈Ř">#REF!</definedName>
    <definedName name="_2" localSheetId="21">#REF!</definedName>
    <definedName name="_2" localSheetId="22">#REF!</definedName>
    <definedName name="_2" localSheetId="9">#REF!</definedName>
    <definedName name="_2" localSheetId="7">#REF!</definedName>
    <definedName name="_2" localSheetId="2">#REF!</definedName>
    <definedName name="_2" localSheetId="16">#REF!</definedName>
    <definedName name="_2" localSheetId="5">#REF!</definedName>
    <definedName name="_2" localSheetId="17">#REF!</definedName>
    <definedName name="_2">#REF!</definedName>
    <definedName name="_2.1" localSheetId="21">#REF!</definedName>
    <definedName name="_2.1" localSheetId="22">#REF!</definedName>
    <definedName name="_2.1" localSheetId="9">#REF!</definedName>
    <definedName name="_2.1" localSheetId="7">#REF!</definedName>
    <definedName name="_2.1" localSheetId="16">#REF!</definedName>
    <definedName name="_2.1" localSheetId="5">#REF!</definedName>
    <definedName name="_2.1" localSheetId="17">#REF!</definedName>
    <definedName name="_2.1">#REF!</definedName>
    <definedName name="_2.2" localSheetId="21">[17]Sheet3!#REF!</definedName>
    <definedName name="_2.2" localSheetId="22">'[18]Abu Dhabi'!#REF!</definedName>
    <definedName name="_2.2" localSheetId="9">'[18]Abu Dhabi'!#REF!</definedName>
    <definedName name="_2.2" localSheetId="7">[17]Sheet3!#REF!</definedName>
    <definedName name="_2.2" localSheetId="16">'[18]Abu Dhabi'!#REF!</definedName>
    <definedName name="_2.2" localSheetId="5">'[18]Abu Dhabi'!#REF!</definedName>
    <definedName name="_2.2" localSheetId="17">'[18]Abu Dhabi'!#REF!</definedName>
    <definedName name="_2.2">'[18]Abu Dhabi'!#REF!</definedName>
    <definedName name="_20" localSheetId="21">#REF!</definedName>
    <definedName name="_20" localSheetId="22">#REF!</definedName>
    <definedName name="_20" localSheetId="9">#REF!</definedName>
    <definedName name="_20" localSheetId="7">#REF!</definedName>
    <definedName name="_20" localSheetId="16">#REF!</definedName>
    <definedName name="_20" localSheetId="5">#REF!</definedName>
    <definedName name="_20" localSheetId="17">#REF!</definedName>
    <definedName name="_20">#REF!</definedName>
    <definedName name="_21" localSheetId="21">#REF!</definedName>
    <definedName name="_21" localSheetId="22">#REF!</definedName>
    <definedName name="_21" localSheetId="9">#REF!</definedName>
    <definedName name="_21" localSheetId="7">#REF!</definedName>
    <definedName name="_21" localSheetId="16">#REF!</definedName>
    <definedName name="_21" localSheetId="5">#REF!</definedName>
    <definedName name="_21" localSheetId="17">#REF!</definedName>
    <definedName name="_21">#REF!</definedName>
    <definedName name="_24_06_2004" localSheetId="21">#REF!</definedName>
    <definedName name="_24_06_2004" localSheetId="22">#REF!</definedName>
    <definedName name="_24_06_2004" localSheetId="9">#REF!</definedName>
    <definedName name="_24_06_2004" localSheetId="16">#REF!</definedName>
    <definedName name="_24_06_2004" localSheetId="5">#REF!</definedName>
    <definedName name="_24_06_2004" localSheetId="17">#REF!</definedName>
    <definedName name="_24_06_2004">#REF!</definedName>
    <definedName name="_29_07_2004" localSheetId="21">#REF!</definedName>
    <definedName name="_29_07_2004" localSheetId="22">#REF!</definedName>
    <definedName name="_29_07_2004" localSheetId="9">#REF!</definedName>
    <definedName name="_29_07_2004" localSheetId="16">#REF!</definedName>
    <definedName name="_29_07_2004" localSheetId="5">#REF!</definedName>
    <definedName name="_29_07_2004" localSheetId="17">#REF!</definedName>
    <definedName name="_29_07_2004">#REF!</definedName>
    <definedName name="_2A" localSheetId="11">[20]Furniture!#REF!</definedName>
    <definedName name="_2A" localSheetId="7">[20]Furniture!#REF!</definedName>
    <definedName name="_2A">[20]Furniture!#REF!</definedName>
    <definedName name="_3" localSheetId="21">#REF!</definedName>
    <definedName name="_3" localSheetId="22">#REF!</definedName>
    <definedName name="_3" localSheetId="9">#REF!</definedName>
    <definedName name="_3" localSheetId="7">#REF!</definedName>
    <definedName name="_3" localSheetId="2">#REF!</definedName>
    <definedName name="_3" localSheetId="16">#REF!</definedName>
    <definedName name="_3" localSheetId="5">#REF!</definedName>
    <definedName name="_3" localSheetId="17">#REF!</definedName>
    <definedName name="_3">#REF!</definedName>
    <definedName name="_3.1" localSheetId="21">[8]Sheet4!$A$110</definedName>
    <definedName name="_3.1" localSheetId="7">[8]Sheet4!$A$110</definedName>
    <definedName name="_3.1">[6]Sheet4!$A$110</definedName>
    <definedName name="_3.2" localSheetId="21">[8]Sheet4!$O$8</definedName>
    <definedName name="_3.2" localSheetId="7">[8]Sheet4!$O$8</definedName>
    <definedName name="_3.2">[6]Sheet4!$O$8</definedName>
    <definedName name="_3.3" localSheetId="21">[17]Sheet2!#REF!</definedName>
    <definedName name="_3.3" localSheetId="22">'[21]LS-UAE'!#REF!</definedName>
    <definedName name="_3.3" localSheetId="9">'[21]LS-UAE'!#REF!</definedName>
    <definedName name="_3.3" localSheetId="7">[17]Sheet2!#REF!</definedName>
    <definedName name="_3.3" localSheetId="16">'[21]LS-UAE'!#REF!</definedName>
    <definedName name="_3.3" localSheetId="5">'[21]LS-UAE'!#REF!</definedName>
    <definedName name="_3.3" localSheetId="17">'[21]LS-UAE'!#REF!</definedName>
    <definedName name="_3.3">'[21]LS-UAE'!#REF!</definedName>
    <definedName name="_4" localSheetId="21">#REF!</definedName>
    <definedName name="_4" localSheetId="22">#REF!</definedName>
    <definedName name="_4" localSheetId="9">#REF!</definedName>
    <definedName name="_4" localSheetId="7">#REF!</definedName>
    <definedName name="_4" localSheetId="2">#REF!</definedName>
    <definedName name="_4" localSheetId="16">#REF!</definedName>
    <definedName name="_4" localSheetId="5">#REF!</definedName>
    <definedName name="_4" localSheetId="17">#REF!</definedName>
    <definedName name="_4">#REF!</definedName>
    <definedName name="_4.1" localSheetId="21">[8]Sheet4!$A$214</definedName>
    <definedName name="_4.1" localSheetId="7">[8]Sheet4!$A$214</definedName>
    <definedName name="_4.1">[6]Sheet4!$A$214</definedName>
    <definedName name="_4.2" localSheetId="21">[8]Sheet4!$O$112</definedName>
    <definedName name="_4.2" localSheetId="7">[8]Sheet4!$O$112</definedName>
    <definedName name="_4.2">[6]Sheet4!$O$112</definedName>
    <definedName name="_4D" localSheetId="11">[20]Furniture!#REF!</definedName>
    <definedName name="_4D" localSheetId="7">[20]Furniture!#REF!</definedName>
    <definedName name="_4D">[20]Furniture!#REF!</definedName>
    <definedName name="_5" localSheetId="21">#REF!</definedName>
    <definedName name="_5" localSheetId="22">#REF!</definedName>
    <definedName name="_5" localSheetId="9">#REF!</definedName>
    <definedName name="_5" localSheetId="7">#REF!</definedName>
    <definedName name="_5" localSheetId="2">#REF!</definedName>
    <definedName name="_5" localSheetId="16">#REF!</definedName>
    <definedName name="_5" localSheetId="5">#REF!</definedName>
    <definedName name="_5" localSheetId="17">#REF!</definedName>
    <definedName name="_5">#REF!</definedName>
    <definedName name="_5.1" localSheetId="21">[8]Sheet4!$A$318</definedName>
    <definedName name="_5.1" localSheetId="7">[8]Sheet4!$A$318</definedName>
    <definedName name="_5.1">[6]Sheet4!$A$318</definedName>
    <definedName name="_5.2" localSheetId="21">[8]Sheet4!$O$216</definedName>
    <definedName name="_5.2" localSheetId="7">[8]Sheet4!$O$216</definedName>
    <definedName name="_5.2">[6]Sheet4!$O$216</definedName>
    <definedName name="_5E____ဠ0__큌〈Ř" localSheetId="11">#REF!</definedName>
    <definedName name="_5E____ဠ0__큌〈Ř" localSheetId="7">#REF!</definedName>
    <definedName name="_5E____ဠ0__큌〈Ř">#REF!</definedName>
    <definedName name="_6" localSheetId="21">#REF!</definedName>
    <definedName name="_6" localSheetId="22">#REF!</definedName>
    <definedName name="_6" localSheetId="9">#REF!</definedName>
    <definedName name="_6" localSheetId="7">#REF!</definedName>
    <definedName name="_6" localSheetId="2">#REF!</definedName>
    <definedName name="_6" localSheetId="16">#REF!</definedName>
    <definedName name="_6" localSheetId="5">#REF!</definedName>
    <definedName name="_6" localSheetId="17">#REF!</definedName>
    <definedName name="_6">#REF!</definedName>
    <definedName name="_6.1" localSheetId="21">[8]Sheet4!$A$422</definedName>
    <definedName name="_6.1" localSheetId="7">[8]Sheet4!$A$422</definedName>
    <definedName name="_6.1">[6]Sheet4!$A$422</definedName>
    <definedName name="_6.2" localSheetId="21">[8]Sheet4!$O$320</definedName>
    <definedName name="_6.2" localSheetId="7">[8]Sheet4!$O$320</definedName>
    <definedName name="_6.2">[6]Sheet4!$O$320</definedName>
    <definedName name="_7" localSheetId="21">#REF!</definedName>
    <definedName name="_7" localSheetId="22">#REF!</definedName>
    <definedName name="_7" localSheetId="9">#REF!</definedName>
    <definedName name="_7" localSheetId="7">#REF!</definedName>
    <definedName name="_7" localSheetId="2">#REF!</definedName>
    <definedName name="_7" localSheetId="16">#REF!</definedName>
    <definedName name="_7" localSheetId="5">#REF!</definedName>
    <definedName name="_7" localSheetId="17">#REF!</definedName>
    <definedName name="_7">#REF!</definedName>
    <definedName name="_7.1" localSheetId="21">[8]Sheet4!$A$526</definedName>
    <definedName name="_7.1" localSheetId="7">[8]Sheet4!$A$526</definedName>
    <definedName name="_7.1">[6]Sheet4!$A$526</definedName>
    <definedName name="_7.2" localSheetId="21">[8]Sheet4!$O$424</definedName>
    <definedName name="_7.2" localSheetId="7">[8]Sheet4!$O$424</definedName>
    <definedName name="_7.2">[6]Sheet4!$O$424</definedName>
    <definedName name="_7A" localSheetId="11">[19]Furniture!#REF!</definedName>
    <definedName name="_7A" localSheetId="7">[19]Furniture!#REF!</definedName>
    <definedName name="_7A">[19]Furniture!#REF!</definedName>
    <definedName name="_8" localSheetId="21">#REF!</definedName>
    <definedName name="_8" localSheetId="22">#REF!</definedName>
    <definedName name="_8" localSheetId="9">#REF!</definedName>
    <definedName name="_8" localSheetId="7">#REF!</definedName>
    <definedName name="_8" localSheetId="2">#REF!</definedName>
    <definedName name="_8" localSheetId="16">#REF!</definedName>
    <definedName name="_8" localSheetId="5">#REF!</definedName>
    <definedName name="_8" localSheetId="17">#REF!</definedName>
    <definedName name="_8">#REF!</definedName>
    <definedName name="_9" localSheetId="21">#REF!</definedName>
    <definedName name="_9" localSheetId="22">#REF!</definedName>
    <definedName name="_9" localSheetId="9">#REF!</definedName>
    <definedName name="_9" localSheetId="7">#REF!</definedName>
    <definedName name="_9" localSheetId="2">#REF!</definedName>
    <definedName name="_9" localSheetId="16">#REF!</definedName>
    <definedName name="_9" localSheetId="5">#REF!</definedName>
    <definedName name="_9" localSheetId="17">#REF!</definedName>
    <definedName name="_9">#REF!</definedName>
    <definedName name="_a99999" localSheetId="21">#REF!</definedName>
    <definedName name="_a99999" localSheetId="22">#REF!</definedName>
    <definedName name="_a99999" localSheetId="9">#REF!</definedName>
    <definedName name="_a99999" localSheetId="2">#REF!</definedName>
    <definedName name="_a99999" localSheetId="16">#REF!</definedName>
    <definedName name="_a99999" localSheetId="5">#REF!</definedName>
    <definedName name="_a99999" localSheetId="17">#REF!</definedName>
    <definedName name="_a99999">#REF!</definedName>
    <definedName name="_ASH1" localSheetId="21">[8]Sheet4!$B$524:$E$625</definedName>
    <definedName name="_ASH1" localSheetId="7">[8]Sheet4!$B$524:$E$625</definedName>
    <definedName name="_ASH1">[6]Sheet4!$B$524:$E$625</definedName>
    <definedName name="_ASH2" localSheetId="21">[8]Sheet4!$P$422:$Q$523</definedName>
    <definedName name="_ASH2" localSheetId="7">[8]Sheet4!$P$422:$Q$523</definedName>
    <definedName name="_ASH2">[6]Sheet4!$P$422:$Q$523</definedName>
    <definedName name="_ASS1" localSheetId="21">#REF!</definedName>
    <definedName name="_ASS1" localSheetId="22">#REF!</definedName>
    <definedName name="_ASS1" localSheetId="9">#REF!</definedName>
    <definedName name="_ASS1" localSheetId="7">#REF!</definedName>
    <definedName name="_ASS1" localSheetId="16">#REF!</definedName>
    <definedName name="_ASS1" localSheetId="5">#REF!</definedName>
    <definedName name="_ASS1" localSheetId="17">#REF!</definedName>
    <definedName name="_ASS1">#REF!</definedName>
    <definedName name="_ASS2" localSheetId="21">#REF!</definedName>
    <definedName name="_ASS2" localSheetId="22">#REF!</definedName>
    <definedName name="_ASS2" localSheetId="9">#REF!</definedName>
    <definedName name="_ASS2" localSheetId="7">#REF!</definedName>
    <definedName name="_ASS2" localSheetId="16">#REF!</definedName>
    <definedName name="_ASS2" localSheetId="5">#REF!</definedName>
    <definedName name="_ASS2" localSheetId="17">#REF!</definedName>
    <definedName name="_ASS2">#REF!</definedName>
    <definedName name="_B" localSheetId="21">#REF!</definedName>
    <definedName name="_B" localSheetId="22">#REF!</definedName>
    <definedName name="_B" localSheetId="9">#REF!</definedName>
    <definedName name="_B" localSheetId="2">#REF!</definedName>
    <definedName name="_B" localSheetId="16">#REF!</definedName>
    <definedName name="_B" localSheetId="5">#REF!</definedName>
    <definedName name="_B" localSheetId="17">#REF!</definedName>
    <definedName name="_B">#REF!</definedName>
    <definedName name="_BSC1" localSheetId="21">#REF!</definedName>
    <definedName name="_BSC1" localSheetId="22">#REF!</definedName>
    <definedName name="_BSC1" localSheetId="9">#REF!</definedName>
    <definedName name="_BSC1" localSheetId="16">#REF!</definedName>
    <definedName name="_BSC1" localSheetId="5">#REF!</definedName>
    <definedName name="_BSC1" localSheetId="17">#REF!</definedName>
    <definedName name="_BSC1">#REF!</definedName>
    <definedName name="_BSD1" localSheetId="21">#REF!</definedName>
    <definedName name="_BSD1" localSheetId="22">#REF!</definedName>
    <definedName name="_BSD1" localSheetId="9">#REF!</definedName>
    <definedName name="_BSD1" localSheetId="16">#REF!</definedName>
    <definedName name="_BSD1" localSheetId="5">#REF!</definedName>
    <definedName name="_BSD1" localSheetId="17">#REF!</definedName>
    <definedName name="_BSD1">#REF!</definedName>
    <definedName name="_BSH1" localSheetId="21">#REF!</definedName>
    <definedName name="_BSH1" localSheetId="22">#REF!</definedName>
    <definedName name="_BSH1" localSheetId="9">#REF!</definedName>
    <definedName name="_BSH1" localSheetId="16">#REF!</definedName>
    <definedName name="_BSH1" localSheetId="5">#REF!</definedName>
    <definedName name="_BSH1" localSheetId="17">#REF!</definedName>
    <definedName name="_BSH1">#REF!</definedName>
    <definedName name="_BSP1" localSheetId="21">#REF!</definedName>
    <definedName name="_BSP1" localSheetId="22">#REF!</definedName>
    <definedName name="_BSP1" localSheetId="9">#REF!</definedName>
    <definedName name="_BSP1" localSheetId="16">#REF!</definedName>
    <definedName name="_BSP1" localSheetId="5">#REF!</definedName>
    <definedName name="_BSP1" localSheetId="17">#REF!</definedName>
    <definedName name="_BSP1">#REF!</definedName>
    <definedName name="_BSS1" localSheetId="21">#REF!</definedName>
    <definedName name="_BSS1" localSheetId="22">#REF!</definedName>
    <definedName name="_BSS1" localSheetId="9">#REF!</definedName>
    <definedName name="_BSS1" localSheetId="16">#REF!</definedName>
    <definedName name="_BSS1" localSheetId="5">#REF!</definedName>
    <definedName name="_BSS1" localSheetId="17">#REF!</definedName>
    <definedName name="_BSS1">#REF!</definedName>
    <definedName name="_BST1" localSheetId="21">#REF!</definedName>
    <definedName name="_BST1" localSheetId="22">#REF!</definedName>
    <definedName name="_BST1" localSheetId="9">#REF!</definedName>
    <definedName name="_BST1" localSheetId="16">#REF!</definedName>
    <definedName name="_BST1" localSheetId="5">#REF!</definedName>
    <definedName name="_BST1" localSheetId="17">#REF!</definedName>
    <definedName name="_BST1">#REF!</definedName>
    <definedName name="_C" localSheetId="11">'[22]LOCAL STUDENTS'!#REF!</definedName>
    <definedName name="_C" localSheetId="7">'[22]LOCAL STUDENTS'!#REF!</definedName>
    <definedName name="_C">'[22]LOCAL STUDENTS'!#REF!</definedName>
    <definedName name="_Col1" localSheetId="21">#REF!</definedName>
    <definedName name="_Col1" localSheetId="22">#REF!</definedName>
    <definedName name="_Col1" localSheetId="9">#REF!</definedName>
    <definedName name="_Col1" localSheetId="16">#REF!</definedName>
    <definedName name="_Col1" localSheetId="5">#REF!</definedName>
    <definedName name="_Col1" localSheetId="17">#REF!</definedName>
    <definedName name="_Col1">#REF!</definedName>
    <definedName name="_crt1">'[23]I-B'!$B$1:$B$65536</definedName>
    <definedName name="_crt2">'[23]I-BR'!$B$1:$B$65536</definedName>
    <definedName name="_df" localSheetId="21" hidden="1">#REF!</definedName>
    <definedName name="_df" localSheetId="22" hidden="1">#REF!</definedName>
    <definedName name="_df" localSheetId="9" hidden="1">#REF!</definedName>
    <definedName name="_df" localSheetId="7" hidden="1">#REF!</definedName>
    <definedName name="_df" localSheetId="2" hidden="1">#REF!</definedName>
    <definedName name="_df" localSheetId="16" hidden="1">#REF!</definedName>
    <definedName name="_df" localSheetId="5" hidden="1">#REF!</definedName>
    <definedName name="_df" localSheetId="17" hidden="1">#REF!</definedName>
    <definedName name="_df" hidden="1">#REF!</definedName>
    <definedName name="_EPZ1" localSheetId="21">[8]Sheet4!$F$428:$F$519</definedName>
    <definedName name="_EPZ1" localSheetId="7">[8]Sheet4!$F$428:$F$519</definedName>
    <definedName name="_EPZ1">[6]Sheet4!$F$428:$F$519</definedName>
    <definedName name="_EPZ2" localSheetId="21">[8]Sheet4!$S$326:$S$417</definedName>
    <definedName name="_EPZ2" localSheetId="7">[8]Sheet4!$S$326:$S$417</definedName>
    <definedName name="_EPZ2">[6]Sheet4!$S$326:$S$417</definedName>
    <definedName name="_Fill" localSheetId="21" hidden="1">#REF!</definedName>
    <definedName name="_Fill" localSheetId="7" hidden="1">#REF!</definedName>
    <definedName name="_Fill" localSheetId="2" hidden="1">#REF!</definedName>
    <definedName name="_Fill" hidden="1">'[24]BS-OVS'!$I$126:$I$284</definedName>
    <definedName name="_xlnm._FilterDatabase" localSheetId="21" hidden="1">#REF!</definedName>
    <definedName name="_xlnm._FilterDatabase" localSheetId="22" hidden="1">#REF!</definedName>
    <definedName name="_xlnm._FilterDatabase" localSheetId="9" hidden="1">#REF!</definedName>
    <definedName name="_xlnm._FilterDatabase" localSheetId="25" hidden="1">'TB MCBPSM'!$A$8:$C$31</definedName>
    <definedName name="_xlnm._FilterDatabase" localSheetId="16" hidden="1">#REF!</definedName>
    <definedName name="_xlnm._FilterDatabase" localSheetId="5" hidden="1">#REF!</definedName>
    <definedName name="_xlnm._FilterDatabase" localSheetId="17" hidden="1">#REF!</definedName>
    <definedName name="_xlnm._FilterDatabase" hidden="1">#REF!</definedName>
    <definedName name="_FMT1">'[23]I-B'!$E$1:$E$65536</definedName>
    <definedName name="_FMT2">'[23]I-BR'!$E$1:$E$65536</definedName>
    <definedName name="_hg65656" hidden="1">#REF!</definedName>
    <definedName name="_hub0207" localSheetId="21">[12]AL905!#REF!</definedName>
    <definedName name="_hub0207" localSheetId="22">[12]AL905!#REF!</definedName>
    <definedName name="_hub0207" localSheetId="9">[12]AL905!#REF!</definedName>
    <definedName name="_hub0207" localSheetId="16">[12]AL905!#REF!</definedName>
    <definedName name="_hub0207" localSheetId="5">[12]AL905!#REF!</definedName>
    <definedName name="_hub0207" localSheetId="17">[12]AL905!#REF!</definedName>
    <definedName name="_hub0207">[12]AL905!#REF!</definedName>
    <definedName name="_IEC1" localSheetId="21">#REF!</definedName>
    <definedName name="_IEC1" localSheetId="22">#REF!</definedName>
    <definedName name="_IEC1" localSheetId="9">#REF!</definedName>
    <definedName name="_IEC1" localSheetId="16">#REF!</definedName>
    <definedName name="_IEC1" localSheetId="5">#REF!</definedName>
    <definedName name="_IEC1" localSheetId="17">#REF!</definedName>
    <definedName name="_IEC1">#REF!</definedName>
    <definedName name="_IED1" localSheetId="21">#REF!</definedName>
    <definedName name="_IED1" localSheetId="22">#REF!</definedName>
    <definedName name="_IED1" localSheetId="9">#REF!</definedName>
    <definedName name="_IED1" localSheetId="16">#REF!</definedName>
    <definedName name="_IED1" localSheetId="5">#REF!</definedName>
    <definedName name="_IED1" localSheetId="17">#REF!</definedName>
    <definedName name="_IED1">#REF!</definedName>
    <definedName name="_IEH1" localSheetId="21">#REF!</definedName>
    <definedName name="_IEH1" localSheetId="22">#REF!</definedName>
    <definedName name="_IEH1" localSheetId="9">#REF!</definedName>
    <definedName name="_IEH1" localSheetId="16">#REF!</definedName>
    <definedName name="_IEH1" localSheetId="5">#REF!</definedName>
    <definedName name="_IEH1" localSheetId="17">#REF!</definedName>
    <definedName name="_IEH1">#REF!</definedName>
    <definedName name="_IEP1" localSheetId="21">#REF!</definedName>
    <definedName name="_IEP1" localSheetId="22">#REF!</definedName>
    <definedName name="_IEP1" localSheetId="9">#REF!</definedName>
    <definedName name="_IEP1" localSheetId="16">#REF!</definedName>
    <definedName name="_IEP1" localSheetId="5">#REF!</definedName>
    <definedName name="_IEP1" localSheetId="17">#REF!</definedName>
    <definedName name="_IEP1">#REF!</definedName>
    <definedName name="_IES1" localSheetId="21">#REF!</definedName>
    <definedName name="_IES1" localSheetId="22">#REF!</definedName>
    <definedName name="_IES1" localSheetId="9">#REF!</definedName>
    <definedName name="_IES1" localSheetId="16">#REF!</definedName>
    <definedName name="_IES1" localSheetId="5">#REF!</definedName>
    <definedName name="_IES1" localSheetId="17">#REF!</definedName>
    <definedName name="_IES1">#REF!</definedName>
    <definedName name="_IET1" localSheetId="21">#REF!</definedName>
    <definedName name="_IET1" localSheetId="22">#REF!</definedName>
    <definedName name="_IET1" localSheetId="9">#REF!</definedName>
    <definedName name="_IET1" localSheetId="16">#REF!</definedName>
    <definedName name="_IET1" localSheetId="5">#REF!</definedName>
    <definedName name="_IET1" localSheetId="17">#REF!</definedName>
    <definedName name="_IET1">#REF!</definedName>
    <definedName name="_jun99">'[9]PUR&amp;SAL'!#REF!</definedName>
    <definedName name="_Key1" localSheetId="21" hidden="1">#REF!</definedName>
    <definedName name="_Key1" localSheetId="22" hidden="1">#REF!</definedName>
    <definedName name="_Key1" localSheetId="9" hidden="1">#REF!</definedName>
    <definedName name="_Key1" localSheetId="7" hidden="1">#REF!</definedName>
    <definedName name="_Key1" localSheetId="2" hidden="1">#REF!</definedName>
    <definedName name="_Key1" localSheetId="16" hidden="1">#REF!</definedName>
    <definedName name="_Key1" localSheetId="5" hidden="1">#REF!</definedName>
    <definedName name="_Key1" localSheetId="17" hidden="1">#REF!</definedName>
    <definedName name="_Key1" hidden="1">#REF!</definedName>
    <definedName name="_Key2" localSheetId="21" hidden="1">#REF!</definedName>
    <definedName name="_Key2" localSheetId="22" hidden="1">#REF!</definedName>
    <definedName name="_Key2" localSheetId="9" hidden="1">#REF!</definedName>
    <definedName name="_Key2" localSheetId="7" hidden="1">#REF!</definedName>
    <definedName name="_Key2" localSheetId="2" hidden="1">#REF!</definedName>
    <definedName name="_Key2" localSheetId="16" hidden="1">#REF!</definedName>
    <definedName name="_Key2" localSheetId="5" hidden="1">#REF!</definedName>
    <definedName name="_Key2" localSheetId="17" hidden="1">#REF!</definedName>
    <definedName name="_Key2" hidden="1">#REF!</definedName>
    <definedName name="_koi" localSheetId="21" hidden="1">#REF!</definedName>
    <definedName name="_koi" localSheetId="22" hidden="1">#REF!</definedName>
    <definedName name="_koi" localSheetId="9" hidden="1">#REF!</definedName>
    <definedName name="_koi" localSheetId="7" hidden="1">#REF!</definedName>
    <definedName name="_koi" localSheetId="2" hidden="1">#REF!</definedName>
    <definedName name="_koi" localSheetId="16" hidden="1">#REF!</definedName>
    <definedName name="_koi" localSheetId="5" hidden="1">#REF!</definedName>
    <definedName name="_koi" localSheetId="17" hidden="1">#REF!</definedName>
    <definedName name="_koi" hidden="1">#REF!</definedName>
    <definedName name="_LIA1" localSheetId="21">#REF!</definedName>
    <definedName name="_LIA1" localSheetId="22">#REF!</definedName>
    <definedName name="_LIA1" localSheetId="9">#REF!</definedName>
    <definedName name="_LIA1" localSheetId="7">#REF!</definedName>
    <definedName name="_LIA1" localSheetId="16">#REF!</definedName>
    <definedName name="_LIA1" localSheetId="5">#REF!</definedName>
    <definedName name="_LIA1" localSheetId="17">#REF!</definedName>
    <definedName name="_LIA1">#REF!</definedName>
    <definedName name="_LIA2" localSheetId="21">#REF!</definedName>
    <definedName name="_LIA2" localSheetId="22">#REF!</definedName>
    <definedName name="_LIA2" localSheetId="9">#REF!</definedName>
    <definedName name="_LIA2" localSheetId="7">#REF!</definedName>
    <definedName name="_LIA2" localSheetId="16">#REF!</definedName>
    <definedName name="_LIA2" localSheetId="5">#REF!</definedName>
    <definedName name="_LIA2" localSheetId="17">#REF!</definedName>
    <definedName name="_LIA2">#REF!</definedName>
    <definedName name="_LMT1">'[23]I-B'!$G$1:$G$65536</definedName>
    <definedName name="_LMT2">'[23]I-BR'!$G$1:$G$65536</definedName>
    <definedName name="_LN2" localSheetId="21">#REF!</definedName>
    <definedName name="_LN2" localSheetId="22">#REF!</definedName>
    <definedName name="_LN2" localSheetId="9">#REF!</definedName>
    <definedName name="_LN2" localSheetId="7">#REF!</definedName>
    <definedName name="_LN2" localSheetId="16">#REF!</definedName>
    <definedName name="_LN2" localSheetId="5">#REF!</definedName>
    <definedName name="_LN2" localSheetId="17">#REF!</definedName>
    <definedName name="_LN2">#REF!</definedName>
    <definedName name="_Order1" hidden="1">255</definedName>
    <definedName name="_Order2" hidden="1">255</definedName>
    <definedName name="_PL1" localSheetId="21">#REF!</definedName>
    <definedName name="_PL1" localSheetId="22">#REF!</definedName>
    <definedName name="_PL1" localSheetId="9">#REF!</definedName>
    <definedName name="_PL1" localSheetId="7">#REF!</definedName>
    <definedName name="_PL1" localSheetId="16">#REF!</definedName>
    <definedName name="_PL1" localSheetId="5">#REF!</definedName>
    <definedName name="_PL1" localSheetId="17">#REF!</definedName>
    <definedName name="_PL1">#REF!</definedName>
    <definedName name="_PL2" localSheetId="21">#REF!</definedName>
    <definedName name="_PL2" localSheetId="22">#REF!</definedName>
    <definedName name="_PL2" localSheetId="9">#REF!</definedName>
    <definedName name="_PL2" localSheetId="7">#REF!</definedName>
    <definedName name="_PL2" localSheetId="16">#REF!</definedName>
    <definedName name="_PL2" localSheetId="5">#REF!</definedName>
    <definedName name="_PL2" localSheetId="17">#REF!</definedName>
    <definedName name="_PL2">#REF!</definedName>
    <definedName name="_pL3" localSheetId="21">#REF!</definedName>
    <definedName name="_pL3" localSheetId="22">#REF!</definedName>
    <definedName name="_pL3" localSheetId="9">#REF!</definedName>
    <definedName name="_pL3" localSheetId="16">#REF!</definedName>
    <definedName name="_pL3" localSheetId="5">#REF!</definedName>
    <definedName name="_pL3" localSheetId="17">#REF!</definedName>
    <definedName name="_pL3">#REF!</definedName>
    <definedName name="_PP2" localSheetId="21">#REF!</definedName>
    <definedName name="_PP2" localSheetId="22">#REF!</definedName>
    <definedName name="_PP2" localSheetId="9">#REF!</definedName>
    <definedName name="_PP2" localSheetId="7">#REF!</definedName>
    <definedName name="_PP2" localSheetId="16">#REF!</definedName>
    <definedName name="_PP2" localSheetId="5">#REF!</definedName>
    <definedName name="_PP2" localSheetId="17">#REF!</definedName>
    <definedName name="_PP2">#REF!</definedName>
    <definedName name="_PP3" localSheetId="21">#REF!</definedName>
    <definedName name="_PP3" localSheetId="22">#REF!</definedName>
    <definedName name="_PP3" localSheetId="9">#REF!</definedName>
    <definedName name="_PP3" localSheetId="7">#REF!</definedName>
    <definedName name="_PP3" localSheetId="16">#REF!</definedName>
    <definedName name="_PP3" localSheetId="5">#REF!</definedName>
    <definedName name="_PP3" localSheetId="17">#REF!</definedName>
    <definedName name="_PP3">#REF!</definedName>
    <definedName name="_REC1999">'[7]RC-0997'!$B$132:$Q$171</definedName>
    <definedName name="_Regression_X" localSheetId="21" hidden="1">#REF!</definedName>
    <definedName name="_Regression_X" localSheetId="22" hidden="1">'[25]b-sheet'!#REF!</definedName>
    <definedName name="_Regression_X" localSheetId="9" hidden="1">'[25]b-sheet'!#REF!</definedName>
    <definedName name="_Regression_X" localSheetId="7" hidden="1">#REF!</definedName>
    <definedName name="_Regression_X" localSheetId="2" hidden="1">'[25]b-sheet'!#REF!</definedName>
    <definedName name="_Regression_X" localSheetId="16" hidden="1">'[25]b-sheet'!#REF!</definedName>
    <definedName name="_Regression_X" localSheetId="5" hidden="1">'[25]b-sheet'!#REF!</definedName>
    <definedName name="_Regression_X" localSheetId="17" hidden="1">'[25]b-sheet'!#REF!</definedName>
    <definedName name="_Regression_X" hidden="1">'[25]b-sheet'!#REF!</definedName>
    <definedName name="_SAL2003" localSheetId="21">#REF!</definedName>
    <definedName name="_SAL2003" localSheetId="22">#REF!</definedName>
    <definedName name="_SAL2003" localSheetId="9">#REF!</definedName>
    <definedName name="_SAL2003" localSheetId="2">#REF!</definedName>
    <definedName name="_SAL2003" localSheetId="16">#REF!</definedName>
    <definedName name="_SAL2003" localSheetId="5">#REF!</definedName>
    <definedName name="_SAL2003" localSheetId="17">#REF!</definedName>
    <definedName name="_SAL2003">#REF!</definedName>
    <definedName name="_SAL2004" localSheetId="21">#REF!</definedName>
    <definedName name="_SAL2004" localSheetId="22">#REF!</definedName>
    <definedName name="_SAL2004" localSheetId="9">#REF!</definedName>
    <definedName name="_SAL2004" localSheetId="2">#REF!</definedName>
    <definedName name="_SAL2004" localSheetId="16">#REF!</definedName>
    <definedName name="_SAL2004" localSheetId="5">#REF!</definedName>
    <definedName name="_SAL2004" localSheetId="17">#REF!</definedName>
    <definedName name="_SAL2004">#REF!</definedName>
    <definedName name="_SEC107">#REF!</definedName>
    <definedName name="_Sort" localSheetId="21" hidden="1">#REF!</definedName>
    <definedName name="_Sort" localSheetId="22" hidden="1">#REF!</definedName>
    <definedName name="_Sort" localSheetId="9" hidden="1">#REF!</definedName>
    <definedName name="_Sort" localSheetId="7" hidden="1">#REF!</definedName>
    <definedName name="_Sort" localSheetId="2" hidden="1">#REF!</definedName>
    <definedName name="_Sort" localSheetId="16" hidden="1">#REF!</definedName>
    <definedName name="_Sort" localSheetId="5" hidden="1">#REF!</definedName>
    <definedName name="_Sort" localSheetId="17" hidden="1">#REF!</definedName>
    <definedName name="_Sort" hidden="1">#REF!</definedName>
    <definedName name="_tam2" localSheetId="11" hidden="1">#REF!</definedName>
    <definedName name="_tam2" localSheetId="7" hidden="1">#REF!</definedName>
    <definedName name="_tam2" hidden="1">#REF!</definedName>
    <definedName name="_TMO1" localSheetId="21">'[16]BS-OVS'!#REF!</definedName>
    <definedName name="_TMO1" localSheetId="22">'[16]BS-OVS'!#REF!</definedName>
    <definedName name="_TMO1" localSheetId="9">'[16]BS-OVS'!#REF!</definedName>
    <definedName name="_TMO1" localSheetId="16">'[16]BS-OVS'!#REF!</definedName>
    <definedName name="_TMO1" localSheetId="5">'[16]BS-OVS'!#REF!</definedName>
    <definedName name="_TMO1" localSheetId="17">'[16]BS-OVS'!#REF!</definedName>
    <definedName name="_TMO1">'[16]BS-OVS'!#REF!</definedName>
    <definedName name="_UAE1" localSheetId="21">[8]Sheet4!$D$116:$D$207</definedName>
    <definedName name="_UAE1" localSheetId="7">[8]Sheet4!$D$116:$D$207</definedName>
    <definedName name="_UAE1">[6]Sheet4!$D$116:$D$207</definedName>
    <definedName name="_UAE2" localSheetId="21">[8]Sheet4!$Q$14:$Q$105</definedName>
    <definedName name="_UAE2" localSheetId="7">[8]Sheet4!$Q$14:$Q$105</definedName>
    <definedName name="_UAE2">[6]Sheet4!$Q$14:$Q$105</definedName>
    <definedName name="_UK1" localSheetId="21">[8]Sheet4!$F$324:$F$415</definedName>
    <definedName name="_UK1" localSheetId="7">[8]Sheet4!$F$324:$F$415</definedName>
    <definedName name="_UK1">[6]Sheet4!$F$324:$F$415</definedName>
    <definedName name="_UK2" localSheetId="21">[8]Sheet4!$S$222:$S$313</definedName>
    <definedName name="_UK2" localSheetId="7">[8]Sheet4!$S$222:$S$313</definedName>
    <definedName name="_UK2">[6]Sheet4!$S$222:$S$313</definedName>
    <definedName name="_USA1" localSheetId="21">[8]Sheet4!$D$428:$D$519</definedName>
    <definedName name="_USA1" localSheetId="7">[8]Sheet4!$D$428:$D$519</definedName>
    <definedName name="_USA1">[6]Sheet4!$D$428:$D$519</definedName>
    <definedName name="_USA2" localSheetId="21">[8]Sheet4!$Q$326:$Q$417</definedName>
    <definedName name="_USA2" localSheetId="7">[8]Sheet4!$Q$326:$Q$417</definedName>
    <definedName name="_USA2">[6]Sheet4!$Q$326:$Q$417</definedName>
    <definedName name="_ws1">'[10]Revenue-Fire-Marine-Motor'!#REF!</definedName>
    <definedName name="a" localSheetId="21">#REF!</definedName>
    <definedName name="a" localSheetId="22">'[4]Stock in Trade'!#REF!</definedName>
    <definedName name="a" localSheetId="9">'[4]Stock in Trade'!#REF!</definedName>
    <definedName name="a" localSheetId="7">#REF!</definedName>
    <definedName name="a" localSheetId="2">'[4]Stock in Trade'!#REF!</definedName>
    <definedName name="a" localSheetId="16">'[4]Stock in Trade'!#REF!</definedName>
    <definedName name="a" localSheetId="5">'[4]Stock in Trade'!#REF!</definedName>
    <definedName name="a" localSheetId="17">'[4]Stock in Trade'!#REF!</definedName>
    <definedName name="a">'[4]Stock in Trade'!#REF!</definedName>
    <definedName name="AA" localSheetId="21">#REF!</definedName>
    <definedName name="aa" localSheetId="22">'[26]P &amp; L'!#REF!</definedName>
    <definedName name="aa" localSheetId="9">'[26]P &amp; L'!#REF!</definedName>
    <definedName name="AA" localSheetId="7">#REF!</definedName>
    <definedName name="aa" localSheetId="2">'[26]P &amp; L'!#REF!</definedName>
    <definedName name="aa" localSheetId="16">'[26]P &amp; L'!#REF!</definedName>
    <definedName name="aa" localSheetId="5">'[26]P &amp; L'!#REF!</definedName>
    <definedName name="aa" localSheetId="17">'[26]P &amp; L'!#REF!</definedName>
    <definedName name="aa">'[26]P &amp; L'!#REF!</definedName>
    <definedName name="aaa" localSheetId="21">#REF!</definedName>
    <definedName name="aaa" localSheetId="22">#REF!</definedName>
    <definedName name="aaa" localSheetId="9">#REF!</definedName>
    <definedName name="aaa" localSheetId="7">#REF!</definedName>
    <definedName name="aaa" localSheetId="16">#REF!</definedName>
    <definedName name="aaa" localSheetId="5">#REF!</definedName>
    <definedName name="aaa" localSheetId="17">#REF!</definedName>
    <definedName name="aaa">#REF!</definedName>
    <definedName name="aaaaaaaaaa" localSheetId="21">'[1]P&amp;L Commentary'!#REF!</definedName>
    <definedName name="aaaaaaaaaa" localSheetId="22">'[1]P&amp;L Commentary'!#REF!</definedName>
    <definedName name="aaaaaaaaaa" localSheetId="9">'[1]P&amp;L Commentary'!#REF!</definedName>
    <definedName name="aaaaaaaaaa" localSheetId="16">'[1]P&amp;L Commentary'!#REF!</definedName>
    <definedName name="aaaaaaaaaa" localSheetId="5">'[1]P&amp;L Commentary'!#REF!</definedName>
    <definedName name="aaaaaaaaaa" localSheetId="17">'[1]P&amp;L Commentary'!#REF!</definedName>
    <definedName name="aaaaaaaaaa">'[1]P&amp;L Commentary'!#REF!</definedName>
    <definedName name="AB" localSheetId="21">#REF!</definedName>
    <definedName name="AB" localSheetId="22">#REF!</definedName>
    <definedName name="AB" localSheetId="9">#REF!</definedName>
    <definedName name="AB" localSheetId="7">#REF!</definedName>
    <definedName name="AB" localSheetId="16">#REF!</definedName>
    <definedName name="AB" localSheetId="5">#REF!</definedName>
    <definedName name="AB" localSheetId="17">#REF!</definedName>
    <definedName name="AB">#REF!</definedName>
    <definedName name="abc" localSheetId="21">#REF!</definedName>
    <definedName name="abc" localSheetId="22">#REF!</definedName>
    <definedName name="abc" localSheetId="9">#REF!</definedName>
    <definedName name="abc" localSheetId="7">#REF!</definedName>
    <definedName name="abc" localSheetId="2" hidden="1">'[4]Adv to vendor'!#REF!</definedName>
    <definedName name="abc" localSheetId="16">#REF!</definedName>
    <definedName name="abc" localSheetId="5">#REF!</definedName>
    <definedName name="abc" localSheetId="17">#REF!</definedName>
    <definedName name="abc">#REF!</definedName>
    <definedName name="abcd" localSheetId="21">#REF!</definedName>
    <definedName name="abcd" localSheetId="22">#REF!</definedName>
    <definedName name="abcd" localSheetId="9">#REF!</definedName>
    <definedName name="abcd" localSheetId="7">MATCH(0.01,End_Bal,-1)+1</definedName>
    <definedName name="abcd" localSheetId="2">#REF!</definedName>
    <definedName name="abcd" localSheetId="16">#REF!</definedName>
    <definedName name="abcd" localSheetId="5">#REF!</definedName>
    <definedName name="abcd" localSheetId="17">#REF!</definedName>
    <definedName name="abcd">#REF!</definedName>
    <definedName name="Abid" localSheetId="21">#REF!</definedName>
    <definedName name="Abid" localSheetId="22">#REF!</definedName>
    <definedName name="Abid" localSheetId="9">#REF!</definedName>
    <definedName name="Abid" localSheetId="7">#REF!</definedName>
    <definedName name="Abid" localSheetId="16">#REF!</definedName>
    <definedName name="Abid" localSheetId="5">#REF!</definedName>
    <definedName name="Abid" localSheetId="17">#REF!</definedName>
    <definedName name="Abid">#REF!</definedName>
    <definedName name="AC" localSheetId="21">#REF!</definedName>
    <definedName name="AC" localSheetId="22">#REF!</definedName>
    <definedName name="AC" localSheetId="9">#REF!</definedName>
    <definedName name="AC" localSheetId="7">#REF!</definedName>
    <definedName name="AC" localSheetId="16">#REF!</definedName>
    <definedName name="AC" localSheetId="5">#REF!</definedName>
    <definedName name="AC" localSheetId="17">#REF!</definedName>
    <definedName name="AC">#REF!</definedName>
    <definedName name="Acc.Code" localSheetId="21">#REF!</definedName>
    <definedName name="Acc.Code" localSheetId="22">#REF!</definedName>
    <definedName name="Acc.Code" localSheetId="9">#REF!</definedName>
    <definedName name="Acc.Code" localSheetId="7">#REF!</definedName>
    <definedName name="Acc.Code" localSheetId="16">#REF!</definedName>
    <definedName name="Acc.Code" localSheetId="5">#REF!</definedName>
    <definedName name="Acc.Code" localSheetId="17">#REF!</definedName>
    <definedName name="Acc.Code">#REF!</definedName>
    <definedName name="ACCIDENTPREMIUMCURRENT">#REF!</definedName>
    <definedName name="Act_Date" localSheetId="11">#REF!</definedName>
    <definedName name="Act_Date" localSheetId="7">#REF!</definedName>
    <definedName name="Act_Date">#REF!</definedName>
    <definedName name="Act_FullScreen" localSheetId="11">#REF!</definedName>
    <definedName name="Act_FullScreen" localSheetId="7">#REF!</definedName>
    <definedName name="Act_FullScreen">#REF!</definedName>
    <definedName name="Act_It" localSheetId="11">#REF!</definedName>
    <definedName name="Act_It" localSheetId="7">#REF!</definedName>
    <definedName name="Act_It">#REF!</definedName>
    <definedName name="Act_Name" localSheetId="11">#REF!</definedName>
    <definedName name="Act_Name" localSheetId="7">#REF!</definedName>
    <definedName name="Act_Name">#REF!</definedName>
    <definedName name="Act_Obj" localSheetId="11">#REF!</definedName>
    <definedName name="Act_Obj" localSheetId="7">#REF!</definedName>
    <definedName name="Act_Obj">#REF!</definedName>
    <definedName name="Act_Obj_Comp" localSheetId="11">#REF!</definedName>
    <definedName name="Act_Obj_Comp" localSheetId="7">#REF!</definedName>
    <definedName name="Act_Obj_Comp">#REF!</definedName>
    <definedName name="Act_Obj_PwC_Example" localSheetId="11">#REF!</definedName>
    <definedName name="Act_Obj_PwC_Example" localSheetId="7">#REF!</definedName>
    <definedName name="Act_Obj_PwC_Example">#REF!</definedName>
    <definedName name="Act_PM" localSheetId="11">#REF!</definedName>
    <definedName name="Act_PM" localSheetId="7">#REF!</definedName>
    <definedName name="Act_PM">#REF!</definedName>
    <definedName name="Act_Total" localSheetId="11">#REF!</definedName>
    <definedName name="Act_Total" localSheetId="7">#REF!</definedName>
    <definedName name="Act_Total">#REF!</definedName>
    <definedName name="ad">[27]A!$Q$604:$Q$639</definedName>
    <definedName name="ADDITIONS">#REF!</definedName>
    <definedName name="ADM___SELIG_EXP" localSheetId="21">#REF!</definedName>
    <definedName name="ADM___SELIG_EXP" localSheetId="22">#REF!</definedName>
    <definedName name="ADM___SELIG_EXP" localSheetId="9">#REF!</definedName>
    <definedName name="ADM___SELIG_EXP" localSheetId="2">#REF!</definedName>
    <definedName name="ADM___SELIG_EXP" localSheetId="16">#REF!</definedName>
    <definedName name="ADM___SELIG_EXP" localSheetId="5">#REF!</definedName>
    <definedName name="ADM___SELIG_EXP" localSheetId="17">#REF!</definedName>
    <definedName name="ADM___SELIG_EXP">#REF!</definedName>
    <definedName name="Admin">#REF!</definedName>
    <definedName name="ADV" localSheetId="21">[28]acct!#REF!</definedName>
    <definedName name="ADV" localSheetId="22">[29]acct!#REF!</definedName>
    <definedName name="ADV" localSheetId="9">[29]acct!#REF!</definedName>
    <definedName name="ADV" localSheetId="7">[28]acct!#REF!</definedName>
    <definedName name="ADV" localSheetId="2">[30]acct!#REF!</definedName>
    <definedName name="ADV" localSheetId="16">[29]acct!#REF!</definedName>
    <definedName name="ADV" localSheetId="5">[29]acct!#REF!</definedName>
    <definedName name="ADV" localSheetId="17">[29]acct!#REF!</definedName>
    <definedName name="ADV">[29]acct!#REF!</definedName>
    <definedName name="ADV_TO_VENDOR" localSheetId="21">'[4]Adv to vendor'!#REF!</definedName>
    <definedName name="ADV_TO_VENDOR" localSheetId="22">'[4]Adv to vendor'!#REF!</definedName>
    <definedName name="ADV_TO_VENDOR" localSheetId="9">'[4]Adv to vendor'!#REF!</definedName>
    <definedName name="ADV_TO_VENDOR" localSheetId="2">'[4]Adv to vendor'!#REF!</definedName>
    <definedName name="ADV_TO_VENDOR" localSheetId="16">'[4]Adv to vendor'!#REF!</definedName>
    <definedName name="ADV_TO_VENDOR" localSheetId="5">'[4]Adv to vendor'!#REF!</definedName>
    <definedName name="ADV_TO_VENDOR" localSheetId="17">'[4]Adv to vendor'!#REF!</definedName>
    <definedName name="ADV_TO_VENDOR">'[4]Adv to vendor'!#REF!</definedName>
    <definedName name="ADVANCE_TAX" localSheetId="21">#REF!</definedName>
    <definedName name="ADVANCE_TAX" localSheetId="22">#REF!</definedName>
    <definedName name="ADVANCE_TAX" localSheetId="9">#REF!</definedName>
    <definedName name="ADVANCE_TAX" localSheetId="2">#REF!</definedName>
    <definedName name="ADVANCE_TAX" localSheetId="16">#REF!</definedName>
    <definedName name="ADVANCE_TAX" localSheetId="5">#REF!</definedName>
    <definedName name="ADVANCE_TAX" localSheetId="17">#REF!</definedName>
    <definedName name="ADVANCE_TAX">#REF!</definedName>
    <definedName name="AED" localSheetId="21">#REF!</definedName>
    <definedName name="AED" localSheetId="22">#REF!</definedName>
    <definedName name="AED" localSheetId="9">#REF!</definedName>
    <definedName name="AED" localSheetId="16">#REF!</definedName>
    <definedName name="AED" localSheetId="5">#REF!</definedName>
    <definedName name="AED" localSheetId="17">#REF!</definedName>
    <definedName name="AED">#REF!</definedName>
    <definedName name="affair" localSheetId="21">[31]BSDOMOVS!#REF!</definedName>
    <definedName name="affair" localSheetId="22">[32]BSDOMOVS!#REF!</definedName>
    <definedName name="affair" localSheetId="9">[32]BSDOMOVS!#REF!</definedName>
    <definedName name="affair" localSheetId="7">[31]BSDOMOVS!#REF!</definedName>
    <definedName name="affair" localSheetId="16">[32]BSDOMOVS!#REF!</definedName>
    <definedName name="affair" localSheetId="5">[32]BSDOMOVS!#REF!</definedName>
    <definedName name="affair" localSheetId="17">[32]BSDOMOVS!#REF!</definedName>
    <definedName name="affair">[32]BSDOMOVS!#REF!</definedName>
    <definedName name="ak" localSheetId="11">#REF!</definedName>
    <definedName name="ak" localSheetId="7">#REF!</definedName>
    <definedName name="ak">#REF!</definedName>
    <definedName name="alco" localSheetId="21">#REF!</definedName>
    <definedName name="alco" localSheetId="22">#REF!</definedName>
    <definedName name="alco" localSheetId="9">#REF!</definedName>
    <definedName name="alco" localSheetId="16">#REF!</definedName>
    <definedName name="alco" localSheetId="5">#REF!</definedName>
    <definedName name="alco" localSheetId="17">#REF!</definedName>
    <definedName name="alco">#REF!</definedName>
    <definedName name="Amount" localSheetId="21">#REF!</definedName>
    <definedName name="Amount" localSheetId="22">#REF!</definedName>
    <definedName name="Amount" localSheetId="9">#REF!</definedName>
    <definedName name="Amount" localSheetId="7">#REF!</definedName>
    <definedName name="Amount" localSheetId="16">#REF!</definedName>
    <definedName name="Amount" localSheetId="5">#REF!</definedName>
    <definedName name="Amount" localSheetId="17">#REF!</definedName>
    <definedName name="Amount">#REF!</definedName>
    <definedName name="APAGE1" localSheetId="21">#REF!</definedName>
    <definedName name="APAGE1" localSheetId="22">#REF!</definedName>
    <definedName name="APAGE1" localSheetId="9">#REF!</definedName>
    <definedName name="APAGE1" localSheetId="7">#REF!</definedName>
    <definedName name="APAGE1" localSheetId="16">#REF!</definedName>
    <definedName name="APAGE1" localSheetId="5">#REF!</definedName>
    <definedName name="APAGE1" localSheetId="17">#REF!</definedName>
    <definedName name="APAGE1">#REF!</definedName>
    <definedName name="APAGE2" localSheetId="21">#REF!</definedName>
    <definedName name="APAGE2" localSheetId="22">#REF!</definedName>
    <definedName name="APAGE2" localSheetId="9">#REF!</definedName>
    <definedName name="APAGE2" localSheetId="7">#REF!</definedName>
    <definedName name="APAGE2" localSheetId="16">#REF!</definedName>
    <definedName name="APAGE2" localSheetId="5">#REF!</definedName>
    <definedName name="APAGE2" localSheetId="17">#REF!</definedName>
    <definedName name="APAGE2">#REF!</definedName>
    <definedName name="APAGE3" localSheetId="21">#REF!</definedName>
    <definedName name="APAGE3" localSheetId="22">#REF!</definedName>
    <definedName name="APAGE3" localSheetId="9">#REF!</definedName>
    <definedName name="APAGE3" localSheetId="7">#REF!</definedName>
    <definedName name="APAGE3" localSheetId="16">#REF!</definedName>
    <definedName name="APAGE3" localSheetId="5">#REF!</definedName>
    <definedName name="APAGE3" localSheetId="17">#REF!</definedName>
    <definedName name="APAGE3">#REF!</definedName>
    <definedName name="APAGE4" localSheetId="21">#REF!</definedName>
    <definedName name="APAGE4" localSheetId="22">#REF!</definedName>
    <definedName name="APAGE4" localSheetId="9">#REF!</definedName>
    <definedName name="APAGE4" localSheetId="7">#REF!</definedName>
    <definedName name="APAGE4" localSheetId="16">#REF!</definedName>
    <definedName name="APAGE4" localSheetId="5">#REF!</definedName>
    <definedName name="APAGE4" localSheetId="17">#REF!</definedName>
    <definedName name="APAGE4">#REF!</definedName>
    <definedName name="approved_summary">'[33]CARs'' 99 Summary Info. (B&amp;A)'!$B$54:$Y$105</definedName>
    <definedName name="Approved98" localSheetId="11">#REF!</definedName>
    <definedName name="Approved98" localSheetId="7">#REF!</definedName>
    <definedName name="Approved98">#REF!</definedName>
    <definedName name="ApprovedCARs98" localSheetId="11">#REF!</definedName>
    <definedName name="ApprovedCARs98" localSheetId="7">#REF!</definedName>
    <definedName name="ApprovedCARs98">#REF!</definedName>
    <definedName name="apr00" localSheetId="11">#REF!</definedName>
    <definedName name="apr00" localSheetId="7">#REF!</definedName>
    <definedName name="apr00">#REF!</definedName>
    <definedName name="aqw" localSheetId="21">[34]ProfitProv!#REF!</definedName>
    <definedName name="aqw" localSheetId="22">[34]ProfitProv!#REF!</definedName>
    <definedName name="aqw" localSheetId="9">[34]ProfitProv!#REF!</definedName>
    <definedName name="aqw" localSheetId="2">[34]ProfitProv!#REF!</definedName>
    <definedName name="aqw" localSheetId="16">[34]ProfitProv!#REF!</definedName>
    <definedName name="aqw" localSheetId="5">[34]ProfitProv!#REF!</definedName>
    <definedName name="aqw" localSheetId="17">[34]ProfitProv!#REF!</definedName>
    <definedName name="aqw">[34]ProfitProv!#REF!</definedName>
    <definedName name="ARA_Threshold" localSheetId="21">#REF!</definedName>
    <definedName name="ARA_Threshold" localSheetId="22">#REF!</definedName>
    <definedName name="ARA_Threshold" localSheetId="9">#REF!</definedName>
    <definedName name="ARA_Threshold" localSheetId="2">[35]Breakups!#REF!</definedName>
    <definedName name="ARA_Threshold" localSheetId="16">#REF!</definedName>
    <definedName name="ARA_Threshold" localSheetId="5">#REF!</definedName>
    <definedName name="ARA_Threshold" localSheetId="17">#REF!</definedName>
    <definedName name="ARA_Threshold">#REF!</definedName>
    <definedName name="ARA_Threshold_1" localSheetId="21">#REF!</definedName>
    <definedName name="ARA_Threshold_1" localSheetId="22">#REF!</definedName>
    <definedName name="ARA_Threshold_1" localSheetId="9">#REF!</definedName>
    <definedName name="ARA_Threshold_1" localSheetId="7">#REF!</definedName>
    <definedName name="ARA_Threshold_1" localSheetId="16">#REF!</definedName>
    <definedName name="ARA_Threshold_1" localSheetId="5">#REF!</definedName>
    <definedName name="ARA_Threshold_1" localSheetId="17">#REF!</definedName>
    <definedName name="ARA_Threshold_1">#REF!</definedName>
    <definedName name="ARA_Threshold_20" localSheetId="21">#REF!</definedName>
    <definedName name="ARA_Threshold_20" localSheetId="22">#REF!</definedName>
    <definedName name="ARA_Threshold_20" localSheetId="9">#REF!</definedName>
    <definedName name="ARA_Threshold_20" localSheetId="7">#REF!</definedName>
    <definedName name="ARA_Threshold_20" localSheetId="16">#REF!</definedName>
    <definedName name="ARA_Threshold_20" localSheetId="5">#REF!</definedName>
    <definedName name="ARA_Threshold_20" localSheetId="17">#REF!</definedName>
    <definedName name="ARA_Threshold_20">#REF!</definedName>
    <definedName name="ARA_Threshold_21" localSheetId="21">#REF!</definedName>
    <definedName name="ARA_Threshold_21" localSheetId="22">#REF!</definedName>
    <definedName name="ARA_Threshold_21" localSheetId="9">#REF!</definedName>
    <definedName name="ARA_Threshold_21" localSheetId="7">#REF!</definedName>
    <definedName name="ARA_Threshold_21" localSheetId="16">#REF!</definedName>
    <definedName name="ARA_Threshold_21" localSheetId="5">#REF!</definedName>
    <definedName name="ARA_Threshold_21" localSheetId="17">#REF!</definedName>
    <definedName name="ARA_Threshold_21">#REF!</definedName>
    <definedName name="ARA_Threshold_23" localSheetId="21">#REF!</definedName>
    <definedName name="ARA_Threshold_23" localSheetId="22">#REF!</definedName>
    <definedName name="ARA_Threshold_23" localSheetId="9">#REF!</definedName>
    <definedName name="ARA_Threshold_23" localSheetId="7">#REF!</definedName>
    <definedName name="ARA_Threshold_23" localSheetId="16">#REF!</definedName>
    <definedName name="ARA_Threshold_23" localSheetId="5">#REF!</definedName>
    <definedName name="ARA_Threshold_23" localSheetId="17">#REF!</definedName>
    <definedName name="ARA_Threshold_23">#REF!</definedName>
    <definedName name="ARA_Threshold_5" localSheetId="21">#REF!</definedName>
    <definedName name="ARA_Threshold_5" localSheetId="22">#REF!</definedName>
    <definedName name="ARA_Threshold_5" localSheetId="9">#REF!</definedName>
    <definedName name="ARA_Threshold_5" localSheetId="7">#REF!</definedName>
    <definedName name="ARA_Threshold_5" localSheetId="16">#REF!</definedName>
    <definedName name="ARA_Threshold_5" localSheetId="5">#REF!</definedName>
    <definedName name="ARA_Threshold_5" localSheetId="17">#REF!</definedName>
    <definedName name="ARA_Threshold_5">#REF!</definedName>
    <definedName name="ARA_Threshold_8" localSheetId="21">#REF!</definedName>
    <definedName name="ARA_Threshold_8" localSheetId="22">#REF!</definedName>
    <definedName name="ARA_Threshold_8" localSheetId="9">#REF!</definedName>
    <definedName name="ARA_Threshold_8" localSheetId="7">#REF!</definedName>
    <definedName name="ARA_Threshold_8" localSheetId="16">#REF!</definedName>
    <definedName name="ARA_Threshold_8" localSheetId="5">#REF!</definedName>
    <definedName name="ARA_Threshold_8" localSheetId="17">#REF!</definedName>
    <definedName name="ARA_Threshold_8">#REF!</definedName>
    <definedName name="ARP_Threshold" localSheetId="21">#REF!</definedName>
    <definedName name="ARP_Threshold" localSheetId="22">#REF!</definedName>
    <definedName name="ARP_Threshold" localSheetId="9">#REF!</definedName>
    <definedName name="ARP_Threshold" localSheetId="2">[35]Breakups!#REF!</definedName>
    <definedName name="ARP_Threshold" localSheetId="16">#REF!</definedName>
    <definedName name="ARP_Threshold" localSheetId="5">#REF!</definedName>
    <definedName name="ARP_Threshold" localSheetId="17">#REF!</definedName>
    <definedName name="ARP_Threshold">#REF!</definedName>
    <definedName name="ARP_Threshold_1" localSheetId="21">#REF!</definedName>
    <definedName name="ARP_Threshold_1" localSheetId="22">#REF!</definedName>
    <definedName name="ARP_Threshold_1" localSheetId="9">#REF!</definedName>
    <definedName name="ARP_Threshold_1" localSheetId="7">#REF!</definedName>
    <definedName name="ARP_Threshold_1" localSheetId="16">#REF!</definedName>
    <definedName name="ARP_Threshold_1" localSheetId="5">#REF!</definedName>
    <definedName name="ARP_Threshold_1" localSheetId="17">#REF!</definedName>
    <definedName name="ARP_Threshold_1">#REF!</definedName>
    <definedName name="ARP_Threshold_20" localSheetId="21">#REF!</definedName>
    <definedName name="ARP_Threshold_20" localSheetId="22">#REF!</definedName>
    <definedName name="ARP_Threshold_20" localSheetId="9">#REF!</definedName>
    <definedName name="ARP_Threshold_20" localSheetId="7">#REF!</definedName>
    <definedName name="ARP_Threshold_20" localSheetId="16">#REF!</definedName>
    <definedName name="ARP_Threshold_20" localSheetId="5">#REF!</definedName>
    <definedName name="ARP_Threshold_20" localSheetId="17">#REF!</definedName>
    <definedName name="ARP_Threshold_20">#REF!</definedName>
    <definedName name="ARP_Threshold_21" localSheetId="21">#REF!</definedName>
    <definedName name="ARP_Threshold_21" localSheetId="22">#REF!</definedName>
    <definedName name="ARP_Threshold_21" localSheetId="9">#REF!</definedName>
    <definedName name="ARP_Threshold_21" localSheetId="7">#REF!</definedName>
    <definedName name="ARP_Threshold_21" localSheetId="16">#REF!</definedName>
    <definedName name="ARP_Threshold_21" localSheetId="5">#REF!</definedName>
    <definedName name="ARP_Threshold_21" localSheetId="17">#REF!</definedName>
    <definedName name="ARP_Threshold_21">#REF!</definedName>
    <definedName name="ARP_Threshold_23" localSheetId="21">#REF!</definedName>
    <definedName name="ARP_Threshold_23" localSheetId="22">#REF!</definedName>
    <definedName name="ARP_Threshold_23" localSheetId="9">#REF!</definedName>
    <definedName name="ARP_Threshold_23" localSheetId="7">#REF!</definedName>
    <definedName name="ARP_Threshold_23" localSheetId="16">#REF!</definedName>
    <definedName name="ARP_Threshold_23" localSheetId="5">#REF!</definedName>
    <definedName name="ARP_Threshold_23" localSheetId="17">#REF!</definedName>
    <definedName name="ARP_Threshold_23">#REF!</definedName>
    <definedName name="ARP_Threshold_5" localSheetId="21">#REF!</definedName>
    <definedName name="ARP_Threshold_5" localSheetId="22">#REF!</definedName>
    <definedName name="ARP_Threshold_5" localSheetId="9">#REF!</definedName>
    <definedName name="ARP_Threshold_5" localSheetId="7">#REF!</definedName>
    <definedName name="ARP_Threshold_5" localSheetId="16">#REF!</definedName>
    <definedName name="ARP_Threshold_5" localSheetId="5">#REF!</definedName>
    <definedName name="ARP_Threshold_5" localSheetId="17">#REF!</definedName>
    <definedName name="ARP_Threshold_5">#REF!</definedName>
    <definedName name="ARP_Threshold_8" localSheetId="21">#REF!</definedName>
    <definedName name="ARP_Threshold_8" localSheetId="22">#REF!</definedName>
    <definedName name="ARP_Threshold_8" localSheetId="9">#REF!</definedName>
    <definedName name="ARP_Threshold_8" localSheetId="7">#REF!</definedName>
    <definedName name="ARP_Threshold_8" localSheetId="16">#REF!</definedName>
    <definedName name="ARP_Threshold_8" localSheetId="5">#REF!</definedName>
    <definedName name="ARP_Threshold_8" localSheetId="17">#REF!</definedName>
    <definedName name="ARP_Threshold_8">#REF!</definedName>
    <definedName name="as" localSheetId="21">[28]acct!#REF!</definedName>
    <definedName name="as" localSheetId="9" hidden="1">{"Sales 2",#N/A,FALSE,"SALES";"Transfer 2",#N/A,FALSE,"TRANSFERS";"A1460",#N/A,FALSE,"A1460"}</definedName>
    <definedName name="as" localSheetId="11" hidden="1">{"Sales 2",#N/A,FALSE,"SALES";"Transfer 2",#N/A,FALSE,"TRANSFERS";"A1460",#N/A,FALSE,"A1460"}</definedName>
    <definedName name="as" localSheetId="7" hidden="1">{"PAGE1",#N/A,FALSE,"Sheet1";"PAGE2",#N/A,FALSE,"Sheet1"}</definedName>
    <definedName name="as" localSheetId="2" hidden="1">{"Sales 2",#N/A,FALSE,"SALES";"Transfer 2",#N/A,FALSE,"TRANSFERS";"A1460",#N/A,FALSE,"A1460"}</definedName>
    <definedName name="as" hidden="1">{"Sales 2",#N/A,FALSE,"SALES";"Transfer 2",#N/A,FALSE,"TRANSFERS";"A1460",#N/A,FALSE,"A1460"}</definedName>
    <definedName name="AS2DocOpenMode" hidden="1">"AS2DocumentEdit"</definedName>
    <definedName name="AS2LinkLS" localSheetId="21" hidden="1">#REF!</definedName>
    <definedName name="AS2LinkLS" localSheetId="22" hidden="1">#REF!</definedName>
    <definedName name="AS2LinkLS" localSheetId="9" hidden="1">#REF!</definedName>
    <definedName name="AS2LinkLS" localSheetId="16" hidden="1">#REF!</definedName>
    <definedName name="AS2LinkLS" localSheetId="5" hidden="1">#REF!</definedName>
    <definedName name="AS2LinkLS" localSheetId="17" hidden="1">#REF!</definedName>
    <definedName name="AS2LinkLS" hidden="1">#REF!</definedName>
    <definedName name="AS2ReportLS" hidden="1">1</definedName>
    <definedName name="AS2StaticLS" localSheetId="21" hidden="1">#REF!</definedName>
    <definedName name="AS2StaticLS" localSheetId="22" hidden="1">#REF!</definedName>
    <definedName name="AS2StaticLS" localSheetId="9" hidden="1">#REF!</definedName>
    <definedName name="AS2StaticLS" localSheetId="16" hidden="1">#REF!</definedName>
    <definedName name="AS2StaticLS" localSheetId="5" hidden="1">#REF!</definedName>
    <definedName name="AS2StaticLS" localSheetId="17" hidden="1">#REF!</definedName>
    <definedName name="AS2StaticLS" hidden="1">#REF!</definedName>
    <definedName name="AS2SyncStepLS" hidden="1">0</definedName>
    <definedName name="AS2TickmarkLS" localSheetId="21" hidden="1">#REF!</definedName>
    <definedName name="AS2TickmarkLS" localSheetId="22" hidden="1">#REF!</definedName>
    <definedName name="AS2TickmarkLS" localSheetId="9" hidden="1">#REF!</definedName>
    <definedName name="AS2TickmarkLS" localSheetId="7" hidden="1">#REF!</definedName>
    <definedName name="AS2TickmarkLS" localSheetId="2" hidden="1">#REF!</definedName>
    <definedName name="AS2TickmarkLS" localSheetId="16" hidden="1">#REF!</definedName>
    <definedName name="AS2TickmarkLS" localSheetId="5" hidden="1">#REF!</definedName>
    <definedName name="AS2TickmarkLS" localSheetId="17" hidden="1">#REF!</definedName>
    <definedName name="AS2TickmarkLS" hidden="1">#REF!</definedName>
    <definedName name="AS2VersionLS" hidden="1">300</definedName>
    <definedName name="ASADA_WORKING" localSheetId="21">#REF!</definedName>
    <definedName name="ASADA_WORKING" localSheetId="22">#REF!</definedName>
    <definedName name="ASADA_WORKING" localSheetId="9">#REF!</definedName>
    <definedName name="ASADA_WORKING" localSheetId="2">#REF!</definedName>
    <definedName name="ASADA_WORKING" localSheetId="16">#REF!</definedName>
    <definedName name="ASADA_WORKING" localSheetId="5">#REF!</definedName>
    <definedName name="ASADA_WORKING" localSheetId="17">#REF!</definedName>
    <definedName name="ASADA_WORKING">#REF!</definedName>
    <definedName name="asasassas" localSheetId="11">[19]Furniture!#REF!</definedName>
    <definedName name="asasassas" localSheetId="7">[19]Furniture!#REF!</definedName>
    <definedName name="asasassas">[19]Furniture!#REF!</definedName>
    <definedName name="asd" localSheetId="21">[34]ProfitProv!#REF!</definedName>
    <definedName name="asd" localSheetId="22">[34]ProfitProv!#REF!</definedName>
    <definedName name="asd" localSheetId="9">[34]ProfitProv!#REF!</definedName>
    <definedName name="asd" localSheetId="2">[34]ProfitProv!#REF!</definedName>
    <definedName name="asd" localSheetId="16">[34]ProfitProv!#REF!</definedName>
    <definedName name="asd" localSheetId="5">[34]ProfitProv!#REF!</definedName>
    <definedName name="asd" localSheetId="17">[34]ProfitProv!#REF!</definedName>
    <definedName name="asd">[34]ProfitProv!#REF!</definedName>
    <definedName name="asda" localSheetId="21" hidden="1">#REF!</definedName>
    <definedName name="asda" localSheetId="22" hidden="1">#REF!</definedName>
    <definedName name="asda" localSheetId="9" hidden="1">#REF!</definedName>
    <definedName name="asda" localSheetId="2" hidden="1">#REF!</definedName>
    <definedName name="asda" localSheetId="16" hidden="1">#REF!</definedName>
    <definedName name="asda" localSheetId="5" hidden="1">#REF!</definedName>
    <definedName name="asda" localSheetId="17" hidden="1">#REF!</definedName>
    <definedName name="asda" hidden="1">#REF!</definedName>
    <definedName name="asdf" localSheetId="21" hidden="1">{#N/A,#N/A,FALSE,"dec98qtr";#N/A,#N/A,FALSE,"suppdecsep98";#N/A,#N/A,FALSE,"w-dec98"}</definedName>
    <definedName name="asdf" localSheetId="9" hidden="1">{#N/A,#N/A,FALSE,"dec98qtr";#N/A,#N/A,FALSE,"suppdecsep98";#N/A,#N/A,FALSE,"w-dec98"}</definedName>
    <definedName name="asdf" localSheetId="11" hidden="1">{#N/A,#N/A,FALSE,"dec98qtr";#N/A,#N/A,FALSE,"suppdecsep98";#N/A,#N/A,FALSE,"w-dec98"}</definedName>
    <definedName name="asdf" localSheetId="2" hidden="1">{#N/A,#N/A,FALSE,"dec98qtr";#N/A,#N/A,FALSE,"suppdecsep98";#N/A,#N/A,FALSE,"w-dec98"}</definedName>
    <definedName name="asdf" hidden="1">{#N/A,#N/A,FALSE,"dec98qtr";#N/A,#N/A,FALSE,"suppdecsep98";#N/A,#N/A,FALSE,"w-dec98"}</definedName>
    <definedName name="asdsads" localSheetId="11">[19]Furniture!#REF!</definedName>
    <definedName name="asdsads" localSheetId="7">[19]Furniture!#REF!</definedName>
    <definedName name="asdsads">[19]Furniture!#REF!</definedName>
    <definedName name="Asgar" localSheetId="21">#REF!</definedName>
    <definedName name="Asgar" localSheetId="22">#REF!</definedName>
    <definedName name="Asgar" localSheetId="9">#REF!</definedName>
    <definedName name="Asgar" localSheetId="7">#REF!</definedName>
    <definedName name="Asgar" localSheetId="16">#REF!</definedName>
    <definedName name="Asgar" localSheetId="5">#REF!</definedName>
    <definedName name="Asgar" localSheetId="17">#REF!</definedName>
    <definedName name="Asgar">#REF!</definedName>
    <definedName name="asgdj" localSheetId="21" hidden="1">{"'CALL MONEY'!$K$53"}</definedName>
    <definedName name="asgdj" localSheetId="9" hidden="1">{"'CALL MONEY'!$K$53"}</definedName>
    <definedName name="asgdj" localSheetId="11" hidden="1">{"'CALL MONEY'!$K$53"}</definedName>
    <definedName name="asgdj" hidden="1">{"'CALL MONEY'!$K$53"}</definedName>
    <definedName name="asgdjh" localSheetId="21" hidden="1">{"'CALL MONEY'!$K$53"}</definedName>
    <definedName name="asgdjh" localSheetId="9" hidden="1">{"'CALL MONEY'!$K$53"}</definedName>
    <definedName name="asgdjh" localSheetId="11" hidden="1">{"'CALL MONEY'!$K$53"}</definedName>
    <definedName name="asgdjh" hidden="1">{"'CALL MONEY'!$K$53"}</definedName>
    <definedName name="ASHRAF" localSheetId="21">#REF!</definedName>
    <definedName name="ASHRAF" localSheetId="22">#REF!</definedName>
    <definedName name="ASHRAF" localSheetId="9">#REF!</definedName>
    <definedName name="ASHRAF" localSheetId="7">#REF!</definedName>
    <definedName name="ASHRAF" localSheetId="16">#REF!</definedName>
    <definedName name="ASHRAF" localSheetId="5">#REF!</definedName>
    <definedName name="ASHRAF" localSheetId="17">#REF!</definedName>
    <definedName name="ASHRAF">#REF!</definedName>
    <definedName name="asif" localSheetId="21" hidden="1">{#N/A,#N/A,FALSE,"dec98qtr";#N/A,#N/A,FALSE,"suppdecsep98";#N/A,#N/A,FALSE,"w-dec98"}</definedName>
    <definedName name="asif" localSheetId="9" hidden="1">{#N/A,#N/A,FALSE,"dec98qtr";#N/A,#N/A,FALSE,"suppdecsep98";#N/A,#N/A,FALSE,"w-dec98"}</definedName>
    <definedName name="asif" localSheetId="11" hidden="1">{#N/A,#N/A,FALSE,"dec98qtr";#N/A,#N/A,FALSE,"suppdecsep98";#N/A,#N/A,FALSE,"w-dec98"}</definedName>
    <definedName name="asif" localSheetId="2" hidden="1">{#N/A,#N/A,FALSE,"dec98qtr";#N/A,#N/A,FALSE,"suppdecsep98";#N/A,#N/A,FALSE,"w-dec98"}</definedName>
    <definedName name="asif" hidden="1">{#N/A,#N/A,FALSE,"dec98qtr";#N/A,#N/A,FALSE,"suppdecsep98";#N/A,#N/A,FALSE,"w-dec98"}</definedName>
    <definedName name="asim" localSheetId="21" hidden="1">{#N/A,#N/A,FALSE,"dec98qtr";#N/A,#N/A,FALSE,"suppdecsep98";#N/A,#N/A,FALSE,"w-dec98"}</definedName>
    <definedName name="asim" localSheetId="9" hidden="1">{#N/A,#N/A,FALSE,"dec98qtr";#N/A,#N/A,FALSE,"suppdecsep98";#N/A,#N/A,FALSE,"w-dec98"}</definedName>
    <definedName name="asim" localSheetId="11" hidden="1">{#N/A,#N/A,FALSE,"dec98qtr";#N/A,#N/A,FALSE,"suppdecsep98";#N/A,#N/A,FALSE,"w-dec98"}</definedName>
    <definedName name="asim" localSheetId="2" hidden="1">{#N/A,#N/A,FALSE,"dec98qtr";#N/A,#N/A,FALSE,"suppdecsep98";#N/A,#N/A,FALSE,"w-dec98"}</definedName>
    <definedName name="asim" hidden="1">{#N/A,#N/A,FALSE,"dec98qtr";#N/A,#N/A,FALSE,"suppdecsep98";#N/A,#N/A,FALSE,"w-dec98"}</definedName>
    <definedName name="ASSE" localSheetId="21">[17]Sheet3!#REF!</definedName>
    <definedName name="ASSE" localSheetId="22">'[18]Abu Dhabi'!#REF!</definedName>
    <definedName name="ASSE" localSheetId="9">'[18]Abu Dhabi'!#REF!</definedName>
    <definedName name="ASSE" localSheetId="7">[17]Sheet3!#REF!</definedName>
    <definedName name="ASSE" localSheetId="16">'[18]Abu Dhabi'!#REF!</definedName>
    <definedName name="ASSE" localSheetId="5">'[18]Abu Dhabi'!#REF!</definedName>
    <definedName name="ASSE" localSheetId="17">'[18]Abu Dhabi'!#REF!</definedName>
    <definedName name="ASSE">'[18]Abu Dhabi'!#REF!</definedName>
    <definedName name="asset_trf" localSheetId="21">#REF!</definedName>
    <definedName name="asset_trf" localSheetId="22">#REF!</definedName>
    <definedName name="asset_trf" localSheetId="9">#REF!</definedName>
    <definedName name="asset_trf" localSheetId="2">#REF!</definedName>
    <definedName name="asset_trf" localSheetId="16">#REF!</definedName>
    <definedName name="asset_trf" localSheetId="5">#REF!</definedName>
    <definedName name="asset_trf" localSheetId="17">#REF!</definedName>
    <definedName name="asset_trf">#REF!</definedName>
    <definedName name="ASSET1" localSheetId="21">#REF!</definedName>
    <definedName name="ASSET1" localSheetId="22">#REF!</definedName>
    <definedName name="ASSET1" localSheetId="9">#REF!</definedName>
    <definedName name="ASSET1" localSheetId="7">#REF!</definedName>
    <definedName name="ASSET1" localSheetId="16">#REF!</definedName>
    <definedName name="ASSET1" localSheetId="5">#REF!</definedName>
    <definedName name="ASSET1" localSheetId="17">#REF!</definedName>
    <definedName name="ASSET1">#REF!</definedName>
    <definedName name="ASSET2" localSheetId="21">#REF!</definedName>
    <definedName name="ASSET2" localSheetId="22">#REF!</definedName>
    <definedName name="ASSET2" localSheetId="9">#REF!</definedName>
    <definedName name="ASSET2" localSheetId="7">#REF!</definedName>
    <definedName name="ASSET2" localSheetId="16">#REF!</definedName>
    <definedName name="ASSET2" localSheetId="5">#REF!</definedName>
    <definedName name="ASSET2" localSheetId="17">#REF!</definedName>
    <definedName name="ASSET2">#REF!</definedName>
    <definedName name="ASSET3" localSheetId="21">#REF!</definedName>
    <definedName name="ASSET3" localSheetId="22">#REF!</definedName>
    <definedName name="ASSET3" localSheetId="9">#REF!</definedName>
    <definedName name="ASSET3" localSheetId="7">#REF!</definedName>
    <definedName name="ASSET3" localSheetId="16">#REF!</definedName>
    <definedName name="ASSET3" localSheetId="5">#REF!</definedName>
    <definedName name="ASSET3" localSheetId="17">#REF!</definedName>
    <definedName name="ASSET3">#REF!</definedName>
    <definedName name="ASSET4" localSheetId="21">#REF!</definedName>
    <definedName name="ASSET4" localSheetId="22">#REF!</definedName>
    <definedName name="ASSET4" localSheetId="9">#REF!</definedName>
    <definedName name="ASSET4" localSheetId="7">#REF!</definedName>
    <definedName name="ASSET4" localSheetId="16">#REF!</definedName>
    <definedName name="ASSET4" localSheetId="5">#REF!</definedName>
    <definedName name="ASSET4" localSheetId="17">#REF!</definedName>
    <definedName name="ASSET4">#REF!</definedName>
    <definedName name="AU_329" localSheetId="11">[36]Overview!#REF!</definedName>
    <definedName name="AU_329" localSheetId="7">[36]Overview!#REF!</definedName>
    <definedName name="AU_329">[36]Overview!#REF!</definedName>
    <definedName name="AUD" localSheetId="11" hidden="1">{"'CALL MONEY'!$K$53"}</definedName>
    <definedName name="AUD" localSheetId="7" hidden="1">{"'CALL MONEY'!$K$53"}</definedName>
    <definedName name="AUD" hidden="1">{"'CALL MONEY'!$K$53"}</definedName>
    <definedName name="aug" localSheetId="21">#REF!</definedName>
    <definedName name="aug" localSheetId="22">#REF!</definedName>
    <definedName name="aug" localSheetId="9">#REF!</definedName>
    <definedName name="aug" localSheetId="16">#REF!</definedName>
    <definedName name="aug" localSheetId="5">#REF!</definedName>
    <definedName name="aug" localSheetId="17">#REF!</definedName>
    <definedName name="aug">#REF!</definedName>
    <definedName name="azs" localSheetId="21">[34]ProfitProv!#REF!</definedName>
    <definedName name="azs" localSheetId="22">[34]ProfitProv!#REF!</definedName>
    <definedName name="azs" localSheetId="9">[34]ProfitProv!#REF!</definedName>
    <definedName name="azs" localSheetId="2">[34]ProfitProv!#REF!</definedName>
    <definedName name="azs" localSheetId="16">[34]ProfitProv!#REF!</definedName>
    <definedName name="azs" localSheetId="5">[34]ProfitProv!#REF!</definedName>
    <definedName name="azs" localSheetId="17">[34]ProfitProv!#REF!</definedName>
    <definedName name="azs">[34]ProfitProv!#REF!</definedName>
    <definedName name="azx" localSheetId="21">'[4]GP Analysis'!#REF!</definedName>
    <definedName name="azx" localSheetId="22">'[4]GP Analysis'!#REF!</definedName>
    <definedName name="azx" localSheetId="9">'[4]GP Analysis'!#REF!</definedName>
    <definedName name="azx" localSheetId="2">'[4]GP Analysis'!#REF!</definedName>
    <definedName name="azx" localSheetId="16">'[4]GP Analysis'!#REF!</definedName>
    <definedName name="azx" localSheetId="5">'[4]GP Analysis'!#REF!</definedName>
    <definedName name="azx" localSheetId="17">'[4]GP Analysis'!#REF!</definedName>
    <definedName name="azx">'[4]GP Analysis'!#REF!</definedName>
    <definedName name="b" localSheetId="21">#REF!</definedName>
    <definedName name="b" localSheetId="22">#REF!</definedName>
    <definedName name="b" localSheetId="9">#REF!</definedName>
    <definedName name="b" localSheetId="7">#REF!</definedName>
    <definedName name="b" localSheetId="16">#REF!</definedName>
    <definedName name="b" localSheetId="5">#REF!</definedName>
    <definedName name="b" localSheetId="17">#REF!</definedName>
    <definedName name="b">#REF!</definedName>
    <definedName name="B_S_VARIANCE" localSheetId="21">#REF!</definedName>
    <definedName name="B_S_VARIANCE" localSheetId="22">#REF!</definedName>
    <definedName name="B_S_VARIANCE" localSheetId="9">#REF!</definedName>
    <definedName name="B_S_VARIANCE" localSheetId="2">#REF!</definedName>
    <definedName name="B_S_VARIANCE" localSheetId="16">#REF!</definedName>
    <definedName name="B_S_VARIANCE" localSheetId="5">#REF!</definedName>
    <definedName name="B_S_VARIANCE" localSheetId="17">#REF!</definedName>
    <definedName name="B_S_VARIANCE">#REF!</definedName>
    <definedName name="B_SHEET__MIS" localSheetId="21">'[37]Balance Sheet'!#REF!</definedName>
    <definedName name="B_SHEET__MIS" localSheetId="22">'[37]Balance Sheet'!#REF!</definedName>
    <definedName name="B_SHEET__MIS" localSheetId="9">'[37]Balance Sheet'!#REF!</definedName>
    <definedName name="B_SHEET__MIS" localSheetId="2">'[37]Balance Sheet'!#REF!</definedName>
    <definedName name="B_SHEET__MIS" localSheetId="16">'[37]Balance Sheet'!#REF!</definedName>
    <definedName name="B_SHEET__MIS" localSheetId="5">'[37]Balance Sheet'!#REF!</definedName>
    <definedName name="B_SHEET__MIS" localSheetId="17">'[37]Balance Sheet'!#REF!</definedName>
    <definedName name="B_SHEET__MIS">'[37]Balance Sheet'!#REF!</definedName>
    <definedName name="B_SHEET_FIN_A_C" localSheetId="21">#REF!</definedName>
    <definedName name="B_SHEET_FIN_A_C" localSheetId="22">#REF!</definedName>
    <definedName name="B_SHEET_FIN_A_C" localSheetId="9">#REF!</definedName>
    <definedName name="B_SHEET_FIN_A_C" localSheetId="2">#REF!</definedName>
    <definedName name="B_SHEET_FIN_A_C" localSheetId="16">#REF!</definedName>
    <definedName name="B_SHEET_FIN_A_C" localSheetId="5">#REF!</definedName>
    <definedName name="B_SHEET_FIN_A_C" localSheetId="17">#REF!</definedName>
    <definedName name="B_SHEET_FIN_A_C">#REF!</definedName>
    <definedName name="B_SHEET_FUJI">'[38]BS-JPN'!$A$4:$U$35</definedName>
    <definedName name="bahrain">[39]BAHRAIN!$A$14:$F$23</definedName>
    <definedName name="BAHRAIN1" localSheetId="21">[8]Sheet4!$L$14:$L$105</definedName>
    <definedName name="BAHRAIN1" localSheetId="7">[8]Sheet4!$L$14:$L$105</definedName>
    <definedName name="BAHRAIN1">[6]Sheet4!$L$14:$L$105</definedName>
    <definedName name="BAHRAIN2" localSheetId="21">[8]Sheet4!$Y$14:$Y$105</definedName>
    <definedName name="BAHRAIN2" localSheetId="7">[8]Sheet4!$Y$14:$Y$105</definedName>
    <definedName name="BAHRAIN2">[6]Sheet4!$Y$14:$Y$105</definedName>
    <definedName name="bal" localSheetId="21" hidden="1">{"'CALL MONEY'!$K$53"}</definedName>
    <definedName name="bal" localSheetId="9" hidden="1">{"'CALL MONEY'!$K$53"}</definedName>
    <definedName name="bal" localSheetId="11" hidden="1">{"'CALL MONEY'!$K$53"}</definedName>
    <definedName name="bal" localSheetId="7">'[40]Revenue-Fire-Marine-Motor'!#REF!</definedName>
    <definedName name="bal" hidden="1">{"'CALL MONEY'!$K$53"}</definedName>
    <definedName name="balance" localSheetId="21">'[41]Revenue-Fire-Marine-Motor'!#REF!</definedName>
    <definedName name="balance" localSheetId="22">'[41]Revenue-Fire-Marine-Motor'!#REF!</definedName>
    <definedName name="balance" localSheetId="9">'[41]Revenue-Fire-Marine-Motor'!#REF!</definedName>
    <definedName name="balance" localSheetId="7">'[42]Revenue-Fire-Marine-Motor'!#REF!</definedName>
    <definedName name="balance" localSheetId="2">'[41]Revenue-Fire-Marine-Motor'!#REF!</definedName>
    <definedName name="balance" localSheetId="16">'[41]Revenue-Fire-Marine-Motor'!#REF!</definedName>
    <definedName name="balance" localSheetId="5">'[41]Revenue-Fire-Marine-Motor'!#REF!</definedName>
    <definedName name="balance" localSheetId="17">'[41]Revenue-Fire-Marine-Motor'!#REF!</definedName>
    <definedName name="balance">'[41]Revenue-Fire-Marine-Motor'!#REF!</definedName>
    <definedName name="Balance_Sheet" localSheetId="21">#REF!</definedName>
    <definedName name="Balance_Sheet" localSheetId="22">#REF!</definedName>
    <definedName name="Balance_Sheet" localSheetId="9">#REF!</definedName>
    <definedName name="Balance_Sheet" localSheetId="2">#REF!</definedName>
    <definedName name="Balance_Sheet" localSheetId="16">#REF!</definedName>
    <definedName name="Balance_Sheet" localSheetId="5">#REF!</definedName>
    <definedName name="Balance_Sheet" localSheetId="17">#REF!</definedName>
    <definedName name="Balance_Sheet">#REF!</definedName>
    <definedName name="BALANCE_SHEET_NEW" localSheetId="21">#REF!</definedName>
    <definedName name="BALANCE_SHEET_NEW" localSheetId="22">#REF!</definedName>
    <definedName name="BALANCE_SHEET_NEW" localSheetId="9">#REF!</definedName>
    <definedName name="BALANCE_SHEET_NEW" localSheetId="2">#REF!</definedName>
    <definedName name="BALANCE_SHEET_NEW" localSheetId="16">#REF!</definedName>
    <definedName name="BALANCE_SHEET_NEW" localSheetId="5">#REF!</definedName>
    <definedName name="BALANCE_SHEET_NEW" localSheetId="17">#REF!</definedName>
    <definedName name="BALANCE_SHEET_NEW">#REF!</definedName>
    <definedName name="balances" localSheetId="21" hidden="1">{"'CALL MONEY'!$K$53"}</definedName>
    <definedName name="balances" localSheetId="9" hidden="1">{"'CALL MONEY'!$K$53"}</definedName>
    <definedName name="balances" localSheetId="11" hidden="1">{"'CALL MONEY'!$K$53"}</definedName>
    <definedName name="balances" localSheetId="7" hidden="1">{"'CALL MONEY'!$K$53"}</definedName>
    <definedName name="balances" hidden="1">{"'CALL MONEY'!$K$53"}</definedName>
    <definedName name="BalanceSheetDates" localSheetId="21">#REF!</definedName>
    <definedName name="BalanceSheetDates" localSheetId="22">#REF!</definedName>
    <definedName name="BalanceSheetDates" localSheetId="9">#REF!</definedName>
    <definedName name="BalanceSheetDates" localSheetId="7">#REF!</definedName>
    <definedName name="BalanceSheetDates" localSheetId="2">#REF!</definedName>
    <definedName name="BalanceSheetDates" localSheetId="16">#REF!</definedName>
    <definedName name="BalanceSheetDates" localSheetId="5">#REF!</definedName>
    <definedName name="BalanceSheetDates" localSheetId="17">#REF!</definedName>
    <definedName name="BalanceSheetDates">#REF!</definedName>
    <definedName name="BALTIT">'[43]Fin Stats'!$A$29</definedName>
    <definedName name="BB">#REF!</definedName>
    <definedName name="BBB">#REF!</definedName>
    <definedName name="BdyRng" localSheetId="11">#REF!</definedName>
    <definedName name="BdyRng" localSheetId="7">#REF!</definedName>
    <definedName name="BdyRng">#REF!</definedName>
    <definedName name="Beg_Bal">#REF!</definedName>
    <definedName name="bela" localSheetId="21">#REF!</definedName>
    <definedName name="bela" localSheetId="22">#REF!</definedName>
    <definedName name="bela" localSheetId="9">#REF!</definedName>
    <definedName name="bela" localSheetId="7">#REF!</definedName>
    <definedName name="bela" localSheetId="16">#REF!</definedName>
    <definedName name="bela" localSheetId="5">#REF!</definedName>
    <definedName name="bela" localSheetId="17">#REF!</definedName>
    <definedName name="bela">#REF!</definedName>
    <definedName name="BELOW" localSheetId="21">#REF!</definedName>
    <definedName name="BELOW" localSheetId="22">#REF!</definedName>
    <definedName name="BELOW" localSheetId="9">#REF!</definedName>
    <definedName name="BELOW" localSheetId="7">#REF!</definedName>
    <definedName name="BELOW" localSheetId="16">#REF!</definedName>
    <definedName name="BELOW" localSheetId="5">#REF!</definedName>
    <definedName name="BELOW" localSheetId="17">#REF!</definedName>
    <definedName name="BELOW">#REF!</definedName>
    <definedName name="BG_Del" hidden="1">15</definedName>
    <definedName name="BG_Ins" hidden="1">4</definedName>
    <definedName name="BG_Mod" hidden="1">6</definedName>
    <definedName name="BOOK" localSheetId="21">#REF!</definedName>
    <definedName name="BOOK" localSheetId="22">#REF!</definedName>
    <definedName name="BOOK" localSheetId="9">#REF!</definedName>
    <definedName name="BOOK" localSheetId="16">#REF!</definedName>
    <definedName name="BOOK" localSheetId="5">#REF!</definedName>
    <definedName name="BOOK" localSheetId="17">#REF!</definedName>
    <definedName name="BOOK">#REF!</definedName>
    <definedName name="BOTTOM" localSheetId="21">#REF!</definedName>
    <definedName name="BOTTOM" localSheetId="22">#REF!</definedName>
    <definedName name="BOTTOM" localSheetId="9">#REF!</definedName>
    <definedName name="BOTTOM" localSheetId="7">#REF!</definedName>
    <definedName name="BOTTOM" localSheetId="16">#REF!</definedName>
    <definedName name="BOTTOM" localSheetId="5">#REF!</definedName>
    <definedName name="BOTTOM" localSheetId="17">#REF!</definedName>
    <definedName name="BOTTOM">#REF!</definedName>
    <definedName name="Brand" localSheetId="21">[44]ProfitProv!#REF!</definedName>
    <definedName name="Brand" localSheetId="22">[44]ProfitProv!#REF!</definedName>
    <definedName name="Brand" localSheetId="9">[44]ProfitProv!#REF!</definedName>
    <definedName name="Brand" localSheetId="2">[44]ProfitProv!#REF!</definedName>
    <definedName name="Brand" localSheetId="16">[44]ProfitProv!#REF!</definedName>
    <definedName name="Brand" localSheetId="5">[44]ProfitProv!#REF!</definedName>
    <definedName name="Brand" localSheetId="17">[44]ProfitProv!#REF!</definedName>
    <definedName name="Brand">[44]ProfitProv!#REF!</definedName>
    <definedName name="BROKER">[45]LIST!$D$1:$D$1000</definedName>
    <definedName name="bs" localSheetId="21">#REF!</definedName>
    <definedName name="bs" localSheetId="22">#REF!</definedName>
    <definedName name="bs" localSheetId="9">#REF!</definedName>
    <definedName name="bs" localSheetId="7">#REF!</definedName>
    <definedName name="bs" localSheetId="2">#REF!</definedName>
    <definedName name="bs" localSheetId="16">#REF!</definedName>
    <definedName name="bs" localSheetId="5">#REF!</definedName>
    <definedName name="bs" localSheetId="17">#REF!</definedName>
    <definedName name="bs">#REF!</definedName>
    <definedName name="BSC" localSheetId="21">#REF!</definedName>
    <definedName name="BSC" localSheetId="22">#REF!</definedName>
    <definedName name="BSC" localSheetId="9">#REF!</definedName>
    <definedName name="BSC" localSheetId="16">#REF!</definedName>
    <definedName name="BSC" localSheetId="5">#REF!</definedName>
    <definedName name="BSC" localSheetId="17">#REF!</definedName>
    <definedName name="BSC">#REF!</definedName>
    <definedName name="BSCO" localSheetId="21">#REF!</definedName>
    <definedName name="BSCO" localSheetId="22">#REF!</definedName>
    <definedName name="BSCO" localSheetId="9">#REF!</definedName>
    <definedName name="BSCO" localSheetId="16">#REF!</definedName>
    <definedName name="BSCO" localSheetId="5">#REF!</definedName>
    <definedName name="BSCO" localSheetId="17">#REF!</definedName>
    <definedName name="BSCO">#REF!</definedName>
    <definedName name="BSCO1" localSheetId="21">#REF!</definedName>
    <definedName name="BSCO1" localSheetId="22">#REF!</definedName>
    <definedName name="BSCO1" localSheetId="9">#REF!</definedName>
    <definedName name="BSCO1" localSheetId="16">#REF!</definedName>
    <definedName name="BSCO1" localSheetId="5">#REF!</definedName>
    <definedName name="BSCO1" localSheetId="17">#REF!</definedName>
    <definedName name="BSCO1">#REF!</definedName>
    <definedName name="BSCOMB" localSheetId="21">#REF!</definedName>
    <definedName name="BSCOMB" localSheetId="22">#REF!</definedName>
    <definedName name="BSCOMB" localSheetId="9">#REF!</definedName>
    <definedName name="BSCOMB" localSheetId="7">#REF!</definedName>
    <definedName name="BSCOMB" localSheetId="16">#REF!</definedName>
    <definedName name="BSCOMB" localSheetId="5">#REF!</definedName>
    <definedName name="BSCOMB" localSheetId="17">#REF!</definedName>
    <definedName name="BSCOMB">#REF!</definedName>
    <definedName name="BSD" localSheetId="21">#REF!</definedName>
    <definedName name="BSD" localSheetId="22">#REF!</definedName>
    <definedName name="BSD" localSheetId="9">#REF!</definedName>
    <definedName name="BSD" localSheetId="16">#REF!</definedName>
    <definedName name="BSD" localSheetId="5">#REF!</definedName>
    <definedName name="BSD" localSheetId="17">#REF!</definedName>
    <definedName name="BSD">#REF!</definedName>
    <definedName name="bsdec">'[46]December 06'!$A$93:$D$158</definedName>
    <definedName name="bsdec06" localSheetId="21">#REF!</definedName>
    <definedName name="bsdec06" localSheetId="22">#REF!</definedName>
    <definedName name="bsdec06" localSheetId="9">#REF!</definedName>
    <definedName name="bsdec06" localSheetId="16">#REF!</definedName>
    <definedName name="bsdec06" localSheetId="5">#REF!</definedName>
    <definedName name="bsdec06" localSheetId="17">#REF!</definedName>
    <definedName name="bsdec06">#REF!</definedName>
    <definedName name="BSH" localSheetId="21">#REF!</definedName>
    <definedName name="BSH" localSheetId="22">#REF!</definedName>
    <definedName name="BSH" localSheetId="9">#REF!</definedName>
    <definedName name="BSH" localSheetId="16">#REF!</definedName>
    <definedName name="BSH" localSheetId="5">#REF!</definedName>
    <definedName name="BSH" localSheetId="17">#REF!</definedName>
    <definedName name="BSH">#REF!</definedName>
    <definedName name="bsmarch">[47]MarchSL904!$A$102:$C$191</definedName>
    <definedName name="bsmarch07">'[48]March 110'!$A$84:$C$153</definedName>
    <definedName name="bsn" localSheetId="21">#REF!</definedName>
    <definedName name="bsn" localSheetId="22">#REF!</definedName>
    <definedName name="bsn" localSheetId="9">#REF!</definedName>
    <definedName name="bsn" localSheetId="16">#REF!</definedName>
    <definedName name="bsn" localSheetId="5">#REF!</definedName>
    <definedName name="bsn" localSheetId="17">#REF!</definedName>
    <definedName name="bsn">#REF!</definedName>
    <definedName name="BSP" localSheetId="21">#REF!</definedName>
    <definedName name="BSP" localSheetId="22">#REF!</definedName>
    <definedName name="BSP" localSheetId="9">#REF!</definedName>
    <definedName name="BSP" localSheetId="16">#REF!</definedName>
    <definedName name="BSP" localSheetId="5">#REF!</definedName>
    <definedName name="BSP" localSheetId="17">#REF!</definedName>
    <definedName name="BSP">#REF!</definedName>
    <definedName name="BSS" localSheetId="21">#REF!</definedName>
    <definedName name="BSS" localSheetId="22">#REF!</definedName>
    <definedName name="BSS" localSheetId="9">#REF!</definedName>
    <definedName name="BSS" localSheetId="16">#REF!</definedName>
    <definedName name="BSS" localSheetId="5">#REF!</definedName>
    <definedName name="BSS" localSheetId="17">#REF!</definedName>
    <definedName name="BSS">#REF!</definedName>
    <definedName name="BST" localSheetId="21">#REF!</definedName>
    <definedName name="BST" localSheetId="22">#REF!</definedName>
    <definedName name="BST" localSheetId="9">#REF!</definedName>
    <definedName name="BST" localSheetId="16">#REF!</definedName>
    <definedName name="BST" localSheetId="5">#REF!</definedName>
    <definedName name="BST" localSheetId="17">#REF!</definedName>
    <definedName name="BST">#REF!</definedName>
    <definedName name="BuiltIn_AutoFilter___2" localSheetId="21">#REF!</definedName>
    <definedName name="BuiltIn_AutoFilter___2" localSheetId="22">#REF!</definedName>
    <definedName name="BuiltIn_AutoFilter___2" localSheetId="9">#REF!</definedName>
    <definedName name="BuiltIn_AutoFilter___2" localSheetId="7">#REF!</definedName>
    <definedName name="BuiltIn_AutoFilter___2" localSheetId="2">#REF!</definedName>
    <definedName name="BuiltIn_AutoFilter___2" localSheetId="16">#REF!</definedName>
    <definedName name="BuiltIn_AutoFilter___2" localSheetId="5">#REF!</definedName>
    <definedName name="BuiltIn_AutoFilter___2" localSheetId="17">#REF!</definedName>
    <definedName name="BuiltIn_AutoFilter___2">#REF!</definedName>
    <definedName name="BuiltIn_AutoFilter___2_1" localSheetId="21">#REF!</definedName>
    <definedName name="BuiltIn_AutoFilter___2_1" localSheetId="22">#REF!</definedName>
    <definedName name="BuiltIn_AutoFilter___2_1" localSheetId="9">#REF!</definedName>
    <definedName name="BuiltIn_AutoFilter___2_1" localSheetId="7">#REF!</definedName>
    <definedName name="BuiltIn_AutoFilter___2_1" localSheetId="16">#REF!</definedName>
    <definedName name="BuiltIn_AutoFilter___2_1" localSheetId="5">#REF!</definedName>
    <definedName name="BuiltIn_AutoFilter___2_1" localSheetId="17">#REF!</definedName>
    <definedName name="BuiltIn_AutoFilter___2_1">#REF!</definedName>
    <definedName name="BuiltIn_AutoFilter___2_10" localSheetId="21">#REF!</definedName>
    <definedName name="BuiltIn_AutoFilter___2_10" localSheetId="22">#REF!</definedName>
    <definedName name="BuiltIn_AutoFilter___2_10" localSheetId="9">#REF!</definedName>
    <definedName name="BuiltIn_AutoFilter___2_10" localSheetId="7">#REF!</definedName>
    <definedName name="BuiltIn_AutoFilter___2_10" localSheetId="16">#REF!</definedName>
    <definedName name="BuiltIn_AutoFilter___2_10" localSheetId="5">#REF!</definedName>
    <definedName name="BuiltIn_AutoFilter___2_10" localSheetId="17">#REF!</definedName>
    <definedName name="BuiltIn_AutoFilter___2_10">#REF!</definedName>
    <definedName name="BuiltIn_AutoFilter___2_11" localSheetId="11">#REF!</definedName>
    <definedName name="BuiltIn_AutoFilter___2_11" localSheetId="7">#REF!</definedName>
    <definedName name="BuiltIn_AutoFilter___2_11">#REF!</definedName>
    <definedName name="BuiltIn_AutoFilter___2_12" localSheetId="11">#REF!</definedName>
    <definedName name="BuiltIn_AutoFilter___2_12" localSheetId="7">#REF!</definedName>
    <definedName name="BuiltIn_AutoFilter___2_12">#REF!</definedName>
    <definedName name="BuiltIn_AutoFilter___2_13" localSheetId="11">#REF!</definedName>
    <definedName name="BuiltIn_AutoFilter___2_13" localSheetId="7">#REF!</definedName>
    <definedName name="BuiltIn_AutoFilter___2_13">#REF!</definedName>
    <definedName name="BuiltIn_AutoFilter___2_14" localSheetId="11">#REF!</definedName>
    <definedName name="BuiltIn_AutoFilter___2_14" localSheetId="7">#REF!</definedName>
    <definedName name="BuiltIn_AutoFilter___2_14">#REF!</definedName>
    <definedName name="BuiltIn_AutoFilter___2_15" localSheetId="21">#REF!</definedName>
    <definedName name="BuiltIn_AutoFilter___2_15" localSheetId="22">#REF!</definedName>
    <definedName name="BuiltIn_AutoFilter___2_15" localSheetId="9">#REF!</definedName>
    <definedName name="BuiltIn_AutoFilter___2_15" localSheetId="7">#REF!</definedName>
    <definedName name="BuiltIn_AutoFilter___2_15" localSheetId="16">#REF!</definedName>
    <definedName name="BuiltIn_AutoFilter___2_15" localSheetId="5">#REF!</definedName>
    <definedName name="BuiltIn_AutoFilter___2_15" localSheetId="17">#REF!</definedName>
    <definedName name="BuiltIn_AutoFilter___2_15">#REF!</definedName>
    <definedName name="BuiltIn_AutoFilter___2_16" localSheetId="21">#REF!</definedName>
    <definedName name="BuiltIn_AutoFilter___2_16" localSheetId="22">#REF!</definedName>
    <definedName name="BuiltIn_AutoFilter___2_16" localSheetId="9">#REF!</definedName>
    <definedName name="BuiltIn_AutoFilter___2_16" localSheetId="7">#REF!</definedName>
    <definedName name="BuiltIn_AutoFilter___2_16" localSheetId="16">#REF!</definedName>
    <definedName name="BuiltIn_AutoFilter___2_16" localSheetId="5">#REF!</definedName>
    <definedName name="BuiltIn_AutoFilter___2_16" localSheetId="17">#REF!</definedName>
    <definedName name="BuiltIn_AutoFilter___2_16">#REF!</definedName>
    <definedName name="BuiltIn_AutoFilter___2_20" localSheetId="21">#REF!</definedName>
    <definedName name="BuiltIn_AutoFilter___2_20" localSheetId="22">#REF!</definedName>
    <definedName name="BuiltIn_AutoFilter___2_20" localSheetId="9">#REF!</definedName>
    <definedName name="BuiltIn_AutoFilter___2_20" localSheetId="7">#REF!</definedName>
    <definedName name="BuiltIn_AutoFilter___2_20" localSheetId="16">#REF!</definedName>
    <definedName name="BuiltIn_AutoFilter___2_20" localSheetId="5">#REF!</definedName>
    <definedName name="BuiltIn_AutoFilter___2_20" localSheetId="17">#REF!</definedName>
    <definedName name="BuiltIn_AutoFilter___2_20">#REF!</definedName>
    <definedName name="BuiltIn_AutoFilter___2_21" localSheetId="21">#REF!</definedName>
    <definedName name="BuiltIn_AutoFilter___2_21" localSheetId="22">#REF!</definedName>
    <definedName name="BuiltIn_AutoFilter___2_21" localSheetId="9">#REF!</definedName>
    <definedName name="BuiltIn_AutoFilter___2_21" localSheetId="7">#REF!</definedName>
    <definedName name="BuiltIn_AutoFilter___2_21" localSheetId="16">#REF!</definedName>
    <definedName name="BuiltIn_AutoFilter___2_21" localSheetId="5">#REF!</definedName>
    <definedName name="BuiltIn_AutoFilter___2_21" localSheetId="17">#REF!</definedName>
    <definedName name="BuiltIn_AutoFilter___2_21">#REF!</definedName>
    <definedName name="BuiltIn_AutoFilter___2_23" localSheetId="21">#REF!</definedName>
    <definedName name="BuiltIn_AutoFilter___2_23" localSheetId="22">#REF!</definedName>
    <definedName name="BuiltIn_AutoFilter___2_23" localSheetId="9">#REF!</definedName>
    <definedName name="BuiltIn_AutoFilter___2_23" localSheetId="7">#REF!</definedName>
    <definedName name="BuiltIn_AutoFilter___2_23" localSheetId="16">#REF!</definedName>
    <definedName name="BuiltIn_AutoFilter___2_23" localSheetId="5">#REF!</definedName>
    <definedName name="BuiltIn_AutoFilter___2_23" localSheetId="17">#REF!</definedName>
    <definedName name="BuiltIn_AutoFilter___2_23">#REF!</definedName>
    <definedName name="BuiltIn_AutoFilter___2_5" localSheetId="21">#REF!</definedName>
    <definedName name="BuiltIn_AutoFilter___2_5" localSheetId="22">#REF!</definedName>
    <definedName name="BuiltIn_AutoFilter___2_5" localSheetId="9">#REF!</definedName>
    <definedName name="BuiltIn_AutoFilter___2_5" localSheetId="7">#REF!</definedName>
    <definedName name="BuiltIn_AutoFilter___2_5" localSheetId="16">#REF!</definedName>
    <definedName name="BuiltIn_AutoFilter___2_5" localSheetId="5">#REF!</definedName>
    <definedName name="BuiltIn_AutoFilter___2_5" localSheetId="17">#REF!</definedName>
    <definedName name="BuiltIn_AutoFilter___2_5">#REF!</definedName>
    <definedName name="BuiltIn_AutoFilter___2_6" localSheetId="11">#REF!</definedName>
    <definedName name="BuiltIn_AutoFilter___2_6" localSheetId="7">#REF!</definedName>
    <definedName name="BuiltIn_AutoFilter___2_6">#REF!</definedName>
    <definedName name="BuiltIn_AutoFilter___2_7" localSheetId="11">#REF!</definedName>
    <definedName name="BuiltIn_AutoFilter___2_7" localSheetId="7">#REF!</definedName>
    <definedName name="BuiltIn_AutoFilter___2_7">#REF!</definedName>
    <definedName name="BuiltIn_AutoFilter___2_8" localSheetId="21">#REF!</definedName>
    <definedName name="BuiltIn_AutoFilter___2_8" localSheetId="22">#REF!</definedName>
    <definedName name="BuiltIn_AutoFilter___2_8" localSheetId="9">#REF!</definedName>
    <definedName name="BuiltIn_AutoFilter___2_8" localSheetId="7">#REF!</definedName>
    <definedName name="BuiltIn_AutoFilter___2_8" localSheetId="16">#REF!</definedName>
    <definedName name="BuiltIn_AutoFilter___2_8" localSheetId="5">#REF!</definedName>
    <definedName name="BuiltIn_AutoFilter___2_8" localSheetId="17">#REF!</definedName>
    <definedName name="BuiltIn_AutoFilter___2_8">#REF!</definedName>
    <definedName name="BuiltIn_AutoFilter___2_9" localSheetId="21">#REF!</definedName>
    <definedName name="BuiltIn_AutoFilter___2_9" localSheetId="22">#REF!</definedName>
    <definedName name="BuiltIn_AutoFilter___2_9" localSheetId="9">#REF!</definedName>
    <definedName name="BuiltIn_AutoFilter___2_9" localSheetId="7">#REF!</definedName>
    <definedName name="BuiltIn_AutoFilter___2_9" localSheetId="16">#REF!</definedName>
    <definedName name="BuiltIn_AutoFilter___2_9" localSheetId="5">#REF!</definedName>
    <definedName name="BuiltIn_AutoFilter___2_9" localSheetId="17">#REF!</definedName>
    <definedName name="BuiltIn_AutoFilter___2_9">#REF!</definedName>
    <definedName name="BuiltIn_AutoFilter___8">#REF!</definedName>
    <definedName name="BuiltIn_Print_Area" localSheetId="11">#REF!</definedName>
    <definedName name="BuiltIn_Print_Area" localSheetId="7">#REF!</definedName>
    <definedName name="BuiltIn_Print_Area">#REF!</definedName>
    <definedName name="BuiltIn_Print_Area___0" localSheetId="11">#REF!</definedName>
    <definedName name="BuiltIn_Print_Area___0" localSheetId="7">#REF!</definedName>
    <definedName name="BuiltIn_Print_Area___0">#REF!</definedName>
    <definedName name="BuiltIn_Print_Area___0___0" localSheetId="11">#REF!</definedName>
    <definedName name="BuiltIn_Print_Area___0___0" localSheetId="7">#REF!</definedName>
    <definedName name="BuiltIn_Print_Area___0___0">#REF!</definedName>
    <definedName name="BuiltIn_Print_Area___0___0___0" localSheetId="11">#REF!</definedName>
    <definedName name="BuiltIn_Print_Area___0___0___0" localSheetId="7">#REF!</definedName>
    <definedName name="BuiltIn_Print_Area___0___0___0">#REF!</definedName>
    <definedName name="BuiltIn_Print_Area___0___0___0___0" localSheetId="11">#REF!</definedName>
    <definedName name="BuiltIn_Print_Area___0___0___0___0" localSheetId="7">#REF!</definedName>
    <definedName name="BuiltIn_Print_Area___0___0___0___0">#REF!</definedName>
    <definedName name="CALL" localSheetId="21">#REF!</definedName>
    <definedName name="CALL" localSheetId="22">#REF!</definedName>
    <definedName name="CALL" localSheetId="9">#REF!</definedName>
    <definedName name="CALL" localSheetId="7">#REF!</definedName>
    <definedName name="CALL" localSheetId="16">#REF!</definedName>
    <definedName name="CALL" localSheetId="5">#REF!</definedName>
    <definedName name="CALL" localSheetId="17">#REF!</definedName>
    <definedName name="CALL">#REF!</definedName>
    <definedName name="call1" localSheetId="21">#REF!</definedName>
    <definedName name="call1" localSheetId="22">#REF!</definedName>
    <definedName name="call1" localSheetId="9">#REF!</definedName>
    <definedName name="call1" localSheetId="7">#REF!</definedName>
    <definedName name="call1" localSheetId="16">#REF!</definedName>
    <definedName name="call1" localSheetId="5">#REF!</definedName>
    <definedName name="call1" localSheetId="17">#REF!</definedName>
    <definedName name="call1">#REF!</definedName>
    <definedName name="CASH" localSheetId="21">'[3]TOTAL P&amp;L'!#REF!</definedName>
    <definedName name="CASH" localSheetId="22">'[3]TOTAL P&amp;L'!#REF!</definedName>
    <definedName name="CASH" localSheetId="9">'[3]TOTAL P&amp;L'!#REF!</definedName>
    <definedName name="CASH" localSheetId="2">'[3]TOTAL P&amp;L'!#REF!</definedName>
    <definedName name="CASH" localSheetId="16">'[3]TOTAL P&amp;L'!#REF!</definedName>
    <definedName name="CASH" localSheetId="5">'[3]TOTAL P&amp;L'!#REF!</definedName>
    <definedName name="CASH" localSheetId="17">'[3]TOTAL P&amp;L'!#REF!</definedName>
    <definedName name="CASH">'[3]TOTAL P&amp;L'!#REF!</definedName>
    <definedName name="CASH_FLOW___HOH" localSheetId="21">#REF!</definedName>
    <definedName name="CASH_FLOW___HOH" localSheetId="22">#REF!</definedName>
    <definedName name="CASH_FLOW___HOH" localSheetId="9">#REF!</definedName>
    <definedName name="CASH_FLOW___HOH" localSheetId="2">#REF!</definedName>
    <definedName name="CASH_FLOW___HOH" localSheetId="16">#REF!</definedName>
    <definedName name="CASH_FLOW___HOH" localSheetId="5">#REF!</definedName>
    <definedName name="CASH_FLOW___HOH" localSheetId="17">#REF!</definedName>
    <definedName name="CASH_FLOW___HOH">#REF!</definedName>
    <definedName name="CASH_FLOW___MIS" localSheetId="21">#REF!</definedName>
    <definedName name="CASH_FLOW___MIS" localSheetId="22">#REF!</definedName>
    <definedName name="CASH_FLOW___MIS" localSheetId="9">#REF!</definedName>
    <definedName name="CASH_FLOW___MIS" localSheetId="2">#REF!</definedName>
    <definedName name="CASH_FLOW___MIS" localSheetId="16">#REF!</definedName>
    <definedName name="CASH_FLOW___MIS" localSheetId="5">#REF!</definedName>
    <definedName name="CASH_FLOW___MIS" localSheetId="17">#REF!</definedName>
    <definedName name="CASH_FLOW___MIS">#REF!</definedName>
    <definedName name="Cashflow">#REF!</definedName>
    <definedName name="CASHFLW">'[49]Cash Flow  HOH'!$A$2:$M$115</definedName>
    <definedName name="cbnuwdbcu" localSheetId="21">#REF!</definedName>
    <definedName name="cbnuwdbcu" localSheetId="22">#REF!</definedName>
    <definedName name="cbnuwdbcu" localSheetId="9">#REF!</definedName>
    <definedName name="cbnuwdbcu" localSheetId="2">#REF!</definedName>
    <definedName name="cbnuwdbcu" localSheetId="16">#REF!</definedName>
    <definedName name="cbnuwdbcu" localSheetId="5">#REF!</definedName>
    <definedName name="cbnuwdbcu" localSheetId="17">#REF!</definedName>
    <definedName name="cbnuwdbcu">#REF!</definedName>
    <definedName name="cc" localSheetId="21">#REF!</definedName>
    <definedName name="CC" localSheetId="22">'[18]Abu Dhabi'!#REF!</definedName>
    <definedName name="CC" localSheetId="9">'[18]Abu Dhabi'!#REF!</definedName>
    <definedName name="cc" localSheetId="7">#REF!</definedName>
    <definedName name="CC" localSheetId="16">'[18]Abu Dhabi'!#REF!</definedName>
    <definedName name="CC" localSheetId="5">'[18]Abu Dhabi'!#REF!</definedName>
    <definedName name="CC" localSheetId="17">'[18]Abu Dhabi'!#REF!</definedName>
    <definedName name="CC">'[18]Abu Dhabi'!#REF!</definedName>
    <definedName name="CF" localSheetId="21">#REF!</definedName>
    <definedName name="CF" localSheetId="22">#REF!</definedName>
    <definedName name="CF" localSheetId="9">#REF!</definedName>
    <definedName name="CF" localSheetId="7">#REF!</definedName>
    <definedName name="CF" localSheetId="16">#REF!</definedName>
    <definedName name="CF" localSheetId="5">#REF!</definedName>
    <definedName name="CF" localSheetId="17">#REF!</definedName>
    <definedName name="CF">#REF!</definedName>
    <definedName name="cfw" localSheetId="21">#REF!</definedName>
    <definedName name="cfw" localSheetId="22">#REF!</definedName>
    <definedName name="cfw" localSheetId="9">#REF!</definedName>
    <definedName name="cfw" localSheetId="2">#REF!</definedName>
    <definedName name="cfw" localSheetId="16">#REF!</definedName>
    <definedName name="cfw" localSheetId="5">#REF!</definedName>
    <definedName name="cfw" localSheetId="17">#REF!</definedName>
    <definedName name="cfw">#REF!</definedName>
    <definedName name="CH.IN.EQUIT" localSheetId="21">[28]acct!#REF!</definedName>
    <definedName name="CH.IN.EQUIT" localSheetId="22">[29]acct!#REF!</definedName>
    <definedName name="CH.IN.EQUIT" localSheetId="9">[29]acct!#REF!</definedName>
    <definedName name="CH.IN.EQUIT" localSheetId="7">[28]acct!#REF!</definedName>
    <definedName name="CH.IN.EQUIT" localSheetId="2">[30]acct!#REF!</definedName>
    <definedName name="CH.IN.EQUIT" localSheetId="16">[29]acct!#REF!</definedName>
    <definedName name="CH.IN.EQUIT" localSheetId="5">[29]acct!#REF!</definedName>
    <definedName name="CH.IN.EQUIT" localSheetId="17">[29]acct!#REF!</definedName>
    <definedName name="CH.IN.EQUIT">[29]acct!#REF!</definedName>
    <definedName name="cHECK" localSheetId="21">[28]acct!#REF!</definedName>
    <definedName name="cHECK" localSheetId="22">[29]acct!#REF!</definedName>
    <definedName name="cHECK" localSheetId="9">[29]acct!#REF!</definedName>
    <definedName name="cHECK" localSheetId="7">[28]acct!#REF!</definedName>
    <definedName name="cHECK" localSheetId="2">[30]acct!#REF!</definedName>
    <definedName name="cHECK" localSheetId="16">[29]acct!#REF!</definedName>
    <definedName name="cHECK" localSheetId="5">[29]acct!#REF!</definedName>
    <definedName name="cHECK" localSheetId="17">[29]acct!#REF!</definedName>
    <definedName name="cHECK">[29]acct!#REF!</definedName>
    <definedName name="checks">#REF!</definedName>
    <definedName name="chk" localSheetId="21">#REF!</definedName>
    <definedName name="chk" localSheetId="22">#REF!</definedName>
    <definedName name="chk" localSheetId="9">#REF!</definedName>
    <definedName name="chk" localSheetId="7">#REF!</definedName>
    <definedName name="chk" localSheetId="2">#REF!</definedName>
    <definedName name="chk" localSheetId="16">#REF!</definedName>
    <definedName name="chk" localSheetId="5">#REF!</definedName>
    <definedName name="chk" localSheetId="17">#REF!</definedName>
    <definedName name="chk">#REF!</definedName>
    <definedName name="ci" localSheetId="21">#REF!</definedName>
    <definedName name="ci" localSheetId="22">#REF!</definedName>
    <definedName name="ci" localSheetId="9">#REF!</definedName>
    <definedName name="ci" localSheetId="7">#REF!</definedName>
    <definedName name="ci" localSheetId="16">#REF!</definedName>
    <definedName name="ci" localSheetId="5">#REF!</definedName>
    <definedName name="ci" localSheetId="17">#REF!</definedName>
    <definedName name="ci">#REF!</definedName>
    <definedName name="CIQWBGuid" hidden="1">"00a38131-a495-407c-b5f0-812ec5cda081"</definedName>
    <definedName name="CIs" localSheetId="21">#REF!</definedName>
    <definedName name="CIs" localSheetId="22">#REF!</definedName>
    <definedName name="CIs" localSheetId="9">#REF!</definedName>
    <definedName name="CIs" localSheetId="7">#REF!</definedName>
    <definedName name="CIs" localSheetId="16">#REF!</definedName>
    <definedName name="CIs" localSheetId="5">#REF!</definedName>
    <definedName name="CIs" localSheetId="17">#REF!</definedName>
    <definedName name="CIs">#REF!</definedName>
    <definedName name="Classified" localSheetId="21">#REF!</definedName>
    <definedName name="Classified" localSheetId="22">#REF!</definedName>
    <definedName name="Classified" localSheetId="9">#REF!</definedName>
    <definedName name="Classified" localSheetId="7">#REF!</definedName>
    <definedName name="Classified" localSheetId="16">#REF!</definedName>
    <definedName name="Classified" localSheetId="5">#REF!</definedName>
    <definedName name="Classified" localSheetId="17">#REF!</definedName>
    <definedName name="Classified">#REF!</definedName>
    <definedName name="closing" localSheetId="21">[50]BSDOMOVS!#REF!</definedName>
    <definedName name="closing" localSheetId="22">[51]BSDOMOVS!#REF!</definedName>
    <definedName name="closing" localSheetId="9">[51]BSDOMOVS!#REF!</definedName>
    <definedName name="closing" localSheetId="7">[50]BSDOMOVS!#REF!</definedName>
    <definedName name="closing" localSheetId="16">[51]BSDOMOVS!#REF!</definedName>
    <definedName name="closing" localSheetId="5">[51]BSDOMOVS!#REF!</definedName>
    <definedName name="closing" localSheetId="17">[51]BSDOMOVS!#REF!</definedName>
    <definedName name="closing">[51]BSDOMOVS!#REF!</definedName>
    <definedName name="CODE">#REF!</definedName>
    <definedName name="cogs" localSheetId="21">#REF!</definedName>
    <definedName name="cogs" localSheetId="22">#REF!</definedName>
    <definedName name="cogs" localSheetId="9">#REF!</definedName>
    <definedName name="cogs" localSheetId="2">#REF!</definedName>
    <definedName name="cogs" localSheetId="16">#REF!</definedName>
    <definedName name="cogs" localSheetId="5">#REF!</definedName>
    <definedName name="cogs" localSheetId="17">#REF!</definedName>
    <definedName name="cogs">#REF!</definedName>
    <definedName name="COGS1" localSheetId="21">#REF!</definedName>
    <definedName name="COGS1" localSheetId="22">#REF!</definedName>
    <definedName name="COGS1" localSheetId="9">#REF!</definedName>
    <definedName name="COGS1" localSheetId="2">#REF!</definedName>
    <definedName name="COGS1" localSheetId="16">#REF!</definedName>
    <definedName name="COGS1" localSheetId="5">#REF!</definedName>
    <definedName name="COGS1" localSheetId="17">#REF!</definedName>
    <definedName name="COGS1">#REF!</definedName>
    <definedName name="ColorNames" localSheetId="21">#REF!</definedName>
    <definedName name="ColorNames" localSheetId="22">#REF!</definedName>
    <definedName name="ColorNames" localSheetId="9">#REF!</definedName>
    <definedName name="ColorNames" localSheetId="7">#REF!</definedName>
    <definedName name="ColorNames" localSheetId="2">#REF!</definedName>
    <definedName name="ColorNames" localSheetId="16">#REF!</definedName>
    <definedName name="ColorNames" localSheetId="5">#REF!</definedName>
    <definedName name="ColorNames" localSheetId="17">#REF!</definedName>
    <definedName name="ColorNames">#REF!</definedName>
    <definedName name="Commentary" localSheetId="21">#REF!</definedName>
    <definedName name="Commentary" localSheetId="22">#REF!</definedName>
    <definedName name="Commentary" localSheetId="9">#REF!</definedName>
    <definedName name="Commentary" localSheetId="16">#REF!</definedName>
    <definedName name="Commentary" localSheetId="5">#REF!</definedName>
    <definedName name="Commentary" localSheetId="17">#REF!</definedName>
    <definedName name="Commentary">#REF!</definedName>
    <definedName name="COMP_OF_INCOME">#REF!</definedName>
    <definedName name="Company">'[52]Input-Qtrly'!$E$8</definedName>
    <definedName name="cons" localSheetId="21" hidden="1">{"'CALL MONEY'!$K$53"}</definedName>
    <definedName name="cons" localSheetId="9" hidden="1">{"'CALL MONEY'!$K$53"}</definedName>
    <definedName name="cons" localSheetId="11" hidden="1">{"'CALL MONEY'!$K$53"}</definedName>
    <definedName name="cons" hidden="1">{"'CALL MONEY'!$K$53"}</definedName>
    <definedName name="CONTROL">#REF!</definedName>
    <definedName name="Controlbs">#REF!</definedName>
    <definedName name="controlpl">#REF!</definedName>
    <definedName name="Conventions" localSheetId="21">#REF!</definedName>
    <definedName name="Conventions" localSheetId="22">#REF!</definedName>
    <definedName name="Conventions" localSheetId="9">#REF!</definedName>
    <definedName name="Conventions" localSheetId="7">#REF!</definedName>
    <definedName name="Conventions" localSheetId="2">#REF!</definedName>
    <definedName name="Conventions" localSheetId="16">#REF!</definedName>
    <definedName name="Conventions" localSheetId="5">#REF!</definedName>
    <definedName name="Conventions" localSheetId="17">#REF!</definedName>
    <definedName name="Conventions">#REF!</definedName>
    <definedName name="COST_OF_SALES" localSheetId="21">#REF!</definedName>
    <definedName name="COST_OF_SALES" localSheetId="22">#REF!</definedName>
    <definedName name="COST_OF_SALES" localSheetId="9">#REF!</definedName>
    <definedName name="COST_OF_SALES" localSheetId="2">#REF!</definedName>
    <definedName name="COST_OF_SALES" localSheetId="16">#REF!</definedName>
    <definedName name="COST_OF_SALES" localSheetId="5">#REF!</definedName>
    <definedName name="COST_OF_SALES" localSheetId="17">#REF!</definedName>
    <definedName name="COST_OF_SALES">#REF!</definedName>
    <definedName name="Cover" hidden="1">#REF!</definedName>
    <definedName name="CRED" localSheetId="21">[28]acct!#REF!</definedName>
    <definedName name="CRED" localSheetId="22">[29]acct!#REF!</definedName>
    <definedName name="CRED" localSheetId="9">[29]acct!#REF!</definedName>
    <definedName name="CRED" localSheetId="7">[28]acct!#REF!</definedName>
    <definedName name="CRED" localSheetId="2">[30]acct!#REF!</definedName>
    <definedName name="CRED" localSheetId="16">[29]acct!#REF!</definedName>
    <definedName name="CRED" localSheetId="5">[29]acct!#REF!</definedName>
    <definedName name="CRED" localSheetId="17">[29]acct!#REF!</definedName>
    <definedName name="CRED">[29]acct!#REF!</definedName>
    <definedName name="CREDIT" localSheetId="21">'[53]Balance Sheet'!#REF!</definedName>
    <definedName name="CREDIT" localSheetId="22">'[53]Balance Sheet'!#REF!</definedName>
    <definedName name="CREDIT" localSheetId="9">'[53]Balance Sheet'!#REF!</definedName>
    <definedName name="CREDIT" localSheetId="2">'[53]Balance Sheet'!#REF!</definedName>
    <definedName name="CREDIT" localSheetId="16">'[53]Balance Sheet'!#REF!</definedName>
    <definedName name="CREDIT" localSheetId="5">'[53]Balance Sheet'!#REF!</definedName>
    <definedName name="CREDIT" localSheetId="17">'[53]Balance Sheet'!#REF!</definedName>
    <definedName name="CREDIT">'[53]Balance Sheet'!#REF!</definedName>
    <definedName name="CumSumPrt" localSheetId="21">#REF!</definedName>
    <definedName name="CumSumPrt" localSheetId="22">#REF!</definedName>
    <definedName name="CumSumPrt" localSheetId="9">#REF!</definedName>
    <definedName name="CumSumPrt" localSheetId="2">#REF!</definedName>
    <definedName name="CumSumPrt" localSheetId="16">#REF!</definedName>
    <definedName name="CumSumPrt" localSheetId="5">#REF!</definedName>
    <definedName name="CumSumPrt" localSheetId="17">#REF!</definedName>
    <definedName name="CumSumPrt">#REF!</definedName>
    <definedName name="Currency" localSheetId="21">#REF!</definedName>
    <definedName name="Currency" localSheetId="22">#REF!</definedName>
    <definedName name="Currency" localSheetId="9">#REF!</definedName>
    <definedName name="Currency" localSheetId="7">#REF!</definedName>
    <definedName name="Currency" localSheetId="16">#REF!</definedName>
    <definedName name="Currency" localSheetId="5">#REF!</definedName>
    <definedName name="Currency" localSheetId="17">#REF!</definedName>
    <definedName name="Currency">#REF!</definedName>
    <definedName name="current_ar">'[52]Input-Qtrly'!$F$16</definedName>
    <definedName name="current_assets">'[52]Input-Qtrly'!$F$22</definedName>
    <definedName name="current_bad_debt">'[52]Input-Qtrly'!$F$40</definedName>
    <definedName name="current_cash">'[52]Input-Qtrly'!$F$14</definedName>
    <definedName name="current_cfoper">'[52]Input-Qtrly'!$F$57</definedName>
    <definedName name="current_cogs">'[52]Input-Qtrly'!$F$35</definedName>
    <definedName name="current_comstock">'[52]Input-Qtrly'!$F$56</definedName>
    <definedName name="current_cr_sales">'[52]Input-Qtrly'!$F$32</definedName>
    <definedName name="current_current_assets">'[52]Input-Qtrly'!$F$20</definedName>
    <definedName name="current_current_liab">'[52]Input-Qtrly'!$F$24</definedName>
    <definedName name="current_days">'[52]Input-Qtrly'!$F$51</definedName>
    <definedName name="current_div">'[52]Input-Qtrly'!$F$58</definedName>
    <definedName name="current_doubtful">'[52]Input-Qtrly'!$F$17</definedName>
    <definedName name="current_empbeg">'[52]Input-Qtrly'!$F$52</definedName>
    <definedName name="current_empend">'[52]Input-Qtrly'!$F$53</definedName>
    <definedName name="current_eps">'[52]Input-Qtrly'!$F$55</definedName>
    <definedName name="current_equity">'[52]Input-Qtrly'!$F$28</definedName>
    <definedName name="current_interest">'[52]Input-Qtrly'!$F$39</definedName>
    <definedName name="current_inventory">'[52]Input-Qtrly'!$F$18</definedName>
    <definedName name="current_liabilities">'[52]Input-Qtrly'!$F$27</definedName>
    <definedName name="current_netincome">'[52]Input-Qtrly'!$F$45</definedName>
    <definedName name="current_netsales">'[52]Input-Qtrly'!$F$34</definedName>
    <definedName name="current_pretax">'[52]Input-Qtrly'!$F$43</definedName>
    <definedName name="current_price">'[52]Input-Qtrly'!$F$54</definedName>
    <definedName name="CURRENT_TAX">#REF!</definedName>
    <definedName name="currqtr_date">'[52]Input-Qtrly'!$F$48</definedName>
    <definedName name="cwip" localSheetId="21">#REF!</definedName>
    <definedName name="cwip" localSheetId="22">#REF!</definedName>
    <definedName name="cwip" localSheetId="9">#REF!</definedName>
    <definedName name="cwip" localSheetId="2">#REF!</definedName>
    <definedName name="cwip" localSheetId="16">#REF!</definedName>
    <definedName name="cwip" localSheetId="5">#REF!</definedName>
    <definedName name="cwip" localSheetId="17">#REF!</definedName>
    <definedName name="cwip">#REF!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PWACC">#REF!</definedName>
    <definedName name="CYPWENG">#REF!</definedName>
    <definedName name="CYPWFIRE">#REF!</definedName>
    <definedName name="CYPWMARCARGO">#REF!</definedName>
    <definedName name="CYPWMARHULL">#REF!</definedName>
    <definedName name="CYPWMARYACHT">#REF!</definedName>
    <definedName name="CYPWMOTOR">#REF!</definedName>
    <definedName name="CYUPRACC">#REF!</definedName>
    <definedName name="CYUPRENG">#REF!</definedName>
    <definedName name="CYUPRFIRE">#REF!</definedName>
    <definedName name="CYUPRMARCARGO">#REF!</definedName>
    <definedName name="CYUPRMARHULL">#REF!</definedName>
    <definedName name="CYUPRMARYACHT">#REF!</definedName>
    <definedName name="CYUPRMOTOR">#REF!</definedName>
    <definedName name="d" localSheetId="21">[54]AKUH!$B$1:$K$18</definedName>
    <definedName name="d" localSheetId="22">#REF!</definedName>
    <definedName name="d" localSheetId="9">#REF!</definedName>
    <definedName name="d" localSheetId="7">#REF!</definedName>
    <definedName name="d" localSheetId="16">#REF!</definedName>
    <definedName name="d" localSheetId="5">#REF!</definedName>
    <definedName name="d" localSheetId="17">#REF!</definedName>
    <definedName name="d">#REF!</definedName>
    <definedName name="da" localSheetId="21">#REF!</definedName>
    <definedName name="da" localSheetId="22">#REF!</definedName>
    <definedName name="da" localSheetId="9">#REF!</definedName>
    <definedName name="da" localSheetId="7">#REF!</definedName>
    <definedName name="da" localSheetId="16">#REF!</definedName>
    <definedName name="da" localSheetId="5">#REF!</definedName>
    <definedName name="da" localSheetId="17">#REF!</definedName>
    <definedName name="da">#REF!</definedName>
    <definedName name="Data">#REF!</definedName>
    <definedName name="_xlnm.Database" localSheetId="21">[55]TRAN!#REF!</definedName>
    <definedName name="_xlnm.Database" localSheetId="22">[55]TRAN!#REF!</definedName>
    <definedName name="_xlnm.Database" localSheetId="9">[55]TRAN!#REF!</definedName>
    <definedName name="_xlnm.Database" localSheetId="7">#REF!</definedName>
    <definedName name="_xlnm.Database" localSheetId="2">[55]TRAN!#REF!</definedName>
    <definedName name="_xlnm.Database" localSheetId="16">[55]TRAN!#REF!</definedName>
    <definedName name="_xlnm.Database" localSheetId="5">[55]TRAN!#REF!</definedName>
    <definedName name="_xlnm.Database" localSheetId="17">[55]TRAN!#REF!</definedName>
    <definedName name="_xlnm.Database">[55]TRAN!#REF!</definedName>
    <definedName name="Database_MI">#REF!</definedName>
    <definedName name="DATE" localSheetId="11">#REF!</definedName>
    <definedName name="DATE" localSheetId="7">#REF!</definedName>
    <definedName name="DATE">#REF!</definedName>
    <definedName name="Dbase" localSheetId="21">#REF!</definedName>
    <definedName name="Dbase" localSheetId="22">#REF!</definedName>
    <definedName name="Dbase" localSheetId="9">#REF!</definedName>
    <definedName name="Dbase" localSheetId="16">#REF!</definedName>
    <definedName name="Dbase" localSheetId="5">#REF!</definedName>
    <definedName name="Dbase" localSheetId="17">#REF!</definedName>
    <definedName name="Dbase">#REF!</definedName>
    <definedName name="DD" localSheetId="21">'[2]last qrt2001'!#REF!</definedName>
    <definedName name="DD" localSheetId="22">'[2]last qrt2001'!#REF!</definedName>
    <definedName name="DD" localSheetId="9">'[2]last qrt2001'!#REF!</definedName>
    <definedName name="DD" localSheetId="7">'[2]last qrt2001'!#REF!</definedName>
    <definedName name="DD" localSheetId="16">'[2]last qrt2001'!#REF!</definedName>
    <definedName name="DD" localSheetId="5">'[2]last qrt2001'!#REF!</definedName>
    <definedName name="DD" localSheetId="17">'[2]last qrt2001'!#REF!</definedName>
    <definedName name="DD">'[2]last qrt2001'!#REF!</definedName>
    <definedName name="DD_Curr">[56]Currency!$C$3</definedName>
    <definedName name="ddd" localSheetId="11">#REF!</definedName>
    <definedName name="ddd" localSheetId="7">#REF!</definedName>
    <definedName name="ddd">#REF!</definedName>
    <definedName name="dddd" localSheetId="21">#REF!</definedName>
    <definedName name="dddd" localSheetId="22">'[57]BS-OVS'!#REF!</definedName>
    <definedName name="dddd" localSheetId="9">'[57]BS-OVS'!#REF!</definedName>
    <definedName name="dddd" localSheetId="7">#REF!</definedName>
    <definedName name="dddd" localSheetId="16">'[57]BS-OVS'!#REF!</definedName>
    <definedName name="dddd" localSheetId="5">'[57]BS-OVS'!#REF!</definedName>
    <definedName name="dddd" localSheetId="17">'[57]BS-OVS'!#REF!</definedName>
    <definedName name="dddd">'[57]BS-OVS'!#REF!</definedName>
    <definedName name="DEBIT" localSheetId="21">'[53]Balance Sheet'!#REF!</definedName>
    <definedName name="DEBIT" localSheetId="22">'[53]Balance Sheet'!#REF!</definedName>
    <definedName name="DEBIT" localSheetId="9">'[53]Balance Sheet'!#REF!</definedName>
    <definedName name="DEBIT" localSheetId="2">'[53]Balance Sheet'!#REF!</definedName>
    <definedName name="DEBIT" localSheetId="16">'[53]Balance Sheet'!#REF!</definedName>
    <definedName name="DEBIT" localSheetId="5">'[53]Balance Sheet'!#REF!</definedName>
    <definedName name="DEBIT" localSheetId="17">'[53]Balance Sheet'!#REF!</definedName>
    <definedName name="DEBIT">'[53]Balance Sheet'!#REF!</definedName>
    <definedName name="DEFERED_TAX">#REF!</definedName>
    <definedName name="dEFF.LIA" localSheetId="21">[28]acct!#REF!</definedName>
    <definedName name="dEFF.LIA" localSheetId="22">[29]acct!#REF!</definedName>
    <definedName name="dEFF.LIA" localSheetId="9">[29]acct!#REF!</definedName>
    <definedName name="dEFF.LIA" localSheetId="7">[28]acct!#REF!</definedName>
    <definedName name="dEFF.LIA" localSheetId="2">[30]acct!#REF!</definedName>
    <definedName name="dEFF.LIA" localSheetId="16">[29]acct!#REF!</definedName>
    <definedName name="dEFF.LIA" localSheetId="5">[29]acct!#REF!</definedName>
    <definedName name="dEFF.LIA" localSheetId="17">[29]acct!#REF!</definedName>
    <definedName name="dEFF.LIA">[29]acct!#REF!</definedName>
    <definedName name="DELETIONS">#REF!</definedName>
    <definedName name="DEP_SCHEDULE" localSheetId="21">#REF!</definedName>
    <definedName name="DEP_SCHEDULE" localSheetId="22">#REF!</definedName>
    <definedName name="DEP_SCHEDULE" localSheetId="9">#REF!</definedName>
    <definedName name="DEP_SCHEDULE" localSheetId="2">#REF!</definedName>
    <definedName name="DEP_SCHEDULE" localSheetId="16">#REF!</definedName>
    <definedName name="DEP_SCHEDULE" localSheetId="5">#REF!</definedName>
    <definedName name="DEP_SCHEDULE" localSheetId="17">#REF!</definedName>
    <definedName name="DEP_SCHEDULE">#REF!</definedName>
    <definedName name="Description" localSheetId="21">#REF!</definedName>
    <definedName name="Description" localSheetId="22">#REF!</definedName>
    <definedName name="Description" localSheetId="9">#REF!</definedName>
    <definedName name="Description" localSheetId="7">#REF!</definedName>
    <definedName name="Description" localSheetId="16">#REF!</definedName>
    <definedName name="Description" localSheetId="5">#REF!</definedName>
    <definedName name="Description" localSheetId="17">#REF!</definedName>
    <definedName name="Description">#REF!</definedName>
    <definedName name="DETAIL" localSheetId="21">#REF!</definedName>
    <definedName name="DETAIL" localSheetId="22">#REF!</definedName>
    <definedName name="DETAIL" localSheetId="9">#REF!</definedName>
    <definedName name="DETAIL" localSheetId="2">#REF!</definedName>
    <definedName name="DETAIL" localSheetId="16">#REF!</definedName>
    <definedName name="DETAIL" localSheetId="5">#REF!</definedName>
    <definedName name="DETAIL" localSheetId="17">#REF!</definedName>
    <definedName name="DETAIL">#REF!</definedName>
    <definedName name="Details" localSheetId="21">[58]Augbkp98!$B$6:$G$25</definedName>
    <definedName name="Details">[58]Augbkp98!$B$6:$G$25</definedName>
    <definedName name="DFASW" localSheetId="11">#REF!</definedName>
    <definedName name="DFASW" localSheetId="7">#REF!</definedName>
    <definedName name="DFASW">#REF!</definedName>
    <definedName name="DFD" localSheetId="21">'[59]Abu Dhabi'!#REF!</definedName>
    <definedName name="DFD" localSheetId="22">'[59]Abu Dhabi'!#REF!</definedName>
    <definedName name="DFD" localSheetId="9">'[59]Abu Dhabi'!#REF!</definedName>
    <definedName name="DFD" localSheetId="16">'[59]Abu Dhabi'!#REF!</definedName>
    <definedName name="DFD" localSheetId="5">'[59]Abu Dhabi'!#REF!</definedName>
    <definedName name="DFD" localSheetId="17">'[59]Abu Dhabi'!#REF!</definedName>
    <definedName name="DFD">'[59]Abu Dhabi'!#REF!</definedName>
    <definedName name="dfg" localSheetId="21" hidden="1">{#N/A,#N/A,FALSE,"dec98qtr";#N/A,#N/A,FALSE,"suppdecsep98";#N/A,#N/A,FALSE,"w-dec98"}</definedName>
    <definedName name="dfg" localSheetId="9" hidden="1">{#N/A,#N/A,FALSE,"dec98qtr";#N/A,#N/A,FALSE,"suppdecsep98";#N/A,#N/A,FALSE,"w-dec98"}</definedName>
    <definedName name="dfg" localSheetId="11" hidden="1">{#N/A,#N/A,FALSE,"dec98qtr";#N/A,#N/A,FALSE,"suppdecsep98";#N/A,#N/A,FALSE,"w-dec98"}</definedName>
    <definedName name="dfg" localSheetId="2" hidden="1">{#N/A,#N/A,FALSE,"dec98qtr";#N/A,#N/A,FALSE,"suppdecsep98";#N/A,#N/A,FALSE,"w-dec98"}</definedName>
    <definedName name="dfg" hidden="1">{#N/A,#N/A,FALSE,"dec98qtr";#N/A,#N/A,FALSE,"suppdecsep98";#N/A,#N/A,FALSE,"w-dec98"}</definedName>
    <definedName name="DFHIPL" localSheetId="11">#REF!</definedName>
    <definedName name="DFHIPL" localSheetId="7">#REF!</definedName>
    <definedName name="DFHIPL">#REF!</definedName>
    <definedName name="DFHTL" localSheetId="11">#REF!</definedName>
    <definedName name="DFHTL" localSheetId="7">#REF!</definedName>
    <definedName name="DFHTL">#REF!</definedName>
    <definedName name="DFUFE" localSheetId="11">#REF!</definedName>
    <definedName name="DFUFE" localSheetId="7">#REF!</definedName>
    <definedName name="DFUFE">#REF!</definedName>
    <definedName name="Differences" localSheetId="21">#REF!</definedName>
    <definedName name="Differences" localSheetId="22">#REF!</definedName>
    <definedName name="Differences" localSheetId="9">#REF!</definedName>
    <definedName name="Differences" localSheetId="7">#REF!</definedName>
    <definedName name="Differences" localSheetId="16">#REF!</definedName>
    <definedName name="Differences" localSheetId="5">#REF!</definedName>
    <definedName name="Differences" localSheetId="17">#REF!</definedName>
    <definedName name="Differences">#REF!</definedName>
    <definedName name="Differnces" localSheetId="21">'[60]Notes1-5'!#REF!</definedName>
    <definedName name="Differnces" localSheetId="22">'[60]Notes1-5'!#REF!</definedName>
    <definedName name="Differnces" localSheetId="9">'[60]Notes1-5'!#REF!</definedName>
    <definedName name="Differnces" localSheetId="7">'[60]Notes1-5'!#REF!</definedName>
    <definedName name="Differnces" localSheetId="16">'[60]Notes1-5'!#REF!</definedName>
    <definedName name="Differnces" localSheetId="5">'[60]Notes1-5'!#REF!</definedName>
    <definedName name="Differnces" localSheetId="17">'[60]Notes1-5'!#REF!</definedName>
    <definedName name="Differnces">'[60]Notes1-5'!#REF!</definedName>
    <definedName name="disposal">#REF!</definedName>
    <definedName name="division" localSheetId="11">#REF!</definedName>
    <definedName name="division" localSheetId="7">#REF!</definedName>
    <definedName name="division">#REF!</definedName>
    <definedName name="djhkc">[61]Notes!#REF!</definedName>
    <definedName name="doha">'[39]DOHA QATAR '!$A$14:$P$33</definedName>
    <definedName name="dom" localSheetId="21">#REF!</definedName>
    <definedName name="dom" localSheetId="22">#REF!</definedName>
    <definedName name="dom" localSheetId="9">#REF!</definedName>
    <definedName name="dom" localSheetId="16">#REF!</definedName>
    <definedName name="dom" localSheetId="5">#REF!</definedName>
    <definedName name="dom" localSheetId="17">#REF!</definedName>
    <definedName name="dom">#REF!</definedName>
    <definedName name="dombs" localSheetId="21">#REF!</definedName>
    <definedName name="dombs" localSheetId="22">#REF!</definedName>
    <definedName name="dombs" localSheetId="9">#REF!</definedName>
    <definedName name="dombs" localSheetId="16">#REF!</definedName>
    <definedName name="dombs" localSheetId="5">#REF!</definedName>
    <definedName name="dombs" localSheetId="17">#REF!</definedName>
    <definedName name="dombs">#REF!</definedName>
    <definedName name="DOMOVS" localSheetId="21">#REF!</definedName>
    <definedName name="DOMOVS" localSheetId="22">#REF!</definedName>
    <definedName name="DOMOVS" localSheetId="9">#REF!</definedName>
    <definedName name="DOMOVS" localSheetId="7">#REF!</definedName>
    <definedName name="DOMOVS" localSheetId="16">#REF!</definedName>
    <definedName name="DOMOVS" localSheetId="5">#REF!</definedName>
    <definedName name="DOMOVS" localSheetId="17">#REF!</definedName>
    <definedName name="DOMOVS">#REF!</definedName>
    <definedName name="DON" localSheetId="11">#REF!</definedName>
    <definedName name="DON" localSheetId="7">#REF!</definedName>
    <definedName name="DON">#REF!</definedName>
    <definedName name="DONold" localSheetId="11">[62]Total!#REF!</definedName>
    <definedName name="DONold" localSheetId="7">[62]Total!#REF!</definedName>
    <definedName name="DONold">[62]Total!#REF!</definedName>
    <definedName name="dPlanningMateriality" localSheetId="7">[63]Sheet1!$B$46</definedName>
    <definedName name="dPlanningMateriality">[64]Sheet1!$B$46</definedName>
    <definedName name="dr" localSheetId="21">#REF!</definedName>
    <definedName name="dr" localSheetId="22">#REF!</definedName>
    <definedName name="dr" localSheetId="9">#REF!</definedName>
    <definedName name="dr" localSheetId="7">#REF!</definedName>
    <definedName name="dr" localSheetId="16">#REF!</definedName>
    <definedName name="dr" localSheetId="5">#REF!</definedName>
    <definedName name="dr" localSheetId="17">#REF!</definedName>
    <definedName name="dr">#REF!</definedName>
    <definedName name="dsds" localSheetId="11">'[65]Notes1-5'!#REF!</definedName>
    <definedName name="dsds" localSheetId="7">'[65]Notes1-5'!#REF!</definedName>
    <definedName name="dsds">'[65]Notes1-5'!#REF!</definedName>
    <definedName name="DSDSADSD" hidden="1">#REF!</definedName>
    <definedName name="dsfjhfjk" localSheetId="21" hidden="1">{#N/A,#N/A,FALSE,"dec98qtr";#N/A,#N/A,FALSE,"suppdecsep98";#N/A,#N/A,FALSE,"w-dec98"}</definedName>
    <definedName name="dsfjhfjk" localSheetId="9" hidden="1">{#N/A,#N/A,FALSE,"dec98qtr";#N/A,#N/A,FALSE,"suppdecsep98";#N/A,#N/A,FALSE,"w-dec98"}</definedName>
    <definedName name="dsfjhfjk" localSheetId="11" hidden="1">{#N/A,#N/A,FALSE,"dec98qtr";#N/A,#N/A,FALSE,"suppdecsep98";#N/A,#N/A,FALSE,"w-dec98"}</definedName>
    <definedName name="dsfjhfjk" localSheetId="2" hidden="1">{#N/A,#N/A,FALSE,"dec98qtr";#N/A,#N/A,FALSE,"suppdecsep98";#N/A,#N/A,FALSE,"w-dec98"}</definedName>
    <definedName name="dsfjhfjk" hidden="1">{#N/A,#N/A,FALSE,"dec98qtr";#N/A,#N/A,FALSE,"suppdecsep98";#N/A,#N/A,FALSE,"w-dec98"}</definedName>
    <definedName name="dswef">#REF!</definedName>
    <definedName name="DTASW" localSheetId="11">#REF!</definedName>
    <definedName name="DTASW" localSheetId="7">#REF!</definedName>
    <definedName name="DTASW">#REF!</definedName>
    <definedName name="DTHIPL" localSheetId="11">#REF!</definedName>
    <definedName name="DTHIPL" localSheetId="7">#REF!</definedName>
    <definedName name="DTHIPL">#REF!</definedName>
    <definedName name="DTHTL" localSheetId="11">#REF!</definedName>
    <definedName name="DTHTL" localSheetId="7">#REF!</definedName>
    <definedName name="DTHTL">#REF!</definedName>
    <definedName name="DTUFE" localSheetId="11">#REF!</definedName>
    <definedName name="DTUFE" localSheetId="7">#REF!</definedName>
    <definedName name="DTUFE">#REF!</definedName>
    <definedName name="DVFASW" localSheetId="11">#REF!</definedName>
    <definedName name="DVFASW" localSheetId="7">#REF!</definedName>
    <definedName name="DVFASW">#REF!</definedName>
    <definedName name="DVFHIPL" localSheetId="11">#REF!</definedName>
    <definedName name="DVFHIPL" localSheetId="7">#REF!</definedName>
    <definedName name="DVFHIPL">#REF!</definedName>
    <definedName name="DVFHTL" localSheetId="11">#REF!</definedName>
    <definedName name="DVFHTL" localSheetId="7">#REF!</definedName>
    <definedName name="DVFHTL">#REF!</definedName>
    <definedName name="DVFUFE" localSheetId="11">#REF!</definedName>
    <definedName name="DVFUFE" localSheetId="7">#REF!</definedName>
    <definedName name="DVFUFE">#REF!</definedName>
    <definedName name="DVTASW" localSheetId="11">#REF!</definedName>
    <definedName name="DVTASW" localSheetId="7">#REF!</definedName>
    <definedName name="DVTASW">#REF!</definedName>
    <definedName name="DVTHIPL" localSheetId="11">#REF!</definedName>
    <definedName name="DVTHIPL" localSheetId="7">#REF!</definedName>
    <definedName name="DVTHIPL">#REF!</definedName>
    <definedName name="DVTHTL" localSheetId="11">#REF!</definedName>
    <definedName name="DVTHTL" localSheetId="7">#REF!</definedName>
    <definedName name="DVTHTL">#REF!</definedName>
    <definedName name="DVTUFE" localSheetId="11">#REF!</definedName>
    <definedName name="DVTUFE" localSheetId="7">#REF!</definedName>
    <definedName name="DVTUFE">#REF!</definedName>
    <definedName name="dx" localSheetId="21">#REF!</definedName>
    <definedName name="dx" localSheetId="22">#REF!</definedName>
    <definedName name="dx" localSheetId="9">#REF!</definedName>
    <definedName name="dx" localSheetId="16">#REF!</definedName>
    <definedName name="dx" localSheetId="5">#REF!</definedName>
    <definedName name="dx" localSheetId="17">#REF!</definedName>
    <definedName name="dx">#REF!</definedName>
    <definedName name="E" localSheetId="21">#REF!</definedName>
    <definedName name="E" localSheetId="22">#REF!</definedName>
    <definedName name="E" localSheetId="9">#REF!</definedName>
    <definedName name="E" localSheetId="7">#REF!</definedName>
    <definedName name="E" localSheetId="16">#REF!</definedName>
    <definedName name="E" localSheetId="5">#REF!</definedName>
    <definedName name="E" localSheetId="17">#REF!</definedName>
    <definedName name="E">#REF!</definedName>
    <definedName name="EGY" localSheetId="11">#REF!</definedName>
    <definedName name="EGY" localSheetId="7">#REF!</definedName>
    <definedName name="EGY">#REF!</definedName>
    <definedName name="EI" localSheetId="11">#REF!</definedName>
    <definedName name="EI" localSheetId="7">#REF!</definedName>
    <definedName name="EI">#REF!</definedName>
    <definedName name="EILMAT" localSheetId="11">#REF!</definedName>
    <definedName name="EILMAT" localSheetId="7">#REF!</definedName>
    <definedName name="EILMAT">#REF!</definedName>
    <definedName name="End_Bal">#REF!</definedName>
    <definedName name="EPAGE1" localSheetId="21">#REF!</definedName>
    <definedName name="EPAGE1" localSheetId="22">#REF!</definedName>
    <definedName name="EPAGE1" localSheetId="9">#REF!</definedName>
    <definedName name="EPAGE1" localSheetId="7">#REF!</definedName>
    <definedName name="EPAGE1" localSheetId="16">#REF!</definedName>
    <definedName name="EPAGE1" localSheetId="5">#REF!</definedName>
    <definedName name="EPAGE1" localSheetId="17">#REF!</definedName>
    <definedName name="EPAGE1">#REF!</definedName>
    <definedName name="Equity">#REF!</definedName>
    <definedName name="Err_Add_Plus10" localSheetId="11">#REF!</definedName>
    <definedName name="Err_Add_Plus10" localSheetId="7">#REF!</definedName>
    <definedName name="Err_Add_Plus10">#REF!</definedName>
    <definedName name="Err_Box_AddSamp" localSheetId="11">#REF!</definedName>
    <definedName name="Err_Box_AddSamp" localSheetId="7">#REF!</definedName>
    <definedName name="Err_Box_AddSamp">#REF!</definedName>
    <definedName name="Err_Box_Rej" localSheetId="11">#REF!</definedName>
    <definedName name="Err_Box_Rej" localSheetId="7">#REF!</definedName>
    <definedName name="Err_Box_Rej">#REF!</definedName>
    <definedName name="Err_CellComments" localSheetId="11">#REF!</definedName>
    <definedName name="Err_CellComments" localSheetId="7">#REF!</definedName>
    <definedName name="Err_CellComments">#REF!</definedName>
    <definedName name="Err_Date_Check" localSheetId="11">#REF!</definedName>
    <definedName name="Err_Date_Check" localSheetId="7">#REF!</definedName>
    <definedName name="Err_Date_Check">#REF!</definedName>
    <definedName name="Err_Date_Numb" localSheetId="11">#REF!</definedName>
    <definedName name="Err_Date_Numb" localSheetId="7">#REF!</definedName>
    <definedName name="Err_Date_Numb">#REF!</definedName>
    <definedName name="Err_Date_Today" localSheetId="11">#REF!</definedName>
    <definedName name="Err_Date_Today" localSheetId="7">#REF!</definedName>
    <definedName name="Err_Date_Today">#REF!</definedName>
    <definedName name="Err_Empty" localSheetId="11">#REF!</definedName>
    <definedName name="Err_Empty" localSheetId="7">#REF!</definedName>
    <definedName name="Err_Empty">#REF!</definedName>
    <definedName name="Err_Eval_Blank" localSheetId="11">#REF!</definedName>
    <definedName name="Err_Eval_Blank" localSheetId="7">#REF!</definedName>
    <definedName name="Err_Eval_Blank">#REF!</definedName>
    <definedName name="Err_Fail_Verbiage" localSheetId="11">#REF!</definedName>
    <definedName name="Err_Fail_Verbiage" localSheetId="7">#REF!</definedName>
    <definedName name="Err_Fail_Verbiage">#REF!</definedName>
    <definedName name="Err_InfoCheck" localSheetId="11">#REF!</definedName>
    <definedName name="Err_InfoCheck" localSheetId="7">#REF!</definedName>
    <definedName name="Err_InfoCheck">#REF!</definedName>
    <definedName name="Err_NotesBox" localSheetId="11">#REF!</definedName>
    <definedName name="Err_NotesBox" localSheetId="7">#REF!</definedName>
    <definedName name="Err_NotesBox">#REF!</definedName>
    <definedName name="Err_Rand_1" localSheetId="11">#REF!</definedName>
    <definedName name="Err_Rand_1" localSheetId="7">#REF!</definedName>
    <definedName name="Err_Rand_1">#REF!</definedName>
    <definedName name="Err_Random" localSheetId="11">#REF!</definedName>
    <definedName name="Err_Random" localSheetId="7">#REF!</definedName>
    <definedName name="Err_Random">#REF!</definedName>
    <definedName name="Err_SampErr" localSheetId="11">#REF!</definedName>
    <definedName name="Err_SampErr" localSheetId="7">#REF!</definedName>
    <definedName name="Err_SampErr">#REF!</definedName>
    <definedName name="Err_StopCode" localSheetId="11">#REF!</definedName>
    <definedName name="Err_StopCode" localSheetId="7">#REF!</definedName>
    <definedName name="Err_StopCode">#REF!</definedName>
    <definedName name="Eval_btn" localSheetId="11">#REF!</definedName>
    <definedName name="Eval_btn" localSheetId="7">#REF!</definedName>
    <definedName name="Eval_btn">#REF!</definedName>
    <definedName name="Eval_btn_Ans" localSheetId="11">#REF!</definedName>
    <definedName name="Eval_btn_Ans" localSheetId="7">#REF!</definedName>
    <definedName name="Eval_btn_Ans">#REF!</definedName>
    <definedName name="Eval_MR" localSheetId="11">#REF!</definedName>
    <definedName name="Eval_MR" localSheetId="7">#REF!</definedName>
    <definedName name="Eval_MR">#REF!</definedName>
    <definedName name="Eval_Targ_T" localSheetId="11">#REF!</definedName>
    <definedName name="Eval_Targ_T" localSheetId="7">#REF!</definedName>
    <definedName name="Eval_Targ_T">#REF!</definedName>
    <definedName name="Eval_Text" localSheetId="11">#REF!</definedName>
    <definedName name="Eval_Text" localSheetId="7">#REF!</definedName>
    <definedName name="Eval_Text">#REF!</definedName>
    <definedName name="Eval_TM" localSheetId="11">#REF!</definedName>
    <definedName name="Eval_TM" localSheetId="7">#REF!</definedName>
    <definedName name="Eval_TM">#REF!</definedName>
    <definedName name="Eval_TTMR" localSheetId="11">#REF!</definedName>
    <definedName name="Eval_TTMR" localSheetId="7">#REF!</definedName>
    <definedName name="Eval_TTMR">#REF!</definedName>
    <definedName name="Excel_BuiltIn__FilterDatabase_1" localSheetId="21">#REF!</definedName>
    <definedName name="Excel_BuiltIn__FilterDatabase_1" localSheetId="22">#REF!</definedName>
    <definedName name="Excel_BuiltIn__FilterDatabase_1" localSheetId="9">#REF!</definedName>
    <definedName name="Excel_BuiltIn__FilterDatabase_1" localSheetId="16">#REF!</definedName>
    <definedName name="Excel_BuiltIn__FilterDatabase_1" localSheetId="5">#REF!</definedName>
    <definedName name="Excel_BuiltIn__FilterDatabase_1" localSheetId="17">#REF!</definedName>
    <definedName name="Excel_BuiltIn__FilterDatabase_1">#REF!</definedName>
    <definedName name="Excel_BuiltIn__FilterDatabase_3" localSheetId="11">[66]Documentation!#REF!</definedName>
    <definedName name="Excel_BuiltIn__FilterDatabase_3" localSheetId="7">[66]Documentation!#REF!</definedName>
    <definedName name="Excel_BuiltIn__FilterDatabase_3">[66]Documentation!#REF!</definedName>
    <definedName name="Excel_BuiltIn_Print_Area" localSheetId="21">#REF!</definedName>
    <definedName name="Excel_BuiltIn_Print_Area" localSheetId="22">#REF!</definedName>
    <definedName name="Excel_BuiltIn_Print_Area" localSheetId="9">#REF!</definedName>
    <definedName name="Excel_BuiltIn_Print_Area" localSheetId="7">#REF!</definedName>
    <definedName name="Excel_BuiltIn_Print_Area" localSheetId="16">#REF!</definedName>
    <definedName name="Excel_BuiltIn_Print_Area" localSheetId="5">#REF!</definedName>
    <definedName name="Excel_BuiltIn_Print_Area" localSheetId="17">#REF!</definedName>
    <definedName name="Excel_BuiltIn_Print_Area">#REF!</definedName>
    <definedName name="Excel_BuiltIn_Print_Area_8" localSheetId="21">#REF!</definedName>
    <definedName name="Excel_BuiltIn_Print_Area_8" localSheetId="22">#REF!</definedName>
    <definedName name="Excel_BuiltIn_Print_Area_8" localSheetId="9">#REF!</definedName>
    <definedName name="Excel_BuiltIn_Print_Area_8" localSheetId="7">#REF!</definedName>
    <definedName name="Excel_BuiltIn_Print_Area_8" localSheetId="16">#REF!</definedName>
    <definedName name="Excel_BuiltIn_Print_Area_8" localSheetId="5">#REF!</definedName>
    <definedName name="Excel_BuiltIn_Print_Area_8" localSheetId="17">#REF!</definedName>
    <definedName name="Excel_BuiltIn_Print_Area_8">#REF!</definedName>
    <definedName name="excluding_unclaimed_dividend__accrued_mark_up_on_short_term_finances" localSheetId="21">'[13]34-38.2'!#REF!</definedName>
    <definedName name="excluding_unclaimed_dividend__accrued_mark_up_on_short_term_finances" localSheetId="22">'[13]34-38.2'!#REF!</definedName>
    <definedName name="excluding_unclaimed_dividend__accrued_mark_up_on_short_term_finances" localSheetId="9">'[13]34-38.2'!#REF!</definedName>
    <definedName name="excluding_unclaimed_dividend__accrued_mark_up_on_short_term_finances" localSheetId="2">'[13]34-38.2'!#REF!</definedName>
    <definedName name="excluding_unclaimed_dividend__accrued_mark_up_on_short_term_finances" localSheetId="16">'[13]34-38.2'!#REF!</definedName>
    <definedName name="excluding_unclaimed_dividend__accrued_mark_up_on_short_term_finances" localSheetId="5">'[13]34-38.2'!#REF!</definedName>
    <definedName name="excluding_unclaimed_dividend__accrued_mark_up_on_short_term_finances" localSheetId="17">'[13]34-38.2'!#REF!</definedName>
    <definedName name="excluding_unclaimed_dividend__accrued_mark_up_on_short_term_finances">'[13]34-38.2'!#REF!</definedName>
    <definedName name="EXP" localSheetId="21">#REF!</definedName>
    <definedName name="EXP" localSheetId="22">#REF!</definedName>
    <definedName name="EXP" localSheetId="9">#REF!</definedName>
    <definedName name="EXP" localSheetId="7">'[2]last qrt2001'!#REF!</definedName>
    <definedName name="EXP" localSheetId="16">#REF!</definedName>
    <definedName name="EXP" localSheetId="5">#REF!</definedName>
    <definedName name="EXP" localSheetId="17">#REF!</definedName>
    <definedName name="EXP">#REF!</definedName>
    <definedName name="EXPENSIVE_CARS">#REF!</definedName>
    <definedName name="Extra_Pay">#REF!</definedName>
    <definedName name="f" localSheetId="21">#REF!</definedName>
    <definedName name="F" localSheetId="22">'[67]FINANCE CODE'!#REF!</definedName>
    <definedName name="F" localSheetId="9">'[67]FINANCE CODE'!#REF!</definedName>
    <definedName name="F" localSheetId="7">'[67]FINANCE CODE'!#REF!</definedName>
    <definedName name="F" localSheetId="16">'[67]FINANCE CODE'!#REF!</definedName>
    <definedName name="F" localSheetId="5">'[67]FINANCE CODE'!#REF!</definedName>
    <definedName name="F" localSheetId="17">'[67]FINANCE CODE'!#REF!</definedName>
    <definedName name="F">'[67]FINANCE CODE'!#REF!</definedName>
    <definedName name="F_A_C_TITLE" localSheetId="21">#REF!</definedName>
    <definedName name="F_A_C_TITLE" localSheetId="22">#REF!</definedName>
    <definedName name="F_A_C_TITLE" localSheetId="9">#REF!</definedName>
    <definedName name="F_A_C_TITLE" localSheetId="2">#REF!</definedName>
    <definedName name="F_A_C_TITLE" localSheetId="16">#REF!</definedName>
    <definedName name="F_A_C_TITLE" localSheetId="5">#REF!</definedName>
    <definedName name="F_A_C_TITLE" localSheetId="17">#REF!</definedName>
    <definedName name="F_A_C_TITLE">#REF!</definedName>
    <definedName name="f_name">'[68]A-C CODE &amp; NAME'!$B$1:$C$193</definedName>
    <definedName name="FA" localSheetId="21">[28]acct!#REF!</definedName>
    <definedName name="FA" localSheetId="22">[29]acct!#REF!</definedName>
    <definedName name="FA" localSheetId="9">[29]acct!#REF!</definedName>
    <definedName name="FA" localSheetId="7">[28]acct!#REF!</definedName>
    <definedName name="FA" localSheetId="2">[30]acct!#REF!</definedName>
    <definedName name="FA" localSheetId="16">[29]acct!#REF!</definedName>
    <definedName name="FA" localSheetId="5">[29]acct!#REF!</definedName>
    <definedName name="FA" localSheetId="17">[29]acct!#REF!</definedName>
    <definedName name="FA">[29]acct!#REF!</definedName>
    <definedName name="FC">#REF!</definedName>
    <definedName name="Fcy" localSheetId="21">#REF!</definedName>
    <definedName name="Fcy" localSheetId="22">#REF!</definedName>
    <definedName name="Fcy" localSheetId="9">#REF!</definedName>
    <definedName name="Fcy" localSheetId="16">#REF!</definedName>
    <definedName name="Fcy" localSheetId="5">#REF!</definedName>
    <definedName name="Fcy" localSheetId="17">#REF!</definedName>
    <definedName name="Fcy">#REF!</definedName>
    <definedName name="FDE" localSheetId="21">'[69]Notes1-5'!#REF!</definedName>
    <definedName name="FDE" localSheetId="22">'[69]Notes1-5'!#REF!</definedName>
    <definedName name="FDE" localSheetId="9">'[69]Notes1-5'!#REF!</definedName>
    <definedName name="FDE" localSheetId="7">'[69]Notes1-5'!#REF!</definedName>
    <definedName name="FDE" localSheetId="16">'[69]Notes1-5'!#REF!</definedName>
    <definedName name="FDE" localSheetId="5">'[69]Notes1-5'!#REF!</definedName>
    <definedName name="FDE" localSheetId="17">'[69]Notes1-5'!#REF!</definedName>
    <definedName name="FDE">'[69]Notes1-5'!#REF!</definedName>
    <definedName name="FDF" localSheetId="21">'[70]CE-10th-June-06'!#REF!</definedName>
    <definedName name="FDF" localSheetId="22">'[70]CE-10th-June-06'!#REF!</definedName>
    <definedName name="FDF" localSheetId="9">'[70]CE-10th-June-06'!#REF!</definedName>
    <definedName name="FDF" localSheetId="7">'[70]CE-10th-June-06'!#REF!</definedName>
    <definedName name="FDF" localSheetId="16">'[70]CE-10th-June-06'!#REF!</definedName>
    <definedName name="FDF" localSheetId="5">'[70]CE-10th-June-06'!#REF!</definedName>
    <definedName name="FDF" localSheetId="17">'[70]CE-10th-June-06'!#REF!</definedName>
    <definedName name="FDF">'[70]CE-10th-June-06'!#REF!</definedName>
    <definedName name="ffff" localSheetId="11">Scheduled_Payment+Extra_Payment</definedName>
    <definedName name="ffff">Scheduled_Payment+Extra_Payment</definedName>
    <definedName name="fg" localSheetId="21">#REF!</definedName>
    <definedName name="fg" localSheetId="22">#REF!</definedName>
    <definedName name="fg" localSheetId="9">#REF!</definedName>
    <definedName name="fg" localSheetId="7">#REF!</definedName>
    <definedName name="fg" localSheetId="2">#REF!</definedName>
    <definedName name="fg" localSheetId="16">#REF!</definedName>
    <definedName name="fg" localSheetId="5">#REF!</definedName>
    <definedName name="fg" localSheetId="17">#REF!</definedName>
    <definedName name="fg">#REF!</definedName>
    <definedName name="fgh" localSheetId="21" hidden="1">{#N/A,#N/A,FALSE,"dec98qtr";#N/A,#N/A,FALSE,"suppdecsep98";#N/A,#N/A,FALSE,"w-dec98"}</definedName>
    <definedName name="fgh" localSheetId="9" hidden="1">{#N/A,#N/A,FALSE,"dec98qtr";#N/A,#N/A,FALSE,"suppdecsep98";#N/A,#N/A,FALSE,"w-dec98"}</definedName>
    <definedName name="fgh" localSheetId="11" hidden="1">{#N/A,#N/A,FALSE,"dec98qtr";#N/A,#N/A,FALSE,"suppdecsep98";#N/A,#N/A,FALSE,"w-dec98"}</definedName>
    <definedName name="fgh" localSheetId="2" hidden="1">{#N/A,#N/A,FALSE,"dec98qtr";#N/A,#N/A,FALSE,"suppdecsep98";#N/A,#N/A,FALSE,"w-dec98"}</definedName>
    <definedName name="fgh" hidden="1">{#N/A,#N/A,FALSE,"dec98qtr";#N/A,#N/A,FALSE,"suppdecsep98";#N/A,#N/A,FALSE,"w-dec98"}</definedName>
    <definedName name="FIBREPO" localSheetId="21">#REF!</definedName>
    <definedName name="FIBREPO" localSheetId="22">#REF!</definedName>
    <definedName name="FIBREPO" localSheetId="9">#REF!</definedName>
    <definedName name="FIBREPO" localSheetId="7">#REF!</definedName>
    <definedName name="FIBREPO" localSheetId="16">#REF!</definedName>
    <definedName name="FIBREPO" localSheetId="5">#REF!</definedName>
    <definedName name="FIBREPO" localSheetId="17">#REF!</definedName>
    <definedName name="FIBREPO">#REF!</definedName>
    <definedName name="FIBWON" localSheetId="21">#REF!</definedName>
    <definedName name="FIBWON" localSheetId="22">#REF!</definedName>
    <definedName name="FIBWON" localSheetId="9">#REF!</definedName>
    <definedName name="FIBWON" localSheetId="7">#REF!</definedName>
    <definedName name="FIBWON" localSheetId="16">#REF!</definedName>
    <definedName name="FIBWON" localSheetId="5">#REF!</definedName>
    <definedName name="FIBWON" localSheetId="17">#REF!</definedName>
    <definedName name="FIBWON">#REF!</definedName>
    <definedName name="FIGURES">#REF!</definedName>
    <definedName name="FIN" localSheetId="11">#REF!</definedName>
    <definedName name="FIN" localSheetId="7">#REF!</definedName>
    <definedName name="FIN">#REF!</definedName>
    <definedName name="FINANCIAL_CHRG">'[3]Input:Invetory level'!$B$31:$AG$1138</definedName>
    <definedName name="FinancialGraphs" localSheetId="21">#REF!</definedName>
    <definedName name="FinancialGraphs" localSheetId="22">#REF!</definedName>
    <definedName name="FinancialGraphs" localSheetId="9">#REF!</definedName>
    <definedName name="FinancialGraphs" localSheetId="16">#REF!</definedName>
    <definedName name="FinancialGraphs" localSheetId="5">#REF!</definedName>
    <definedName name="FinancialGraphs" localSheetId="17">#REF!</definedName>
    <definedName name="FinancialGraphs">#REF!</definedName>
    <definedName name="FINASSET" localSheetId="21">[28]acct!#REF!</definedName>
    <definedName name="FINASSET" localSheetId="22">[29]acct!#REF!</definedName>
    <definedName name="FINASSET" localSheetId="9">[29]acct!#REF!</definedName>
    <definedName name="FINASSET" localSheetId="7">[28]acct!#REF!</definedName>
    <definedName name="FINASSET" localSheetId="2">[30]acct!#REF!</definedName>
    <definedName name="FINASSET" localSheetId="16">[29]acct!#REF!</definedName>
    <definedName name="FINASSET" localSheetId="5">[29]acct!#REF!</definedName>
    <definedName name="FINASSET" localSheetId="17">[29]acct!#REF!</definedName>
    <definedName name="FINASSET">[29]acct!#REF!</definedName>
    <definedName name="FIREPREMIUMCURRENT">#REF!</definedName>
    <definedName name="FIXED_ASSETS" localSheetId="21">#REF!</definedName>
    <definedName name="FIXED_ASSETS" localSheetId="22">#REF!</definedName>
    <definedName name="FIXED_ASSETS" localSheetId="9">#REF!</definedName>
    <definedName name="FIXED_ASSETS" localSheetId="2">#REF!</definedName>
    <definedName name="FIXED_ASSETS" localSheetId="16">#REF!</definedName>
    <definedName name="FIXED_ASSETS" localSheetId="5">#REF!</definedName>
    <definedName name="FIXED_ASSETS" localSheetId="17">#REF!</definedName>
    <definedName name="FIXED_ASSETS">#REF!</definedName>
    <definedName name="FIXEDASSETS" localSheetId="21">#REF!</definedName>
    <definedName name="FIXEDASSETS" localSheetId="22">#REF!</definedName>
    <definedName name="FIXEDASSETS" localSheetId="9">#REF!</definedName>
    <definedName name="FIXEDASSETS" localSheetId="2">#REF!</definedName>
    <definedName name="FIXEDASSETS" localSheetId="16">#REF!</definedName>
    <definedName name="FIXEDASSETS" localSheetId="5">#REF!</definedName>
    <definedName name="FIXEDASSETS" localSheetId="17">#REF!</definedName>
    <definedName name="FIXEDASSETS">#REF!</definedName>
    <definedName name="FMA" localSheetId="11">#REF!</definedName>
    <definedName name="FMA" localSheetId="7">#REF!</definedName>
    <definedName name="FMA">#REF!</definedName>
    <definedName name="Foreign" localSheetId="21">#REF!</definedName>
    <definedName name="Foreign" localSheetId="22">#REF!</definedName>
    <definedName name="Foreign" localSheetId="9">#REF!</definedName>
    <definedName name="Foreign" localSheetId="16">#REF!</definedName>
    <definedName name="Foreign" localSheetId="5">#REF!</definedName>
    <definedName name="Foreign" localSheetId="17">#REF!</definedName>
    <definedName name="Foreign">#REF!</definedName>
    <definedName name="FOREIGNEXCHANGE" localSheetId="21">#REF!</definedName>
    <definedName name="FOREIGNEXCHANGE" localSheetId="22">#REF!</definedName>
    <definedName name="FOREIGNEXCHANGE" localSheetId="9">#REF!</definedName>
    <definedName name="FOREIGNEXCHANGE" localSheetId="2">#REF!</definedName>
    <definedName name="FOREIGNEXCHANGE" localSheetId="16">#REF!</definedName>
    <definedName name="FOREIGNEXCHANGE" localSheetId="5">#REF!</definedName>
    <definedName name="FOREIGNEXCHANGE" localSheetId="17">#REF!</definedName>
    <definedName name="FOREIGNEXCHANGE">#REF!</definedName>
    <definedName name="FORM" localSheetId="21">#REF!</definedName>
    <definedName name="FORM" localSheetId="22">#REF!</definedName>
    <definedName name="FORM" localSheetId="9">#REF!</definedName>
    <definedName name="FORM" localSheetId="7">#REF!</definedName>
    <definedName name="FORM" localSheetId="16">#REF!</definedName>
    <definedName name="FORM" localSheetId="5">#REF!</definedName>
    <definedName name="FORM" localSheetId="17">#REF!</definedName>
    <definedName name="FORM">#REF!</definedName>
    <definedName name="FP_EU_0206__00246_04" localSheetId="21">#REF!</definedName>
    <definedName name="FP_EU_0206__00246_04" localSheetId="22">#REF!</definedName>
    <definedName name="FP_EU_0206__00246_04" localSheetId="9">#REF!</definedName>
    <definedName name="FP_EU_0206__00246_04" localSheetId="7">#REF!</definedName>
    <definedName name="FP_EU_0206__00246_04" localSheetId="16">#REF!</definedName>
    <definedName name="FP_EU_0206__00246_04" localSheetId="5">#REF!</definedName>
    <definedName name="FP_EU_0206__00246_04" localSheetId="17">#REF!</definedName>
    <definedName name="FP_EU_0206__00246_04">#REF!</definedName>
    <definedName name="Frequency">'[71]Drop down'!$C$6:$C$13</definedName>
    <definedName name="FSA" localSheetId="21">#REF!</definedName>
    <definedName name="FSA" localSheetId="22">#REF!</definedName>
    <definedName name="FSA" localSheetId="9">#REF!</definedName>
    <definedName name="FSA" localSheetId="7">#REF!</definedName>
    <definedName name="FSA" localSheetId="16">#REF!</definedName>
    <definedName name="FSA" localSheetId="5">#REF!</definedName>
    <definedName name="FSA" localSheetId="17">#REF!</definedName>
    <definedName name="FSA">#REF!</definedName>
    <definedName name="Full_Print">#REF!</definedName>
    <definedName name="FUNDS_POSITION" localSheetId="21">[72]Bank!#REF!</definedName>
    <definedName name="FUNDS_POSITION" localSheetId="22">[72]Bank!#REF!</definedName>
    <definedName name="FUNDS_POSITION" localSheetId="9">[72]Bank!#REF!</definedName>
    <definedName name="FUNDS_POSITION" localSheetId="2">[72]Bank!#REF!</definedName>
    <definedName name="FUNDS_POSITION" localSheetId="16">[72]Bank!#REF!</definedName>
    <definedName name="FUNDS_POSITION" localSheetId="5">[72]Bank!#REF!</definedName>
    <definedName name="FUNDS_POSITION" localSheetId="17">[72]Bank!#REF!</definedName>
    <definedName name="FUNDS_POSITION">[72]Bank!#REF!</definedName>
    <definedName name="G" localSheetId="21">#REF!</definedName>
    <definedName name="G" localSheetId="22">#REF!</definedName>
    <definedName name="G" localSheetId="9">#REF!</definedName>
    <definedName name="G" localSheetId="7">#REF!</definedName>
    <definedName name="G" localSheetId="16">#REF!</definedName>
    <definedName name="G" localSheetId="5">#REF!</definedName>
    <definedName name="G" localSheetId="17">#REF!</definedName>
    <definedName name="G">#REF!</definedName>
    <definedName name="g54." localSheetId="21">#REF!</definedName>
    <definedName name="g54." localSheetId="22">#REF!</definedName>
    <definedName name="g54." localSheetId="9">#REF!</definedName>
    <definedName name="g54." localSheetId="16">#REF!</definedName>
    <definedName name="g54." localSheetId="5">#REF!</definedName>
    <definedName name="g54." localSheetId="17">#REF!</definedName>
    <definedName name="g54.">#REF!</definedName>
    <definedName name="GEOTURN" localSheetId="11">#REF!</definedName>
    <definedName name="GEOTURN" localSheetId="7">#REF!</definedName>
    <definedName name="GEOTURN">#REF!</definedName>
    <definedName name="gfgdhf" localSheetId="21" hidden="1">{"Sales 2",#N/A,FALSE,"SALES";"Transfer 2",#N/A,FALSE,"TRANSFERS";"A1460",#N/A,FALSE,"A1460"}</definedName>
    <definedName name="gfgdhf" localSheetId="9" hidden="1">{"Sales 2",#N/A,FALSE,"SALES";"Transfer 2",#N/A,FALSE,"TRANSFERS";"A1460",#N/A,FALSE,"A1460"}</definedName>
    <definedName name="gfgdhf" localSheetId="11" hidden="1">{"Sales 2",#N/A,FALSE,"SALES";"Transfer 2",#N/A,FALSE,"TRANSFERS";"A1460",#N/A,FALSE,"A1460"}</definedName>
    <definedName name="gfgdhf" localSheetId="2" hidden="1">{"Sales 2",#N/A,FALSE,"SALES";"Transfer 2",#N/A,FALSE,"TRANSFERS";"A1460",#N/A,FALSE,"A1460"}</definedName>
    <definedName name="gfgdhf" hidden="1">{"Sales 2",#N/A,FALSE,"SALES";"Transfer 2",#N/A,FALSE,"TRANSFERS";"A1460",#N/A,FALSE,"A1460"}</definedName>
    <definedName name="gg" localSheetId="21" hidden="1">{"Sales 2",#N/A,FALSE,"SALES";"Transfer 2",#N/A,FALSE,"TRANSFERS";"A1460",#N/A,FALSE,"A1460"}</definedName>
    <definedName name="gg" localSheetId="9" hidden="1">{"Sales 2",#N/A,FALSE,"SALES";"Transfer 2",#N/A,FALSE,"TRANSFERS";"A1460",#N/A,FALSE,"A1460"}</definedName>
    <definedName name="gg" localSheetId="11" hidden="1">{"Sales 2",#N/A,FALSE,"SALES";"Transfer 2",#N/A,FALSE,"TRANSFERS";"A1460",#N/A,FALSE,"A1460"}</definedName>
    <definedName name="gg" localSheetId="2" hidden="1">{"Sales 2",#N/A,FALSE,"SALES";"Transfer 2",#N/A,FALSE,"TRANSFERS";"A1460",#N/A,FALSE,"A1460"}</definedName>
    <definedName name="gg" hidden="1">{"Sales 2",#N/A,FALSE,"SALES";"Transfer 2",#N/A,FALSE,"TRANSFERS";"A1460",#N/A,FALSE,"A1460"}</definedName>
    <definedName name="ggf" localSheetId="21" hidden="1">{#N/A,#N/A,FALSE,"dec98qtr";#N/A,#N/A,FALSE,"suppdecsep98";#N/A,#N/A,FALSE,"w-dec98"}</definedName>
    <definedName name="ggf" localSheetId="9" hidden="1">{#N/A,#N/A,FALSE,"dec98qtr";#N/A,#N/A,FALSE,"suppdecsep98";#N/A,#N/A,FALSE,"w-dec98"}</definedName>
    <definedName name="ggf" localSheetId="11" hidden="1">{#N/A,#N/A,FALSE,"dec98qtr";#N/A,#N/A,FALSE,"suppdecsep98";#N/A,#N/A,FALSE,"w-dec98"}</definedName>
    <definedName name="ggf" localSheetId="2" hidden="1">{#N/A,#N/A,FALSE,"dec98qtr";#N/A,#N/A,FALSE,"suppdecsep98";#N/A,#N/A,FALSE,"w-dec98"}</definedName>
    <definedName name="ggf" hidden="1">{#N/A,#N/A,FALSE,"dec98qtr";#N/A,#N/A,FALSE,"suppdecsep98";#N/A,#N/A,FALSE,"w-dec98"}</definedName>
    <definedName name="ggfgfg" localSheetId="11" hidden="1">{"'CALL MONEY'!$K$53"}</definedName>
    <definedName name="ggfgfg" hidden="1">{"'CALL MONEY'!$K$53"}</definedName>
    <definedName name="GGG" localSheetId="21">#REF!</definedName>
    <definedName name="GGG" localSheetId="22">#REF!</definedName>
    <definedName name="GGG" localSheetId="9">#REF!</definedName>
    <definedName name="GGG" localSheetId="7">#REF!</definedName>
    <definedName name="GGG" localSheetId="16">#REF!</definedName>
    <definedName name="GGG" localSheetId="5">#REF!</definedName>
    <definedName name="GGG" localSheetId="17">#REF!</definedName>
    <definedName name="GGG">#REF!</definedName>
    <definedName name="GH" localSheetId="21" hidden="1">{"MSS",#N/A,FALSE,"MSS";"ProdSA",#N/A,FALSE,"ProdSA";"Sales 1",#N/A,FALSE,"SALES";"Transfer 1",#N/A,FALSE,"TRANSFERS"}</definedName>
    <definedName name="GH" localSheetId="9" hidden="1">{"MSS",#N/A,FALSE,"MSS";"ProdSA",#N/A,FALSE,"ProdSA";"Sales 1",#N/A,FALSE,"SALES";"Transfer 1",#N/A,FALSE,"TRANSFERS"}</definedName>
    <definedName name="GH" localSheetId="11" hidden="1">{"MSS",#N/A,FALSE,"MSS";"ProdSA",#N/A,FALSE,"ProdSA";"Sales 1",#N/A,FALSE,"SALES";"Transfer 1",#N/A,FALSE,"TRANSFERS"}</definedName>
    <definedName name="GH" localSheetId="2" hidden="1">{"MSS",#N/A,FALSE,"MSS";"ProdSA",#N/A,FALSE,"ProdSA";"Sales 1",#N/A,FALSE,"SALES";"Transfer 1",#N/A,FALSE,"TRANSFERS"}</definedName>
    <definedName name="GH" hidden="1">{"MSS",#N/A,FALSE,"MSS";"ProdSA",#N/A,FALSE,"ProdSA";"Sales 1",#N/A,FALSE,"SALES";"Transfer 1",#N/A,FALSE,"TRANSFERS"}</definedName>
    <definedName name="ghj" localSheetId="21" hidden="1">{"Sales 2",#N/A,FALSE,"SALES";"Transfer 2",#N/A,FALSE,"TRANSFERS";"A1460",#N/A,FALSE,"A1460"}</definedName>
    <definedName name="ghj" localSheetId="9" hidden="1">{"Sales 2",#N/A,FALSE,"SALES";"Transfer 2",#N/A,FALSE,"TRANSFERS";"A1460",#N/A,FALSE,"A1460"}</definedName>
    <definedName name="ghj" localSheetId="11" hidden="1">{"Sales 2",#N/A,FALSE,"SALES";"Transfer 2",#N/A,FALSE,"TRANSFERS";"A1460",#N/A,FALSE,"A1460"}</definedName>
    <definedName name="ghj" localSheetId="2" hidden="1">{"Sales 2",#N/A,FALSE,"SALES";"Transfer 2",#N/A,FALSE,"TRANSFERS";"A1460",#N/A,FALSE,"A1460"}</definedName>
    <definedName name="ghj" hidden="1">{"Sales 2",#N/A,FALSE,"SALES";"Transfer 2",#N/A,FALSE,"TRANSFERS";"A1460",#N/A,FALSE,"A1460"}</definedName>
    <definedName name="ghu" hidden="1">#REF!</definedName>
    <definedName name="GL" localSheetId="21" hidden="1">{"'CALL MONEY'!$K$53"}</definedName>
    <definedName name="GL" localSheetId="9" hidden="1">{"'CALL MONEY'!$K$53"}</definedName>
    <definedName name="GL" localSheetId="11" hidden="1">{"'CALL MONEY'!$K$53"}</definedName>
    <definedName name="GL" hidden="1">{"'CALL MONEY'!$K$53"}</definedName>
    <definedName name="GOCWO" localSheetId="11">#REF!</definedName>
    <definedName name="GOCWO" localSheetId="7">#REF!</definedName>
    <definedName name="GOCWO">#REF!</definedName>
    <definedName name="GP_COMPARISON" localSheetId="21">#REF!</definedName>
    <definedName name="GP_COMPARISON" localSheetId="22">#REF!</definedName>
    <definedName name="GP_COMPARISON" localSheetId="9">#REF!</definedName>
    <definedName name="GP_COMPARISON" localSheetId="2">#REF!</definedName>
    <definedName name="GP_COMPARISON" localSheetId="16">#REF!</definedName>
    <definedName name="GP_COMPARISON" localSheetId="5">#REF!</definedName>
    <definedName name="GP_COMPARISON" localSheetId="17">#REF!</definedName>
    <definedName name="GP_COMPARISON">#REF!</definedName>
    <definedName name="h">#REF!</definedName>
    <definedName name="HAaaa" localSheetId="11">Scheduled_Payment+Extra_Payment</definedName>
    <definedName name="HAaaa">Scheduled_Payment+Extra_Payment</definedName>
    <definedName name="hatim" localSheetId="11">#REF!</definedName>
    <definedName name="hatim" localSheetId="7">#REF!</definedName>
    <definedName name="hatim">#REF!</definedName>
    <definedName name="HD_INCOME" localSheetId="21">#REF!</definedName>
    <definedName name="HD_INCOME" localSheetId="22">#REF!</definedName>
    <definedName name="HD_INCOME" localSheetId="9">#REF!</definedName>
    <definedName name="HD_INCOME" localSheetId="2">#REF!</definedName>
    <definedName name="HD_INCOME" localSheetId="16">#REF!</definedName>
    <definedName name="HD_INCOME" localSheetId="5">#REF!</definedName>
    <definedName name="HD_INCOME" localSheetId="17">#REF!</definedName>
    <definedName name="HD_INCOME">#REF!</definedName>
    <definedName name="Header_Row">ROW(#REF!)</definedName>
    <definedName name="Henry" localSheetId="11">'[73]Analytics Summary'!#REF!</definedName>
    <definedName name="Henry" localSheetId="7">'[73]Analytics Summary'!#REF!</definedName>
    <definedName name="Henry">'[73]Analytics Summary'!#REF!</definedName>
    <definedName name="hfh" localSheetId="21" hidden="1">{#N/A,#N/A,FALSE,"dec98qtr";#N/A,#N/A,FALSE,"suppdecsep98";#N/A,#N/A,FALSE,"w-dec98"}</definedName>
    <definedName name="hfh" localSheetId="9" hidden="1">{#N/A,#N/A,FALSE,"dec98qtr";#N/A,#N/A,FALSE,"suppdecsep98";#N/A,#N/A,FALSE,"w-dec98"}</definedName>
    <definedName name="hfh" localSheetId="11" hidden="1">{#N/A,#N/A,FALSE,"dec98qtr";#N/A,#N/A,FALSE,"suppdecsep98";#N/A,#N/A,FALSE,"w-dec98"}</definedName>
    <definedName name="hfh" localSheetId="2" hidden="1">{#N/A,#N/A,FALSE,"dec98qtr";#N/A,#N/A,FALSE,"suppdecsep98";#N/A,#N/A,FALSE,"w-dec98"}</definedName>
    <definedName name="hfh" hidden="1">{#N/A,#N/A,FALSE,"dec98qtr";#N/A,#N/A,FALSE,"suppdecsep98";#N/A,#N/A,FALSE,"w-dec98"}</definedName>
    <definedName name="hgg" localSheetId="21" hidden="1">{"Sales 2",#N/A,FALSE,"SALES";"Transfer 2",#N/A,FALSE,"TRANSFERS";"A1460",#N/A,FALSE,"A1460"}</definedName>
    <definedName name="hgg" localSheetId="9" hidden="1">{"Sales 2",#N/A,FALSE,"SALES";"Transfer 2",#N/A,FALSE,"TRANSFERS";"A1460",#N/A,FALSE,"A1460"}</definedName>
    <definedName name="hgg" localSheetId="11" hidden="1">{"Sales 2",#N/A,FALSE,"SALES";"Transfer 2",#N/A,FALSE,"TRANSFERS";"A1460",#N/A,FALSE,"A1460"}</definedName>
    <definedName name="hgg" localSheetId="2" hidden="1">{"Sales 2",#N/A,FALSE,"SALES";"Transfer 2",#N/A,FALSE,"TRANSFERS";"A1460",#N/A,FALSE,"A1460"}</definedName>
    <definedName name="hgg" hidden="1">{"Sales 2",#N/A,FALSE,"SALES";"Transfer 2",#N/A,FALSE,"TRANSFERS";"A1460",#N/A,FALSE,"A1460"}</definedName>
    <definedName name="hh" localSheetId="21">#N/A</definedName>
    <definedName name="hh" localSheetId="9" hidden="1">{"'CALL MONEY'!$K$53"}</definedName>
    <definedName name="hh" localSheetId="11" hidden="1">{"'CALL MONEY'!$K$53"}</definedName>
    <definedName name="hh" hidden="1">{"'CALL MONEY'!$K$53"}</definedName>
    <definedName name="hhjhjjjjjj" localSheetId="11">[74]Lead!#REF!</definedName>
    <definedName name="hhjhjjjjjj" localSheetId="7">[74]Lead!#REF!</definedName>
    <definedName name="hhjhjjjjjj">[74]Lead!#REF!</definedName>
    <definedName name="highlights">#REF!</definedName>
    <definedName name="Highlightsconsolidated">#REF!</definedName>
    <definedName name="HighlightsUnit1">#REF!</definedName>
    <definedName name="HISTORY_A_LIAB" localSheetId="21">#REF!</definedName>
    <definedName name="HISTORY_A_LIAB" localSheetId="22">#REF!</definedName>
    <definedName name="HISTORY_A_LIAB" localSheetId="9">#REF!</definedName>
    <definedName name="HISTORY_A_LIAB" localSheetId="2">#REF!</definedName>
    <definedName name="HISTORY_A_LIAB" localSheetId="16">#REF!</definedName>
    <definedName name="HISTORY_A_LIAB" localSheetId="5">#REF!</definedName>
    <definedName name="HISTORY_A_LIAB" localSheetId="17">#REF!</definedName>
    <definedName name="HISTORY_A_LIAB">#REF!</definedName>
    <definedName name="hr" localSheetId="11">#REF!</definedName>
    <definedName name="hr" localSheetId="7">#REF!</definedName>
    <definedName name="hr">#REF!</definedName>
    <definedName name="html_cntrl" localSheetId="21" hidden="1">{"'CALL MONEY'!$K$53"}</definedName>
    <definedName name="html_cntrl" localSheetId="9" hidden="1">{"'CALL MONEY'!$K$53"}</definedName>
    <definedName name="html_cntrl" localSheetId="11" hidden="1">{"'CALL MONEY'!$K$53"}</definedName>
    <definedName name="html_cntrl" localSheetId="7" hidden="1">{"'CALL MONEY'!$K$53"}</definedName>
    <definedName name="html_cntrl" hidden="1">{"'CALL MONEY'!$K$53"}</definedName>
    <definedName name="html_cntrl465454" localSheetId="21" hidden="1">{"'CALL MONEY'!$K$53"}</definedName>
    <definedName name="html_cntrl465454" localSheetId="9" hidden="1">{"'CALL MONEY'!$K$53"}</definedName>
    <definedName name="html_cntrl465454" localSheetId="11" hidden="1">{"'CALL MONEY'!$K$53"}</definedName>
    <definedName name="html_cntrl465454" localSheetId="7" hidden="1">{"'CALL MONEY'!$K$53"}</definedName>
    <definedName name="html_cntrl465454" hidden="1">{"'CALL MONEY'!$K$53"}</definedName>
    <definedName name="HTML_CodePage" hidden="1">1252</definedName>
    <definedName name="HTML_Control" localSheetId="21" hidden="1">{"'CALL MONEY'!$K$53"}</definedName>
    <definedName name="HTML_Control" localSheetId="9" hidden="1">{"'CALL MONEY'!$K$53"}</definedName>
    <definedName name="HTML_Control" localSheetId="11" hidden="1">{"'CALL MONEY'!$K$53"}</definedName>
    <definedName name="HTML_Control" localSheetId="7" hidden="1">{"'CALL MONEY'!$K$53"}</definedName>
    <definedName name="HTML_Control" hidden="1">{"'CALL MONEY'!$K$53"}</definedName>
    <definedName name="html_control1" localSheetId="21" hidden="1">{"'CALL MONEY'!$K$53"}</definedName>
    <definedName name="html_control1" localSheetId="9" hidden="1">{"'CALL MONEY'!$K$53"}</definedName>
    <definedName name="html_control1" localSheetId="11" hidden="1">{"'CALL MONEY'!$K$53"}</definedName>
    <definedName name="html_control1" hidden="1">{"'CALL MONEY'!$K$53"}</definedName>
    <definedName name="html_ctl78" localSheetId="21" hidden="1">{"'CALL MONEY'!$K$53"}</definedName>
    <definedName name="html_ctl78" localSheetId="9" hidden="1">{"'CALL MONEY'!$K$53"}</definedName>
    <definedName name="html_ctl78" localSheetId="11" hidden="1">{"'CALL MONEY'!$K$53"}</definedName>
    <definedName name="html_ctl78" localSheetId="7"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21">#REF!</definedName>
    <definedName name="I" localSheetId="22">#REF!</definedName>
    <definedName name="I" localSheetId="9">#REF!</definedName>
    <definedName name="I" localSheetId="7">#REF!</definedName>
    <definedName name="I" localSheetId="16">#REF!</definedName>
    <definedName name="I" localSheetId="5">#REF!</definedName>
    <definedName name="I" localSheetId="17">#REF!</definedName>
    <definedName name="I">#REF!</definedName>
    <definedName name="ID" localSheetId="11">#REF!</definedName>
    <definedName name="ID" localSheetId="7">#REF!</definedName>
    <definedName name="ID">#REF!</definedName>
    <definedName name="IDFUIU" localSheetId="21">#REF!</definedName>
    <definedName name="IDFUIU" localSheetId="22">#REF!</definedName>
    <definedName name="IDFUIU" localSheetId="9">#REF!</definedName>
    <definedName name="IDFUIU" localSheetId="16">#REF!</definedName>
    <definedName name="IDFUIU" localSheetId="5">#REF!</definedName>
    <definedName name="IDFUIU" localSheetId="17">#REF!</definedName>
    <definedName name="IDFUIU">#REF!</definedName>
    <definedName name="IEC" localSheetId="21">#REF!</definedName>
    <definedName name="IEC" localSheetId="22">#REF!</definedName>
    <definedName name="IEC" localSheetId="9">#REF!</definedName>
    <definedName name="IEC" localSheetId="16">#REF!</definedName>
    <definedName name="IEC" localSheetId="5">#REF!</definedName>
    <definedName name="IEC" localSheetId="17">#REF!</definedName>
    <definedName name="IEC">#REF!</definedName>
    <definedName name="IECO" localSheetId="21">#REF!</definedName>
    <definedName name="IECO" localSheetId="22">#REF!</definedName>
    <definedName name="IECO" localSheetId="9">#REF!</definedName>
    <definedName name="IECO" localSheetId="16">#REF!</definedName>
    <definedName name="IECO" localSheetId="5">#REF!</definedName>
    <definedName name="IECO" localSheetId="17">#REF!</definedName>
    <definedName name="IECO">#REF!</definedName>
    <definedName name="IECO1" localSheetId="21">#REF!</definedName>
    <definedName name="IECO1" localSheetId="22">#REF!</definedName>
    <definedName name="IECO1" localSheetId="9">#REF!</definedName>
    <definedName name="IECO1" localSheetId="16">#REF!</definedName>
    <definedName name="IECO1" localSheetId="5">#REF!</definedName>
    <definedName name="IECO1" localSheetId="17">#REF!</definedName>
    <definedName name="IECO1">#REF!</definedName>
    <definedName name="IED" localSheetId="21">#REF!</definedName>
    <definedName name="IED" localSheetId="22">#REF!</definedName>
    <definedName name="IED" localSheetId="9">#REF!</definedName>
    <definedName name="IED" localSheetId="16">#REF!</definedName>
    <definedName name="IED" localSheetId="5">#REF!</definedName>
    <definedName name="IED" localSheetId="17">#REF!</definedName>
    <definedName name="IED">#REF!</definedName>
    <definedName name="IEH" localSheetId="21">#REF!</definedName>
    <definedName name="IEH" localSheetId="22">#REF!</definedName>
    <definedName name="IEH" localSheetId="9">#REF!</definedName>
    <definedName name="IEH" localSheetId="16">#REF!</definedName>
    <definedName name="IEH" localSheetId="5">#REF!</definedName>
    <definedName name="IEH" localSheetId="17">#REF!</definedName>
    <definedName name="IEH">#REF!</definedName>
    <definedName name="IEP" localSheetId="21">#REF!</definedName>
    <definedName name="IEP" localSheetId="22">#REF!</definedName>
    <definedName name="IEP" localSheetId="9">#REF!</definedName>
    <definedName name="IEP" localSheetId="16">#REF!</definedName>
    <definedName name="IEP" localSheetId="5">#REF!</definedName>
    <definedName name="IEP" localSheetId="17">#REF!</definedName>
    <definedName name="IEP">#REF!</definedName>
    <definedName name="IES" localSheetId="21">#REF!</definedName>
    <definedName name="IES" localSheetId="22">#REF!</definedName>
    <definedName name="IES" localSheetId="9">#REF!</definedName>
    <definedName name="IES" localSheetId="16">#REF!</definedName>
    <definedName name="IES" localSheetId="5">#REF!</definedName>
    <definedName name="IES" localSheetId="17">#REF!</definedName>
    <definedName name="IES">#REF!</definedName>
    <definedName name="IET" localSheetId="21">#REF!</definedName>
    <definedName name="IET" localSheetId="22">#REF!</definedName>
    <definedName name="IET" localSheetId="9">#REF!</definedName>
    <definedName name="IET" localSheetId="16">#REF!</definedName>
    <definedName name="IET" localSheetId="5">#REF!</definedName>
    <definedName name="IET" localSheetId="17">#REF!</definedName>
    <definedName name="IET">#REF!</definedName>
    <definedName name="iki" localSheetId="11" hidden="1">{"'CALL MONEY'!$K$53"}</definedName>
    <definedName name="iki" hidden="1">{"'CALL MONEY'!$K$53"}</definedName>
    <definedName name="INC" localSheetId="21">#REF!</definedName>
    <definedName name="INC" localSheetId="22">#REF!</definedName>
    <definedName name="INC" localSheetId="9">#REF!</definedName>
    <definedName name="INC" localSheetId="7">'[2]last qrt2001'!#REF!</definedName>
    <definedName name="INC" localSheetId="16">#REF!</definedName>
    <definedName name="INC" localSheetId="5">#REF!</definedName>
    <definedName name="INC" localSheetId="17">#REF!</definedName>
    <definedName name="INC">#REF!</definedName>
    <definedName name="incomeretfc" localSheetId="11">#REF!</definedName>
    <definedName name="incomeretfc" localSheetId="7">#REF!</definedName>
    <definedName name="incomeretfc">#REF!</definedName>
    <definedName name="IncomeStatementDates" localSheetId="21">#REF!</definedName>
    <definedName name="IncomeStatementDates" localSheetId="22">#REF!</definedName>
    <definedName name="IncomeStatementDates" localSheetId="9">#REF!</definedName>
    <definedName name="IncomeStatementDates" localSheetId="7">#REF!</definedName>
    <definedName name="IncomeStatementDates" localSheetId="2">#REF!</definedName>
    <definedName name="IncomeStatementDates" localSheetId="16">#REF!</definedName>
    <definedName name="IncomeStatementDates" localSheetId="5">#REF!</definedName>
    <definedName name="IncomeStatementDates" localSheetId="17">#REF!</definedName>
    <definedName name="IncomeStatementDates">#REF!</definedName>
    <definedName name="INPUT" localSheetId="11">#REF!</definedName>
    <definedName name="INPUT" localSheetId="7">#REF!</definedName>
    <definedName name="INPUT">#REF!</definedName>
    <definedName name="Int">#REF!</definedName>
    <definedName name="Interest_Rate">#REF!</definedName>
    <definedName name="INVEST" localSheetId="21">[28]acct!#REF!</definedName>
    <definedName name="INVEST" localSheetId="22">[29]acct!#REF!</definedName>
    <definedName name="INVEST" localSheetId="9">[29]acct!#REF!</definedName>
    <definedName name="INVEST" localSheetId="7">[28]acct!#REF!</definedName>
    <definedName name="INVEST" localSheetId="2">[30]acct!#REF!</definedName>
    <definedName name="INVEST" localSheetId="16">[29]acct!#REF!</definedName>
    <definedName name="INVEST" localSheetId="5">[29]acct!#REF!</definedName>
    <definedName name="INVEST" localSheetId="17">[29]acct!#REF!</definedName>
    <definedName name="INVEST">[29]acct!#REF!</definedName>
    <definedName name="investments" localSheetId="21" hidden="1">{"'CALL MONEY'!$K$53"}</definedName>
    <definedName name="investments" localSheetId="9" hidden="1">{"'CALL MONEY'!$K$53"}</definedName>
    <definedName name="investments" localSheetId="11" hidden="1">{"'CALL MONEY'!$K$53"}</definedName>
    <definedName name="investments" hidden="1">{"'CALL MONEY'!$K$53"}</definedName>
    <definedName name="IPAGE1" localSheetId="21">#REF!</definedName>
    <definedName name="IPAGE1" localSheetId="22">#REF!</definedName>
    <definedName name="IPAGE1" localSheetId="9">#REF!</definedName>
    <definedName name="IPAGE1" localSheetId="7">#REF!</definedName>
    <definedName name="IPAGE1" localSheetId="16">#REF!</definedName>
    <definedName name="IPAGE1" localSheetId="5">#REF!</definedName>
    <definedName name="IPAGE1" localSheetId="17">#REF!</definedName>
    <definedName name="IPAGE1">#REF!</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40952.1527893519</definedName>
    <definedName name="IQ_NTM" hidden="1">6000</definedName>
    <definedName name="IQ_TODAY" hidden="1">0</definedName>
    <definedName name="IQ_WEEK" hidden="1">50000</definedName>
    <definedName name="IQ_YTD" hidden="1">3000</definedName>
    <definedName name="IQ_YTDMONTH" hidden="1">130000</definedName>
    <definedName name="iqbal" localSheetId="21">[75]Sheet2!#REF!</definedName>
    <definedName name="iqbal" localSheetId="22">[76]Sheet2!#REF!</definedName>
    <definedName name="iqbal" localSheetId="9">[76]Sheet2!#REF!</definedName>
    <definedName name="iqbal" localSheetId="7">[77]Sheet2!#REF!</definedName>
    <definedName name="iqbal" localSheetId="16">[76]Sheet2!#REF!</definedName>
    <definedName name="iqbal" localSheetId="5">[76]Sheet2!#REF!</definedName>
    <definedName name="iqbal" localSheetId="17">[76]Sheet2!#REF!</definedName>
    <definedName name="iqbal">[76]Sheet2!#REF!</definedName>
    <definedName name="IRR" localSheetId="21">#REF!</definedName>
    <definedName name="IRR" localSheetId="22">#REF!</definedName>
    <definedName name="IRR" localSheetId="9">#REF!</definedName>
    <definedName name="IRR" localSheetId="2">#REF!</definedName>
    <definedName name="IRR" localSheetId="16">#REF!</definedName>
    <definedName name="IRR" localSheetId="5">#REF!</definedName>
    <definedName name="IRR" localSheetId="17">#REF!</definedName>
    <definedName name="IRR">#REF!</definedName>
    <definedName name="iu" localSheetId="21">#REF!</definedName>
    <definedName name="iu" localSheetId="22">#REF!</definedName>
    <definedName name="iu" localSheetId="9">#REF!</definedName>
    <definedName name="iu" localSheetId="16">#REF!</definedName>
    <definedName name="iu" localSheetId="5">#REF!</definedName>
    <definedName name="iu" localSheetId="17">#REF!</definedName>
    <definedName name="iu">#REF!</definedName>
    <definedName name="J" localSheetId="21">#REF!</definedName>
    <definedName name="J" localSheetId="22">#REF!</definedName>
    <definedName name="J" localSheetId="9">#REF!</definedName>
    <definedName name="J" localSheetId="7">#REF!</definedName>
    <definedName name="J" localSheetId="16">#REF!</definedName>
    <definedName name="J" localSheetId="5">#REF!</definedName>
    <definedName name="J" localSheetId="17">#REF!</definedName>
    <definedName name="J">#REF!</definedName>
    <definedName name="jak" localSheetId="11">#REF!</definedName>
    <definedName name="jak" localSheetId="7">#REF!</definedName>
    <definedName name="jak">#REF!</definedName>
    <definedName name="JJJJ" localSheetId="21">#REF!</definedName>
    <definedName name="JJJJ" localSheetId="22">#REF!</definedName>
    <definedName name="JJJJ" localSheetId="9">#REF!</definedName>
    <definedName name="JJJJ" localSheetId="7">#REF!</definedName>
    <definedName name="JJJJ" localSheetId="16">#REF!</definedName>
    <definedName name="JJJJ" localSheetId="5">#REF!</definedName>
    <definedName name="JJJJ" localSheetId="17">#REF!</definedName>
    <definedName name="JJJJ">#REF!</definedName>
    <definedName name="jkjk" localSheetId="21" hidden="1">{"MSS",#N/A,FALSE,"MSS";"ProdSA",#N/A,FALSE,"ProdSA";"Sales 1",#N/A,FALSE,"SALES";"Transfer 1",#N/A,FALSE,"TRANSFERS"}</definedName>
    <definedName name="jkjk" localSheetId="9" hidden="1">{"MSS",#N/A,FALSE,"MSS";"ProdSA",#N/A,FALSE,"ProdSA";"Sales 1",#N/A,FALSE,"SALES";"Transfer 1",#N/A,FALSE,"TRANSFERS"}</definedName>
    <definedName name="jkjk" localSheetId="11" hidden="1">{"MSS",#N/A,FALSE,"MSS";"ProdSA",#N/A,FALSE,"ProdSA";"Sales 1",#N/A,FALSE,"SALES";"Transfer 1",#N/A,FALSE,"TRANSFERS"}</definedName>
    <definedName name="jkjk" localSheetId="2" hidden="1">{"MSS",#N/A,FALSE,"MSS";"ProdSA",#N/A,FALSE,"ProdSA";"Sales 1",#N/A,FALSE,"SALES";"Transfer 1",#N/A,FALSE,"TRANSFERS"}</definedName>
    <definedName name="jkjk" hidden="1">{"MSS",#N/A,FALSE,"MSS";"ProdSA",#N/A,FALSE,"ProdSA";"Sales 1",#N/A,FALSE,"SALES";"Transfer 1",#N/A,FALSE,"TRANSFERS"}</definedName>
    <definedName name="jkl" localSheetId="21" hidden="1">{#N/A,#N/A,FALSE,"dec98qtr";#N/A,#N/A,FALSE,"suppdecsep98";#N/A,#N/A,FALSE,"w-dec98"}</definedName>
    <definedName name="jkl" localSheetId="9" hidden="1">{#N/A,#N/A,FALSE,"dec98qtr";#N/A,#N/A,FALSE,"suppdecsep98";#N/A,#N/A,FALSE,"w-dec98"}</definedName>
    <definedName name="jkl" localSheetId="11" hidden="1">{#N/A,#N/A,FALSE,"dec98qtr";#N/A,#N/A,FALSE,"suppdecsep98";#N/A,#N/A,FALSE,"w-dec98"}</definedName>
    <definedName name="jkl" localSheetId="2" hidden="1">{#N/A,#N/A,FALSE,"dec98qtr";#N/A,#N/A,FALSE,"suppdecsep98";#N/A,#N/A,FALSE,"w-dec98"}</definedName>
    <definedName name="jkl" hidden="1">{#N/A,#N/A,FALSE,"dec98qtr";#N/A,#N/A,FALSE,"suppdecsep98";#N/A,#N/A,FALSE,"w-dec98"}</definedName>
    <definedName name="jqhewhqe" localSheetId="21" hidden="1">{"MSS",#N/A,FALSE,"MSS";"ProdSA",#N/A,FALSE,"ProdSA";"Sales 1",#N/A,FALSE,"SALES";"Transfer 1",#N/A,FALSE,"TRANSFERS"}</definedName>
    <definedName name="jqhewhqe" localSheetId="9" hidden="1">{"MSS",#N/A,FALSE,"MSS";"ProdSA",#N/A,FALSE,"ProdSA";"Sales 1",#N/A,FALSE,"SALES";"Transfer 1",#N/A,FALSE,"TRANSFERS"}</definedName>
    <definedName name="jqhewhqe" localSheetId="11" hidden="1">{"MSS",#N/A,FALSE,"MSS";"ProdSA",#N/A,FALSE,"ProdSA";"Sales 1",#N/A,FALSE,"SALES";"Transfer 1",#N/A,FALSE,"TRANSFERS"}</definedName>
    <definedName name="jqhewhqe" localSheetId="2" hidden="1">{"MSS",#N/A,FALSE,"MSS";"ProdSA",#N/A,FALSE,"ProdSA";"Sales 1",#N/A,FALSE,"SALES";"Transfer 1",#N/A,FALSE,"TRANSFERS"}</definedName>
    <definedName name="jqhewhqe" hidden="1">{"MSS",#N/A,FALSE,"MSS";"ProdSA",#N/A,FALSE,"ProdSA";"Sales 1",#N/A,FALSE,"SALES";"Transfer 1",#N/A,FALSE,"TRANSFERS"}</definedName>
    <definedName name="jv" localSheetId="21">#REF!</definedName>
    <definedName name="jv" localSheetId="22">#REF!</definedName>
    <definedName name="jv" localSheetId="9">#REF!</definedName>
    <definedName name="jv" localSheetId="2">#REF!</definedName>
    <definedName name="jv" localSheetId="16">#REF!</definedName>
    <definedName name="jv" localSheetId="5">#REF!</definedName>
    <definedName name="jv" localSheetId="17">#REF!</definedName>
    <definedName name="jv">#REF!</definedName>
    <definedName name="JVPrint" localSheetId="21">#REF!</definedName>
    <definedName name="JVPrint" localSheetId="22">#REF!</definedName>
    <definedName name="JVPrint" localSheetId="9">#REF!</definedName>
    <definedName name="JVPrint" localSheetId="2">#REF!</definedName>
    <definedName name="JVPrint" localSheetId="16">#REF!</definedName>
    <definedName name="JVPrint" localSheetId="5">#REF!</definedName>
    <definedName name="JVPrint" localSheetId="17">#REF!</definedName>
    <definedName name="JVPrint">#REF!</definedName>
    <definedName name="KAJSDLKj" localSheetId="11">#REF!</definedName>
    <definedName name="KAJSDLKj" localSheetId="7">#REF!</definedName>
    <definedName name="KAJSDLKj">#REF!</definedName>
    <definedName name="kauser" localSheetId="21">#REF!</definedName>
    <definedName name="kauser" localSheetId="22">#REF!</definedName>
    <definedName name="kauser" localSheetId="9">#REF!</definedName>
    <definedName name="kauser" localSheetId="16">#REF!</definedName>
    <definedName name="kauser" localSheetId="5">#REF!</definedName>
    <definedName name="kauser" localSheetId="17">#REF!</definedName>
    <definedName name="kauser">#REF!</definedName>
    <definedName name="kefkif">#REF!</definedName>
    <definedName name="KEY_S" localSheetId="21" hidden="1">#REF!</definedName>
    <definedName name="KEY_S" localSheetId="22" hidden="1">#REF!</definedName>
    <definedName name="KEY_S" localSheetId="9" hidden="1">#REF!</definedName>
    <definedName name="KEY_S" localSheetId="7" hidden="1">#REF!</definedName>
    <definedName name="KEY_S" localSheetId="2" hidden="1">#REF!</definedName>
    <definedName name="KEY_S" localSheetId="16" hidden="1">#REF!</definedName>
    <definedName name="KEY_S" localSheetId="5" hidden="1">#REF!</definedName>
    <definedName name="KEY_S" localSheetId="17" hidden="1">#REF!</definedName>
    <definedName name="KEY_S" hidden="1">#REF!</definedName>
    <definedName name="kjjk" localSheetId="21" hidden="1">{#N/A,#N/A,FALSE,"dec98qtr";#N/A,#N/A,FALSE,"suppdecsep98";#N/A,#N/A,FALSE,"w-dec98"}</definedName>
    <definedName name="kjjk" localSheetId="9" hidden="1">{#N/A,#N/A,FALSE,"dec98qtr";#N/A,#N/A,FALSE,"suppdecsep98";#N/A,#N/A,FALSE,"w-dec98"}</definedName>
    <definedName name="kjjk" localSheetId="11" hidden="1">{#N/A,#N/A,FALSE,"dec98qtr";#N/A,#N/A,FALSE,"suppdecsep98";#N/A,#N/A,FALSE,"w-dec98"}</definedName>
    <definedName name="kjjk" localSheetId="2" hidden="1">{#N/A,#N/A,FALSE,"dec98qtr";#N/A,#N/A,FALSE,"suppdecsep98";#N/A,#N/A,FALSE,"w-dec98"}</definedName>
    <definedName name="kjjk" hidden="1">{#N/A,#N/A,FALSE,"dec98qtr";#N/A,#N/A,FALSE,"suppdecsep98";#N/A,#N/A,FALSE,"w-dec98"}</definedName>
    <definedName name="kk" localSheetId="11">#REF!</definedName>
    <definedName name="kk" localSheetId="7">#REF!</definedName>
    <definedName name="kk">#REF!</definedName>
    <definedName name="kkk" localSheetId="11">#REF!</definedName>
    <definedName name="kkk" localSheetId="7">#REF!</definedName>
    <definedName name="kkk">#REF!</definedName>
    <definedName name="kl" localSheetId="21" hidden="1">{"MSS",#N/A,FALSE,"MSS";"ProdSA",#N/A,FALSE,"ProdSA";"Sales 1",#N/A,FALSE,"SALES";"Transfer 1",#N/A,FALSE,"TRANSFERS"}</definedName>
    <definedName name="kl" localSheetId="9" hidden="1">{"MSS",#N/A,FALSE,"MSS";"ProdSA",#N/A,FALSE,"ProdSA";"Sales 1",#N/A,FALSE,"SALES";"Transfer 1",#N/A,FALSE,"TRANSFERS"}</definedName>
    <definedName name="kl" localSheetId="11" hidden="1">{"MSS",#N/A,FALSE,"MSS";"ProdSA",#N/A,FALSE,"ProdSA";"Sales 1",#N/A,FALSE,"SALES";"Transfer 1",#N/A,FALSE,"TRANSFERS"}</definedName>
    <definedName name="kl" localSheetId="2" hidden="1">{"MSS",#N/A,FALSE,"MSS";"ProdSA",#N/A,FALSE,"ProdSA";"Sales 1",#N/A,FALSE,"SALES";"Transfer 1",#N/A,FALSE,"TRANSFERS"}</definedName>
    <definedName name="kl" hidden="1">{"MSS",#N/A,FALSE,"MSS";"ProdSA",#N/A,FALSE,"ProdSA";"Sales 1",#N/A,FALSE,"SALES";"Transfer 1",#N/A,FALSE,"TRANSFERS"}</definedName>
    <definedName name="klfbkw">#REF!</definedName>
    <definedName name="l" localSheetId="21">'[70]CE-10th-June-06'!#REF!</definedName>
    <definedName name="l" localSheetId="22">'[78]CE-10th-June-06'!#REF!</definedName>
    <definedName name="l" localSheetId="9">'[78]CE-10th-June-06'!#REF!</definedName>
    <definedName name="L" localSheetId="7">#REF!</definedName>
    <definedName name="l" localSheetId="16">'[78]CE-10th-June-06'!#REF!</definedName>
    <definedName name="l" localSheetId="5">'[78]CE-10th-June-06'!#REF!</definedName>
    <definedName name="l" localSheetId="17">'[78]CE-10th-June-06'!#REF!</definedName>
    <definedName name="l">'[78]CE-10th-June-06'!#REF!</definedName>
    <definedName name="L_AcctDes" localSheetId="21">#REF!</definedName>
    <definedName name="L_AcctDes" localSheetId="22">#REF!</definedName>
    <definedName name="L_AcctDes" localSheetId="9">#REF!</definedName>
    <definedName name="L_AcctDes" localSheetId="16">#REF!</definedName>
    <definedName name="L_AcctDes" localSheetId="5">#REF!</definedName>
    <definedName name="L_AcctDes" localSheetId="17">#REF!</definedName>
    <definedName name="L_AcctDes">#REF!</definedName>
    <definedName name="L_Adjust" localSheetId="21">#REF!</definedName>
    <definedName name="L_Adjust" localSheetId="7">[79]Links!$H:$H</definedName>
    <definedName name="L_Adjust" localSheetId="2">#REF!</definedName>
    <definedName name="L_Adjust">[80]Links!$H$1:$H$65536</definedName>
    <definedName name="L_Adjust_GT" localSheetId="21">#REF!</definedName>
    <definedName name="L_Adjust_GT" localSheetId="22">#REF!</definedName>
    <definedName name="L_Adjust_GT" localSheetId="9">#REF!</definedName>
    <definedName name="L_Adjust_GT" localSheetId="16">#REF!</definedName>
    <definedName name="L_Adjust_GT" localSheetId="5">#REF!</definedName>
    <definedName name="L_Adjust_GT" localSheetId="17">#REF!</definedName>
    <definedName name="L_Adjust_GT">#REF!</definedName>
    <definedName name="L_AJE_Tot" localSheetId="21">#REF!</definedName>
    <definedName name="L_AJE_Tot" localSheetId="7">[79]Links!$G:$G</definedName>
    <definedName name="L_AJE_Tot" localSheetId="2">#REF!</definedName>
    <definedName name="L_AJE_Tot">[80]Links!$G$1:$G$65536</definedName>
    <definedName name="L_AJE_Tot_GT" localSheetId="21">#REF!</definedName>
    <definedName name="L_AJE_Tot_GT" localSheetId="22">#REF!</definedName>
    <definedName name="L_AJE_Tot_GT" localSheetId="9">#REF!</definedName>
    <definedName name="L_AJE_Tot_GT" localSheetId="16">#REF!</definedName>
    <definedName name="L_AJE_Tot_GT" localSheetId="5">#REF!</definedName>
    <definedName name="L_AJE_Tot_GT" localSheetId="17">#REF!</definedName>
    <definedName name="L_AJE_Tot_GT">#REF!</definedName>
    <definedName name="L_CompNum" localSheetId="21">#REF!</definedName>
    <definedName name="L_CompNum" localSheetId="22">#REF!</definedName>
    <definedName name="L_CompNum" localSheetId="9">#REF!</definedName>
    <definedName name="L_CompNum" localSheetId="16">#REF!</definedName>
    <definedName name="L_CompNum" localSheetId="5">#REF!</definedName>
    <definedName name="L_CompNum" localSheetId="17">#REF!</definedName>
    <definedName name="L_CompNum">#REF!</definedName>
    <definedName name="L_CY_Beg" localSheetId="21">#REF!</definedName>
    <definedName name="L_CY_Beg" localSheetId="7">[79]Links!$F:$F</definedName>
    <definedName name="L_CY_Beg" localSheetId="2">#REF!</definedName>
    <definedName name="L_CY_Beg">[80]Links!$F$1:$F$65536</definedName>
    <definedName name="L_CY_Beg_GT" localSheetId="21">#REF!</definedName>
    <definedName name="L_CY_Beg_GT" localSheetId="22">#REF!</definedName>
    <definedName name="L_CY_Beg_GT" localSheetId="9">#REF!</definedName>
    <definedName name="L_CY_Beg_GT" localSheetId="16">#REF!</definedName>
    <definedName name="L_CY_Beg_GT" localSheetId="5">#REF!</definedName>
    <definedName name="L_CY_Beg_GT" localSheetId="17">#REF!</definedName>
    <definedName name="L_CY_Beg_GT">#REF!</definedName>
    <definedName name="L_CY_End" localSheetId="21">[81]Links!$J$1:$J$65536</definedName>
    <definedName name="L_CY_End" localSheetId="7">[79]Links!$J:$J</definedName>
    <definedName name="L_CY_End">[80]Links!$J$1:$J$65536</definedName>
    <definedName name="L_CY_End_GT" localSheetId="21">#REF!</definedName>
    <definedName name="L_CY_End_GT" localSheetId="22">#REF!</definedName>
    <definedName name="L_CY_End_GT" localSheetId="9">#REF!</definedName>
    <definedName name="L_CY_End_GT" localSheetId="16">#REF!</definedName>
    <definedName name="L_CY_End_GT" localSheetId="5">#REF!</definedName>
    <definedName name="L_CY_End_GT" localSheetId="17">#REF!</definedName>
    <definedName name="L_CY_End_GT">#REF!</definedName>
    <definedName name="L_GrpNum" localSheetId="21">#REF!</definedName>
    <definedName name="L_GrpNum" localSheetId="22">#REF!</definedName>
    <definedName name="L_GrpNum" localSheetId="9">#REF!</definedName>
    <definedName name="L_GrpNum" localSheetId="16">#REF!</definedName>
    <definedName name="L_GrpNum" localSheetId="5">#REF!</definedName>
    <definedName name="L_GrpNum" localSheetId="17">#REF!</definedName>
    <definedName name="L_GrpNum">#REF!</definedName>
    <definedName name="L_Headings" localSheetId="21">#REF!</definedName>
    <definedName name="L_Headings" localSheetId="22">#REF!</definedName>
    <definedName name="L_Headings" localSheetId="9">#REF!</definedName>
    <definedName name="L_Headings" localSheetId="16">#REF!</definedName>
    <definedName name="L_Headings" localSheetId="5">#REF!</definedName>
    <definedName name="L_Headings" localSheetId="17">#REF!</definedName>
    <definedName name="L_Headings">#REF!</definedName>
    <definedName name="L_KeyValue" localSheetId="21">#REF!</definedName>
    <definedName name="L_KeyValue" localSheetId="22">#REF!</definedName>
    <definedName name="L_KeyValue" localSheetId="9">#REF!</definedName>
    <definedName name="L_KeyValue" localSheetId="16">#REF!</definedName>
    <definedName name="L_KeyValue" localSheetId="5">#REF!</definedName>
    <definedName name="L_KeyValue" localSheetId="17">#REF!</definedName>
    <definedName name="L_KeyValue">#REF!</definedName>
    <definedName name="L_PY_End" localSheetId="21">[82]Links!$K:$K</definedName>
    <definedName name="L_PY_End" localSheetId="22">#REF!</definedName>
    <definedName name="L_PY_End" localSheetId="9">#REF!</definedName>
    <definedName name="L_PY_End" localSheetId="7">[79]Links!$K:$K</definedName>
    <definedName name="L_PY_End" localSheetId="16">#REF!</definedName>
    <definedName name="L_PY_End" localSheetId="5">#REF!</definedName>
    <definedName name="L_PY_End" localSheetId="17">#REF!</definedName>
    <definedName name="L_PY_End">#REF!</definedName>
    <definedName name="L_PY_End_GT" localSheetId="21">#REF!</definedName>
    <definedName name="L_PY_End_GT" localSheetId="22">#REF!</definedName>
    <definedName name="L_PY_End_GT" localSheetId="9">#REF!</definedName>
    <definedName name="L_PY_End_GT" localSheetId="16">#REF!</definedName>
    <definedName name="L_PY_End_GT" localSheetId="5">#REF!</definedName>
    <definedName name="L_PY_End_GT" localSheetId="17">#REF!</definedName>
    <definedName name="L_PY_End_GT">#REF!</definedName>
    <definedName name="L_RJE_Tot" localSheetId="21">#REF!</definedName>
    <definedName name="L_RJE_Tot" localSheetId="7">[79]Links!$I:$I</definedName>
    <definedName name="L_RJE_Tot" localSheetId="2">#REF!</definedName>
    <definedName name="L_RJE_Tot">[80]Links!$I$1:$I$65536</definedName>
    <definedName name="L_RJE_Tot_GT" localSheetId="21">#REF!</definedName>
    <definedName name="L_RJE_Tot_GT" localSheetId="22">#REF!</definedName>
    <definedName name="L_RJE_Tot_GT" localSheetId="9">#REF!</definedName>
    <definedName name="L_RJE_Tot_GT" localSheetId="16">#REF!</definedName>
    <definedName name="L_RJE_Tot_GT" localSheetId="5">#REF!</definedName>
    <definedName name="L_RJE_Tot_GT" localSheetId="17">#REF!</definedName>
    <definedName name="L_RJE_Tot_GT">#REF!</definedName>
    <definedName name="L_RowNum" localSheetId="21">#REF!</definedName>
    <definedName name="L_RowNum" localSheetId="22">#REF!</definedName>
    <definedName name="L_RowNum" localSheetId="9">#REF!</definedName>
    <definedName name="L_RowNum" localSheetId="16">#REF!</definedName>
    <definedName name="L_RowNum" localSheetId="5">#REF!</definedName>
    <definedName name="L_RowNum" localSheetId="17">#REF!</definedName>
    <definedName name="L_RowNum">#REF!</definedName>
    <definedName name="LAND_SCHEDULE">#REF!</definedName>
    <definedName name="Last_Row">#N/A</definedName>
    <definedName name="LIAB1" localSheetId="21">#REF!</definedName>
    <definedName name="LIAB1" localSheetId="22">#REF!</definedName>
    <definedName name="LIAB1" localSheetId="9">#REF!</definedName>
    <definedName name="LIAB1" localSheetId="7">#REF!</definedName>
    <definedName name="LIAB1" localSheetId="16">#REF!</definedName>
    <definedName name="LIAB1" localSheetId="5">#REF!</definedName>
    <definedName name="LIAB1" localSheetId="17">#REF!</definedName>
    <definedName name="LIAB1">#REF!</definedName>
    <definedName name="LIAB2" localSheetId="21">#REF!</definedName>
    <definedName name="LIAB2" localSheetId="22">#REF!</definedName>
    <definedName name="LIAB2" localSheetId="9">#REF!</definedName>
    <definedName name="LIAB2" localSheetId="7">#REF!</definedName>
    <definedName name="LIAB2" localSheetId="16">#REF!</definedName>
    <definedName name="LIAB2" localSheetId="5">#REF!</definedName>
    <definedName name="LIAB2" localSheetId="17">#REF!</definedName>
    <definedName name="LIAB2">#REF!</definedName>
    <definedName name="LIAB3" localSheetId="21">#REF!</definedName>
    <definedName name="LIAB3" localSheetId="22">#REF!</definedName>
    <definedName name="LIAB3" localSheetId="9">#REF!</definedName>
    <definedName name="LIAB3" localSheetId="7">#REF!</definedName>
    <definedName name="LIAB3" localSheetId="16">#REF!</definedName>
    <definedName name="LIAB3" localSheetId="5">#REF!</definedName>
    <definedName name="LIAB3" localSheetId="17">#REF!</definedName>
    <definedName name="LIAB3">#REF!</definedName>
    <definedName name="LIAB4" localSheetId="21">#REF!</definedName>
    <definedName name="LIAB4" localSheetId="22">#REF!</definedName>
    <definedName name="LIAB4" localSheetId="9">#REF!</definedName>
    <definedName name="LIAB4" localSheetId="7">#REF!</definedName>
    <definedName name="LIAB4" localSheetId="16">#REF!</definedName>
    <definedName name="LIAB4" localSheetId="5">#REF!</definedName>
    <definedName name="LIAB4" localSheetId="17">#REF!</definedName>
    <definedName name="LIAB4">#REF!</definedName>
    <definedName name="liabi">#REF!</definedName>
    <definedName name="LIBAST" localSheetId="21">#REF!</definedName>
    <definedName name="LIBAST" localSheetId="22">#REF!</definedName>
    <definedName name="LIBAST" localSheetId="9">#REF!</definedName>
    <definedName name="LIBAST" localSheetId="7">#REF!</definedName>
    <definedName name="LIBAST" localSheetId="16">#REF!</definedName>
    <definedName name="LIBAST" localSheetId="5">#REF!</definedName>
    <definedName name="LIBAST" localSheetId="17">#REF!</definedName>
    <definedName name="LIBAST">#REF!</definedName>
    <definedName name="List_Curr">[56]Currency!$B$9:$B$31</definedName>
    <definedName name="List_Level_Assr">[56]DropDown!$B$1:$B$4</definedName>
    <definedName name="List_LevelAssurance">'[36]Drop Down'!$B$2:$B$5</definedName>
    <definedName name="List_Proj_Meth">[56]DropDown!$H$1:$H$2</definedName>
    <definedName name="List_Samp_Sel">[56]DropDown!$D$1:$D$4</definedName>
    <definedName name="List_TypeProcedure">'[36]Drop Down'!$A$2:$A$7</definedName>
    <definedName name="lk" localSheetId="21" hidden="1">#REF!</definedName>
    <definedName name="lk" localSheetId="22" hidden="1">#REF!</definedName>
    <definedName name="lk" localSheetId="9" hidden="1">#REF!</definedName>
    <definedName name="lk" localSheetId="7" hidden="1">#REF!</definedName>
    <definedName name="lk" localSheetId="2" hidden="1">#REF!</definedName>
    <definedName name="lk" localSheetId="16" hidden="1">#REF!</definedName>
    <definedName name="lk" localSheetId="5" hidden="1">#REF!</definedName>
    <definedName name="lk" localSheetId="17" hidden="1">#REF!</definedName>
    <definedName name="lk" hidden="1">#REF!</definedName>
    <definedName name="lkup">[83]Ranges!$B$3:$C$12</definedName>
    <definedName name="LN" localSheetId="21">#REF!</definedName>
    <definedName name="LN" localSheetId="22">#REF!</definedName>
    <definedName name="LN" localSheetId="9">#REF!</definedName>
    <definedName name="LN" localSheetId="7">#REF!</definedName>
    <definedName name="LN" localSheetId="16">#REF!</definedName>
    <definedName name="LN" localSheetId="5">#REF!</definedName>
    <definedName name="LN" localSheetId="17">#REF!</definedName>
    <definedName name="LN">#REF!</definedName>
    <definedName name="LN_9" localSheetId="21">#REF!</definedName>
    <definedName name="LN_9" localSheetId="22">#REF!</definedName>
    <definedName name="LN_9" localSheetId="9">#REF!</definedName>
    <definedName name="LN_9" localSheetId="7">#REF!</definedName>
    <definedName name="LN_9" localSheetId="16">#REF!</definedName>
    <definedName name="LN_9" localSheetId="5">#REF!</definedName>
    <definedName name="LN_9" localSheetId="17">#REF!</definedName>
    <definedName name="LN_9">#REF!</definedName>
    <definedName name="LN2_9" localSheetId="21">#REF!</definedName>
    <definedName name="LN2_9" localSheetId="22">#REF!</definedName>
    <definedName name="LN2_9" localSheetId="9">#REF!</definedName>
    <definedName name="LN2_9" localSheetId="7">#REF!</definedName>
    <definedName name="LN2_9" localSheetId="16">#REF!</definedName>
    <definedName name="LN2_9" localSheetId="5">#REF!</definedName>
    <definedName name="LN2_9" localSheetId="17">#REF!</definedName>
    <definedName name="LN2_9">#REF!</definedName>
    <definedName name="LOAN" localSheetId="11">#REF!</definedName>
    <definedName name="LOAN" localSheetId="7">#REF!</definedName>
    <definedName name="LOAN">#REF!</definedName>
    <definedName name="Loan_Amount">#REF!</definedName>
    <definedName name="Loan_Start">#REF!</definedName>
    <definedName name="Loan_Years">#REF!</definedName>
    <definedName name="LOANS" localSheetId="21">[28]acct!#REF!</definedName>
    <definedName name="LOANS" localSheetId="22">[29]acct!#REF!</definedName>
    <definedName name="LOANS" localSheetId="9">[29]acct!#REF!</definedName>
    <definedName name="LOANS" localSheetId="7">[28]acct!#REF!</definedName>
    <definedName name="LOANS" localSheetId="2">[30]acct!#REF!</definedName>
    <definedName name="LOANS" localSheetId="16">[29]acct!#REF!</definedName>
    <definedName name="LOANS" localSheetId="5">[29]acct!#REF!</definedName>
    <definedName name="LOANS" localSheetId="17">[29]acct!#REF!</definedName>
    <definedName name="LOANS">[29]acct!#REF!</definedName>
    <definedName name="longterm" localSheetId="21">#REF!</definedName>
    <definedName name="longterm" localSheetId="22">#REF!</definedName>
    <definedName name="longterm" localSheetId="9">#REF!</definedName>
    <definedName name="longterm" localSheetId="16">#REF!</definedName>
    <definedName name="longterm" localSheetId="5">#REF!</definedName>
    <definedName name="longterm" localSheetId="17">#REF!</definedName>
    <definedName name="longterm">#REF!</definedName>
    <definedName name="LPAGE1" localSheetId="21">#REF!</definedName>
    <definedName name="LPAGE1" localSheetId="22">#REF!</definedName>
    <definedName name="LPAGE1" localSheetId="9">#REF!</definedName>
    <definedName name="LPAGE1" localSheetId="7">#REF!</definedName>
    <definedName name="LPAGE1" localSheetId="16">#REF!</definedName>
    <definedName name="LPAGE1" localSheetId="5">#REF!</definedName>
    <definedName name="LPAGE1" localSheetId="17">#REF!</definedName>
    <definedName name="LPAGE1">#REF!</definedName>
    <definedName name="LPAGE2" localSheetId="21">#REF!</definedName>
    <definedName name="LPAGE2" localSheetId="22">#REF!</definedName>
    <definedName name="LPAGE2" localSheetId="9">#REF!</definedName>
    <definedName name="LPAGE2" localSheetId="7">#REF!</definedName>
    <definedName name="LPAGE2" localSheetId="16">#REF!</definedName>
    <definedName name="LPAGE2" localSheetId="5">#REF!</definedName>
    <definedName name="LPAGE2" localSheetId="17">#REF!</definedName>
    <definedName name="LPAGE2">#REF!</definedName>
    <definedName name="LPAGE3" localSheetId="21">#REF!</definedName>
    <definedName name="LPAGE3" localSheetId="22">#REF!</definedName>
    <definedName name="LPAGE3" localSheetId="9">#REF!</definedName>
    <definedName name="LPAGE3" localSheetId="7">#REF!</definedName>
    <definedName name="LPAGE3" localSheetId="16">#REF!</definedName>
    <definedName name="LPAGE3" localSheetId="5">#REF!</definedName>
    <definedName name="LPAGE3" localSheetId="17">#REF!</definedName>
    <definedName name="LPAGE3">#REF!</definedName>
    <definedName name="LPAGE4" localSheetId="21">#REF!</definedName>
    <definedName name="LPAGE4" localSheetId="22">#REF!</definedName>
    <definedName name="LPAGE4" localSheetId="9">#REF!</definedName>
    <definedName name="LPAGE4" localSheetId="7">#REF!</definedName>
    <definedName name="LPAGE4" localSheetId="16">#REF!</definedName>
    <definedName name="LPAGE4" localSheetId="5">#REF!</definedName>
    <definedName name="LPAGE4" localSheetId="17">#REF!</definedName>
    <definedName name="LPAGE4">#REF!</definedName>
    <definedName name="LYPWACC">#REF!</definedName>
    <definedName name="LYPWENG">#REF!</definedName>
    <definedName name="LYPWFIRE">#REF!</definedName>
    <definedName name="LYPWMARCARGO">#REF!</definedName>
    <definedName name="LYPWMARHULL">#REF!</definedName>
    <definedName name="LYPWMARYACHT">#REF!</definedName>
    <definedName name="LYPWMOTOR">#REF!</definedName>
    <definedName name="LYUPRACC">#REF!</definedName>
    <definedName name="LYUPRENG">#REF!</definedName>
    <definedName name="LYUPRFIRE">#REF!</definedName>
    <definedName name="LYUPRMARCARGO">#REF!</definedName>
    <definedName name="LYUPRMARHULL">#REF!</definedName>
    <definedName name="LYUPRMARYACHT">#REF!</definedName>
    <definedName name="LYUPRMOTOR">#REF!</definedName>
    <definedName name="M" localSheetId="21">#REF!</definedName>
    <definedName name="M" localSheetId="22">#REF!</definedName>
    <definedName name="M" localSheetId="9">#REF!</definedName>
    <definedName name="M" localSheetId="7">#REF!</definedName>
    <definedName name="M" localSheetId="16">#REF!</definedName>
    <definedName name="M" localSheetId="5">#REF!</definedName>
    <definedName name="M" localSheetId="17">#REF!</definedName>
    <definedName name="M">#REF!</definedName>
    <definedName name="main" localSheetId="21">#REF!</definedName>
    <definedName name="main" localSheetId="22">#REF!</definedName>
    <definedName name="main" localSheetId="9">#REF!</definedName>
    <definedName name="main" localSheetId="7">#REF!</definedName>
    <definedName name="main" localSheetId="16">#REF!</definedName>
    <definedName name="main" localSheetId="5">#REF!</definedName>
    <definedName name="main" localSheetId="17">#REF!</definedName>
    <definedName name="main">#REF!</definedName>
    <definedName name="MAK" localSheetId="21">#REF!</definedName>
    <definedName name="MAK" localSheetId="22">#REF!</definedName>
    <definedName name="MAK" localSheetId="9">#REF!</definedName>
    <definedName name="MAK" localSheetId="2">#REF!</definedName>
    <definedName name="MAK" localSheetId="16">#REF!</definedName>
    <definedName name="MAK" localSheetId="5">#REF!</definedName>
    <definedName name="MAK" localSheetId="17">#REF!</definedName>
    <definedName name="MAK">#REF!</definedName>
    <definedName name="MANAMABS" localSheetId="21">#REF!</definedName>
    <definedName name="MANAMABS" localSheetId="22">#REF!</definedName>
    <definedName name="MANAMABS" localSheetId="9">#REF!</definedName>
    <definedName name="MANAMABS" localSheetId="16">#REF!</definedName>
    <definedName name="MANAMABS" localSheetId="5">#REF!</definedName>
    <definedName name="MANAMABS" localSheetId="17">#REF!</definedName>
    <definedName name="MANAMABS">#REF!</definedName>
    <definedName name="manamabs0207">[84]Sheet3!$A$157:$C$321</definedName>
    <definedName name="Manamapl" localSheetId="21">#REF!</definedName>
    <definedName name="Manamapl" localSheetId="22">#REF!</definedName>
    <definedName name="Manamapl" localSheetId="9">#REF!</definedName>
    <definedName name="Manamapl" localSheetId="16">#REF!</definedName>
    <definedName name="Manamapl" localSheetId="5">#REF!</definedName>
    <definedName name="Manamapl" localSheetId="17">#REF!</definedName>
    <definedName name="Manamapl">#REF!</definedName>
    <definedName name="manamapl0207">[84]Sheet3!$A$5:$C$153</definedName>
    <definedName name="Manamapl5" localSheetId="21">#REF!</definedName>
    <definedName name="Manamapl5" localSheetId="22">#REF!</definedName>
    <definedName name="Manamapl5" localSheetId="9">#REF!</definedName>
    <definedName name="Manamapl5" localSheetId="16">#REF!</definedName>
    <definedName name="Manamapl5" localSheetId="5">#REF!</definedName>
    <definedName name="Manamapl5" localSheetId="17">#REF!</definedName>
    <definedName name="Manamapl5">#REF!</definedName>
    <definedName name="Mansoor" localSheetId="21">#REF!</definedName>
    <definedName name="Mansoor" localSheetId="22">#REF!</definedName>
    <definedName name="Mansoor" localSheetId="9">#REF!</definedName>
    <definedName name="Mansoor" localSheetId="7">#REF!</definedName>
    <definedName name="Mansoor" localSheetId="16">#REF!</definedName>
    <definedName name="Mansoor" localSheetId="5">#REF!</definedName>
    <definedName name="Mansoor" localSheetId="17">#REF!</definedName>
    <definedName name="Mansoor">#REF!</definedName>
    <definedName name="MARINEPREMIUMCURRENT">#REF!</definedName>
    <definedName name="MARKET" localSheetId="21">[58]Augbkp98!$Z$6:$AO$25</definedName>
    <definedName name="MARKET">[58]Augbkp98!$Z$6:$AO$25</definedName>
    <definedName name="masroor" localSheetId="21">#REF!</definedName>
    <definedName name="masroor" localSheetId="22">#REF!</definedName>
    <definedName name="masroor" localSheetId="9">#REF!</definedName>
    <definedName name="masroor" localSheetId="7">#REF!</definedName>
    <definedName name="masroor" localSheetId="16">#REF!</definedName>
    <definedName name="masroor" localSheetId="5">#REF!</definedName>
    <definedName name="masroor" localSheetId="17">#REF!</definedName>
    <definedName name="masroor">#REF!</definedName>
    <definedName name="Materiality">#REF!</definedName>
    <definedName name="MAZ" localSheetId="21">'[85]T-BILL'!#REF!</definedName>
    <definedName name="MAZ" localSheetId="22">'[85]T-BILL'!#REF!</definedName>
    <definedName name="MAZ" localSheetId="9">'[85]T-BILL'!#REF!</definedName>
    <definedName name="MAZ" localSheetId="16">'[85]T-BILL'!#REF!</definedName>
    <definedName name="MAZ" localSheetId="5">'[85]T-BILL'!#REF!</definedName>
    <definedName name="MAZ" localSheetId="17">'[85]T-BILL'!#REF!</definedName>
    <definedName name="MAZ">'[85]T-BILL'!#REF!</definedName>
    <definedName name="MEMO_HOH_I_AKRM" localSheetId="21">#REF!</definedName>
    <definedName name="MEMO_HOH_I_AKRM" localSheetId="22">#REF!</definedName>
    <definedName name="MEMO_HOH_I_AKRM" localSheetId="9">#REF!</definedName>
    <definedName name="MEMO_HOH_I_AKRM" localSheetId="2">#REF!</definedName>
    <definedName name="MEMO_HOH_I_AKRM" localSheetId="16">#REF!</definedName>
    <definedName name="MEMO_HOH_I_AKRM" localSheetId="5">#REF!</definedName>
    <definedName name="MEMO_HOH_I_AKRM" localSheetId="17">#REF!</definedName>
    <definedName name="MEMO_HOH_I_AKRM">#REF!</definedName>
    <definedName name="MEMO_HOH_RHABIB" localSheetId="21">#REF!</definedName>
    <definedName name="MEMO_HOH_RHABIB" localSheetId="22">#REF!</definedName>
    <definedName name="MEMO_HOH_RHABIB" localSheetId="9">#REF!</definedName>
    <definedName name="MEMO_HOH_RHABIB" localSheetId="2">#REF!</definedName>
    <definedName name="MEMO_HOH_RHABIB" localSheetId="16">#REF!</definedName>
    <definedName name="MEMO_HOH_RHABIB" localSheetId="5">#REF!</definedName>
    <definedName name="MEMO_HOH_RHABIB" localSheetId="17">#REF!</definedName>
    <definedName name="MEMO_HOH_RHABIB">#REF!</definedName>
    <definedName name="MEMO_MONHLY_A_C" localSheetId="21">#REF!</definedName>
    <definedName name="MEMO_MONHLY_A_C" localSheetId="22">#REF!</definedName>
    <definedName name="MEMO_MONHLY_A_C" localSheetId="9">#REF!</definedName>
    <definedName name="MEMO_MONHLY_A_C" localSheetId="2">#REF!</definedName>
    <definedName name="MEMO_MONHLY_A_C" localSheetId="16">#REF!</definedName>
    <definedName name="MEMO_MONHLY_A_C" localSheetId="5">#REF!</definedName>
    <definedName name="MEMO_MONHLY_A_C" localSheetId="17">#REF!</definedName>
    <definedName name="MEMO_MONHLY_A_C">#REF!</definedName>
    <definedName name="MENU">#REF!</definedName>
    <definedName name="MI" localSheetId="11">#REF!</definedName>
    <definedName name="MI" localSheetId="7">#REF!</definedName>
    <definedName name="MI">#REF!</definedName>
    <definedName name="minhaj">#REF!</definedName>
    <definedName name="Mis_Def" localSheetId="11">#REF!</definedName>
    <definedName name="Mis_Def" localSheetId="7">#REF!</definedName>
    <definedName name="Mis_Def">#REF!</definedName>
    <definedName name="MIS_REPORT_2" localSheetId="21">#REF!</definedName>
    <definedName name="MIS_REPORT_2" localSheetId="22">#REF!</definedName>
    <definedName name="MIS_REPORT_2" localSheetId="9">#REF!</definedName>
    <definedName name="MIS_REPORT_2" localSheetId="2">#REF!</definedName>
    <definedName name="MIS_REPORT_2" localSheetId="16">#REF!</definedName>
    <definedName name="MIS_REPORT_2" localSheetId="5">#REF!</definedName>
    <definedName name="MIS_REPORT_2" localSheetId="17">#REF!</definedName>
    <definedName name="MIS_REPORT_2">#REF!</definedName>
    <definedName name="MKA" localSheetId="21">#REF!</definedName>
    <definedName name="MKA" localSheetId="22">#REF!</definedName>
    <definedName name="MKA" localSheetId="9">#REF!</definedName>
    <definedName name="MKA" localSheetId="2">#REF!</definedName>
    <definedName name="MKA" localSheetId="16">#REF!</definedName>
    <definedName name="MKA" localSheetId="5">#REF!</definedName>
    <definedName name="MKA" localSheetId="17">#REF!</definedName>
    <definedName name="MKA">#REF!</definedName>
    <definedName name="MKX" localSheetId="21">#REF!</definedName>
    <definedName name="MKX" localSheetId="22">#REF!</definedName>
    <definedName name="MKX" localSheetId="9">#REF!</definedName>
    <definedName name="MKX" localSheetId="2">#REF!</definedName>
    <definedName name="MKX" localSheetId="16">#REF!</definedName>
    <definedName name="MKX" localSheetId="5">#REF!</definedName>
    <definedName name="MKX" localSheetId="17">#REF!</definedName>
    <definedName name="MKX">#REF!</definedName>
    <definedName name="MLNTREGISTER" localSheetId="21">#REF!</definedName>
    <definedName name="MLNTREGISTER" localSheetId="22">#REF!</definedName>
    <definedName name="MLNTREGISTER" localSheetId="9">#REF!</definedName>
    <definedName name="MLNTREGISTER" localSheetId="7">#REF!</definedName>
    <definedName name="MLNTREGISTER" localSheetId="16">#REF!</definedName>
    <definedName name="MLNTREGISTER" localSheetId="5">#REF!</definedName>
    <definedName name="MLNTREGISTER" localSheetId="17">#REF!</definedName>
    <definedName name="MLNTREGISTER">#REF!</definedName>
    <definedName name="Monetary_Precision">#REF!</definedName>
    <definedName name="MR">'[86]Market Rates'!$B$1:$G$65536</definedName>
    <definedName name="N" localSheetId="21">#REF!</definedName>
    <definedName name="N" localSheetId="22">#REF!</definedName>
    <definedName name="N" localSheetId="9">#REF!</definedName>
    <definedName name="N" localSheetId="7">#REF!</definedName>
    <definedName name="N" localSheetId="16">#REF!</definedName>
    <definedName name="N" localSheetId="5">#REF!</definedName>
    <definedName name="N" localSheetId="17">#REF!</definedName>
    <definedName name="N">#REF!</definedName>
    <definedName name="NA">#REF!</definedName>
    <definedName name="NAME" localSheetId="11">#REF!</definedName>
    <definedName name="NAME" localSheetId="7">#REF!</definedName>
    <definedName name="NAME">#REF!</definedName>
    <definedName name="Name_of_Directors" localSheetId="11">#REF!</definedName>
    <definedName name="Name_of_Directors" localSheetId="7">#REF!</definedName>
    <definedName name="Name_of_Directors">#REF!</definedName>
    <definedName name="NAV__Reported">'[87]bank inst'!$D$60</definedName>
    <definedName name="NetAssets" localSheetId="21">#REF!</definedName>
    <definedName name="NetAssets" localSheetId="22">#REF!</definedName>
    <definedName name="NetAssets" localSheetId="9">#REF!</definedName>
    <definedName name="NetAssets" localSheetId="16">#REF!</definedName>
    <definedName name="NetAssets" localSheetId="5">#REF!</definedName>
    <definedName name="NetAssets" localSheetId="17">#REF!</definedName>
    <definedName name="NetAssets">#REF!</definedName>
    <definedName name="new" localSheetId="7">#REF!</definedName>
    <definedName name="NEW">'[88]Implied Rate'!$B$49:$BC$408</definedName>
    <definedName name="newname" localSheetId="11">#REF!</definedName>
    <definedName name="newname" localSheetId="7">#REF!</definedName>
    <definedName name="newname">#REF!</definedName>
    <definedName name="nida" localSheetId="11">#REF!</definedName>
    <definedName name="nida" localSheetId="7">#REF!</definedName>
    <definedName name="nida">#REF!</definedName>
    <definedName name="no" localSheetId="21" hidden="1">#REF!</definedName>
    <definedName name="no" localSheetId="22" hidden="1">#REF!</definedName>
    <definedName name="no" localSheetId="9" hidden="1">#REF!</definedName>
    <definedName name="no" localSheetId="2" hidden="1">#REF!</definedName>
    <definedName name="no" localSheetId="16" hidden="1">#REF!</definedName>
    <definedName name="no" localSheetId="5" hidden="1">#REF!</definedName>
    <definedName name="no" localSheetId="17" hidden="1">#REF!</definedName>
    <definedName name="no" hidden="1">#REF!</definedName>
    <definedName name="normal" localSheetId="21" hidden="1">{#N/A,#N/A,FALSE,"dec98qtr";#N/A,#N/A,FALSE,"suppdecsep98";#N/A,#N/A,FALSE,"w-dec98"}</definedName>
    <definedName name="normal" localSheetId="9" hidden="1">{#N/A,#N/A,FALSE,"dec98qtr";#N/A,#N/A,FALSE,"suppdecsep98";#N/A,#N/A,FALSE,"w-dec98"}</definedName>
    <definedName name="normal" localSheetId="11" hidden="1">{#N/A,#N/A,FALSE,"dec98qtr";#N/A,#N/A,FALSE,"suppdecsep98";#N/A,#N/A,FALSE,"w-dec98"}</definedName>
    <definedName name="normal" localSheetId="2" hidden="1">{#N/A,#N/A,FALSE,"dec98qtr";#N/A,#N/A,FALSE,"suppdecsep98";#N/A,#N/A,FALSE,"w-dec98"}</definedName>
    <definedName name="normal" hidden="1">{#N/A,#N/A,FALSE,"dec98qtr";#N/A,#N/A,FALSE,"suppdecsep98";#N/A,#N/A,FALSE,"w-dec98"}</definedName>
    <definedName name="note" localSheetId="21">#REF!</definedName>
    <definedName name="note" localSheetId="22">#REF!</definedName>
    <definedName name="note" localSheetId="9">#REF!</definedName>
    <definedName name="note" localSheetId="7">[61]Notes!#REF!</definedName>
    <definedName name="note" localSheetId="2">#REF!</definedName>
    <definedName name="note" localSheetId="16">#REF!</definedName>
    <definedName name="note" localSheetId="5">#REF!</definedName>
    <definedName name="note" localSheetId="17">#REF!</definedName>
    <definedName name="note">#REF!</definedName>
    <definedName name="NOTE1" localSheetId="21">#REF!</definedName>
    <definedName name="NOTE1" localSheetId="22">#REF!</definedName>
    <definedName name="NOTE1" localSheetId="9">#REF!</definedName>
    <definedName name="Note1" localSheetId="7">#REF!</definedName>
    <definedName name="NOTE1" localSheetId="2">#REF!</definedName>
    <definedName name="NOTE1" localSheetId="16">#REF!</definedName>
    <definedName name="NOTE1" localSheetId="5">#REF!</definedName>
    <definedName name="NOTE1" localSheetId="17">#REF!</definedName>
    <definedName name="NOTE1">#REF!</definedName>
    <definedName name="Note10">#REF!</definedName>
    <definedName name="Note11">#REF!</definedName>
    <definedName name="Note12">#REF!</definedName>
    <definedName name="note14">#REF!</definedName>
    <definedName name="Note15">#REF!</definedName>
    <definedName name="Note16">#REF!</definedName>
    <definedName name="Note17">#REF!</definedName>
    <definedName name="Note18">#REF!</definedName>
    <definedName name="Note19">#REF!</definedName>
    <definedName name="Note2">#REF!</definedName>
    <definedName name="Note2.1">#REF!</definedName>
    <definedName name="Note2.10">#REF!</definedName>
    <definedName name="Note2.11">#REF!</definedName>
    <definedName name="Note2.12">#REF!</definedName>
    <definedName name="Note2.13">#REF!</definedName>
    <definedName name="Note2.14">#REF!</definedName>
    <definedName name="Note2.15">#REF!</definedName>
    <definedName name="Note2.16">#REF!</definedName>
    <definedName name="Note2.17">#REF!</definedName>
    <definedName name="Note2.18">#REF!</definedName>
    <definedName name="Note2.19">#REF!</definedName>
    <definedName name="Note2.2">#REF!</definedName>
    <definedName name="Note2.3">#REF!</definedName>
    <definedName name="Note2.4">#REF!</definedName>
    <definedName name="Note2.5">#REF!</definedName>
    <definedName name="Note2.6">#REF!</definedName>
    <definedName name="Note2.7">#REF!</definedName>
    <definedName name="Note2.8">#REF!</definedName>
    <definedName name="Note2.9">#REF!</definedName>
    <definedName name="Note20">#REF!</definedName>
    <definedName name="Note21">#REF!</definedName>
    <definedName name="Note22">#REF!</definedName>
    <definedName name="Note23">#REF!</definedName>
    <definedName name="Note3">#REF!</definedName>
    <definedName name="Note4">#REF!</definedName>
    <definedName name="NOTE5" localSheetId="21">#REF!</definedName>
    <definedName name="NOTE5" localSheetId="22">#REF!</definedName>
    <definedName name="NOTE5" localSheetId="9">#REF!</definedName>
    <definedName name="Note5" localSheetId="7">#REF!</definedName>
    <definedName name="NOTE5" localSheetId="2">#REF!</definedName>
    <definedName name="NOTE5" localSheetId="16">#REF!</definedName>
    <definedName name="NOTE5" localSheetId="5">#REF!</definedName>
    <definedName name="NOTE5" localSheetId="17">#REF!</definedName>
    <definedName name="NOTE5">#REF!</definedName>
    <definedName name="Note55" localSheetId="21">'[89]BS-OVS'!#REF!</definedName>
    <definedName name="Note55" localSheetId="22">'[89]BS-OVS'!#REF!</definedName>
    <definedName name="Note55" localSheetId="9">'[89]BS-OVS'!#REF!</definedName>
    <definedName name="Note55" localSheetId="16">'[89]BS-OVS'!#REF!</definedName>
    <definedName name="Note55" localSheetId="5">'[89]BS-OVS'!#REF!</definedName>
    <definedName name="Note55" localSheetId="17">'[89]BS-OVS'!#REF!</definedName>
    <definedName name="Note55">'[89]BS-OVS'!#REF!</definedName>
    <definedName name="Note58" localSheetId="21">'[90]BS-OVS'!#REF!</definedName>
    <definedName name="Note58" localSheetId="22">'[57]BS-OVS'!#REF!</definedName>
    <definedName name="Note58" localSheetId="9">'[57]BS-OVS'!#REF!</definedName>
    <definedName name="Note58" localSheetId="7">'[90]BS-OVS'!#REF!</definedName>
    <definedName name="Note58" localSheetId="16">'[57]BS-OVS'!#REF!</definedName>
    <definedName name="Note58" localSheetId="5">'[57]BS-OVS'!#REF!</definedName>
    <definedName name="Note58" localSheetId="17">'[57]BS-OVS'!#REF!</definedName>
    <definedName name="Note58">'[57]BS-OVS'!#REF!</definedName>
    <definedName name="Note6">#REF!</definedName>
    <definedName name="Note7">#REF!</definedName>
    <definedName name="Note8">#REF!</definedName>
    <definedName name="Note9">#REF!</definedName>
    <definedName name="NOTES">#REF!</definedName>
    <definedName name="npl" localSheetId="21">#REF!</definedName>
    <definedName name="npl" localSheetId="22">#REF!</definedName>
    <definedName name="npl" localSheetId="9">#REF!</definedName>
    <definedName name="npl" localSheetId="7">#REF!</definedName>
    <definedName name="npl" localSheetId="16">#REF!</definedName>
    <definedName name="npl" localSheetId="5">#REF!</definedName>
    <definedName name="npl" localSheetId="17">#REF!</definedName>
    <definedName name="npl">#REF!</definedName>
    <definedName name="nplsum" localSheetId="21">#REF!</definedName>
    <definedName name="nplsum" localSheetId="22">#REF!</definedName>
    <definedName name="nplsum" localSheetId="9">#REF!</definedName>
    <definedName name="nplsum" localSheetId="7">#REF!</definedName>
    <definedName name="nplsum" localSheetId="16">#REF!</definedName>
    <definedName name="nplsum" localSheetId="5">#REF!</definedName>
    <definedName name="nplsum" localSheetId="17">#REF!</definedName>
    <definedName name="nplsum">#REF!</definedName>
    <definedName name="Num_Pmt_Per_Year">#REF!</definedName>
    <definedName name="Number_of_Payments" localSheetId="11">MATCH(0.01,End_Bal,-1)+1</definedName>
    <definedName name="Number_of_Payments">MATCH(0.01,End_Bal,-1)+1</definedName>
    <definedName name="Number_of_Selections">[91]CMA_Calculations!$F$122</definedName>
    <definedName name="O" localSheetId="21">#REF!</definedName>
    <definedName name="o" localSheetId="22">#REF!</definedName>
    <definedName name="o" localSheetId="9">#REF!</definedName>
    <definedName name="O" localSheetId="7">#REF!</definedName>
    <definedName name="o" localSheetId="2">#REF!</definedName>
    <definedName name="o" localSheetId="16">#REF!</definedName>
    <definedName name="o" localSheetId="5">#REF!</definedName>
    <definedName name="o" localSheetId="17">#REF!</definedName>
    <definedName name="o">#REF!</definedName>
    <definedName name="OI" localSheetId="11">'[92]F-B'!#REF!</definedName>
    <definedName name="OI" localSheetId="7">'[92]F-B'!#REF!</definedName>
    <definedName name="OI">'[92]F-B'!#REF!</definedName>
    <definedName name="ok" localSheetId="21" hidden="1">#REF!</definedName>
    <definedName name="ok" localSheetId="22" hidden="1">#REF!</definedName>
    <definedName name="ok" localSheetId="9" hidden="1">#REF!</definedName>
    <definedName name="ok" localSheetId="7" hidden="1">#REF!</definedName>
    <definedName name="ok" localSheetId="2" hidden="1">#REF!</definedName>
    <definedName name="ok" localSheetId="16" hidden="1">#REF!</definedName>
    <definedName name="ok" localSheetId="5" hidden="1">#REF!</definedName>
    <definedName name="ok" localSheetId="17" hidden="1">#REF!</definedName>
    <definedName name="ok" hidden="1">#REF!</definedName>
    <definedName name="olk" localSheetId="21">#REF!</definedName>
    <definedName name="olk" localSheetId="22">#REF!</definedName>
    <definedName name="olk" localSheetId="9">#REF!</definedName>
    <definedName name="olk" localSheetId="7">#REF!</definedName>
    <definedName name="olk" localSheetId="16">#REF!</definedName>
    <definedName name="olk" localSheetId="5">#REF!</definedName>
    <definedName name="olk" localSheetId="17">#REF!</definedName>
    <definedName name="olk">#REF!</definedName>
    <definedName name="OP" localSheetId="11">#REF!</definedName>
    <definedName name="OP" localSheetId="7">#REF!</definedName>
    <definedName name="OP">#REF!</definedName>
    <definedName name="OPDC" localSheetId="11">#REF!</definedName>
    <definedName name="OPDC" localSheetId="7">#REF!</definedName>
    <definedName name="OPDC">#REF!</definedName>
    <definedName name="operating">#REF!</definedName>
    <definedName name="os" localSheetId="21">#REF!</definedName>
    <definedName name="os" localSheetId="22">#REF!</definedName>
    <definedName name="os" localSheetId="9">#REF!</definedName>
    <definedName name="os" localSheetId="16">#REF!</definedName>
    <definedName name="os" localSheetId="5">#REF!</definedName>
    <definedName name="os" localSheetId="17">#REF!</definedName>
    <definedName name="os">#REF!</definedName>
    <definedName name="OSAL" localSheetId="21">#REF!</definedName>
    <definedName name="OSAL" localSheetId="22">#REF!</definedName>
    <definedName name="OSAL" localSheetId="9">#REF!</definedName>
    <definedName name="OSAL" localSheetId="7">#REF!</definedName>
    <definedName name="OSAL" localSheetId="16">#REF!</definedName>
    <definedName name="OSAL" localSheetId="5">#REF!</definedName>
    <definedName name="OSAL" localSheetId="17">#REF!</definedName>
    <definedName name="OSAL">#REF!</definedName>
    <definedName name="osbs" localSheetId="21">#REF!</definedName>
    <definedName name="osbs" localSheetId="22">#REF!</definedName>
    <definedName name="osbs" localSheetId="9">#REF!</definedName>
    <definedName name="osbs" localSheetId="16">#REF!</definedName>
    <definedName name="osbs" localSheetId="5">#REF!</definedName>
    <definedName name="osbs" localSheetId="17">#REF!</definedName>
    <definedName name="osbs">#REF!</definedName>
    <definedName name="OTH" localSheetId="11">#REF!</definedName>
    <definedName name="OTH" localSheetId="7">#REF!</definedName>
    <definedName name="OTH">#REF!</definedName>
    <definedName name="other" localSheetId="11">#REF!</definedName>
    <definedName name="other" localSheetId="7">#REF!</definedName>
    <definedName name="other">#REF!</definedName>
    <definedName name="OThers" localSheetId="11">#REF!</definedName>
    <definedName name="OThers" localSheetId="7">#REF!</definedName>
    <definedName name="OThers">#REF!</definedName>
    <definedName name="OVER" localSheetId="21">#REF!</definedName>
    <definedName name="OVER" localSheetId="22">#REF!</definedName>
    <definedName name="OVER" localSheetId="9">#REF!</definedName>
    <definedName name="OVER" localSheetId="7">#REF!</definedName>
    <definedName name="OVER" localSheetId="16">#REF!</definedName>
    <definedName name="OVER" localSheetId="5">#REF!</definedName>
    <definedName name="OVER" localSheetId="17">#REF!</definedName>
    <definedName name="OVER">#REF!</definedName>
    <definedName name="P" localSheetId="21">#REF!</definedName>
    <definedName name="P" localSheetId="22">#REF!</definedName>
    <definedName name="P" localSheetId="9">#REF!</definedName>
    <definedName name="P" localSheetId="7">#REF!</definedName>
    <definedName name="P" localSheetId="16">#REF!</definedName>
    <definedName name="P" localSheetId="5">#REF!</definedName>
    <definedName name="P" localSheetId="17">#REF!</definedName>
    <definedName name="P">#REF!</definedName>
    <definedName name="P___L____ASADA" localSheetId="21">#REF!</definedName>
    <definedName name="P___L____ASADA" localSheetId="22">#REF!</definedName>
    <definedName name="P___L____ASADA" localSheetId="9">#REF!</definedName>
    <definedName name="P___L____ASADA" localSheetId="2">#REF!</definedName>
    <definedName name="P___L____ASADA" localSheetId="16">#REF!</definedName>
    <definedName name="P___L____ASADA" localSheetId="5">#REF!</definedName>
    <definedName name="P___L____ASADA" localSheetId="17">#REF!</definedName>
    <definedName name="P___L____ASADA">#REF!</definedName>
    <definedName name="P___L____FUJI" localSheetId="21">#REF!</definedName>
    <definedName name="P___L____FUJI" localSheetId="22">#REF!</definedName>
    <definedName name="P___L____FUJI" localSheetId="9">#REF!</definedName>
    <definedName name="P___L____FUJI" localSheetId="2">#REF!</definedName>
    <definedName name="P___L____FUJI" localSheetId="16">#REF!</definedName>
    <definedName name="P___L____FUJI" localSheetId="5">#REF!</definedName>
    <definedName name="P___L____FUJI" localSheetId="17">#REF!</definedName>
    <definedName name="P___L____FUJI">#REF!</definedName>
    <definedName name="P_L____MIS" localSheetId="21">#REF!</definedName>
    <definedName name="P_L____MIS" localSheetId="22">#REF!</definedName>
    <definedName name="P_L____MIS" localSheetId="9">#REF!</definedName>
    <definedName name="P_L____MIS" localSheetId="2">#REF!</definedName>
    <definedName name="P_L____MIS" localSheetId="16">#REF!</definedName>
    <definedName name="P_L____MIS" localSheetId="5">#REF!</definedName>
    <definedName name="P_L____MIS" localSheetId="17">#REF!</definedName>
    <definedName name="P_L____MIS">#REF!</definedName>
    <definedName name="P_L___50__BASIS" localSheetId="21">#REF!</definedName>
    <definedName name="P_L___50__BASIS" localSheetId="22">#REF!</definedName>
    <definedName name="P_L___50__BASIS" localSheetId="9">#REF!</definedName>
    <definedName name="P_L___50__BASIS" localSheetId="2">#REF!</definedName>
    <definedName name="P_L___50__BASIS" localSheetId="16">#REF!</definedName>
    <definedName name="P_L___50__BASIS" localSheetId="5">#REF!</definedName>
    <definedName name="P_L___50__BASIS" localSheetId="17">#REF!</definedName>
    <definedName name="P_L___50__BASIS">#REF!</definedName>
    <definedName name="P_L___TURNOVER" localSheetId="21">#REF!</definedName>
    <definedName name="P_L___TURNOVER" localSheetId="22">#REF!</definedName>
    <definedName name="P_L___TURNOVER" localSheetId="9">#REF!</definedName>
    <definedName name="P_L___TURNOVER" localSheetId="2">#REF!</definedName>
    <definedName name="P_L___TURNOVER" localSheetId="16">#REF!</definedName>
    <definedName name="P_L___TURNOVER" localSheetId="5">#REF!</definedName>
    <definedName name="P_L___TURNOVER" localSheetId="17">#REF!</definedName>
    <definedName name="P_L___TURNOVER">#REF!</definedName>
    <definedName name="P_L___UNIT_SOLD" localSheetId="21">#REF!</definedName>
    <definedName name="P_L___UNIT_SOLD" localSheetId="22">#REF!</definedName>
    <definedName name="P_L___UNIT_SOLD" localSheetId="9">#REF!</definedName>
    <definedName name="P_L___UNIT_SOLD" localSheetId="2">#REF!</definedName>
    <definedName name="P_L___UNIT_SOLD" localSheetId="16">#REF!</definedName>
    <definedName name="P_L___UNIT_SOLD" localSheetId="5">#REF!</definedName>
    <definedName name="P_L___UNIT_SOLD" localSheetId="17">#REF!</definedName>
    <definedName name="P_L___UNIT_SOLD">#REF!</definedName>
    <definedName name="P_L_FINAL_ACCNT" localSheetId="21">#REF!</definedName>
    <definedName name="P_L_FINAL_ACCNT" localSheetId="22">#REF!</definedName>
    <definedName name="P_L_FINAL_ACCNT" localSheetId="9">#REF!</definedName>
    <definedName name="P_L_FINAL_ACCNT" localSheetId="2">#REF!</definedName>
    <definedName name="P_L_FINAL_ACCNT" localSheetId="16">#REF!</definedName>
    <definedName name="P_L_FINAL_ACCNT" localSheetId="5">#REF!</definedName>
    <definedName name="P_L_FINAL_ACCNT" localSheetId="17">#REF!</definedName>
    <definedName name="P_L_FINAL_ACCNT">#REF!</definedName>
    <definedName name="P_L_VARIANCE" localSheetId="21">#REF!</definedName>
    <definedName name="P_L_VARIANCE" localSheetId="22">#REF!</definedName>
    <definedName name="P_L_VARIANCE" localSheetId="9">#REF!</definedName>
    <definedName name="P_L_VARIANCE" localSheetId="2">#REF!</definedName>
    <definedName name="P_L_VARIANCE" localSheetId="16">#REF!</definedName>
    <definedName name="P_L_VARIANCE" localSheetId="5">#REF!</definedName>
    <definedName name="P_L_VARIANCE" localSheetId="17">#REF!</definedName>
    <definedName name="P_L_VARIANCE">#REF!</definedName>
    <definedName name="Pack">#REF!</definedName>
    <definedName name="PAFA" localSheetId="11">#REF!</definedName>
    <definedName name="PAFA" localSheetId="7">#REF!</definedName>
    <definedName name="PAFA">#REF!</definedName>
    <definedName name="PAGE2" localSheetId="21">#REF!</definedName>
    <definedName name="PAGE2" localSheetId="22">#REF!</definedName>
    <definedName name="PAGE2" localSheetId="9">#REF!</definedName>
    <definedName name="PAGE2" localSheetId="7">#REF!</definedName>
    <definedName name="PAGE2" localSheetId="16">#REF!</definedName>
    <definedName name="PAGE2" localSheetId="5">#REF!</definedName>
    <definedName name="PAGE2" localSheetId="17">#REF!</definedName>
    <definedName name="PAGE2">#REF!</definedName>
    <definedName name="PAT" localSheetId="11">#REF!</definedName>
    <definedName name="PAT" localSheetId="7">#REF!</definedName>
    <definedName name="PAT">#REF!</definedName>
    <definedName name="PATS" localSheetId="11">#REF!</definedName>
    <definedName name="PATS" localSheetId="7">#REF!</definedName>
    <definedName name="PATS">#REF!</definedName>
    <definedName name="Pattern" localSheetId="21" hidden="1">{"'CALL MONEY'!$K$53"}</definedName>
    <definedName name="Pattern" localSheetId="9" hidden="1">{"'CALL MONEY'!$K$53"}</definedName>
    <definedName name="Pattern" localSheetId="11" hidden="1">{"'CALL MONEY'!$K$53"}</definedName>
    <definedName name="Pattern" localSheetId="7" hidden="1">{"'CALL MONEY'!$K$53"}</definedName>
    <definedName name="Pattern" hidden="1">{"'CALL MONEY'!$K$53"}</definedName>
    <definedName name="Pay_Date">#REF!</definedName>
    <definedName name="Pay_Num">#REF!</definedName>
    <definedName name="Payment_Date" localSheetId="11">DATE(YEAR(Loan_Start),MONTH(Loan_Start)+Payment_Number,DAY(Loan_Start))</definedName>
    <definedName name="Payment_Date">DATE(YEAR(Loan_Start),MONTH(Loan_Start)+Payment_Number,DAY(Loan_Start))</definedName>
    <definedName name="PBEI" localSheetId="11">#REF!</definedName>
    <definedName name="PBEI" localSheetId="7">#REF!</definedName>
    <definedName name="PBEI">#REF!</definedName>
    <definedName name="PBT" localSheetId="11">#REF!</definedName>
    <definedName name="PBT" localSheetId="7">#REF!</definedName>
    <definedName name="PBT">#REF!</definedName>
    <definedName name="PD" localSheetId="11">#REF!</definedName>
    <definedName name="PD" localSheetId="7">#REF!</definedName>
    <definedName name="PD">#REF!</definedName>
    <definedName name="PERUNITGP" localSheetId="21">'[4]GP Analysis'!#REF!</definedName>
    <definedName name="PERUNITGP" localSheetId="22">'[4]GP Analysis'!#REF!</definedName>
    <definedName name="PERUNITGP" localSheetId="9">'[4]GP Analysis'!#REF!</definedName>
    <definedName name="PERUNITGP" localSheetId="2">'[4]GP Analysis'!#REF!</definedName>
    <definedName name="PERUNITGP" localSheetId="16">'[4]GP Analysis'!#REF!</definedName>
    <definedName name="PERUNITGP" localSheetId="5">'[4]GP Analysis'!#REF!</definedName>
    <definedName name="PERUNITGP" localSheetId="17">'[4]GP Analysis'!#REF!</definedName>
    <definedName name="PERUNITGP">'[4]GP Analysis'!#REF!</definedName>
    <definedName name="PIB" localSheetId="11">#REF!</definedName>
    <definedName name="PIB" localSheetId="7">#REF!</definedName>
    <definedName name="PIB">#REF!</definedName>
    <definedName name="pkr">[39]PAKISTAN!$B$9:$L$24</definedName>
    <definedName name="PL" localSheetId="21">#REF!</definedName>
    <definedName name="PL" localSheetId="7">#REF!</definedName>
    <definedName name="pl">[93]woRKING!$A$3:$D$172</definedName>
    <definedName name="plbdec">'[94]December 06'!$A$5:$D$102</definedName>
    <definedName name="plbnov">'[94]November 06'!$A$5:$D$101</definedName>
    <definedName name="pld" localSheetId="21">#REF!</definedName>
    <definedName name="pld" localSheetId="22">#REF!</definedName>
    <definedName name="pld" localSheetId="9">#REF!</definedName>
    <definedName name="pld" localSheetId="16">#REF!</definedName>
    <definedName name="pld" localSheetId="5">#REF!</definedName>
    <definedName name="pld" localSheetId="17">#REF!</definedName>
    <definedName name="pld">#REF!</definedName>
    <definedName name="pldec">'[46]December 06'!$A$5:$D$89</definedName>
    <definedName name="plf">[95]FEb!$A$4:$C$149</definedName>
    <definedName name="plfeb">[48]Feb!$A$4:$C$73</definedName>
    <definedName name="plmarch">[48]MarchSL904!$A$5:$C$99</definedName>
    <definedName name="plmarch07">'[48]March 110'!$A$5:$C$80</definedName>
    <definedName name="pln" localSheetId="21">#REF!</definedName>
    <definedName name="pln" localSheetId="22">#REF!</definedName>
    <definedName name="pln" localSheetId="9">#REF!</definedName>
    <definedName name="pln" localSheetId="16">#REF!</definedName>
    <definedName name="pln" localSheetId="5">#REF!</definedName>
    <definedName name="pln" localSheetId="17">#REF!</definedName>
    <definedName name="pln">#REF!</definedName>
    <definedName name="plnov" localSheetId="21">#REF!</definedName>
    <definedName name="plnov" localSheetId="22">#REF!</definedName>
    <definedName name="plnov" localSheetId="9">#REF!</definedName>
    <definedName name="plnov" localSheetId="16">#REF!</definedName>
    <definedName name="plnov" localSheetId="5">#REF!</definedName>
    <definedName name="plnov" localSheetId="17">#REF!</definedName>
    <definedName name="plnov">#REF!</definedName>
    <definedName name="plnov06">'[46]November 06'!$A$5:$D$87</definedName>
    <definedName name="PNL" localSheetId="21">#REF!</definedName>
    <definedName name="PNL" localSheetId="22">'[41]Revenue-Fire-Marine-Motor'!#REF!</definedName>
    <definedName name="PNL" localSheetId="9">'[41]Revenue-Fire-Marine-Motor'!#REF!</definedName>
    <definedName name="PNL" localSheetId="7">'[42]Revenue-Fire-Marine-Motor'!#REF!</definedName>
    <definedName name="PNL" localSheetId="2">'[41]Revenue-Fire-Marine-Motor'!#REF!</definedName>
    <definedName name="PNL" localSheetId="16">'[41]Revenue-Fire-Marine-Motor'!#REF!</definedName>
    <definedName name="PNL" localSheetId="5">'[41]Revenue-Fire-Marine-Motor'!#REF!</definedName>
    <definedName name="PNL" localSheetId="17">'[41]Revenue-Fire-Marine-Motor'!#REF!</definedName>
    <definedName name="PNL">'[41]Revenue-Fire-Marine-Motor'!#REF!</definedName>
    <definedName name="po" localSheetId="21">[96]BSDOMOVS!#REF!</definedName>
    <definedName name="po" localSheetId="22">[96]BSDOMOVS!#REF!</definedName>
    <definedName name="po" localSheetId="9">[96]BSDOMOVS!#REF!</definedName>
    <definedName name="po" localSheetId="7">[96]BSDOMOVS!#REF!</definedName>
    <definedName name="po" localSheetId="16">[96]BSDOMOVS!#REF!</definedName>
    <definedName name="po" localSheetId="5">[96]BSDOMOVS!#REF!</definedName>
    <definedName name="po" localSheetId="17">[96]BSDOMOVS!#REF!</definedName>
    <definedName name="po">[96]BSDOMOVS!#REF!</definedName>
    <definedName name="Pop_AC" localSheetId="11">#REF!</definedName>
    <definedName name="Pop_AC" localSheetId="7">#REF!</definedName>
    <definedName name="Pop_AC">#REF!</definedName>
    <definedName name="Pop_Acc_Comp" localSheetId="11">#REF!</definedName>
    <definedName name="Pop_Acc_Comp" localSheetId="7">#REF!</definedName>
    <definedName name="Pop_Acc_Comp">#REF!</definedName>
    <definedName name="Pop_Def" localSheetId="11">#REF!</definedName>
    <definedName name="Pop_Def" localSheetId="7">#REF!</definedName>
    <definedName name="Pop_Def">#REF!</definedName>
    <definedName name="Pop_Imm_Def" localSheetId="11">#REF!</definedName>
    <definedName name="Pop_Imm_Def" localSheetId="7">#REF!</definedName>
    <definedName name="Pop_Imm_Def">#REF!</definedName>
    <definedName name="Pop_Imm_It" localSheetId="11">#REF!</definedName>
    <definedName name="Pop_Imm_It" localSheetId="7">#REF!</definedName>
    <definedName name="Pop_Imm_It">#REF!</definedName>
    <definedName name="Pop_Imm_T" localSheetId="11">#REF!</definedName>
    <definedName name="Pop_Imm_T" localSheetId="7">#REF!</definedName>
    <definedName name="Pop_Imm_T">#REF!</definedName>
    <definedName name="Pop_Samp_It" localSheetId="11">#REF!</definedName>
    <definedName name="Pop_Samp_It" localSheetId="7">#REF!</definedName>
    <definedName name="Pop_Samp_It">#REF!</definedName>
    <definedName name="Pop_Samp_T" localSheetId="11">#REF!</definedName>
    <definedName name="Pop_Samp_T" localSheetId="7">#REF!</definedName>
    <definedName name="Pop_Samp_T">#REF!</definedName>
    <definedName name="Pop_Sig_Def" localSheetId="11">#REF!</definedName>
    <definedName name="Pop_Sig_Def" localSheetId="7">#REF!</definedName>
    <definedName name="Pop_Sig_Def">#REF!</definedName>
    <definedName name="Pop_Sig_It" localSheetId="11">#REF!</definedName>
    <definedName name="Pop_Sig_It" localSheetId="7">#REF!</definedName>
    <definedName name="Pop_Sig_It">#REF!</definedName>
    <definedName name="Pop_Sig_T" localSheetId="11">#REF!</definedName>
    <definedName name="Pop_Sig_T" localSheetId="7">#REF!</definedName>
    <definedName name="Pop_Sig_T">#REF!</definedName>
    <definedName name="Pop_SU" localSheetId="11">#REF!</definedName>
    <definedName name="Pop_SU" localSheetId="7">#REF!</definedName>
    <definedName name="Pop_SU">#REF!</definedName>
    <definedName name="por" localSheetId="11">#REF!</definedName>
    <definedName name="por" localSheetId="7">#REF!</definedName>
    <definedName name="por">#REF!</definedName>
    <definedName name="Port">#REF!</definedName>
    <definedName name="post_CA" localSheetId="11">#REF!</definedName>
    <definedName name="post_CA" localSheetId="7">#REF!</definedName>
    <definedName name="post_CA">#REF!</definedName>
    <definedName name="post_CL" localSheetId="11">#REF!</definedName>
    <definedName name="post_CL" localSheetId="7">#REF!</definedName>
    <definedName name="post_CL">#REF!</definedName>
    <definedName name="post_Eq" localSheetId="11">#REF!</definedName>
    <definedName name="post_Eq" localSheetId="7">#REF!</definedName>
    <definedName name="post_Eq">#REF!</definedName>
    <definedName name="post_FA" localSheetId="11">#REF!</definedName>
    <definedName name="post_FA" localSheetId="7">#REF!</definedName>
    <definedName name="post_FA">#REF!</definedName>
    <definedName name="post_LTL" localSheetId="11">#REF!</definedName>
    <definedName name="post_LTL" localSheetId="7">#REF!</definedName>
    <definedName name="post_LTL">#REF!</definedName>
    <definedName name="Posting_Increment___Common___CA" localSheetId="11">#REF!</definedName>
    <definedName name="Posting_Increment___Common___CA" localSheetId="7">#REF!</definedName>
    <definedName name="Posting_Increment___Common___CA">#REF!</definedName>
    <definedName name="Posting_Increment___Common___CL" localSheetId="11">#REF!</definedName>
    <definedName name="Posting_Increment___Common___CL" localSheetId="7">#REF!</definedName>
    <definedName name="Posting_Increment___Common___CL">#REF!</definedName>
    <definedName name="Posting_Increment___Common___EQ" localSheetId="11">#REF!</definedName>
    <definedName name="Posting_Increment___Common___EQ" localSheetId="7">#REF!</definedName>
    <definedName name="Posting_Increment___Common___EQ">#REF!</definedName>
    <definedName name="Posting_Increment___Common___LL" localSheetId="11">#REF!</definedName>
    <definedName name="Posting_Increment___Common___LL" localSheetId="7">#REF!</definedName>
    <definedName name="Posting_Increment___Common___LL">#REF!</definedName>
    <definedName name="Posting_Increment___Common___NCA" localSheetId="11">#REF!</definedName>
    <definedName name="Posting_Increment___Common___NCA" localSheetId="7">#REF!</definedName>
    <definedName name="Posting_Increment___Common___NCA">#REF!</definedName>
    <definedName name="Posting_Increment___Uncommon___CA" localSheetId="11">#REF!</definedName>
    <definedName name="Posting_Increment___Uncommon___CA" localSheetId="7">#REF!</definedName>
    <definedName name="Posting_Increment___Uncommon___CA">#REF!</definedName>
    <definedName name="Posting_Increment___Uncommon___CL" localSheetId="11">#REF!</definedName>
    <definedName name="Posting_Increment___Uncommon___CL" localSheetId="7">#REF!</definedName>
    <definedName name="Posting_Increment___Uncommon___CL">#REF!</definedName>
    <definedName name="Posting_Increment___Uncommon___EQ" localSheetId="11">#REF!</definedName>
    <definedName name="Posting_Increment___Uncommon___EQ" localSheetId="7">#REF!</definedName>
    <definedName name="Posting_Increment___Uncommon___EQ">#REF!</definedName>
    <definedName name="Posting_Increment___Uncommon___LL" localSheetId="11">#REF!</definedName>
    <definedName name="Posting_Increment___Uncommon___LL" localSheetId="7">#REF!</definedName>
    <definedName name="Posting_Increment___Uncommon___LL">#REF!</definedName>
    <definedName name="Posting_Increment___Uncommon___NCA" localSheetId="11">#REF!</definedName>
    <definedName name="Posting_Increment___Uncommon___NCA" localSheetId="7">#REF!</definedName>
    <definedName name="Posting_Increment___Uncommon___NCA">#REF!</definedName>
    <definedName name="PP" localSheetId="21">#REF!</definedName>
    <definedName name="PP" localSheetId="22">#REF!</definedName>
    <definedName name="PP" localSheetId="9">#REF!</definedName>
    <definedName name="PP" localSheetId="7">#REF!</definedName>
    <definedName name="PP" localSheetId="16">#REF!</definedName>
    <definedName name="PP" localSheetId="5">#REF!</definedName>
    <definedName name="PP" localSheetId="17">#REF!</definedName>
    <definedName name="PP">#REF!</definedName>
    <definedName name="Pre_tax_materiality">#REF!</definedName>
    <definedName name="PREMIU">#REF!</definedName>
    <definedName name="PREMIUM">#REF!</definedName>
    <definedName name="Princ">#REF!</definedName>
    <definedName name="_xlnm.Print_Area" localSheetId="14">'10.1'!$A$1:$L$74</definedName>
    <definedName name="_xlnm.Print_Area" localSheetId="15">'10.2-10.3'!$A$1:$K$131</definedName>
    <definedName name="_xlnm.Print_Area" localSheetId="21">'11'!$A$1:$W$36</definedName>
    <definedName name="_xlnm.Print_Area" localSheetId="22">'12-14'!$A$1:$L$65</definedName>
    <definedName name="_xlnm.Print_Area" localSheetId="8">'1-5'!$A$1:$L$1239</definedName>
    <definedName name="_xlnm.Print_Area" localSheetId="36">'20-25.1.2'!$A$1:$K$136</definedName>
    <definedName name="_xlnm.Print_Area" localSheetId="37">'25.1.3-25.2'!$A$1:$J$79</definedName>
    <definedName name="_xlnm.Print_Area" localSheetId="41">'29-31.3'!$A$1:$AD$37</definedName>
    <definedName name="_xlnm.Print_Area" localSheetId="19">'5.1'!$A$1:$M$155</definedName>
    <definedName name="_xlnm.Print_Area" localSheetId="33">'5.1-5.3'!$A$1:$L$131</definedName>
    <definedName name="_xlnm.Print_Area" localSheetId="35">'5.1-5.3 (2)'!$A$1:$K$132</definedName>
    <definedName name="_xlnm.Print_Area" localSheetId="10">'5.2'!$A$44:$K$64</definedName>
    <definedName name="_xlnm.Print_Area" localSheetId="34">'5.4-8'!$A$1:$J$68</definedName>
    <definedName name="_xlnm.Print_Area" localSheetId="9">'5-5.1.1'!$A$1:$L$175</definedName>
    <definedName name="_xlnm.Print_Area" localSheetId="12">'6-10'!$A$1:$L$97</definedName>
    <definedName name="_xlnm.Print_Area" localSheetId="11">'7-16'!$A$1:$L$75</definedName>
    <definedName name="_xlnm.Print_Area" localSheetId="43">'bank rating'!$A$1:$G$28</definedName>
    <definedName name="_xlnm.Print_Area" localSheetId="0">BS!$A$1:$H$52</definedName>
    <definedName name="_xlnm.Print_Area" localSheetId="24">'CF Working'!$A$1:$B$64</definedName>
    <definedName name="_xlnm.Print_Area" localSheetId="6">CFs!$A$1:$J$57</definedName>
    <definedName name="_xlnm.Print_Area" localSheetId="42">'credit 2011'!$A$1:$L$20</definedName>
    <definedName name="_xlnm.Print_Area" localSheetId="3">DS!$A$1:$K$33</definedName>
    <definedName name="_xlnm.Print_Area" localSheetId="40">'Element income final 2015'!$A$1:$C$62</definedName>
    <definedName name="_xlnm.Print_Area" localSheetId="48">'investment topsheet'!$A$1:$H$28</definedName>
    <definedName name="_xlnm.Print_Area" localSheetId="49">'invst Control Sheet'!$A$1:$E$45</definedName>
    <definedName name="_xlnm.Print_Area" localSheetId="1">IS!$A$1:$J$65</definedName>
    <definedName name="_xlnm.Print_Area" localSheetId="32">'Note 1-5 (2)'!$A$1:$Z$107</definedName>
    <definedName name="_xlnm.Print_Area" localSheetId="38">'Note 25.2.1-30.1'!$A$1:$K$155</definedName>
    <definedName name="_xlnm.Print_Area" localSheetId="7">'Notes 1-6'!$A$1:$L$128</definedName>
    <definedName name="_xlnm.Print_Area" localSheetId="2">OCI!$A$1:$K$29</definedName>
    <definedName name="_xlnm.Print_Area" localSheetId="23">RP!$A$1:$L$49</definedName>
    <definedName name="_xlnm.Print_Area" localSheetId="46">'Set off'!$A$1:$H$32</definedName>
    <definedName name="_xlnm.Print_Area" localSheetId="4">UHF!$A$1:$K$58</definedName>
    <definedName name="_xlnm.Print_Area" localSheetId="16">'UHF New'!$A$1:$M$100</definedName>
    <definedName name="_xlnm.Print_Area" localSheetId="5">'UHF New V2'!$A$1:$M$69</definedName>
    <definedName name="_xlnm.Print_Area" localSheetId="17">'UHF OLD'!$A$1:$H$105</definedName>
    <definedName name="_xlnm.Print_Area">[6]Sheet4!$A$421:$Q$523</definedName>
    <definedName name="PRINT_AREA_MI" localSheetId="21">#REF!</definedName>
    <definedName name="PRINT_AREA_MI" localSheetId="22">#REF!</definedName>
    <definedName name="PRINT_AREA_MI" localSheetId="9">#REF!</definedName>
    <definedName name="PRINT_AREA_MI" localSheetId="7">[8]Sheet4!$A$421:$Q$523</definedName>
    <definedName name="PRINT_AREA_MI" localSheetId="2">'[97]AC-CODES'!#REF!</definedName>
    <definedName name="PRINT_AREA_MI" localSheetId="16">#REF!</definedName>
    <definedName name="PRINT_AREA_MI" localSheetId="5">#REF!</definedName>
    <definedName name="PRINT_AREA_MI" localSheetId="17">#REF!</definedName>
    <definedName name="PRINT_AREA_MI">#REF!</definedName>
    <definedName name="PRINT_AREA_MI_9" localSheetId="21">#REF!</definedName>
    <definedName name="PRINT_AREA_MI_9" localSheetId="22">#REF!</definedName>
    <definedName name="PRINT_AREA_MI_9" localSheetId="9">#REF!</definedName>
    <definedName name="PRINT_AREA_MI_9" localSheetId="7">#REF!</definedName>
    <definedName name="PRINT_AREA_MI_9" localSheetId="16">#REF!</definedName>
    <definedName name="PRINT_AREA_MI_9" localSheetId="5">#REF!</definedName>
    <definedName name="PRINT_AREA_MI_9" localSheetId="17">#REF!</definedName>
    <definedName name="PRINT_AREA_MI_9">#REF!</definedName>
    <definedName name="Print_Area_Reset" localSheetId="11">OFFSET(Full_Print,0,0,Last_Row)</definedName>
    <definedName name="Print_Area_Reset">OFFSET(Full_Print,0,0,Last_Row)</definedName>
    <definedName name="PRINT_DEF_TAX">#REF!</definedName>
    <definedName name="PRINT_DETAILS">#REF!</definedName>
    <definedName name="_xlnm.Print_Titles" localSheetId="35">#REF!</definedName>
    <definedName name="_xlnm.Print_Titles" localSheetId="9">'5-5.1.1'!$3:$8</definedName>
    <definedName name="_xlnm.Print_Titles" localSheetId="24">#REF!</definedName>
    <definedName name="_xlnm.Print_Titles" localSheetId="32">#REF!</definedName>
    <definedName name="_xlnm.Print_Titles" localSheetId="17">#REF!</definedName>
    <definedName name="_xlnm.Print_Titles">#REF!</definedName>
    <definedName name="PRINT_TITLES_MI" localSheetId="21">#REF!</definedName>
    <definedName name="Print_Titles_MI" localSheetId="22">#REF!</definedName>
    <definedName name="Print_Titles_MI" localSheetId="9">#REF!</definedName>
    <definedName name="Print_Titles_MI" localSheetId="2">#REF!</definedName>
    <definedName name="Print_Titles_MI" localSheetId="16">#REF!</definedName>
    <definedName name="Print_Titles_MI" localSheetId="5">#REF!</definedName>
    <definedName name="Print_Titles_MI" localSheetId="17">#REF!</definedName>
    <definedName name="Print_Titles_MI">#REF!</definedName>
    <definedName name="PRODUCT_LINE" localSheetId="21">#REF!</definedName>
    <definedName name="PRODUCT_LINE" localSheetId="22">#REF!</definedName>
    <definedName name="PRODUCT_LINE" localSheetId="9">#REF!</definedName>
    <definedName name="PRODUCT_LINE" localSheetId="2">#REF!</definedName>
    <definedName name="PRODUCT_LINE" localSheetId="16">#REF!</definedName>
    <definedName name="PRODUCT_LINE" localSheetId="5">#REF!</definedName>
    <definedName name="PRODUCT_LINE" localSheetId="17">#REF!</definedName>
    <definedName name="PRODUCT_LINE">#REF!</definedName>
    <definedName name="PRODUCTWISE_PRO" localSheetId="21">#REF!</definedName>
    <definedName name="PRODUCTWISE_PRO" localSheetId="22">#REF!</definedName>
    <definedName name="PRODUCTWISE_PRO" localSheetId="9">#REF!</definedName>
    <definedName name="PRODUCTWISE_PRO" localSheetId="2">#REF!</definedName>
    <definedName name="PRODUCTWISE_PRO" localSheetId="16">#REF!</definedName>
    <definedName name="PRODUCTWISE_PRO" localSheetId="5">#REF!</definedName>
    <definedName name="PRODUCTWISE_PRO" localSheetId="17">#REF!</definedName>
    <definedName name="PRODUCTWISE_PRO">#REF!</definedName>
    <definedName name="PROFIT_PROVISION" localSheetId="21">[34]ProfitProv!#REF!</definedName>
    <definedName name="PROFIT_PROVISION" localSheetId="22">[34]ProfitProv!#REF!</definedName>
    <definedName name="PROFIT_PROVISION" localSheetId="9">[34]ProfitProv!#REF!</definedName>
    <definedName name="PROFIT_PROVISION" localSheetId="2">[34]ProfitProv!#REF!</definedName>
    <definedName name="PROFIT_PROVISION" localSheetId="16">[34]ProfitProv!#REF!</definedName>
    <definedName name="PROFIT_PROVISION" localSheetId="5">[34]ProfitProv!#REF!</definedName>
    <definedName name="PROFIT_PROVISION" localSheetId="17">[34]ProfitProv!#REF!</definedName>
    <definedName name="PROFIT_PROVISION">[34]ProfitProv!#REF!</definedName>
    <definedName name="PROFIT_RECON" localSheetId="21">[34]ProfitProv!#REF!</definedName>
    <definedName name="PROFIT_RECON" localSheetId="22">[34]ProfitProv!#REF!</definedName>
    <definedName name="PROFIT_RECON" localSheetId="9">[34]ProfitProv!#REF!</definedName>
    <definedName name="PROFIT_RECON" localSheetId="2">[34]ProfitProv!#REF!</definedName>
    <definedName name="PROFIT_RECON" localSheetId="16">[34]ProfitProv!#REF!</definedName>
    <definedName name="PROFIT_RECON" localSheetId="5">[34]ProfitProv!#REF!</definedName>
    <definedName name="PROFIT_RECON" localSheetId="17">[34]ProfitProv!#REF!</definedName>
    <definedName name="PROFIT_RECON">[34]ProfitProv!#REF!</definedName>
    <definedName name="PROFIT1" localSheetId="21">#REF!</definedName>
    <definedName name="PROFIT1" localSheetId="22">#REF!</definedName>
    <definedName name="PROFIT1" localSheetId="9">#REF!</definedName>
    <definedName name="PROFIT1" localSheetId="7">#REF!</definedName>
    <definedName name="PROFIT1" localSheetId="16">#REF!</definedName>
    <definedName name="PROFIT1" localSheetId="5">#REF!</definedName>
    <definedName name="PROFIT1" localSheetId="17">#REF!</definedName>
    <definedName name="PROFIT1">#REF!</definedName>
    <definedName name="PROFIT2" localSheetId="21">#REF!</definedName>
    <definedName name="PROFIT2" localSheetId="22">#REF!</definedName>
    <definedName name="PROFIT2" localSheetId="9">#REF!</definedName>
    <definedName name="PROFIT2" localSheetId="7">#REF!</definedName>
    <definedName name="PROFIT2" localSheetId="16">#REF!</definedName>
    <definedName name="PROFIT2" localSheetId="5">#REF!</definedName>
    <definedName name="PROFIT2" localSheetId="17">#REF!</definedName>
    <definedName name="PROFIT2">#REF!</definedName>
    <definedName name="Proj_Meth" localSheetId="11">#REF!</definedName>
    <definedName name="Proj_Meth" localSheetId="7">#REF!</definedName>
    <definedName name="Proj_Meth">#REF!</definedName>
    <definedName name="provisiondet" localSheetId="21">#REF!</definedName>
    <definedName name="provisiondet" localSheetId="22">#REF!</definedName>
    <definedName name="provisiondet" localSheetId="9">#REF!</definedName>
    <definedName name="provisiondet" localSheetId="7">#REF!</definedName>
    <definedName name="provisiondet" localSheetId="16">#REF!</definedName>
    <definedName name="provisiondet" localSheetId="5">#REF!</definedName>
    <definedName name="provisiondet" localSheetId="17">#REF!</definedName>
    <definedName name="provisiondet">#REF!</definedName>
    <definedName name="prt" localSheetId="21">#REF!</definedName>
    <definedName name="prt" localSheetId="22">#REF!</definedName>
    <definedName name="prt" localSheetId="9">#REF!</definedName>
    <definedName name="prt" localSheetId="2">#REF!</definedName>
    <definedName name="prt" localSheetId="16">#REF!</definedName>
    <definedName name="prt" localSheetId="5">#REF!</definedName>
    <definedName name="prt" localSheetId="17">#REF!</definedName>
    <definedName name="prt">#REF!</definedName>
    <definedName name="prt_abx314" localSheetId="21">#REF!</definedName>
    <definedName name="prt_abx314" localSheetId="22">#REF!</definedName>
    <definedName name="prt_abx314" localSheetId="9">#REF!</definedName>
    <definedName name="prt_abx314" localSheetId="2">#REF!</definedName>
    <definedName name="prt_abx314" localSheetId="16">#REF!</definedName>
    <definedName name="prt_abx314" localSheetId="5">#REF!</definedName>
    <definedName name="prt_abx314" localSheetId="17">#REF!</definedName>
    <definedName name="prt_abx314">#REF!</definedName>
    <definedName name="prt_cs" localSheetId="11">#REF!</definedName>
    <definedName name="prt_cs" localSheetId="7">#REF!</definedName>
    <definedName name="prt_cs">#REF!</definedName>
    <definedName name="PRT_dep" localSheetId="11">#REF!</definedName>
    <definedName name="PRT_dep" localSheetId="7">#REF!</definedName>
    <definedName name="PRT_dep">#REF!</definedName>
    <definedName name="PRT_MRPT" localSheetId="11">#REF!</definedName>
    <definedName name="PRT_MRPT" localSheetId="7">#REF!</definedName>
    <definedName name="PRT_MRPT">#REF!</definedName>
    <definedName name="prtt">'[98]2000_ Projects Summary'!$A$1:$Q$33</definedName>
    <definedName name="purchase">[9]purchase!#REF!</definedName>
    <definedName name="purchase2000">'[99]INCOME 2004'!#REF!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PYILMAT" localSheetId="11">#REF!</definedName>
    <definedName name="PYILMAT" localSheetId="7">#REF!</definedName>
    <definedName name="PYILMAT">#REF!</definedName>
    <definedName name="Q" localSheetId="21">#REF!</definedName>
    <definedName name="Q" localSheetId="22">#REF!</definedName>
    <definedName name="Q" localSheetId="9">#REF!</definedName>
    <definedName name="Q" localSheetId="7">#REF!</definedName>
    <definedName name="Q" localSheetId="16">#REF!</definedName>
    <definedName name="Q" localSheetId="5">#REF!</definedName>
    <definedName name="Q" localSheetId="17">#REF!</definedName>
    <definedName name="Q">#REF!</definedName>
    <definedName name="qa" localSheetId="11">#REF!</definedName>
    <definedName name="qa" localSheetId="7">#REF!</definedName>
    <definedName name="qa">#REF!</definedName>
    <definedName name="qas" localSheetId="11" hidden="1">#REF!</definedName>
    <definedName name="qas" localSheetId="7" hidden="1">#REF!</definedName>
    <definedName name="qas" hidden="1">#REF!</definedName>
    <definedName name="QATAR1" localSheetId="21">[8]Sheet4!$H$428:$H$519</definedName>
    <definedName name="QATAR1" localSheetId="7">[8]Sheet4!$H$428:$H$519</definedName>
    <definedName name="QATAR1">[6]Sheet4!$H$428:$H$519</definedName>
    <definedName name="QATAR2" localSheetId="21">[8]Sheet4!$U$326:$U$417</definedName>
    <definedName name="QATAR2" localSheetId="7">[8]Sheet4!$U$326:$U$417</definedName>
    <definedName name="QATAR2">[6]Sheet4!$U$326:$U$417</definedName>
    <definedName name="qq" localSheetId="11" hidden="1">#REF!</definedName>
    <definedName name="qq" localSheetId="7" hidden="1">#REF!</definedName>
    <definedName name="qq" hidden="1">#REF!</definedName>
    <definedName name="qwe">[4]FundsNW!$A$3+[4]FundsNW!$A$2:$S$76</definedName>
    <definedName name="qwq">#REF!</definedName>
    <definedName name="qww" localSheetId="11" hidden="1">#REF!</definedName>
    <definedName name="qww" localSheetId="7" hidden="1">#REF!</definedName>
    <definedName name="qww" hidden="1">#REF!</definedName>
    <definedName name="qwww" localSheetId="21">[28]acct!#REF!</definedName>
    <definedName name="qwww" localSheetId="22">[28]acct!#REF!</definedName>
    <definedName name="qwww" localSheetId="9">[28]acct!#REF!</definedName>
    <definedName name="qwww" localSheetId="16">[28]acct!#REF!</definedName>
    <definedName name="qwww" localSheetId="5">[28]acct!#REF!</definedName>
    <definedName name="qwww" localSheetId="17">[28]acct!#REF!</definedName>
    <definedName name="qwww">[28]acct!#REF!</definedName>
    <definedName name="RANGE_1" localSheetId="21">#REF!</definedName>
    <definedName name="RANGE_1" localSheetId="22">#REF!</definedName>
    <definedName name="RANGE_1" localSheetId="9">#REF!</definedName>
    <definedName name="RANGE_1" localSheetId="2">#REF!</definedName>
    <definedName name="RANGE_1" localSheetId="16">#REF!</definedName>
    <definedName name="RANGE_1" localSheetId="5">#REF!</definedName>
    <definedName name="RANGE_1" localSheetId="17">#REF!</definedName>
    <definedName name="RANGE_1">#REF!</definedName>
    <definedName name="rate">'[39]rate '!$B$4:$C$31</definedName>
    <definedName name="ratio" localSheetId="11" hidden="1">{"PAGE1",#N/A,FALSE,"Sheet1";"PAGE2",#N/A,FALSE,"Sheet1"}</definedName>
    <definedName name="ratio" hidden="1">{"PAGE1",#N/A,FALSE,"Sheet1";"PAGE2",#N/A,FALSE,"Sheet1"}</definedName>
    <definedName name="Raza" localSheetId="21">#REF!</definedName>
    <definedName name="Raza" localSheetId="22">#REF!</definedName>
    <definedName name="Raza" localSheetId="9">#REF!</definedName>
    <definedName name="Raza" localSheetId="7">#REF!</definedName>
    <definedName name="Raza" localSheetId="16">#REF!</definedName>
    <definedName name="Raza" localSheetId="5">#REF!</definedName>
    <definedName name="Raza" localSheetId="17">#REF!</definedName>
    <definedName name="Raza">#REF!</definedName>
    <definedName name="Recover">[100]Macro1!$A$170</definedName>
    <definedName name="REDCAP" localSheetId="21">[28]acct!#REF!</definedName>
    <definedName name="REDCAP" localSheetId="22">[29]acct!#REF!</definedName>
    <definedName name="REDCAP" localSheetId="9">[29]acct!#REF!</definedName>
    <definedName name="REDCAP" localSheetId="7">[28]acct!#REF!</definedName>
    <definedName name="REDCAP" localSheetId="2">[30]acct!#REF!</definedName>
    <definedName name="REDCAP" localSheetId="16">[29]acct!#REF!</definedName>
    <definedName name="REDCAP" localSheetId="5">[29]acct!#REF!</definedName>
    <definedName name="REDCAP" localSheetId="17">[29]acct!#REF!</definedName>
    <definedName name="REDCAP">[29]acct!#REF!</definedName>
    <definedName name="rem" localSheetId="11">#REF!</definedName>
    <definedName name="rem" localSheetId="7">#REF!</definedName>
    <definedName name="rem">#REF!</definedName>
    <definedName name="REPAYMENT">'[101]BScN Local Students'!$A$9:$S$137</definedName>
    <definedName name="REPORT">#REF!</definedName>
    <definedName name="RES">#REF!</definedName>
    <definedName name="Revaluation" localSheetId="11" hidden="1">{"'CALL MONEY'!$K$53"}</definedName>
    <definedName name="Revaluation" localSheetId="7" hidden="1">{"'CALL MONEY'!$K$53"}</definedName>
    <definedName name="Revaluation" hidden="1">{"'CALL MONEY'!$K$53"}</definedName>
    <definedName name="RF" localSheetId="21">[28]acct!#REF!</definedName>
    <definedName name="RF" localSheetId="22">[29]acct!#REF!</definedName>
    <definedName name="RF" localSheetId="9">[29]acct!#REF!</definedName>
    <definedName name="RF" localSheetId="7">[28]acct!#REF!</definedName>
    <definedName name="RF" localSheetId="2">[30]acct!#REF!</definedName>
    <definedName name="RF" localSheetId="16">[29]acct!#REF!</definedName>
    <definedName name="RF" localSheetId="5">[29]acct!#REF!</definedName>
    <definedName name="RF" localSheetId="17">[29]acct!#REF!</definedName>
    <definedName name="RF">[29]acct!#REF!</definedName>
    <definedName name="RiskSimBins">'[102]RiskSim Summary 1'!$I$2:$I$10</definedName>
    <definedName name="RiskSimData">'[102]RiskSim Summary 1'!$B$2:$B$301</definedName>
    <definedName name="RiskSimFreq">'[102]RiskSim Summary 1'!$J$2:$J$11</definedName>
    <definedName name="Rng" localSheetId="11">#REF!</definedName>
    <definedName name="Rng" localSheetId="7">#REF!</definedName>
    <definedName name="Rng">#REF!</definedName>
    <definedName name="RPBF" localSheetId="11">#REF!</definedName>
    <definedName name="RPBF" localSheetId="7">#REF!</definedName>
    <definedName name="RPBF">#REF!</definedName>
    <definedName name="RPBFR" localSheetId="11">#REF!</definedName>
    <definedName name="RPBFR" localSheetId="7">#REF!</definedName>
    <definedName name="RPBFR">#REF!</definedName>
    <definedName name="RPCF" localSheetId="11">#REF!</definedName>
    <definedName name="RPCF" localSheetId="7">#REF!</definedName>
    <definedName name="RPCF">#REF!</definedName>
    <definedName name="RRRR" localSheetId="21">#REF!</definedName>
    <definedName name="RRRR" localSheetId="22">#REF!</definedName>
    <definedName name="RRRR" localSheetId="9">#REF!</definedName>
    <definedName name="RRRR" localSheetId="16">#REF!</definedName>
    <definedName name="RRRR" localSheetId="5">#REF!</definedName>
    <definedName name="RRRR" localSheetId="17">#REF!</definedName>
    <definedName name="RRRR">#REF!</definedName>
    <definedName name="RULES">#REF!</definedName>
    <definedName name="S" localSheetId="21">#REF!</definedName>
    <definedName name="s" localSheetId="22">#REF!</definedName>
    <definedName name="s" localSheetId="9">#REF!</definedName>
    <definedName name="s" localSheetId="16">#REF!</definedName>
    <definedName name="s" localSheetId="5">#REF!</definedName>
    <definedName name="s" localSheetId="17">#REF!</definedName>
    <definedName name="s">#REF!</definedName>
    <definedName name="S_AcctDes" localSheetId="21">#REF!</definedName>
    <definedName name="S_AcctDes" localSheetId="22">#REF!</definedName>
    <definedName name="S_AcctDes" localSheetId="9">#REF!</definedName>
    <definedName name="S_AcctDes" localSheetId="16">#REF!</definedName>
    <definedName name="S_AcctDes" localSheetId="5">#REF!</definedName>
    <definedName name="S_AcctDes" localSheetId="17">#REF!</definedName>
    <definedName name="S_AcctDes">#REF!</definedName>
    <definedName name="S_AcctDes_1" localSheetId="21">#REF!</definedName>
    <definedName name="S_AcctDes_1" localSheetId="22">#REF!</definedName>
    <definedName name="S_AcctDes_1" localSheetId="9">#REF!</definedName>
    <definedName name="S_AcctDes_1" localSheetId="7">#REF!</definedName>
    <definedName name="S_AcctDes_1" localSheetId="16">#REF!</definedName>
    <definedName name="S_AcctDes_1" localSheetId="5">#REF!</definedName>
    <definedName name="S_AcctDes_1" localSheetId="17">#REF!</definedName>
    <definedName name="S_AcctDes_1">#REF!</definedName>
    <definedName name="S_AcctDes_20" localSheetId="21">#REF!</definedName>
    <definedName name="S_AcctDes_20" localSheetId="22">#REF!</definedName>
    <definedName name="S_AcctDes_20" localSheetId="9">#REF!</definedName>
    <definedName name="S_AcctDes_20" localSheetId="7">#REF!</definedName>
    <definedName name="S_AcctDes_20" localSheetId="16">#REF!</definedName>
    <definedName name="S_AcctDes_20" localSheetId="5">#REF!</definedName>
    <definedName name="S_AcctDes_20" localSheetId="17">#REF!</definedName>
    <definedName name="S_AcctDes_20">#REF!</definedName>
    <definedName name="S_AcctDes_21" localSheetId="21">#REF!</definedName>
    <definedName name="S_AcctDes_21" localSheetId="22">#REF!</definedName>
    <definedName name="S_AcctDes_21" localSheetId="9">#REF!</definedName>
    <definedName name="S_AcctDes_21" localSheetId="7">#REF!</definedName>
    <definedName name="S_AcctDes_21" localSheetId="16">#REF!</definedName>
    <definedName name="S_AcctDes_21" localSheetId="5">#REF!</definedName>
    <definedName name="S_AcctDes_21" localSheetId="17">#REF!</definedName>
    <definedName name="S_AcctDes_21">#REF!</definedName>
    <definedName name="S_AcctDes_23" localSheetId="21">#REF!</definedName>
    <definedName name="S_AcctDes_23" localSheetId="22">#REF!</definedName>
    <definedName name="S_AcctDes_23" localSheetId="9">#REF!</definedName>
    <definedName name="S_AcctDes_23" localSheetId="7">#REF!</definedName>
    <definedName name="S_AcctDes_23" localSheetId="16">#REF!</definedName>
    <definedName name="S_AcctDes_23" localSheetId="5">#REF!</definedName>
    <definedName name="S_AcctDes_23" localSheetId="17">#REF!</definedName>
    <definedName name="S_AcctDes_23">#REF!</definedName>
    <definedName name="S_AcctDes_5" localSheetId="21">#REF!</definedName>
    <definedName name="S_AcctDes_5" localSheetId="22">#REF!</definedName>
    <definedName name="S_AcctDes_5" localSheetId="9">#REF!</definedName>
    <definedName name="S_AcctDes_5" localSheetId="7">#REF!</definedName>
    <definedName name="S_AcctDes_5" localSheetId="16">#REF!</definedName>
    <definedName name="S_AcctDes_5" localSheetId="5">#REF!</definedName>
    <definedName name="S_AcctDes_5" localSheetId="17">#REF!</definedName>
    <definedName name="S_AcctDes_5">#REF!</definedName>
    <definedName name="S_AcctDes_8" localSheetId="21">#REF!</definedName>
    <definedName name="S_AcctDes_8" localSheetId="22">#REF!</definedName>
    <definedName name="S_AcctDes_8" localSheetId="9">#REF!</definedName>
    <definedName name="S_AcctDes_8" localSheetId="7">#REF!</definedName>
    <definedName name="S_AcctDes_8" localSheetId="16">#REF!</definedName>
    <definedName name="S_AcctDes_8" localSheetId="5">#REF!</definedName>
    <definedName name="S_AcctDes_8" localSheetId="17">#REF!</definedName>
    <definedName name="S_AcctDes_8">#REF!</definedName>
    <definedName name="S_Adjust" localSheetId="21">#REF!</definedName>
    <definedName name="S_Adjust" localSheetId="22">#REF!</definedName>
    <definedName name="S_Adjust" localSheetId="9">#REF!</definedName>
    <definedName name="S_Adjust" localSheetId="16">#REF!</definedName>
    <definedName name="S_Adjust" localSheetId="5">#REF!</definedName>
    <definedName name="S_Adjust" localSheetId="17">#REF!</definedName>
    <definedName name="S_Adjust">#REF!</definedName>
    <definedName name="S_Adjust_1" localSheetId="21">#REF!</definedName>
    <definedName name="S_Adjust_1" localSheetId="22">#REF!</definedName>
    <definedName name="S_Adjust_1" localSheetId="9">#REF!</definedName>
    <definedName name="S_Adjust_1" localSheetId="7">#REF!</definedName>
    <definedName name="S_Adjust_1" localSheetId="16">#REF!</definedName>
    <definedName name="S_Adjust_1" localSheetId="5">#REF!</definedName>
    <definedName name="S_Adjust_1" localSheetId="17">#REF!</definedName>
    <definedName name="S_Adjust_1">#REF!</definedName>
    <definedName name="S_Adjust_20" localSheetId="21">#REF!</definedName>
    <definedName name="S_Adjust_20" localSheetId="22">#REF!</definedName>
    <definedName name="S_Adjust_20" localSheetId="9">#REF!</definedName>
    <definedName name="S_Adjust_20" localSheetId="7">#REF!</definedName>
    <definedName name="S_Adjust_20" localSheetId="16">#REF!</definedName>
    <definedName name="S_Adjust_20" localSheetId="5">#REF!</definedName>
    <definedName name="S_Adjust_20" localSheetId="17">#REF!</definedName>
    <definedName name="S_Adjust_20">#REF!</definedName>
    <definedName name="S_Adjust_21" localSheetId="21">#REF!</definedName>
    <definedName name="S_Adjust_21" localSheetId="22">#REF!</definedName>
    <definedName name="S_Adjust_21" localSheetId="9">#REF!</definedName>
    <definedName name="S_Adjust_21" localSheetId="7">#REF!</definedName>
    <definedName name="S_Adjust_21" localSheetId="16">#REF!</definedName>
    <definedName name="S_Adjust_21" localSheetId="5">#REF!</definedName>
    <definedName name="S_Adjust_21" localSheetId="17">#REF!</definedName>
    <definedName name="S_Adjust_21">#REF!</definedName>
    <definedName name="S_Adjust_23" localSheetId="21">#REF!</definedName>
    <definedName name="S_Adjust_23" localSheetId="22">#REF!</definedName>
    <definedName name="S_Adjust_23" localSheetId="9">#REF!</definedName>
    <definedName name="S_Adjust_23" localSheetId="7">#REF!</definedName>
    <definedName name="S_Adjust_23" localSheetId="16">#REF!</definedName>
    <definedName name="S_Adjust_23" localSheetId="5">#REF!</definedName>
    <definedName name="S_Adjust_23" localSheetId="17">#REF!</definedName>
    <definedName name="S_Adjust_23">#REF!</definedName>
    <definedName name="S_Adjust_5" localSheetId="21">#REF!</definedName>
    <definedName name="S_Adjust_5" localSheetId="22">#REF!</definedName>
    <definedName name="S_Adjust_5" localSheetId="9">#REF!</definedName>
    <definedName name="S_Adjust_5" localSheetId="7">#REF!</definedName>
    <definedName name="S_Adjust_5" localSheetId="16">#REF!</definedName>
    <definedName name="S_Adjust_5" localSheetId="5">#REF!</definedName>
    <definedName name="S_Adjust_5" localSheetId="17">#REF!</definedName>
    <definedName name="S_Adjust_5">#REF!</definedName>
    <definedName name="S_Adjust_8" localSheetId="21">#REF!</definedName>
    <definedName name="S_Adjust_8" localSheetId="22">#REF!</definedName>
    <definedName name="S_Adjust_8" localSheetId="9">#REF!</definedName>
    <definedName name="S_Adjust_8" localSheetId="7">#REF!</definedName>
    <definedName name="S_Adjust_8" localSheetId="16">#REF!</definedName>
    <definedName name="S_Adjust_8" localSheetId="5">#REF!</definedName>
    <definedName name="S_Adjust_8" localSheetId="17">#REF!</definedName>
    <definedName name="S_Adjust_8">#REF!</definedName>
    <definedName name="S_Adjust_Data" localSheetId="21">#REF!</definedName>
    <definedName name="S_Adjust_Data" localSheetId="7">[79]Lead!$I$1:$I$459</definedName>
    <definedName name="S_Adjust_Data">[80]Lead!$I$1:$I$553</definedName>
    <definedName name="S_Adjust_Data_1" localSheetId="21">#REF!</definedName>
    <definedName name="S_Adjust_Data_1" localSheetId="22">#REF!</definedName>
    <definedName name="S_Adjust_Data_1" localSheetId="9">#REF!</definedName>
    <definedName name="S_Adjust_Data_1" localSheetId="7">#REF!</definedName>
    <definedName name="S_Adjust_Data_1" localSheetId="16">#REF!</definedName>
    <definedName name="S_Adjust_Data_1" localSheetId="5">#REF!</definedName>
    <definedName name="S_Adjust_Data_1" localSheetId="17">#REF!</definedName>
    <definedName name="S_Adjust_Data_1">#REF!</definedName>
    <definedName name="S_Adjust_Data_20" localSheetId="21">#REF!</definedName>
    <definedName name="S_Adjust_Data_20" localSheetId="22">#REF!</definedName>
    <definedName name="S_Adjust_Data_20" localSheetId="9">#REF!</definedName>
    <definedName name="S_Adjust_Data_20" localSheetId="7">#REF!</definedName>
    <definedName name="S_Adjust_Data_20" localSheetId="16">#REF!</definedName>
    <definedName name="S_Adjust_Data_20" localSheetId="5">#REF!</definedName>
    <definedName name="S_Adjust_Data_20" localSheetId="17">#REF!</definedName>
    <definedName name="S_Adjust_Data_20">#REF!</definedName>
    <definedName name="S_Adjust_Data_21" localSheetId="21">#REF!</definedName>
    <definedName name="S_Adjust_Data_21" localSheetId="22">#REF!</definedName>
    <definedName name="S_Adjust_Data_21" localSheetId="9">#REF!</definedName>
    <definedName name="S_Adjust_Data_21" localSheetId="7">#REF!</definedName>
    <definedName name="S_Adjust_Data_21" localSheetId="16">#REF!</definedName>
    <definedName name="S_Adjust_Data_21" localSheetId="5">#REF!</definedName>
    <definedName name="S_Adjust_Data_21" localSheetId="17">#REF!</definedName>
    <definedName name="S_Adjust_Data_21">#REF!</definedName>
    <definedName name="S_Adjust_Data_23" localSheetId="21">#REF!</definedName>
    <definedName name="S_Adjust_Data_23" localSheetId="22">#REF!</definedName>
    <definedName name="S_Adjust_Data_23" localSheetId="9">#REF!</definedName>
    <definedName name="S_Adjust_Data_23" localSheetId="7">#REF!</definedName>
    <definedName name="S_Adjust_Data_23" localSheetId="16">#REF!</definedName>
    <definedName name="S_Adjust_Data_23" localSheetId="5">#REF!</definedName>
    <definedName name="S_Adjust_Data_23" localSheetId="17">#REF!</definedName>
    <definedName name="S_Adjust_Data_23">#REF!</definedName>
    <definedName name="S_Adjust_Data_5" localSheetId="21">#REF!</definedName>
    <definedName name="S_Adjust_Data_5" localSheetId="22">#REF!</definedName>
    <definedName name="S_Adjust_Data_5" localSheetId="9">#REF!</definedName>
    <definedName name="S_Adjust_Data_5" localSheetId="7">#REF!</definedName>
    <definedName name="S_Adjust_Data_5" localSheetId="16">#REF!</definedName>
    <definedName name="S_Adjust_Data_5" localSheetId="5">#REF!</definedName>
    <definedName name="S_Adjust_Data_5" localSheetId="17">#REF!</definedName>
    <definedName name="S_Adjust_Data_5">#REF!</definedName>
    <definedName name="S_Adjust_Data_8" localSheetId="21">#REF!</definedName>
    <definedName name="S_Adjust_Data_8" localSheetId="22">#REF!</definedName>
    <definedName name="S_Adjust_Data_8" localSheetId="9">#REF!</definedName>
    <definedName name="S_Adjust_Data_8" localSheetId="7">#REF!</definedName>
    <definedName name="S_Adjust_Data_8" localSheetId="16">#REF!</definedName>
    <definedName name="S_Adjust_Data_8" localSheetId="5">#REF!</definedName>
    <definedName name="S_Adjust_Data_8" localSheetId="17">#REF!</definedName>
    <definedName name="S_Adjust_Data_8">#REF!</definedName>
    <definedName name="S_Adjust_GT" localSheetId="21">#REF!</definedName>
    <definedName name="S_Adjust_GT" localSheetId="22">#REF!</definedName>
    <definedName name="S_Adjust_GT" localSheetId="9">#REF!</definedName>
    <definedName name="S_Adjust_GT" localSheetId="16">#REF!</definedName>
    <definedName name="S_Adjust_GT" localSheetId="5">#REF!</definedName>
    <definedName name="S_Adjust_GT" localSheetId="17">#REF!</definedName>
    <definedName name="S_Adjust_GT">#REF!</definedName>
    <definedName name="S_Adjust_GT_1" localSheetId="21">#REF!</definedName>
    <definedName name="S_Adjust_GT_1" localSheetId="22">#REF!</definedName>
    <definedName name="S_Adjust_GT_1" localSheetId="9">#REF!</definedName>
    <definedName name="S_Adjust_GT_1" localSheetId="7">#REF!</definedName>
    <definedName name="S_Adjust_GT_1" localSheetId="16">#REF!</definedName>
    <definedName name="S_Adjust_GT_1" localSheetId="5">#REF!</definedName>
    <definedName name="S_Adjust_GT_1" localSheetId="17">#REF!</definedName>
    <definedName name="S_Adjust_GT_1">#REF!</definedName>
    <definedName name="S_Adjust_GT_20" localSheetId="21">#REF!</definedName>
    <definedName name="S_Adjust_GT_20" localSheetId="22">#REF!</definedName>
    <definedName name="S_Adjust_GT_20" localSheetId="9">#REF!</definedName>
    <definedName name="S_Adjust_GT_20" localSheetId="7">#REF!</definedName>
    <definedName name="S_Adjust_GT_20" localSheetId="16">#REF!</definedName>
    <definedName name="S_Adjust_GT_20" localSheetId="5">#REF!</definedName>
    <definedName name="S_Adjust_GT_20" localSheetId="17">#REF!</definedName>
    <definedName name="S_Adjust_GT_20">#REF!</definedName>
    <definedName name="S_Adjust_GT_21" localSheetId="21">#REF!</definedName>
    <definedName name="S_Adjust_GT_21" localSheetId="22">#REF!</definedName>
    <definedName name="S_Adjust_GT_21" localSheetId="9">#REF!</definedName>
    <definedName name="S_Adjust_GT_21" localSheetId="7">#REF!</definedName>
    <definedName name="S_Adjust_GT_21" localSheetId="16">#REF!</definedName>
    <definedName name="S_Adjust_GT_21" localSheetId="5">#REF!</definedName>
    <definedName name="S_Adjust_GT_21" localSheetId="17">#REF!</definedName>
    <definedName name="S_Adjust_GT_21">#REF!</definedName>
    <definedName name="S_Adjust_GT_23" localSheetId="21">#REF!</definedName>
    <definedName name="S_Adjust_GT_23" localSheetId="22">#REF!</definedName>
    <definedName name="S_Adjust_GT_23" localSheetId="9">#REF!</definedName>
    <definedName name="S_Adjust_GT_23" localSheetId="7">#REF!</definedName>
    <definedName name="S_Adjust_GT_23" localSheetId="16">#REF!</definedName>
    <definedName name="S_Adjust_GT_23" localSheetId="5">#REF!</definedName>
    <definedName name="S_Adjust_GT_23" localSheetId="17">#REF!</definedName>
    <definedName name="S_Adjust_GT_23">#REF!</definedName>
    <definedName name="S_Adjust_GT_5" localSheetId="21">#REF!</definedName>
    <definedName name="S_Adjust_GT_5" localSheetId="22">#REF!</definedName>
    <definedName name="S_Adjust_GT_5" localSheetId="9">#REF!</definedName>
    <definedName name="S_Adjust_GT_5" localSheetId="7">#REF!</definedName>
    <definedName name="S_Adjust_GT_5" localSheetId="16">#REF!</definedName>
    <definedName name="S_Adjust_GT_5" localSheetId="5">#REF!</definedName>
    <definedName name="S_Adjust_GT_5" localSheetId="17">#REF!</definedName>
    <definedName name="S_Adjust_GT_5">#REF!</definedName>
    <definedName name="S_Adjust_GT_8" localSheetId="21">#REF!</definedName>
    <definedName name="S_Adjust_GT_8" localSheetId="22">#REF!</definedName>
    <definedName name="S_Adjust_GT_8" localSheetId="9">#REF!</definedName>
    <definedName name="S_Adjust_GT_8" localSheetId="7">#REF!</definedName>
    <definedName name="S_Adjust_GT_8" localSheetId="16">#REF!</definedName>
    <definedName name="S_Adjust_GT_8" localSheetId="5">#REF!</definedName>
    <definedName name="S_Adjust_GT_8" localSheetId="17">#REF!</definedName>
    <definedName name="S_Adjust_GT_8">#REF!</definedName>
    <definedName name="S_AJE_Tot" localSheetId="21">#REF!</definedName>
    <definedName name="S_AJE_Tot" localSheetId="22">#REF!</definedName>
    <definedName name="S_AJE_Tot" localSheetId="9">#REF!</definedName>
    <definedName name="S_AJE_Tot" localSheetId="16">#REF!</definedName>
    <definedName name="S_AJE_Tot" localSheetId="5">#REF!</definedName>
    <definedName name="S_AJE_Tot" localSheetId="17">#REF!</definedName>
    <definedName name="S_AJE_Tot">#REF!</definedName>
    <definedName name="S_AJE_Tot_1" localSheetId="21">#REF!</definedName>
    <definedName name="S_AJE_Tot_1" localSheetId="22">#REF!</definedName>
    <definedName name="S_AJE_Tot_1" localSheetId="9">#REF!</definedName>
    <definedName name="S_AJE_Tot_1" localSheetId="7">#REF!</definedName>
    <definedName name="S_AJE_Tot_1" localSheetId="16">#REF!</definedName>
    <definedName name="S_AJE_Tot_1" localSheetId="5">#REF!</definedName>
    <definedName name="S_AJE_Tot_1" localSheetId="17">#REF!</definedName>
    <definedName name="S_AJE_Tot_1">#REF!</definedName>
    <definedName name="S_AJE_Tot_20" localSheetId="21">#REF!</definedName>
    <definedName name="S_AJE_Tot_20" localSheetId="22">#REF!</definedName>
    <definedName name="S_AJE_Tot_20" localSheetId="9">#REF!</definedName>
    <definedName name="S_AJE_Tot_20" localSheetId="7">#REF!</definedName>
    <definedName name="S_AJE_Tot_20" localSheetId="16">#REF!</definedName>
    <definedName name="S_AJE_Tot_20" localSheetId="5">#REF!</definedName>
    <definedName name="S_AJE_Tot_20" localSheetId="17">#REF!</definedName>
    <definedName name="S_AJE_Tot_20">#REF!</definedName>
    <definedName name="S_AJE_Tot_21" localSheetId="21">#REF!</definedName>
    <definedName name="S_AJE_Tot_21" localSheetId="22">#REF!</definedName>
    <definedName name="S_AJE_Tot_21" localSheetId="9">#REF!</definedName>
    <definedName name="S_AJE_Tot_21" localSheetId="7">#REF!</definedName>
    <definedName name="S_AJE_Tot_21" localSheetId="16">#REF!</definedName>
    <definedName name="S_AJE_Tot_21" localSheetId="5">#REF!</definedName>
    <definedName name="S_AJE_Tot_21" localSheetId="17">#REF!</definedName>
    <definedName name="S_AJE_Tot_21">#REF!</definedName>
    <definedName name="S_AJE_Tot_23" localSheetId="21">#REF!</definedName>
    <definedName name="S_AJE_Tot_23" localSheetId="22">#REF!</definedName>
    <definedName name="S_AJE_Tot_23" localSheetId="9">#REF!</definedName>
    <definedName name="S_AJE_Tot_23" localSheetId="7">#REF!</definedName>
    <definedName name="S_AJE_Tot_23" localSheetId="16">#REF!</definedName>
    <definedName name="S_AJE_Tot_23" localSheetId="5">#REF!</definedName>
    <definedName name="S_AJE_Tot_23" localSheetId="17">#REF!</definedName>
    <definedName name="S_AJE_Tot_23">#REF!</definedName>
    <definedName name="S_AJE_Tot_5" localSheetId="21">#REF!</definedName>
    <definedName name="S_AJE_Tot_5" localSheetId="22">#REF!</definedName>
    <definedName name="S_AJE_Tot_5" localSheetId="9">#REF!</definedName>
    <definedName name="S_AJE_Tot_5" localSheetId="7">#REF!</definedName>
    <definedName name="S_AJE_Tot_5" localSheetId="16">#REF!</definedName>
    <definedName name="S_AJE_Tot_5" localSheetId="5">#REF!</definedName>
    <definedName name="S_AJE_Tot_5" localSheetId="17">#REF!</definedName>
    <definedName name="S_AJE_Tot_5">#REF!</definedName>
    <definedName name="S_AJE_Tot_8" localSheetId="21">#REF!</definedName>
    <definedName name="S_AJE_Tot_8" localSheetId="22">#REF!</definedName>
    <definedName name="S_AJE_Tot_8" localSheetId="9">#REF!</definedName>
    <definedName name="S_AJE_Tot_8" localSheetId="7">#REF!</definedName>
    <definedName name="S_AJE_Tot_8" localSheetId="16">#REF!</definedName>
    <definedName name="S_AJE_Tot_8" localSheetId="5">#REF!</definedName>
    <definedName name="S_AJE_Tot_8" localSheetId="17">#REF!</definedName>
    <definedName name="S_AJE_Tot_8">#REF!</definedName>
    <definedName name="S_AJE_Tot_Data" localSheetId="21">#REF!</definedName>
    <definedName name="S_AJE_Tot_Data" localSheetId="7">[79]Lead!$H$1:$H$459</definedName>
    <definedName name="S_AJE_Tot_Data">[80]Lead!$H$1:$H$553</definedName>
    <definedName name="S_AJE_Tot_Data_1" localSheetId="21">#REF!</definedName>
    <definedName name="S_AJE_Tot_Data_1" localSheetId="22">#REF!</definedName>
    <definedName name="S_AJE_Tot_Data_1" localSheetId="9">#REF!</definedName>
    <definedName name="S_AJE_Tot_Data_1" localSheetId="7">#REF!</definedName>
    <definedName name="S_AJE_Tot_Data_1" localSheetId="16">#REF!</definedName>
    <definedName name="S_AJE_Tot_Data_1" localSheetId="5">#REF!</definedName>
    <definedName name="S_AJE_Tot_Data_1" localSheetId="17">#REF!</definedName>
    <definedName name="S_AJE_Tot_Data_1">#REF!</definedName>
    <definedName name="S_AJE_Tot_Data_20" localSheetId="21">#REF!</definedName>
    <definedName name="S_AJE_Tot_Data_20" localSheetId="22">#REF!</definedName>
    <definedName name="S_AJE_Tot_Data_20" localSheetId="9">#REF!</definedName>
    <definedName name="S_AJE_Tot_Data_20" localSheetId="7">#REF!</definedName>
    <definedName name="S_AJE_Tot_Data_20" localSheetId="16">#REF!</definedName>
    <definedName name="S_AJE_Tot_Data_20" localSheetId="5">#REF!</definedName>
    <definedName name="S_AJE_Tot_Data_20" localSheetId="17">#REF!</definedName>
    <definedName name="S_AJE_Tot_Data_20">#REF!</definedName>
    <definedName name="S_AJE_Tot_Data_21" localSheetId="21">#REF!</definedName>
    <definedName name="S_AJE_Tot_Data_21" localSheetId="22">#REF!</definedName>
    <definedName name="S_AJE_Tot_Data_21" localSheetId="9">#REF!</definedName>
    <definedName name="S_AJE_Tot_Data_21" localSheetId="7">#REF!</definedName>
    <definedName name="S_AJE_Tot_Data_21" localSheetId="16">#REF!</definedName>
    <definedName name="S_AJE_Tot_Data_21" localSheetId="5">#REF!</definedName>
    <definedName name="S_AJE_Tot_Data_21" localSheetId="17">#REF!</definedName>
    <definedName name="S_AJE_Tot_Data_21">#REF!</definedName>
    <definedName name="S_AJE_Tot_Data_23" localSheetId="21">#REF!</definedName>
    <definedName name="S_AJE_Tot_Data_23" localSheetId="22">#REF!</definedName>
    <definedName name="S_AJE_Tot_Data_23" localSheetId="9">#REF!</definedName>
    <definedName name="S_AJE_Tot_Data_23" localSheetId="7">#REF!</definedName>
    <definedName name="S_AJE_Tot_Data_23" localSheetId="16">#REF!</definedName>
    <definedName name="S_AJE_Tot_Data_23" localSheetId="5">#REF!</definedName>
    <definedName name="S_AJE_Tot_Data_23" localSheetId="17">#REF!</definedName>
    <definedName name="S_AJE_Tot_Data_23">#REF!</definedName>
    <definedName name="S_AJE_Tot_Data_5" localSheetId="21">#REF!</definedName>
    <definedName name="S_AJE_Tot_Data_5" localSheetId="22">#REF!</definedName>
    <definedName name="S_AJE_Tot_Data_5" localSheetId="9">#REF!</definedName>
    <definedName name="S_AJE_Tot_Data_5" localSheetId="7">#REF!</definedName>
    <definedName name="S_AJE_Tot_Data_5" localSheetId="16">#REF!</definedName>
    <definedName name="S_AJE_Tot_Data_5" localSheetId="5">#REF!</definedName>
    <definedName name="S_AJE_Tot_Data_5" localSheetId="17">#REF!</definedName>
    <definedName name="S_AJE_Tot_Data_5">#REF!</definedName>
    <definedName name="S_AJE_Tot_Data_8" localSheetId="21">#REF!</definedName>
    <definedName name="S_AJE_Tot_Data_8" localSheetId="22">#REF!</definedName>
    <definedName name="S_AJE_Tot_Data_8" localSheetId="9">#REF!</definedName>
    <definedName name="S_AJE_Tot_Data_8" localSheetId="7">#REF!</definedName>
    <definedName name="S_AJE_Tot_Data_8" localSheetId="16">#REF!</definedName>
    <definedName name="S_AJE_Tot_Data_8" localSheetId="5">#REF!</definedName>
    <definedName name="S_AJE_Tot_Data_8" localSheetId="17">#REF!</definedName>
    <definedName name="S_AJE_Tot_Data_8">#REF!</definedName>
    <definedName name="S_AJE_Tot_GT" localSheetId="21">#REF!</definedName>
    <definedName name="S_AJE_Tot_GT" localSheetId="22">#REF!</definedName>
    <definedName name="S_AJE_Tot_GT" localSheetId="9">#REF!</definedName>
    <definedName name="S_AJE_Tot_GT" localSheetId="16">#REF!</definedName>
    <definedName name="S_AJE_Tot_GT" localSheetId="5">#REF!</definedName>
    <definedName name="S_AJE_Tot_GT" localSheetId="17">#REF!</definedName>
    <definedName name="S_AJE_Tot_GT">#REF!</definedName>
    <definedName name="S_AJE_Tot_GT_1" localSheetId="21">#REF!</definedName>
    <definedName name="S_AJE_Tot_GT_1" localSheetId="22">#REF!</definedName>
    <definedName name="S_AJE_Tot_GT_1" localSheetId="9">#REF!</definedName>
    <definedName name="S_AJE_Tot_GT_1" localSheetId="7">#REF!</definedName>
    <definedName name="S_AJE_Tot_GT_1" localSheetId="16">#REF!</definedName>
    <definedName name="S_AJE_Tot_GT_1" localSheetId="5">#REF!</definedName>
    <definedName name="S_AJE_Tot_GT_1" localSheetId="17">#REF!</definedName>
    <definedName name="S_AJE_Tot_GT_1">#REF!</definedName>
    <definedName name="S_AJE_Tot_GT_20" localSheetId="21">#REF!</definedName>
    <definedName name="S_AJE_Tot_GT_20" localSheetId="22">#REF!</definedName>
    <definedName name="S_AJE_Tot_GT_20" localSheetId="9">#REF!</definedName>
    <definedName name="S_AJE_Tot_GT_20" localSheetId="7">#REF!</definedName>
    <definedName name="S_AJE_Tot_GT_20" localSheetId="16">#REF!</definedName>
    <definedName name="S_AJE_Tot_GT_20" localSheetId="5">#REF!</definedName>
    <definedName name="S_AJE_Tot_GT_20" localSheetId="17">#REF!</definedName>
    <definedName name="S_AJE_Tot_GT_20">#REF!</definedName>
    <definedName name="S_AJE_Tot_GT_21" localSheetId="21">#REF!</definedName>
    <definedName name="S_AJE_Tot_GT_21" localSheetId="22">#REF!</definedName>
    <definedName name="S_AJE_Tot_GT_21" localSheetId="9">#REF!</definedName>
    <definedName name="S_AJE_Tot_GT_21" localSheetId="7">#REF!</definedName>
    <definedName name="S_AJE_Tot_GT_21" localSheetId="16">#REF!</definedName>
    <definedName name="S_AJE_Tot_GT_21" localSheetId="5">#REF!</definedName>
    <definedName name="S_AJE_Tot_GT_21" localSheetId="17">#REF!</definedName>
    <definedName name="S_AJE_Tot_GT_21">#REF!</definedName>
    <definedName name="S_AJE_Tot_GT_23" localSheetId="21">#REF!</definedName>
    <definedName name="S_AJE_Tot_GT_23" localSheetId="22">#REF!</definedName>
    <definedName name="S_AJE_Tot_GT_23" localSheetId="9">#REF!</definedName>
    <definedName name="S_AJE_Tot_GT_23" localSheetId="7">#REF!</definedName>
    <definedName name="S_AJE_Tot_GT_23" localSheetId="16">#REF!</definedName>
    <definedName name="S_AJE_Tot_GT_23" localSheetId="5">#REF!</definedName>
    <definedName name="S_AJE_Tot_GT_23" localSheetId="17">#REF!</definedName>
    <definedName name="S_AJE_Tot_GT_23">#REF!</definedName>
    <definedName name="S_AJE_Tot_GT_5" localSheetId="21">#REF!</definedName>
    <definedName name="S_AJE_Tot_GT_5" localSheetId="22">#REF!</definedName>
    <definedName name="S_AJE_Tot_GT_5" localSheetId="9">#REF!</definedName>
    <definedName name="S_AJE_Tot_GT_5" localSheetId="7">#REF!</definedName>
    <definedName name="S_AJE_Tot_GT_5" localSheetId="16">#REF!</definedName>
    <definedName name="S_AJE_Tot_GT_5" localSheetId="5">#REF!</definedName>
    <definedName name="S_AJE_Tot_GT_5" localSheetId="17">#REF!</definedName>
    <definedName name="S_AJE_Tot_GT_5">#REF!</definedName>
    <definedName name="S_AJE_Tot_GT_8" localSheetId="21">#REF!</definedName>
    <definedName name="S_AJE_Tot_GT_8" localSheetId="22">#REF!</definedName>
    <definedName name="S_AJE_Tot_GT_8" localSheetId="9">#REF!</definedName>
    <definedName name="S_AJE_Tot_GT_8" localSheetId="7">#REF!</definedName>
    <definedName name="S_AJE_Tot_GT_8" localSheetId="16">#REF!</definedName>
    <definedName name="S_AJE_Tot_GT_8" localSheetId="5">#REF!</definedName>
    <definedName name="S_AJE_Tot_GT_8" localSheetId="17">#REF!</definedName>
    <definedName name="S_AJE_Tot_GT_8">#REF!</definedName>
    <definedName name="S_CompNum" localSheetId="21">#REF!</definedName>
    <definedName name="S_CompNum" localSheetId="22">#REF!</definedName>
    <definedName name="S_CompNum" localSheetId="9">#REF!</definedName>
    <definedName name="S_CompNum" localSheetId="16">#REF!</definedName>
    <definedName name="S_CompNum" localSheetId="5">#REF!</definedName>
    <definedName name="S_CompNum" localSheetId="17">#REF!</definedName>
    <definedName name="S_CompNum">#REF!</definedName>
    <definedName name="S_CompNum_1" localSheetId="21">#REF!</definedName>
    <definedName name="S_CompNum_1" localSheetId="22">#REF!</definedName>
    <definedName name="S_CompNum_1" localSheetId="9">#REF!</definedName>
    <definedName name="S_CompNum_1" localSheetId="7">#REF!</definedName>
    <definedName name="S_CompNum_1" localSheetId="16">#REF!</definedName>
    <definedName name="S_CompNum_1" localSheetId="5">#REF!</definedName>
    <definedName name="S_CompNum_1" localSheetId="17">#REF!</definedName>
    <definedName name="S_CompNum_1">#REF!</definedName>
    <definedName name="S_CompNum_20" localSheetId="21">#REF!</definedName>
    <definedName name="S_CompNum_20" localSheetId="22">#REF!</definedName>
    <definedName name="S_CompNum_20" localSheetId="9">#REF!</definedName>
    <definedName name="S_CompNum_20" localSheetId="7">#REF!</definedName>
    <definedName name="S_CompNum_20" localSheetId="16">#REF!</definedName>
    <definedName name="S_CompNum_20" localSheetId="5">#REF!</definedName>
    <definedName name="S_CompNum_20" localSheetId="17">#REF!</definedName>
    <definedName name="S_CompNum_20">#REF!</definedName>
    <definedName name="S_CompNum_21" localSheetId="21">#REF!</definedName>
    <definedName name="S_CompNum_21" localSheetId="22">#REF!</definedName>
    <definedName name="S_CompNum_21" localSheetId="9">#REF!</definedName>
    <definedName name="S_CompNum_21" localSheetId="7">#REF!</definedName>
    <definedName name="S_CompNum_21" localSheetId="16">#REF!</definedName>
    <definedName name="S_CompNum_21" localSheetId="5">#REF!</definedName>
    <definedName name="S_CompNum_21" localSheetId="17">#REF!</definedName>
    <definedName name="S_CompNum_21">#REF!</definedName>
    <definedName name="S_CompNum_23" localSheetId="21">#REF!</definedName>
    <definedName name="S_CompNum_23" localSheetId="22">#REF!</definedName>
    <definedName name="S_CompNum_23" localSheetId="9">#REF!</definedName>
    <definedName name="S_CompNum_23" localSheetId="7">#REF!</definedName>
    <definedName name="S_CompNum_23" localSheetId="16">#REF!</definedName>
    <definedName name="S_CompNum_23" localSheetId="5">#REF!</definedName>
    <definedName name="S_CompNum_23" localSheetId="17">#REF!</definedName>
    <definedName name="S_CompNum_23">#REF!</definedName>
    <definedName name="S_CompNum_5" localSheetId="21">#REF!</definedName>
    <definedName name="S_CompNum_5" localSheetId="22">#REF!</definedName>
    <definedName name="S_CompNum_5" localSheetId="9">#REF!</definedName>
    <definedName name="S_CompNum_5" localSheetId="7">#REF!</definedName>
    <definedName name="S_CompNum_5" localSheetId="16">#REF!</definedName>
    <definedName name="S_CompNum_5" localSheetId="5">#REF!</definedName>
    <definedName name="S_CompNum_5" localSheetId="17">#REF!</definedName>
    <definedName name="S_CompNum_5">#REF!</definedName>
    <definedName name="S_CompNum_8" localSheetId="21">#REF!</definedName>
    <definedName name="S_CompNum_8" localSheetId="22">#REF!</definedName>
    <definedName name="S_CompNum_8" localSheetId="9">#REF!</definedName>
    <definedName name="S_CompNum_8" localSheetId="7">#REF!</definedName>
    <definedName name="S_CompNum_8" localSheetId="16">#REF!</definedName>
    <definedName name="S_CompNum_8" localSheetId="5">#REF!</definedName>
    <definedName name="S_CompNum_8" localSheetId="17">#REF!</definedName>
    <definedName name="S_CompNum_8">#REF!</definedName>
    <definedName name="S_CY_Beg" localSheetId="21">#REF!</definedName>
    <definedName name="S_CY_Beg" localSheetId="22">#REF!</definedName>
    <definedName name="S_CY_Beg" localSheetId="9">#REF!</definedName>
    <definedName name="S_CY_Beg" localSheetId="16">#REF!</definedName>
    <definedName name="S_CY_Beg" localSheetId="5">#REF!</definedName>
    <definedName name="S_CY_Beg" localSheetId="17">#REF!</definedName>
    <definedName name="S_CY_Beg">#REF!</definedName>
    <definedName name="S_CY_Beg_1" localSheetId="21">#REF!</definedName>
    <definedName name="S_CY_Beg_1" localSheetId="22">#REF!</definedName>
    <definedName name="S_CY_Beg_1" localSheetId="9">#REF!</definedName>
    <definedName name="S_CY_Beg_1" localSheetId="7">#REF!</definedName>
    <definedName name="S_CY_Beg_1" localSheetId="16">#REF!</definedName>
    <definedName name="S_CY_Beg_1" localSheetId="5">#REF!</definedName>
    <definedName name="S_CY_Beg_1" localSheetId="17">#REF!</definedName>
    <definedName name="S_CY_Beg_1">#REF!</definedName>
    <definedName name="S_CY_Beg_20" localSheetId="21">#REF!</definedName>
    <definedName name="S_CY_Beg_20" localSheetId="22">#REF!</definedName>
    <definedName name="S_CY_Beg_20" localSheetId="9">#REF!</definedName>
    <definedName name="S_CY_Beg_20" localSheetId="7">#REF!</definedName>
    <definedName name="S_CY_Beg_20" localSheetId="16">#REF!</definedName>
    <definedName name="S_CY_Beg_20" localSheetId="5">#REF!</definedName>
    <definedName name="S_CY_Beg_20" localSheetId="17">#REF!</definedName>
    <definedName name="S_CY_Beg_20">#REF!</definedName>
    <definedName name="S_CY_Beg_21" localSheetId="21">#REF!</definedName>
    <definedName name="S_CY_Beg_21" localSheetId="22">#REF!</definedName>
    <definedName name="S_CY_Beg_21" localSheetId="9">#REF!</definedName>
    <definedName name="S_CY_Beg_21" localSheetId="7">#REF!</definedName>
    <definedName name="S_CY_Beg_21" localSheetId="16">#REF!</definedName>
    <definedName name="S_CY_Beg_21" localSheetId="5">#REF!</definedName>
    <definedName name="S_CY_Beg_21" localSheetId="17">#REF!</definedName>
    <definedName name="S_CY_Beg_21">#REF!</definedName>
    <definedName name="S_CY_Beg_23" localSheetId="21">#REF!</definedName>
    <definedName name="S_CY_Beg_23" localSheetId="22">#REF!</definedName>
    <definedName name="S_CY_Beg_23" localSheetId="9">#REF!</definedName>
    <definedName name="S_CY_Beg_23" localSheetId="7">#REF!</definedName>
    <definedName name="S_CY_Beg_23" localSheetId="16">#REF!</definedName>
    <definedName name="S_CY_Beg_23" localSheetId="5">#REF!</definedName>
    <definedName name="S_CY_Beg_23" localSheetId="17">#REF!</definedName>
    <definedName name="S_CY_Beg_23">#REF!</definedName>
    <definedName name="S_CY_Beg_5" localSheetId="21">#REF!</definedName>
    <definedName name="S_CY_Beg_5" localSheetId="22">#REF!</definedName>
    <definedName name="S_CY_Beg_5" localSheetId="9">#REF!</definedName>
    <definedName name="S_CY_Beg_5" localSheetId="7">#REF!</definedName>
    <definedName name="S_CY_Beg_5" localSheetId="16">#REF!</definedName>
    <definedName name="S_CY_Beg_5" localSheetId="5">#REF!</definedName>
    <definedName name="S_CY_Beg_5" localSheetId="17">#REF!</definedName>
    <definedName name="S_CY_Beg_5">#REF!</definedName>
    <definedName name="S_CY_Beg_8" localSheetId="21">#REF!</definedName>
    <definedName name="S_CY_Beg_8" localSheetId="22">#REF!</definedName>
    <definedName name="S_CY_Beg_8" localSheetId="9">#REF!</definedName>
    <definedName name="S_CY_Beg_8" localSheetId="7">#REF!</definedName>
    <definedName name="S_CY_Beg_8" localSheetId="16">#REF!</definedName>
    <definedName name="S_CY_Beg_8" localSheetId="5">#REF!</definedName>
    <definedName name="S_CY_Beg_8" localSheetId="17">#REF!</definedName>
    <definedName name="S_CY_Beg_8">#REF!</definedName>
    <definedName name="S_CY_Beg_Data" localSheetId="21">#REF!</definedName>
    <definedName name="S_CY_Beg_Data" localSheetId="7">[79]Lead!$F$1:$F$459</definedName>
    <definedName name="S_CY_Beg_Data">[80]Lead!$F$1:$F$553</definedName>
    <definedName name="S_CY_Beg_Data_1" localSheetId="21">#REF!</definedName>
    <definedName name="S_CY_Beg_Data_1" localSheetId="22">#REF!</definedName>
    <definedName name="S_CY_Beg_Data_1" localSheetId="9">#REF!</definedName>
    <definedName name="S_CY_Beg_Data_1" localSheetId="7">#REF!</definedName>
    <definedName name="S_CY_Beg_Data_1" localSheetId="16">#REF!</definedName>
    <definedName name="S_CY_Beg_Data_1" localSheetId="5">#REF!</definedName>
    <definedName name="S_CY_Beg_Data_1" localSheetId="17">#REF!</definedName>
    <definedName name="S_CY_Beg_Data_1">#REF!</definedName>
    <definedName name="S_CY_Beg_Data_20" localSheetId="21">#REF!</definedName>
    <definedName name="S_CY_Beg_Data_20" localSheetId="22">#REF!</definedName>
    <definedName name="S_CY_Beg_Data_20" localSheetId="9">#REF!</definedName>
    <definedName name="S_CY_Beg_Data_20" localSheetId="7">#REF!</definedName>
    <definedName name="S_CY_Beg_Data_20" localSheetId="16">#REF!</definedName>
    <definedName name="S_CY_Beg_Data_20" localSheetId="5">#REF!</definedName>
    <definedName name="S_CY_Beg_Data_20" localSheetId="17">#REF!</definedName>
    <definedName name="S_CY_Beg_Data_20">#REF!</definedName>
    <definedName name="S_CY_Beg_Data_21" localSheetId="21">#REF!</definedName>
    <definedName name="S_CY_Beg_Data_21" localSheetId="22">#REF!</definedName>
    <definedName name="S_CY_Beg_Data_21" localSheetId="9">#REF!</definedName>
    <definedName name="S_CY_Beg_Data_21" localSheetId="7">#REF!</definedName>
    <definedName name="S_CY_Beg_Data_21" localSheetId="16">#REF!</definedName>
    <definedName name="S_CY_Beg_Data_21" localSheetId="5">#REF!</definedName>
    <definedName name="S_CY_Beg_Data_21" localSheetId="17">#REF!</definedName>
    <definedName name="S_CY_Beg_Data_21">#REF!</definedName>
    <definedName name="S_CY_Beg_Data_23" localSheetId="21">#REF!</definedName>
    <definedName name="S_CY_Beg_Data_23" localSheetId="22">#REF!</definedName>
    <definedName name="S_CY_Beg_Data_23" localSheetId="9">#REF!</definedName>
    <definedName name="S_CY_Beg_Data_23" localSheetId="7">#REF!</definedName>
    <definedName name="S_CY_Beg_Data_23" localSheetId="16">#REF!</definedName>
    <definedName name="S_CY_Beg_Data_23" localSheetId="5">#REF!</definedName>
    <definedName name="S_CY_Beg_Data_23" localSheetId="17">#REF!</definedName>
    <definedName name="S_CY_Beg_Data_23">#REF!</definedName>
    <definedName name="S_CY_Beg_Data_5" localSheetId="21">#REF!</definedName>
    <definedName name="S_CY_Beg_Data_5" localSheetId="22">#REF!</definedName>
    <definedName name="S_CY_Beg_Data_5" localSheetId="9">#REF!</definedName>
    <definedName name="S_CY_Beg_Data_5" localSheetId="7">#REF!</definedName>
    <definedName name="S_CY_Beg_Data_5" localSheetId="16">#REF!</definedName>
    <definedName name="S_CY_Beg_Data_5" localSheetId="5">#REF!</definedName>
    <definedName name="S_CY_Beg_Data_5" localSheetId="17">#REF!</definedName>
    <definedName name="S_CY_Beg_Data_5">#REF!</definedName>
    <definedName name="S_CY_Beg_Data_8" localSheetId="21">#REF!</definedName>
    <definedName name="S_CY_Beg_Data_8" localSheetId="22">#REF!</definedName>
    <definedName name="S_CY_Beg_Data_8" localSheetId="9">#REF!</definedName>
    <definedName name="S_CY_Beg_Data_8" localSheetId="7">#REF!</definedName>
    <definedName name="S_CY_Beg_Data_8" localSheetId="16">#REF!</definedName>
    <definedName name="S_CY_Beg_Data_8" localSheetId="5">#REF!</definedName>
    <definedName name="S_CY_Beg_Data_8" localSheetId="17">#REF!</definedName>
    <definedName name="S_CY_Beg_Data_8">#REF!</definedName>
    <definedName name="S_CY_Beg_GT" localSheetId="21">#REF!</definedName>
    <definedName name="S_CY_Beg_GT" localSheetId="22">#REF!</definedName>
    <definedName name="S_CY_Beg_GT" localSheetId="9">#REF!</definedName>
    <definedName name="S_CY_Beg_GT" localSheetId="16">#REF!</definedName>
    <definedName name="S_CY_Beg_GT" localSheetId="5">#REF!</definedName>
    <definedName name="S_CY_Beg_GT" localSheetId="17">#REF!</definedName>
    <definedName name="S_CY_Beg_GT">#REF!</definedName>
    <definedName name="S_CY_Beg_GT_1" localSheetId="21">#REF!</definedName>
    <definedName name="S_CY_Beg_GT_1" localSheetId="22">#REF!</definedName>
    <definedName name="S_CY_Beg_GT_1" localSheetId="9">#REF!</definedName>
    <definedName name="S_CY_Beg_GT_1" localSheetId="7">#REF!</definedName>
    <definedName name="S_CY_Beg_GT_1" localSheetId="16">#REF!</definedName>
    <definedName name="S_CY_Beg_GT_1" localSheetId="5">#REF!</definedName>
    <definedName name="S_CY_Beg_GT_1" localSheetId="17">#REF!</definedName>
    <definedName name="S_CY_Beg_GT_1">#REF!</definedName>
    <definedName name="S_CY_Beg_GT_20" localSheetId="21">#REF!</definedName>
    <definedName name="S_CY_Beg_GT_20" localSheetId="22">#REF!</definedName>
    <definedName name="S_CY_Beg_GT_20" localSheetId="9">#REF!</definedName>
    <definedName name="S_CY_Beg_GT_20" localSheetId="7">#REF!</definedName>
    <definedName name="S_CY_Beg_GT_20" localSheetId="16">#REF!</definedName>
    <definedName name="S_CY_Beg_GT_20" localSheetId="5">#REF!</definedName>
    <definedName name="S_CY_Beg_GT_20" localSheetId="17">#REF!</definedName>
    <definedName name="S_CY_Beg_GT_20">#REF!</definedName>
    <definedName name="S_CY_Beg_GT_21" localSheetId="21">#REF!</definedName>
    <definedName name="S_CY_Beg_GT_21" localSheetId="22">#REF!</definedName>
    <definedName name="S_CY_Beg_GT_21" localSheetId="9">#REF!</definedName>
    <definedName name="S_CY_Beg_GT_21" localSheetId="7">#REF!</definedName>
    <definedName name="S_CY_Beg_GT_21" localSheetId="16">#REF!</definedName>
    <definedName name="S_CY_Beg_GT_21" localSheetId="5">#REF!</definedName>
    <definedName name="S_CY_Beg_GT_21" localSheetId="17">#REF!</definedName>
    <definedName name="S_CY_Beg_GT_21">#REF!</definedName>
    <definedName name="S_CY_Beg_GT_23" localSheetId="21">#REF!</definedName>
    <definedName name="S_CY_Beg_GT_23" localSheetId="22">#REF!</definedName>
    <definedName name="S_CY_Beg_GT_23" localSheetId="9">#REF!</definedName>
    <definedName name="S_CY_Beg_GT_23" localSheetId="7">#REF!</definedName>
    <definedName name="S_CY_Beg_GT_23" localSheetId="16">#REF!</definedName>
    <definedName name="S_CY_Beg_GT_23" localSheetId="5">#REF!</definedName>
    <definedName name="S_CY_Beg_GT_23" localSheetId="17">#REF!</definedName>
    <definedName name="S_CY_Beg_GT_23">#REF!</definedName>
    <definedName name="S_CY_Beg_GT_5" localSheetId="21">#REF!</definedName>
    <definedName name="S_CY_Beg_GT_5" localSheetId="22">#REF!</definedName>
    <definedName name="S_CY_Beg_GT_5" localSheetId="9">#REF!</definedName>
    <definedName name="S_CY_Beg_GT_5" localSheetId="7">#REF!</definedName>
    <definedName name="S_CY_Beg_GT_5" localSheetId="16">#REF!</definedName>
    <definedName name="S_CY_Beg_GT_5" localSheetId="5">#REF!</definedName>
    <definedName name="S_CY_Beg_GT_5" localSheetId="17">#REF!</definedName>
    <definedName name="S_CY_Beg_GT_5">#REF!</definedName>
    <definedName name="S_CY_Beg_GT_8" localSheetId="21">#REF!</definedName>
    <definedName name="S_CY_Beg_GT_8" localSheetId="22">#REF!</definedName>
    <definedName name="S_CY_Beg_GT_8" localSheetId="9">#REF!</definedName>
    <definedName name="S_CY_Beg_GT_8" localSheetId="7">#REF!</definedName>
    <definedName name="S_CY_Beg_GT_8" localSheetId="16">#REF!</definedName>
    <definedName name="S_CY_Beg_GT_8" localSheetId="5">#REF!</definedName>
    <definedName name="S_CY_Beg_GT_8" localSheetId="17">#REF!</definedName>
    <definedName name="S_CY_Beg_GT_8">#REF!</definedName>
    <definedName name="S_CY_End" localSheetId="21">#REF!</definedName>
    <definedName name="S_CY_End" localSheetId="22">#REF!</definedName>
    <definedName name="S_CY_End" localSheetId="9">#REF!</definedName>
    <definedName name="S_CY_End" localSheetId="16">#REF!</definedName>
    <definedName name="S_CY_End" localSheetId="5">#REF!</definedName>
    <definedName name="S_CY_End" localSheetId="17">#REF!</definedName>
    <definedName name="S_CY_End">#REF!</definedName>
    <definedName name="S_CY_End_1" localSheetId="21">#REF!</definedName>
    <definedName name="S_CY_End_1" localSheetId="22">#REF!</definedName>
    <definedName name="S_CY_End_1" localSheetId="9">#REF!</definedName>
    <definedName name="S_CY_End_1" localSheetId="7">#REF!</definedName>
    <definedName name="S_CY_End_1" localSheetId="16">#REF!</definedName>
    <definedName name="S_CY_End_1" localSheetId="5">#REF!</definedName>
    <definedName name="S_CY_End_1" localSheetId="17">#REF!</definedName>
    <definedName name="S_CY_End_1">#REF!</definedName>
    <definedName name="S_CY_End_20" localSheetId="21">#REF!</definedName>
    <definedName name="S_CY_End_20" localSheetId="22">#REF!</definedName>
    <definedName name="S_CY_End_20" localSheetId="9">#REF!</definedName>
    <definedName name="S_CY_End_20" localSheetId="7">#REF!</definedName>
    <definedName name="S_CY_End_20" localSheetId="16">#REF!</definedName>
    <definedName name="S_CY_End_20" localSheetId="5">#REF!</definedName>
    <definedName name="S_CY_End_20" localSheetId="17">#REF!</definedName>
    <definedName name="S_CY_End_20">#REF!</definedName>
    <definedName name="S_CY_End_21" localSheetId="21">#REF!</definedName>
    <definedName name="S_CY_End_21" localSheetId="22">#REF!</definedName>
    <definedName name="S_CY_End_21" localSheetId="9">#REF!</definedName>
    <definedName name="S_CY_End_21" localSheetId="7">#REF!</definedName>
    <definedName name="S_CY_End_21" localSheetId="16">#REF!</definedName>
    <definedName name="S_CY_End_21" localSheetId="5">#REF!</definedName>
    <definedName name="S_CY_End_21" localSheetId="17">#REF!</definedName>
    <definedName name="S_CY_End_21">#REF!</definedName>
    <definedName name="S_CY_End_23" localSheetId="21">#REF!</definedName>
    <definedName name="S_CY_End_23" localSheetId="22">#REF!</definedName>
    <definedName name="S_CY_End_23" localSheetId="9">#REF!</definedName>
    <definedName name="S_CY_End_23" localSheetId="7">#REF!</definedName>
    <definedName name="S_CY_End_23" localSheetId="16">#REF!</definedName>
    <definedName name="S_CY_End_23" localSheetId="5">#REF!</definedName>
    <definedName name="S_CY_End_23" localSheetId="17">#REF!</definedName>
    <definedName name="S_CY_End_23">#REF!</definedName>
    <definedName name="S_CY_End_5" localSheetId="21">#REF!</definedName>
    <definedName name="S_CY_End_5" localSheetId="22">#REF!</definedName>
    <definedName name="S_CY_End_5" localSheetId="9">#REF!</definedName>
    <definedName name="S_CY_End_5" localSheetId="7">#REF!</definedName>
    <definedName name="S_CY_End_5" localSheetId="16">#REF!</definedName>
    <definedName name="S_CY_End_5" localSheetId="5">#REF!</definedName>
    <definedName name="S_CY_End_5" localSheetId="17">#REF!</definedName>
    <definedName name="S_CY_End_5">#REF!</definedName>
    <definedName name="S_CY_End_8" localSheetId="21">#REF!</definedName>
    <definedName name="S_CY_End_8" localSheetId="22">#REF!</definedName>
    <definedName name="S_CY_End_8" localSheetId="9">#REF!</definedName>
    <definedName name="S_CY_End_8" localSheetId="7">#REF!</definedName>
    <definedName name="S_CY_End_8" localSheetId="16">#REF!</definedName>
    <definedName name="S_CY_End_8" localSheetId="5">#REF!</definedName>
    <definedName name="S_CY_End_8" localSheetId="17">#REF!</definedName>
    <definedName name="S_CY_End_8">#REF!</definedName>
    <definedName name="S_CY_End_Data" localSheetId="21">#REF!</definedName>
    <definedName name="S_CY_End_Data" localSheetId="7">[79]Lead!$K$1:$K$459</definedName>
    <definedName name="S_CY_End_Data" localSheetId="2">[103]Lead!$D$1:$D$723</definedName>
    <definedName name="S_CY_End_Data">[80]Lead!$K$1:$K$553</definedName>
    <definedName name="S_CY_End_Data_1" localSheetId="21">#REF!</definedName>
    <definedName name="S_CY_End_Data_1" localSheetId="22">#REF!</definedName>
    <definedName name="S_CY_End_Data_1" localSheetId="9">#REF!</definedName>
    <definedName name="S_CY_End_Data_1" localSheetId="7">#REF!</definedName>
    <definedName name="S_CY_End_Data_1" localSheetId="16">#REF!</definedName>
    <definedName name="S_CY_End_Data_1" localSheetId="5">#REF!</definedName>
    <definedName name="S_CY_End_Data_1" localSheetId="17">#REF!</definedName>
    <definedName name="S_CY_End_Data_1">#REF!</definedName>
    <definedName name="S_CY_End_Data_20" localSheetId="21">#REF!</definedName>
    <definedName name="S_CY_End_Data_20" localSheetId="22">#REF!</definedName>
    <definedName name="S_CY_End_Data_20" localSheetId="9">#REF!</definedName>
    <definedName name="S_CY_End_Data_20" localSheetId="7">#REF!</definedName>
    <definedName name="S_CY_End_Data_20" localSheetId="16">#REF!</definedName>
    <definedName name="S_CY_End_Data_20" localSheetId="5">#REF!</definedName>
    <definedName name="S_CY_End_Data_20" localSheetId="17">#REF!</definedName>
    <definedName name="S_CY_End_Data_20">#REF!</definedName>
    <definedName name="S_CY_End_Data_21" localSheetId="21">#REF!</definedName>
    <definedName name="S_CY_End_Data_21" localSheetId="22">#REF!</definedName>
    <definedName name="S_CY_End_Data_21" localSheetId="9">#REF!</definedName>
    <definedName name="S_CY_End_Data_21" localSheetId="7">#REF!</definedName>
    <definedName name="S_CY_End_Data_21" localSheetId="16">#REF!</definedName>
    <definedName name="S_CY_End_Data_21" localSheetId="5">#REF!</definedName>
    <definedName name="S_CY_End_Data_21" localSheetId="17">#REF!</definedName>
    <definedName name="S_CY_End_Data_21">#REF!</definedName>
    <definedName name="S_CY_End_Data_23" localSheetId="21">#REF!</definedName>
    <definedName name="S_CY_End_Data_23" localSheetId="22">#REF!</definedName>
    <definedName name="S_CY_End_Data_23" localSheetId="9">#REF!</definedName>
    <definedName name="S_CY_End_Data_23" localSheetId="7">#REF!</definedName>
    <definedName name="S_CY_End_Data_23" localSheetId="16">#REF!</definedName>
    <definedName name="S_CY_End_Data_23" localSheetId="5">#REF!</definedName>
    <definedName name="S_CY_End_Data_23" localSheetId="17">#REF!</definedName>
    <definedName name="S_CY_End_Data_23">#REF!</definedName>
    <definedName name="S_CY_End_Data_5" localSheetId="21">#REF!</definedName>
    <definedName name="S_CY_End_Data_5" localSheetId="22">#REF!</definedName>
    <definedName name="S_CY_End_Data_5" localSheetId="9">#REF!</definedName>
    <definedName name="S_CY_End_Data_5" localSheetId="7">#REF!</definedName>
    <definedName name="S_CY_End_Data_5" localSheetId="16">#REF!</definedName>
    <definedName name="S_CY_End_Data_5" localSheetId="5">#REF!</definedName>
    <definedName name="S_CY_End_Data_5" localSheetId="17">#REF!</definedName>
    <definedName name="S_CY_End_Data_5">#REF!</definedName>
    <definedName name="S_CY_End_Data_8" localSheetId="21">#REF!</definedName>
    <definedName name="S_CY_End_Data_8" localSheetId="22">#REF!</definedName>
    <definedName name="S_CY_End_Data_8" localSheetId="9">#REF!</definedName>
    <definedName name="S_CY_End_Data_8" localSheetId="7">#REF!</definedName>
    <definedName name="S_CY_End_Data_8" localSheetId="16">#REF!</definedName>
    <definedName name="S_CY_End_Data_8" localSheetId="5">#REF!</definedName>
    <definedName name="S_CY_End_Data_8" localSheetId="17">#REF!</definedName>
    <definedName name="S_CY_End_Data_8">#REF!</definedName>
    <definedName name="S_CY_End_GT" localSheetId="21">#REF!</definedName>
    <definedName name="S_CY_End_GT" localSheetId="22">#REF!</definedName>
    <definedName name="S_CY_End_GT" localSheetId="9">#REF!</definedName>
    <definedName name="S_CY_End_GT" localSheetId="16">#REF!</definedName>
    <definedName name="S_CY_End_GT" localSheetId="5">#REF!</definedName>
    <definedName name="S_CY_End_GT" localSheetId="17">#REF!</definedName>
    <definedName name="S_CY_End_GT">#REF!</definedName>
    <definedName name="S_CY_End_GT_1" localSheetId="21">#REF!</definedName>
    <definedName name="S_CY_End_GT_1" localSheetId="22">#REF!</definedName>
    <definedName name="S_CY_End_GT_1" localSheetId="9">#REF!</definedName>
    <definedName name="S_CY_End_GT_1" localSheetId="7">#REF!</definedName>
    <definedName name="S_CY_End_GT_1" localSheetId="16">#REF!</definedName>
    <definedName name="S_CY_End_GT_1" localSheetId="5">#REF!</definedName>
    <definedName name="S_CY_End_GT_1" localSheetId="17">#REF!</definedName>
    <definedName name="S_CY_End_GT_1">#REF!</definedName>
    <definedName name="S_CY_End_GT_20" localSheetId="21">#REF!</definedName>
    <definedName name="S_CY_End_GT_20" localSheetId="22">#REF!</definedName>
    <definedName name="S_CY_End_GT_20" localSheetId="9">#REF!</definedName>
    <definedName name="S_CY_End_GT_20" localSheetId="7">#REF!</definedName>
    <definedName name="S_CY_End_GT_20" localSheetId="16">#REF!</definedName>
    <definedName name="S_CY_End_GT_20" localSheetId="5">#REF!</definedName>
    <definedName name="S_CY_End_GT_20" localSheetId="17">#REF!</definedName>
    <definedName name="S_CY_End_GT_20">#REF!</definedName>
    <definedName name="S_CY_End_GT_21" localSheetId="21">#REF!</definedName>
    <definedName name="S_CY_End_GT_21" localSheetId="22">#REF!</definedName>
    <definedName name="S_CY_End_GT_21" localSheetId="9">#REF!</definedName>
    <definedName name="S_CY_End_GT_21" localSheetId="7">#REF!</definedName>
    <definedName name="S_CY_End_GT_21" localSheetId="16">#REF!</definedName>
    <definedName name="S_CY_End_GT_21" localSheetId="5">#REF!</definedName>
    <definedName name="S_CY_End_GT_21" localSheetId="17">#REF!</definedName>
    <definedName name="S_CY_End_GT_21">#REF!</definedName>
    <definedName name="S_CY_End_GT_23" localSheetId="21">#REF!</definedName>
    <definedName name="S_CY_End_GT_23" localSheetId="22">#REF!</definedName>
    <definedName name="S_CY_End_GT_23" localSheetId="9">#REF!</definedName>
    <definedName name="S_CY_End_GT_23" localSheetId="7">#REF!</definedName>
    <definedName name="S_CY_End_GT_23" localSheetId="16">#REF!</definedName>
    <definedName name="S_CY_End_GT_23" localSheetId="5">#REF!</definedName>
    <definedName name="S_CY_End_GT_23" localSheetId="17">#REF!</definedName>
    <definedName name="S_CY_End_GT_23">#REF!</definedName>
    <definedName name="S_CY_End_GT_5" localSheetId="21">#REF!</definedName>
    <definedName name="S_CY_End_GT_5" localSheetId="22">#REF!</definedName>
    <definedName name="S_CY_End_GT_5" localSheetId="9">#REF!</definedName>
    <definedName name="S_CY_End_GT_5" localSheetId="7">#REF!</definedName>
    <definedName name="S_CY_End_GT_5" localSheetId="16">#REF!</definedName>
    <definedName name="S_CY_End_GT_5" localSheetId="5">#REF!</definedName>
    <definedName name="S_CY_End_GT_5" localSheetId="17">#REF!</definedName>
    <definedName name="S_CY_End_GT_5">#REF!</definedName>
    <definedName name="S_CY_End_GT_8" localSheetId="21">#REF!</definedName>
    <definedName name="S_CY_End_GT_8" localSheetId="22">#REF!</definedName>
    <definedName name="S_CY_End_GT_8" localSheetId="9">#REF!</definedName>
    <definedName name="S_CY_End_GT_8" localSheetId="7">#REF!</definedName>
    <definedName name="S_CY_End_GT_8" localSheetId="16">#REF!</definedName>
    <definedName name="S_CY_End_GT_8" localSheetId="5">#REF!</definedName>
    <definedName name="S_CY_End_GT_8" localSheetId="17">#REF!</definedName>
    <definedName name="S_CY_End_GT_8">#REF!</definedName>
    <definedName name="S_Diff_Amt" localSheetId="21">#REF!</definedName>
    <definedName name="S_Diff_Amt" localSheetId="22">#REF!</definedName>
    <definedName name="S_Diff_Amt" localSheetId="9">#REF!</definedName>
    <definedName name="S_Diff_Amt" localSheetId="2">[35]Breakups!#REF!</definedName>
    <definedName name="S_Diff_Amt" localSheetId="16">#REF!</definedName>
    <definedName name="S_Diff_Amt" localSheetId="5">#REF!</definedName>
    <definedName name="S_Diff_Amt" localSheetId="17">#REF!</definedName>
    <definedName name="S_Diff_Amt">#REF!</definedName>
    <definedName name="S_Diff_Amt_1" localSheetId="21">#REF!</definedName>
    <definedName name="S_Diff_Amt_1" localSheetId="22">#REF!</definedName>
    <definedName name="S_Diff_Amt_1" localSheetId="9">#REF!</definedName>
    <definedName name="S_Diff_Amt_1" localSheetId="7">#REF!</definedName>
    <definedName name="S_Diff_Amt_1" localSheetId="16">#REF!</definedName>
    <definedName name="S_Diff_Amt_1" localSheetId="5">#REF!</definedName>
    <definedName name="S_Diff_Amt_1" localSheetId="17">#REF!</definedName>
    <definedName name="S_Diff_Amt_1">#REF!</definedName>
    <definedName name="S_Diff_Amt_20" localSheetId="21">#REF!</definedName>
    <definedName name="S_Diff_Amt_20" localSheetId="22">#REF!</definedName>
    <definedName name="S_Diff_Amt_20" localSheetId="9">#REF!</definedName>
    <definedName name="S_Diff_Amt_20" localSheetId="7">#REF!</definedName>
    <definedName name="S_Diff_Amt_20" localSheetId="16">#REF!</definedName>
    <definedName name="S_Diff_Amt_20" localSheetId="5">#REF!</definedName>
    <definedName name="S_Diff_Amt_20" localSheetId="17">#REF!</definedName>
    <definedName name="S_Diff_Amt_20">#REF!</definedName>
    <definedName name="S_Diff_Amt_21" localSheetId="21">#REF!</definedName>
    <definedName name="S_Diff_Amt_21" localSheetId="22">#REF!</definedName>
    <definedName name="S_Diff_Amt_21" localSheetId="9">#REF!</definedName>
    <definedName name="S_Diff_Amt_21" localSheetId="7">#REF!</definedName>
    <definedName name="S_Diff_Amt_21" localSheetId="16">#REF!</definedName>
    <definedName name="S_Diff_Amt_21" localSheetId="5">#REF!</definedName>
    <definedName name="S_Diff_Amt_21" localSheetId="17">#REF!</definedName>
    <definedName name="S_Diff_Amt_21">#REF!</definedName>
    <definedName name="S_Diff_Amt_23" localSheetId="21">#REF!</definedName>
    <definedName name="S_Diff_Amt_23" localSheetId="22">#REF!</definedName>
    <definedName name="S_Diff_Amt_23" localSheetId="9">#REF!</definedName>
    <definedName name="S_Diff_Amt_23" localSheetId="7">#REF!</definedName>
    <definedName name="S_Diff_Amt_23" localSheetId="16">#REF!</definedName>
    <definedName name="S_Diff_Amt_23" localSheetId="5">#REF!</definedName>
    <definedName name="S_Diff_Amt_23" localSheetId="17">#REF!</definedName>
    <definedName name="S_Diff_Amt_23">#REF!</definedName>
    <definedName name="S_Diff_Amt_5" localSheetId="21">#REF!</definedName>
    <definedName name="S_Diff_Amt_5" localSheetId="22">#REF!</definedName>
    <definedName name="S_Diff_Amt_5" localSheetId="9">#REF!</definedName>
    <definedName name="S_Diff_Amt_5" localSheetId="7">#REF!</definedName>
    <definedName name="S_Diff_Amt_5" localSheetId="16">#REF!</definedName>
    <definedName name="S_Diff_Amt_5" localSheetId="5">#REF!</definedName>
    <definedName name="S_Diff_Amt_5" localSheetId="17">#REF!</definedName>
    <definedName name="S_Diff_Amt_5">#REF!</definedName>
    <definedName name="S_Diff_Amt_8" localSheetId="21">#REF!</definedName>
    <definedName name="S_Diff_Amt_8" localSheetId="22">#REF!</definedName>
    <definedName name="S_Diff_Amt_8" localSheetId="9">#REF!</definedName>
    <definedName name="S_Diff_Amt_8" localSheetId="7">#REF!</definedName>
    <definedName name="S_Diff_Amt_8" localSheetId="16">#REF!</definedName>
    <definedName name="S_Diff_Amt_8" localSheetId="5">#REF!</definedName>
    <definedName name="S_Diff_Amt_8" localSheetId="17">#REF!</definedName>
    <definedName name="S_Diff_Amt_8">#REF!</definedName>
    <definedName name="S_Diff_Pct" localSheetId="21">#REF!</definedName>
    <definedName name="S_Diff_Pct" localSheetId="22">#REF!</definedName>
    <definedName name="S_Diff_Pct" localSheetId="9">#REF!</definedName>
    <definedName name="S_Diff_Pct" localSheetId="2">[35]Breakups!#REF!</definedName>
    <definedName name="S_Diff_Pct" localSheetId="16">#REF!</definedName>
    <definedName name="S_Diff_Pct" localSheetId="5">#REF!</definedName>
    <definedName name="S_Diff_Pct" localSheetId="17">#REF!</definedName>
    <definedName name="S_Diff_Pct">#REF!</definedName>
    <definedName name="S_Diff_Pct_1" localSheetId="21">#REF!</definedName>
    <definedName name="S_Diff_Pct_1" localSheetId="22">#REF!</definedName>
    <definedName name="S_Diff_Pct_1" localSheetId="9">#REF!</definedName>
    <definedName name="S_Diff_Pct_1" localSheetId="7">#REF!</definedName>
    <definedName name="S_Diff_Pct_1" localSheetId="16">#REF!</definedName>
    <definedName name="S_Diff_Pct_1" localSheetId="5">#REF!</definedName>
    <definedName name="S_Diff_Pct_1" localSheetId="17">#REF!</definedName>
    <definedName name="S_Diff_Pct_1">#REF!</definedName>
    <definedName name="S_Diff_Pct_20" localSheetId="21">#REF!</definedName>
    <definedName name="S_Diff_Pct_20" localSheetId="22">#REF!</definedName>
    <definedName name="S_Diff_Pct_20" localSheetId="9">#REF!</definedName>
    <definedName name="S_Diff_Pct_20" localSheetId="7">#REF!</definedName>
    <definedName name="S_Diff_Pct_20" localSheetId="16">#REF!</definedName>
    <definedName name="S_Diff_Pct_20" localSheetId="5">#REF!</definedName>
    <definedName name="S_Diff_Pct_20" localSheetId="17">#REF!</definedName>
    <definedName name="S_Diff_Pct_20">#REF!</definedName>
    <definedName name="S_Diff_Pct_21" localSheetId="21">#REF!</definedName>
    <definedName name="S_Diff_Pct_21" localSheetId="22">#REF!</definedName>
    <definedName name="S_Diff_Pct_21" localSheetId="9">#REF!</definedName>
    <definedName name="S_Diff_Pct_21" localSheetId="7">#REF!</definedName>
    <definedName name="S_Diff_Pct_21" localSheetId="16">#REF!</definedName>
    <definedName name="S_Diff_Pct_21" localSheetId="5">#REF!</definedName>
    <definedName name="S_Diff_Pct_21" localSheetId="17">#REF!</definedName>
    <definedName name="S_Diff_Pct_21">#REF!</definedName>
    <definedName name="S_Diff_Pct_23" localSheetId="21">#REF!</definedName>
    <definedName name="S_Diff_Pct_23" localSheetId="22">#REF!</definedName>
    <definedName name="S_Diff_Pct_23" localSheetId="9">#REF!</definedName>
    <definedName name="S_Diff_Pct_23" localSheetId="7">#REF!</definedName>
    <definedName name="S_Diff_Pct_23" localSheetId="16">#REF!</definedName>
    <definedName name="S_Diff_Pct_23" localSheetId="5">#REF!</definedName>
    <definedName name="S_Diff_Pct_23" localSheetId="17">#REF!</definedName>
    <definedName name="S_Diff_Pct_23">#REF!</definedName>
    <definedName name="S_Diff_Pct_5" localSheetId="21">#REF!</definedName>
    <definedName name="S_Diff_Pct_5" localSheetId="22">#REF!</definedName>
    <definedName name="S_Diff_Pct_5" localSheetId="9">#REF!</definedName>
    <definedName name="S_Diff_Pct_5" localSheetId="7">#REF!</definedName>
    <definedName name="S_Diff_Pct_5" localSheetId="16">#REF!</definedName>
    <definedName name="S_Diff_Pct_5" localSheetId="5">#REF!</definedName>
    <definedName name="S_Diff_Pct_5" localSheetId="17">#REF!</definedName>
    <definedName name="S_Diff_Pct_5">#REF!</definedName>
    <definedName name="S_Diff_Pct_8" localSheetId="21">#REF!</definedName>
    <definedName name="S_Diff_Pct_8" localSheetId="22">#REF!</definedName>
    <definedName name="S_Diff_Pct_8" localSheetId="9">#REF!</definedName>
    <definedName name="S_Diff_Pct_8" localSheetId="7">#REF!</definedName>
    <definedName name="S_Diff_Pct_8" localSheetId="16">#REF!</definedName>
    <definedName name="S_Diff_Pct_8" localSheetId="5">#REF!</definedName>
    <definedName name="S_Diff_Pct_8" localSheetId="17">#REF!</definedName>
    <definedName name="S_Diff_Pct_8">#REF!</definedName>
    <definedName name="S_GrpNum" localSheetId="21">#REF!</definedName>
    <definedName name="S_GrpNum" localSheetId="22">#REF!</definedName>
    <definedName name="S_GrpNum" localSheetId="9">#REF!</definedName>
    <definedName name="S_GrpNum" localSheetId="16">#REF!</definedName>
    <definedName name="S_GrpNum" localSheetId="5">#REF!</definedName>
    <definedName name="S_GrpNum" localSheetId="17">#REF!</definedName>
    <definedName name="S_GrpNum">#REF!</definedName>
    <definedName name="S_GrpNum_1" localSheetId="21">#REF!</definedName>
    <definedName name="S_GrpNum_1" localSheetId="22">#REF!</definedName>
    <definedName name="S_GrpNum_1" localSheetId="9">#REF!</definedName>
    <definedName name="S_GrpNum_1" localSheetId="7">#REF!</definedName>
    <definedName name="S_GrpNum_1" localSheetId="16">#REF!</definedName>
    <definedName name="S_GrpNum_1" localSheetId="5">#REF!</definedName>
    <definedName name="S_GrpNum_1" localSheetId="17">#REF!</definedName>
    <definedName name="S_GrpNum_1">#REF!</definedName>
    <definedName name="S_GrpNum_20" localSheetId="21">#REF!</definedName>
    <definedName name="S_GrpNum_20" localSheetId="22">#REF!</definedName>
    <definedName name="S_GrpNum_20" localSheetId="9">#REF!</definedName>
    <definedName name="S_GrpNum_20" localSheetId="7">#REF!</definedName>
    <definedName name="S_GrpNum_20" localSheetId="16">#REF!</definedName>
    <definedName name="S_GrpNum_20" localSheetId="5">#REF!</definedName>
    <definedName name="S_GrpNum_20" localSheetId="17">#REF!</definedName>
    <definedName name="S_GrpNum_20">#REF!</definedName>
    <definedName name="S_GrpNum_21" localSheetId="21">#REF!</definedName>
    <definedName name="S_GrpNum_21" localSheetId="22">#REF!</definedName>
    <definedName name="S_GrpNum_21" localSheetId="9">#REF!</definedName>
    <definedName name="S_GrpNum_21" localSheetId="7">#REF!</definedName>
    <definedName name="S_GrpNum_21" localSheetId="16">#REF!</definedName>
    <definedName name="S_GrpNum_21" localSheetId="5">#REF!</definedName>
    <definedName name="S_GrpNum_21" localSheetId="17">#REF!</definedName>
    <definedName name="S_GrpNum_21">#REF!</definedName>
    <definedName name="S_GrpNum_23" localSheetId="21">#REF!</definedName>
    <definedName name="S_GrpNum_23" localSheetId="22">#REF!</definedName>
    <definedName name="S_GrpNum_23" localSheetId="9">#REF!</definedName>
    <definedName name="S_GrpNum_23" localSheetId="7">#REF!</definedName>
    <definedName name="S_GrpNum_23" localSheetId="16">#REF!</definedName>
    <definedName name="S_GrpNum_23" localSheetId="5">#REF!</definedName>
    <definedName name="S_GrpNum_23" localSheetId="17">#REF!</definedName>
    <definedName name="S_GrpNum_23">#REF!</definedName>
    <definedName name="S_GrpNum_5" localSheetId="21">#REF!</definedName>
    <definedName name="S_GrpNum_5" localSheetId="22">#REF!</definedName>
    <definedName name="S_GrpNum_5" localSheetId="9">#REF!</definedName>
    <definedName name="S_GrpNum_5" localSheetId="7">#REF!</definedName>
    <definedName name="S_GrpNum_5" localSheetId="16">#REF!</definedName>
    <definedName name="S_GrpNum_5" localSheetId="5">#REF!</definedName>
    <definedName name="S_GrpNum_5" localSheetId="17">#REF!</definedName>
    <definedName name="S_GrpNum_5">#REF!</definedName>
    <definedName name="S_GrpNum_8" localSheetId="21">#REF!</definedName>
    <definedName name="S_GrpNum_8" localSheetId="22">#REF!</definedName>
    <definedName name="S_GrpNum_8" localSheetId="9">#REF!</definedName>
    <definedName name="S_GrpNum_8" localSheetId="7">#REF!</definedName>
    <definedName name="S_GrpNum_8" localSheetId="16">#REF!</definedName>
    <definedName name="S_GrpNum_8" localSheetId="5">#REF!</definedName>
    <definedName name="S_GrpNum_8" localSheetId="17">#REF!</definedName>
    <definedName name="S_GrpNum_8">#REF!</definedName>
    <definedName name="S_Headings" localSheetId="21">#REF!</definedName>
    <definedName name="S_Headings" localSheetId="22">#REF!</definedName>
    <definedName name="S_Headings" localSheetId="9">#REF!</definedName>
    <definedName name="S_Headings" localSheetId="16">#REF!</definedName>
    <definedName name="S_Headings" localSheetId="5">#REF!</definedName>
    <definedName name="S_Headings" localSheetId="17">#REF!</definedName>
    <definedName name="S_Headings">#REF!</definedName>
    <definedName name="S_Headings_1" localSheetId="21">#REF!</definedName>
    <definedName name="S_Headings_1" localSheetId="22">#REF!</definedName>
    <definedName name="S_Headings_1" localSheetId="9">#REF!</definedName>
    <definedName name="S_Headings_1" localSheetId="7">#REF!</definedName>
    <definedName name="S_Headings_1" localSheetId="16">#REF!</definedName>
    <definedName name="S_Headings_1" localSheetId="5">#REF!</definedName>
    <definedName name="S_Headings_1" localSheetId="17">#REF!</definedName>
    <definedName name="S_Headings_1">#REF!</definedName>
    <definedName name="S_Headings_20" localSheetId="21">#REF!</definedName>
    <definedName name="S_Headings_20" localSheetId="22">#REF!</definedName>
    <definedName name="S_Headings_20" localSheetId="9">#REF!</definedName>
    <definedName name="S_Headings_20" localSheetId="7">#REF!</definedName>
    <definedName name="S_Headings_20" localSheetId="16">#REF!</definedName>
    <definedName name="S_Headings_20" localSheetId="5">#REF!</definedName>
    <definedName name="S_Headings_20" localSheetId="17">#REF!</definedName>
    <definedName name="S_Headings_20">#REF!</definedName>
    <definedName name="S_Headings_21" localSheetId="21">#REF!</definedName>
    <definedName name="S_Headings_21" localSheetId="22">#REF!</definedName>
    <definedName name="S_Headings_21" localSheetId="9">#REF!</definedName>
    <definedName name="S_Headings_21" localSheetId="7">#REF!</definedName>
    <definedName name="S_Headings_21" localSheetId="16">#REF!</definedName>
    <definedName name="S_Headings_21" localSheetId="5">#REF!</definedName>
    <definedName name="S_Headings_21" localSheetId="17">#REF!</definedName>
    <definedName name="S_Headings_21">#REF!</definedName>
    <definedName name="S_Headings_23" localSheetId="21">#REF!</definedName>
    <definedName name="S_Headings_23" localSheetId="22">#REF!</definedName>
    <definedName name="S_Headings_23" localSheetId="9">#REF!</definedName>
    <definedName name="S_Headings_23" localSheetId="7">#REF!</definedName>
    <definedName name="S_Headings_23" localSheetId="16">#REF!</definedName>
    <definedName name="S_Headings_23" localSheetId="5">#REF!</definedName>
    <definedName name="S_Headings_23" localSheetId="17">#REF!</definedName>
    <definedName name="S_Headings_23">#REF!</definedName>
    <definedName name="S_Headings_5" localSheetId="21">#REF!</definedName>
    <definedName name="S_Headings_5" localSheetId="22">#REF!</definedName>
    <definedName name="S_Headings_5" localSheetId="9">#REF!</definedName>
    <definedName name="S_Headings_5" localSheetId="7">#REF!</definedName>
    <definedName name="S_Headings_5" localSheetId="16">#REF!</definedName>
    <definedName name="S_Headings_5" localSheetId="5">#REF!</definedName>
    <definedName name="S_Headings_5" localSheetId="17">#REF!</definedName>
    <definedName name="S_Headings_5">#REF!</definedName>
    <definedName name="S_Headings_8" localSheetId="21">#REF!</definedName>
    <definedName name="S_Headings_8" localSheetId="22">#REF!</definedName>
    <definedName name="S_Headings_8" localSheetId="9">#REF!</definedName>
    <definedName name="S_Headings_8" localSheetId="7">#REF!</definedName>
    <definedName name="S_Headings_8" localSheetId="16">#REF!</definedName>
    <definedName name="S_Headings_8" localSheetId="5">#REF!</definedName>
    <definedName name="S_Headings_8" localSheetId="17">#REF!</definedName>
    <definedName name="S_Headings_8">#REF!</definedName>
    <definedName name="S_KeyValue" localSheetId="21">#REF!</definedName>
    <definedName name="S_KeyValue" localSheetId="22">#REF!</definedName>
    <definedName name="S_KeyValue" localSheetId="9">#REF!</definedName>
    <definedName name="S_KeyValue" localSheetId="16">#REF!</definedName>
    <definedName name="S_KeyValue" localSheetId="5">#REF!</definedName>
    <definedName name="S_KeyValue" localSheetId="17">#REF!</definedName>
    <definedName name="S_KeyValue">#REF!</definedName>
    <definedName name="S_KeyValue_1" localSheetId="21">#REF!</definedName>
    <definedName name="S_KeyValue_1" localSheetId="22">#REF!</definedName>
    <definedName name="S_KeyValue_1" localSheetId="9">#REF!</definedName>
    <definedName name="S_KeyValue_1" localSheetId="7">#REF!</definedName>
    <definedName name="S_KeyValue_1" localSheetId="16">#REF!</definedName>
    <definedName name="S_KeyValue_1" localSheetId="5">#REF!</definedName>
    <definedName name="S_KeyValue_1" localSheetId="17">#REF!</definedName>
    <definedName name="S_KeyValue_1">#REF!</definedName>
    <definedName name="S_KeyValue_20" localSheetId="21">#REF!</definedName>
    <definedName name="S_KeyValue_20" localSheetId="22">#REF!</definedName>
    <definedName name="S_KeyValue_20" localSheetId="9">#REF!</definedName>
    <definedName name="S_KeyValue_20" localSheetId="7">#REF!</definedName>
    <definedName name="S_KeyValue_20" localSheetId="16">#REF!</definedName>
    <definedName name="S_KeyValue_20" localSheetId="5">#REF!</definedName>
    <definedName name="S_KeyValue_20" localSheetId="17">#REF!</definedName>
    <definedName name="S_KeyValue_20">#REF!</definedName>
    <definedName name="S_KeyValue_21" localSheetId="21">#REF!</definedName>
    <definedName name="S_KeyValue_21" localSheetId="22">#REF!</definedName>
    <definedName name="S_KeyValue_21" localSheetId="9">#REF!</definedName>
    <definedName name="S_KeyValue_21" localSheetId="7">#REF!</definedName>
    <definedName name="S_KeyValue_21" localSheetId="16">#REF!</definedName>
    <definedName name="S_KeyValue_21" localSheetId="5">#REF!</definedName>
    <definedName name="S_KeyValue_21" localSheetId="17">#REF!</definedName>
    <definedName name="S_KeyValue_21">#REF!</definedName>
    <definedName name="S_KeyValue_23" localSheetId="21">#REF!</definedName>
    <definedName name="S_KeyValue_23" localSheetId="22">#REF!</definedName>
    <definedName name="S_KeyValue_23" localSheetId="9">#REF!</definedName>
    <definedName name="S_KeyValue_23" localSheetId="7">#REF!</definedName>
    <definedName name="S_KeyValue_23" localSheetId="16">#REF!</definedName>
    <definedName name="S_KeyValue_23" localSheetId="5">#REF!</definedName>
    <definedName name="S_KeyValue_23" localSheetId="17">#REF!</definedName>
    <definedName name="S_KeyValue_23">#REF!</definedName>
    <definedName name="S_KeyValue_5" localSheetId="21">#REF!</definedName>
    <definedName name="S_KeyValue_5" localSheetId="22">#REF!</definedName>
    <definedName name="S_KeyValue_5" localSheetId="9">#REF!</definedName>
    <definedName name="S_KeyValue_5" localSheetId="7">#REF!</definedName>
    <definedName name="S_KeyValue_5" localSheetId="16">#REF!</definedName>
    <definedName name="S_KeyValue_5" localSheetId="5">#REF!</definedName>
    <definedName name="S_KeyValue_5" localSheetId="17">#REF!</definedName>
    <definedName name="S_KeyValue_5">#REF!</definedName>
    <definedName name="S_KeyValue_8" localSheetId="21">#REF!</definedName>
    <definedName name="S_KeyValue_8" localSheetId="22">#REF!</definedName>
    <definedName name="S_KeyValue_8" localSheetId="9">#REF!</definedName>
    <definedName name="S_KeyValue_8" localSheetId="7">#REF!</definedName>
    <definedName name="S_KeyValue_8" localSheetId="16">#REF!</definedName>
    <definedName name="S_KeyValue_8" localSheetId="5">#REF!</definedName>
    <definedName name="S_KeyValue_8" localSheetId="17">#REF!</definedName>
    <definedName name="S_KeyValue_8">#REF!</definedName>
    <definedName name="S_PY_End" localSheetId="21">#REF!</definedName>
    <definedName name="S_PY_End" localSheetId="22">#REF!</definedName>
    <definedName name="S_PY_End" localSheetId="9">#REF!</definedName>
    <definedName name="S_PY_End" localSheetId="2">[35]Breakups!#REF!</definedName>
    <definedName name="S_PY_End" localSheetId="16">#REF!</definedName>
    <definedName name="S_PY_End" localSheetId="5">#REF!</definedName>
    <definedName name="S_PY_End" localSheetId="17">#REF!</definedName>
    <definedName name="S_PY_End">#REF!</definedName>
    <definedName name="S_PY_End_1" localSheetId="21">#REF!</definedName>
    <definedName name="S_PY_End_1" localSheetId="22">#REF!</definedName>
    <definedName name="S_PY_End_1" localSheetId="9">#REF!</definedName>
    <definedName name="S_PY_End_1" localSheetId="7">#REF!</definedName>
    <definedName name="S_PY_End_1" localSheetId="16">#REF!</definedName>
    <definedName name="S_PY_End_1" localSheetId="5">#REF!</definedName>
    <definedName name="S_PY_End_1" localSheetId="17">#REF!</definedName>
    <definedName name="S_PY_End_1">#REF!</definedName>
    <definedName name="S_PY_End_20" localSheetId="21">#REF!</definedName>
    <definedName name="S_PY_End_20" localSheetId="22">#REF!</definedName>
    <definedName name="S_PY_End_20" localSheetId="9">#REF!</definedName>
    <definedName name="S_PY_End_20" localSheetId="7">#REF!</definedName>
    <definedName name="S_PY_End_20" localSheetId="16">#REF!</definedName>
    <definedName name="S_PY_End_20" localSheetId="5">#REF!</definedName>
    <definedName name="S_PY_End_20" localSheetId="17">#REF!</definedName>
    <definedName name="S_PY_End_20">#REF!</definedName>
    <definedName name="S_PY_End_21" localSheetId="21">#REF!</definedName>
    <definedName name="S_PY_End_21" localSheetId="22">#REF!</definedName>
    <definedName name="S_PY_End_21" localSheetId="9">#REF!</definedName>
    <definedName name="S_PY_End_21" localSheetId="7">#REF!</definedName>
    <definedName name="S_PY_End_21" localSheetId="16">#REF!</definedName>
    <definedName name="S_PY_End_21" localSheetId="5">#REF!</definedName>
    <definedName name="S_PY_End_21" localSheetId="17">#REF!</definedName>
    <definedName name="S_PY_End_21">#REF!</definedName>
    <definedName name="S_PY_End_23" localSheetId="21">#REF!</definedName>
    <definedName name="S_PY_End_23" localSheetId="22">#REF!</definedName>
    <definedName name="S_PY_End_23" localSheetId="9">#REF!</definedName>
    <definedName name="S_PY_End_23" localSheetId="7">#REF!</definedName>
    <definedName name="S_PY_End_23" localSheetId="16">#REF!</definedName>
    <definedName name="S_PY_End_23" localSheetId="5">#REF!</definedName>
    <definedName name="S_PY_End_23" localSheetId="17">#REF!</definedName>
    <definedName name="S_PY_End_23">#REF!</definedName>
    <definedName name="S_PY_End_5" localSheetId="21">#REF!</definedName>
    <definedName name="S_PY_End_5" localSheetId="22">#REF!</definedName>
    <definedName name="S_PY_End_5" localSheetId="9">#REF!</definedName>
    <definedName name="S_PY_End_5" localSheetId="7">#REF!</definedName>
    <definedName name="S_PY_End_5" localSheetId="16">#REF!</definedName>
    <definedName name="S_PY_End_5" localSheetId="5">#REF!</definedName>
    <definedName name="S_PY_End_5" localSheetId="17">#REF!</definedName>
    <definedName name="S_PY_End_5">#REF!</definedName>
    <definedName name="S_PY_End_8" localSheetId="21">#REF!</definedName>
    <definedName name="S_PY_End_8" localSheetId="22">#REF!</definedName>
    <definedName name="S_PY_End_8" localSheetId="9">#REF!</definedName>
    <definedName name="S_PY_End_8" localSheetId="7">#REF!</definedName>
    <definedName name="S_PY_End_8" localSheetId="16">#REF!</definedName>
    <definedName name="S_PY_End_8" localSheetId="5">#REF!</definedName>
    <definedName name="S_PY_End_8" localSheetId="17">#REF!</definedName>
    <definedName name="S_PY_End_8">#REF!</definedName>
    <definedName name="S_PY_End_Data" localSheetId="21">#REF!</definedName>
    <definedName name="S_PY_End_Data" localSheetId="7">[79]Lead!$M$1:$M$459</definedName>
    <definedName name="S_PY_End_Data" localSheetId="2">[35]Breakups!#REF!</definedName>
    <definedName name="S_PY_End_Data">[80]Lead!$M$1:$M$553</definedName>
    <definedName name="S_PY_End_Data_1" localSheetId="21">#REF!</definedName>
    <definedName name="S_PY_End_Data_1" localSheetId="22">#REF!</definedName>
    <definedName name="S_PY_End_Data_1" localSheetId="9">#REF!</definedName>
    <definedName name="S_PY_End_Data_1" localSheetId="7">#REF!</definedName>
    <definedName name="S_PY_End_Data_1" localSheetId="16">#REF!</definedName>
    <definedName name="S_PY_End_Data_1" localSheetId="5">#REF!</definedName>
    <definedName name="S_PY_End_Data_1" localSheetId="17">#REF!</definedName>
    <definedName name="S_PY_End_Data_1">#REF!</definedName>
    <definedName name="S_PY_End_Data_20" localSheetId="21">#REF!</definedName>
    <definedName name="S_PY_End_Data_20" localSheetId="22">#REF!</definedName>
    <definedName name="S_PY_End_Data_20" localSheetId="9">#REF!</definedName>
    <definedName name="S_PY_End_Data_20" localSheetId="7">#REF!</definedName>
    <definedName name="S_PY_End_Data_20" localSheetId="16">#REF!</definedName>
    <definedName name="S_PY_End_Data_20" localSheetId="5">#REF!</definedName>
    <definedName name="S_PY_End_Data_20" localSheetId="17">#REF!</definedName>
    <definedName name="S_PY_End_Data_20">#REF!</definedName>
    <definedName name="S_PY_End_Data_21" localSheetId="21">#REF!</definedName>
    <definedName name="S_PY_End_Data_21" localSheetId="22">#REF!</definedName>
    <definedName name="S_PY_End_Data_21" localSheetId="9">#REF!</definedName>
    <definedName name="S_PY_End_Data_21" localSheetId="7">#REF!</definedName>
    <definedName name="S_PY_End_Data_21" localSheetId="16">#REF!</definedName>
    <definedName name="S_PY_End_Data_21" localSheetId="5">#REF!</definedName>
    <definedName name="S_PY_End_Data_21" localSheetId="17">#REF!</definedName>
    <definedName name="S_PY_End_Data_21">#REF!</definedName>
    <definedName name="S_PY_End_Data_23" localSheetId="21">#REF!</definedName>
    <definedName name="S_PY_End_Data_23" localSheetId="22">#REF!</definedName>
    <definedName name="S_PY_End_Data_23" localSheetId="9">#REF!</definedName>
    <definedName name="S_PY_End_Data_23" localSheetId="7">#REF!</definedName>
    <definedName name="S_PY_End_Data_23" localSheetId="16">#REF!</definedName>
    <definedName name="S_PY_End_Data_23" localSheetId="5">#REF!</definedName>
    <definedName name="S_PY_End_Data_23" localSheetId="17">#REF!</definedName>
    <definedName name="S_PY_End_Data_23">#REF!</definedName>
    <definedName name="S_PY_End_Data_5" localSheetId="21">#REF!</definedName>
    <definedName name="S_PY_End_Data_5" localSheetId="22">#REF!</definedName>
    <definedName name="S_PY_End_Data_5" localSheetId="9">#REF!</definedName>
    <definedName name="S_PY_End_Data_5" localSheetId="7">#REF!</definedName>
    <definedName name="S_PY_End_Data_5" localSheetId="16">#REF!</definedName>
    <definedName name="S_PY_End_Data_5" localSheetId="5">#REF!</definedName>
    <definedName name="S_PY_End_Data_5" localSheetId="17">#REF!</definedName>
    <definedName name="S_PY_End_Data_5">#REF!</definedName>
    <definedName name="S_PY_End_Data_8" localSheetId="21">#REF!</definedName>
    <definedName name="S_PY_End_Data_8" localSheetId="22">#REF!</definedName>
    <definedName name="S_PY_End_Data_8" localSheetId="9">#REF!</definedName>
    <definedName name="S_PY_End_Data_8" localSheetId="7">#REF!</definedName>
    <definedName name="S_PY_End_Data_8" localSheetId="16">#REF!</definedName>
    <definedName name="S_PY_End_Data_8" localSheetId="5">#REF!</definedName>
    <definedName name="S_PY_End_Data_8" localSheetId="17">#REF!</definedName>
    <definedName name="S_PY_End_Data_8">#REF!</definedName>
    <definedName name="S_PY_End_GT" localSheetId="21">#REF!</definedName>
    <definedName name="S_PY_End_GT" localSheetId="22">#REF!</definedName>
    <definedName name="S_PY_End_GT" localSheetId="9">#REF!</definedName>
    <definedName name="S_PY_End_GT" localSheetId="2">[35]Breakups!#REF!</definedName>
    <definedName name="S_PY_End_GT" localSheetId="16">#REF!</definedName>
    <definedName name="S_PY_End_GT" localSheetId="5">#REF!</definedName>
    <definedName name="S_PY_End_GT" localSheetId="17">#REF!</definedName>
    <definedName name="S_PY_End_GT">#REF!</definedName>
    <definedName name="S_PY_End_GT_1" localSheetId="21">#REF!</definedName>
    <definedName name="S_PY_End_GT_1" localSheetId="22">#REF!</definedName>
    <definedName name="S_PY_End_GT_1" localSheetId="9">#REF!</definedName>
    <definedName name="S_PY_End_GT_1" localSheetId="7">#REF!</definedName>
    <definedName name="S_PY_End_GT_1" localSheetId="16">#REF!</definedName>
    <definedName name="S_PY_End_GT_1" localSheetId="5">#REF!</definedName>
    <definedName name="S_PY_End_GT_1" localSheetId="17">#REF!</definedName>
    <definedName name="S_PY_End_GT_1">#REF!</definedName>
    <definedName name="S_PY_End_GT_20" localSheetId="21">#REF!</definedName>
    <definedName name="S_PY_End_GT_20" localSheetId="22">#REF!</definedName>
    <definedName name="S_PY_End_GT_20" localSheetId="9">#REF!</definedName>
    <definedName name="S_PY_End_GT_20" localSheetId="7">#REF!</definedName>
    <definedName name="S_PY_End_GT_20" localSheetId="16">#REF!</definedName>
    <definedName name="S_PY_End_GT_20" localSheetId="5">#REF!</definedName>
    <definedName name="S_PY_End_GT_20" localSheetId="17">#REF!</definedName>
    <definedName name="S_PY_End_GT_20">#REF!</definedName>
    <definedName name="S_PY_End_GT_21" localSheetId="21">#REF!</definedName>
    <definedName name="S_PY_End_GT_21" localSheetId="22">#REF!</definedName>
    <definedName name="S_PY_End_GT_21" localSheetId="9">#REF!</definedName>
    <definedName name="S_PY_End_GT_21" localSheetId="7">#REF!</definedName>
    <definedName name="S_PY_End_GT_21" localSheetId="16">#REF!</definedName>
    <definedName name="S_PY_End_GT_21" localSheetId="5">#REF!</definedName>
    <definedName name="S_PY_End_GT_21" localSheetId="17">#REF!</definedName>
    <definedName name="S_PY_End_GT_21">#REF!</definedName>
    <definedName name="S_PY_End_GT_23" localSheetId="21">#REF!</definedName>
    <definedName name="S_PY_End_GT_23" localSheetId="22">#REF!</definedName>
    <definedName name="S_PY_End_GT_23" localSheetId="9">#REF!</definedName>
    <definedName name="S_PY_End_GT_23" localSheetId="7">#REF!</definedName>
    <definedName name="S_PY_End_GT_23" localSheetId="16">#REF!</definedName>
    <definedName name="S_PY_End_GT_23" localSheetId="5">#REF!</definedName>
    <definedName name="S_PY_End_GT_23" localSheetId="17">#REF!</definedName>
    <definedName name="S_PY_End_GT_23">#REF!</definedName>
    <definedName name="S_PY_End_GT_5" localSheetId="21">#REF!</definedName>
    <definedName name="S_PY_End_GT_5" localSheetId="22">#REF!</definedName>
    <definedName name="S_PY_End_GT_5" localSheetId="9">#REF!</definedName>
    <definedName name="S_PY_End_GT_5" localSheetId="7">#REF!</definedName>
    <definedName name="S_PY_End_GT_5" localSheetId="16">#REF!</definedName>
    <definedName name="S_PY_End_GT_5" localSheetId="5">#REF!</definedName>
    <definedName name="S_PY_End_GT_5" localSheetId="17">#REF!</definedName>
    <definedName name="S_PY_End_GT_5">#REF!</definedName>
    <definedName name="S_PY_End_GT_8" localSheetId="21">#REF!</definedName>
    <definedName name="S_PY_End_GT_8" localSheetId="22">#REF!</definedName>
    <definedName name="S_PY_End_GT_8" localSheetId="9">#REF!</definedName>
    <definedName name="S_PY_End_GT_8" localSheetId="7">#REF!</definedName>
    <definedName name="S_PY_End_GT_8" localSheetId="16">#REF!</definedName>
    <definedName name="S_PY_End_GT_8" localSheetId="5">#REF!</definedName>
    <definedName name="S_PY_End_GT_8" localSheetId="17">#REF!</definedName>
    <definedName name="S_PY_End_GT_8">#REF!</definedName>
    <definedName name="S_RJE_Tot" localSheetId="21">#REF!</definedName>
    <definedName name="S_RJE_Tot" localSheetId="22">#REF!</definedName>
    <definedName name="S_RJE_Tot" localSheetId="9">#REF!</definedName>
    <definedName name="S_RJE_Tot" localSheetId="16">#REF!</definedName>
    <definedName name="S_RJE_Tot" localSheetId="5">#REF!</definedName>
    <definedName name="S_RJE_Tot" localSheetId="17">#REF!</definedName>
    <definedName name="S_RJE_Tot">#REF!</definedName>
    <definedName name="S_RJE_Tot_1" localSheetId="21">#REF!</definedName>
    <definedName name="S_RJE_Tot_1" localSheetId="22">#REF!</definedName>
    <definedName name="S_RJE_Tot_1" localSheetId="9">#REF!</definedName>
    <definedName name="S_RJE_Tot_1" localSheetId="7">#REF!</definedName>
    <definedName name="S_RJE_Tot_1" localSheetId="16">#REF!</definedName>
    <definedName name="S_RJE_Tot_1" localSheetId="5">#REF!</definedName>
    <definedName name="S_RJE_Tot_1" localSheetId="17">#REF!</definedName>
    <definedName name="S_RJE_Tot_1">#REF!</definedName>
    <definedName name="S_RJE_Tot_20" localSheetId="21">#REF!</definedName>
    <definedName name="S_RJE_Tot_20" localSheetId="22">#REF!</definedName>
    <definedName name="S_RJE_Tot_20" localSheetId="9">#REF!</definedName>
    <definedName name="S_RJE_Tot_20" localSheetId="7">#REF!</definedName>
    <definedName name="S_RJE_Tot_20" localSheetId="16">#REF!</definedName>
    <definedName name="S_RJE_Tot_20" localSheetId="5">#REF!</definedName>
    <definedName name="S_RJE_Tot_20" localSheetId="17">#REF!</definedName>
    <definedName name="S_RJE_Tot_20">#REF!</definedName>
    <definedName name="S_RJE_Tot_21" localSheetId="21">#REF!</definedName>
    <definedName name="S_RJE_Tot_21" localSheetId="22">#REF!</definedName>
    <definedName name="S_RJE_Tot_21" localSheetId="9">#REF!</definedName>
    <definedName name="S_RJE_Tot_21" localSheetId="7">#REF!</definedName>
    <definedName name="S_RJE_Tot_21" localSheetId="16">#REF!</definedName>
    <definedName name="S_RJE_Tot_21" localSheetId="5">#REF!</definedName>
    <definedName name="S_RJE_Tot_21" localSheetId="17">#REF!</definedName>
    <definedName name="S_RJE_Tot_21">#REF!</definedName>
    <definedName name="S_RJE_Tot_23" localSheetId="21">#REF!</definedName>
    <definedName name="S_RJE_Tot_23" localSheetId="22">#REF!</definedName>
    <definedName name="S_RJE_Tot_23" localSheetId="9">#REF!</definedName>
    <definedName name="S_RJE_Tot_23" localSheetId="7">#REF!</definedName>
    <definedName name="S_RJE_Tot_23" localSheetId="16">#REF!</definedName>
    <definedName name="S_RJE_Tot_23" localSheetId="5">#REF!</definedName>
    <definedName name="S_RJE_Tot_23" localSheetId="17">#REF!</definedName>
    <definedName name="S_RJE_Tot_23">#REF!</definedName>
    <definedName name="S_RJE_Tot_5" localSheetId="21">#REF!</definedName>
    <definedName name="S_RJE_Tot_5" localSheetId="22">#REF!</definedName>
    <definedName name="S_RJE_Tot_5" localSheetId="9">#REF!</definedName>
    <definedName name="S_RJE_Tot_5" localSheetId="7">#REF!</definedName>
    <definedName name="S_RJE_Tot_5" localSheetId="16">#REF!</definedName>
    <definedName name="S_RJE_Tot_5" localSheetId="5">#REF!</definedName>
    <definedName name="S_RJE_Tot_5" localSheetId="17">#REF!</definedName>
    <definedName name="S_RJE_Tot_5">#REF!</definedName>
    <definedName name="S_RJE_Tot_8" localSheetId="21">#REF!</definedName>
    <definedName name="S_RJE_Tot_8" localSheetId="22">#REF!</definedName>
    <definedName name="S_RJE_Tot_8" localSheetId="9">#REF!</definedName>
    <definedName name="S_RJE_Tot_8" localSheetId="7">#REF!</definedName>
    <definedName name="S_RJE_Tot_8" localSheetId="16">#REF!</definedName>
    <definedName name="S_RJE_Tot_8" localSheetId="5">#REF!</definedName>
    <definedName name="S_RJE_Tot_8" localSheetId="17">#REF!</definedName>
    <definedName name="S_RJE_Tot_8">#REF!</definedName>
    <definedName name="S_RJE_Tot_Data" localSheetId="21">#REF!</definedName>
    <definedName name="S_RJE_Tot_Data" localSheetId="7">[79]Lead!$J$1:$J$459</definedName>
    <definedName name="S_RJE_Tot_Data">[80]Lead!$J$1:$J$553</definedName>
    <definedName name="S_RJE_Tot_Data_1" localSheetId="21">#REF!</definedName>
    <definedName name="S_RJE_Tot_Data_1" localSheetId="22">#REF!</definedName>
    <definedName name="S_RJE_Tot_Data_1" localSheetId="9">#REF!</definedName>
    <definedName name="S_RJE_Tot_Data_1" localSheetId="7">#REF!</definedName>
    <definedName name="S_RJE_Tot_Data_1" localSheetId="16">#REF!</definedName>
    <definedName name="S_RJE_Tot_Data_1" localSheetId="5">#REF!</definedName>
    <definedName name="S_RJE_Tot_Data_1" localSheetId="17">#REF!</definedName>
    <definedName name="S_RJE_Tot_Data_1">#REF!</definedName>
    <definedName name="S_RJE_Tot_Data_20" localSheetId="21">#REF!</definedName>
    <definedName name="S_RJE_Tot_Data_20" localSheetId="22">#REF!</definedName>
    <definedName name="S_RJE_Tot_Data_20" localSheetId="9">#REF!</definedName>
    <definedName name="S_RJE_Tot_Data_20" localSheetId="7">#REF!</definedName>
    <definedName name="S_RJE_Tot_Data_20" localSheetId="16">#REF!</definedName>
    <definedName name="S_RJE_Tot_Data_20" localSheetId="5">#REF!</definedName>
    <definedName name="S_RJE_Tot_Data_20" localSheetId="17">#REF!</definedName>
    <definedName name="S_RJE_Tot_Data_20">#REF!</definedName>
    <definedName name="S_RJE_Tot_Data_21" localSheetId="21">#REF!</definedName>
    <definedName name="S_RJE_Tot_Data_21" localSheetId="22">#REF!</definedName>
    <definedName name="S_RJE_Tot_Data_21" localSheetId="9">#REF!</definedName>
    <definedName name="S_RJE_Tot_Data_21" localSheetId="7">#REF!</definedName>
    <definedName name="S_RJE_Tot_Data_21" localSheetId="16">#REF!</definedName>
    <definedName name="S_RJE_Tot_Data_21" localSheetId="5">#REF!</definedName>
    <definedName name="S_RJE_Tot_Data_21" localSheetId="17">#REF!</definedName>
    <definedName name="S_RJE_Tot_Data_21">#REF!</definedName>
    <definedName name="S_RJE_Tot_Data_23" localSheetId="21">#REF!</definedName>
    <definedName name="S_RJE_Tot_Data_23" localSheetId="22">#REF!</definedName>
    <definedName name="S_RJE_Tot_Data_23" localSheetId="9">#REF!</definedName>
    <definedName name="S_RJE_Tot_Data_23" localSheetId="7">#REF!</definedName>
    <definedName name="S_RJE_Tot_Data_23" localSheetId="16">#REF!</definedName>
    <definedName name="S_RJE_Tot_Data_23" localSheetId="5">#REF!</definedName>
    <definedName name="S_RJE_Tot_Data_23" localSheetId="17">#REF!</definedName>
    <definedName name="S_RJE_Tot_Data_23">#REF!</definedName>
    <definedName name="S_RJE_Tot_Data_5" localSheetId="21">#REF!</definedName>
    <definedName name="S_RJE_Tot_Data_5" localSheetId="22">#REF!</definedName>
    <definedName name="S_RJE_Tot_Data_5" localSheetId="9">#REF!</definedName>
    <definedName name="S_RJE_Tot_Data_5" localSheetId="7">#REF!</definedName>
    <definedName name="S_RJE_Tot_Data_5" localSheetId="16">#REF!</definedName>
    <definedName name="S_RJE_Tot_Data_5" localSheetId="5">#REF!</definedName>
    <definedName name="S_RJE_Tot_Data_5" localSheetId="17">#REF!</definedName>
    <definedName name="S_RJE_Tot_Data_5">#REF!</definedName>
    <definedName name="S_RJE_Tot_Data_8" localSheetId="21">#REF!</definedName>
    <definedName name="S_RJE_Tot_Data_8" localSheetId="22">#REF!</definedName>
    <definedName name="S_RJE_Tot_Data_8" localSheetId="9">#REF!</definedName>
    <definedName name="S_RJE_Tot_Data_8" localSheetId="7">#REF!</definedName>
    <definedName name="S_RJE_Tot_Data_8" localSheetId="16">#REF!</definedName>
    <definedName name="S_RJE_Tot_Data_8" localSheetId="5">#REF!</definedName>
    <definedName name="S_RJE_Tot_Data_8" localSheetId="17">#REF!</definedName>
    <definedName name="S_RJE_Tot_Data_8">#REF!</definedName>
    <definedName name="S_RJE_Tot_GT" localSheetId="21">#REF!</definedName>
    <definedName name="S_RJE_Tot_GT" localSheetId="22">#REF!</definedName>
    <definedName name="S_RJE_Tot_GT" localSheetId="9">#REF!</definedName>
    <definedName name="S_RJE_Tot_GT" localSheetId="16">#REF!</definedName>
    <definedName name="S_RJE_Tot_GT" localSheetId="5">#REF!</definedName>
    <definedName name="S_RJE_Tot_GT" localSheetId="17">#REF!</definedName>
    <definedName name="S_RJE_Tot_GT">#REF!</definedName>
    <definedName name="S_RJE_Tot_GT_1" localSheetId="21">#REF!</definedName>
    <definedName name="S_RJE_Tot_GT_1" localSheetId="22">#REF!</definedName>
    <definedName name="S_RJE_Tot_GT_1" localSheetId="9">#REF!</definedName>
    <definedName name="S_RJE_Tot_GT_1" localSheetId="7">#REF!</definedName>
    <definedName name="S_RJE_Tot_GT_1" localSheetId="16">#REF!</definedName>
    <definedName name="S_RJE_Tot_GT_1" localSheetId="5">#REF!</definedName>
    <definedName name="S_RJE_Tot_GT_1" localSheetId="17">#REF!</definedName>
    <definedName name="S_RJE_Tot_GT_1">#REF!</definedName>
    <definedName name="S_RJE_Tot_GT_20" localSheetId="21">#REF!</definedName>
    <definedName name="S_RJE_Tot_GT_20" localSheetId="22">#REF!</definedName>
    <definedName name="S_RJE_Tot_GT_20" localSheetId="9">#REF!</definedName>
    <definedName name="S_RJE_Tot_GT_20" localSheetId="7">#REF!</definedName>
    <definedName name="S_RJE_Tot_GT_20" localSheetId="16">#REF!</definedName>
    <definedName name="S_RJE_Tot_GT_20" localSheetId="5">#REF!</definedName>
    <definedName name="S_RJE_Tot_GT_20" localSheetId="17">#REF!</definedName>
    <definedName name="S_RJE_Tot_GT_20">#REF!</definedName>
    <definedName name="S_RJE_Tot_GT_21" localSheetId="21">#REF!</definedName>
    <definedName name="S_RJE_Tot_GT_21" localSheetId="22">#REF!</definedName>
    <definedName name="S_RJE_Tot_GT_21" localSheetId="9">#REF!</definedName>
    <definedName name="S_RJE_Tot_GT_21" localSheetId="7">#REF!</definedName>
    <definedName name="S_RJE_Tot_GT_21" localSheetId="16">#REF!</definedName>
    <definedName name="S_RJE_Tot_GT_21" localSheetId="5">#REF!</definedName>
    <definedName name="S_RJE_Tot_GT_21" localSheetId="17">#REF!</definedName>
    <definedName name="S_RJE_Tot_GT_21">#REF!</definedName>
    <definedName name="S_RJE_Tot_GT_23" localSheetId="21">#REF!</definedName>
    <definedName name="S_RJE_Tot_GT_23" localSheetId="22">#REF!</definedName>
    <definedName name="S_RJE_Tot_GT_23" localSheetId="9">#REF!</definedName>
    <definedName name="S_RJE_Tot_GT_23" localSheetId="7">#REF!</definedName>
    <definedName name="S_RJE_Tot_GT_23" localSheetId="16">#REF!</definedName>
    <definedName name="S_RJE_Tot_GT_23" localSheetId="5">#REF!</definedName>
    <definedName name="S_RJE_Tot_GT_23" localSheetId="17">#REF!</definedName>
    <definedName name="S_RJE_Tot_GT_23">#REF!</definedName>
    <definedName name="S_RJE_Tot_GT_5" localSheetId="21">#REF!</definedName>
    <definedName name="S_RJE_Tot_GT_5" localSheetId="22">#REF!</definedName>
    <definedName name="S_RJE_Tot_GT_5" localSheetId="9">#REF!</definedName>
    <definedName name="S_RJE_Tot_GT_5" localSheetId="7">#REF!</definedName>
    <definedName name="S_RJE_Tot_GT_5" localSheetId="16">#REF!</definedName>
    <definedName name="S_RJE_Tot_GT_5" localSheetId="5">#REF!</definedName>
    <definedName name="S_RJE_Tot_GT_5" localSheetId="17">#REF!</definedName>
    <definedName name="S_RJE_Tot_GT_5">#REF!</definedName>
    <definedName name="S_RJE_Tot_GT_8" localSheetId="21">#REF!</definedName>
    <definedName name="S_RJE_Tot_GT_8" localSheetId="22">#REF!</definedName>
    <definedName name="S_RJE_Tot_GT_8" localSheetId="9">#REF!</definedName>
    <definedName name="S_RJE_Tot_GT_8" localSheetId="7">#REF!</definedName>
    <definedName name="S_RJE_Tot_GT_8" localSheetId="16">#REF!</definedName>
    <definedName name="S_RJE_Tot_GT_8" localSheetId="5">#REF!</definedName>
    <definedName name="S_RJE_Tot_GT_8" localSheetId="17">#REF!</definedName>
    <definedName name="S_RJE_Tot_GT_8">#REF!</definedName>
    <definedName name="S_RowNum" localSheetId="21">#REF!</definedName>
    <definedName name="S_RowNum" localSheetId="22">#REF!</definedName>
    <definedName name="S_RowNum" localSheetId="9">#REF!</definedName>
    <definedName name="S_RowNum" localSheetId="16">#REF!</definedName>
    <definedName name="S_RowNum" localSheetId="5">#REF!</definedName>
    <definedName name="S_RowNum" localSheetId="17">#REF!</definedName>
    <definedName name="S_RowNum">#REF!</definedName>
    <definedName name="S_RowNum_1" localSheetId="21">#REF!</definedName>
    <definedName name="S_RowNum_1" localSheetId="22">#REF!</definedName>
    <definedName name="S_RowNum_1" localSheetId="9">#REF!</definedName>
    <definedName name="S_RowNum_1" localSheetId="7">#REF!</definedName>
    <definedName name="S_RowNum_1" localSheetId="16">#REF!</definedName>
    <definedName name="S_RowNum_1" localSheetId="5">#REF!</definedName>
    <definedName name="S_RowNum_1" localSheetId="17">#REF!</definedName>
    <definedName name="S_RowNum_1">#REF!</definedName>
    <definedName name="S_RowNum_20" localSheetId="21">#REF!</definedName>
    <definedName name="S_RowNum_20" localSheetId="22">#REF!</definedName>
    <definedName name="S_RowNum_20" localSheetId="9">#REF!</definedName>
    <definedName name="S_RowNum_20" localSheetId="7">#REF!</definedName>
    <definedName name="S_RowNum_20" localSheetId="16">#REF!</definedName>
    <definedName name="S_RowNum_20" localSheetId="5">#REF!</definedName>
    <definedName name="S_RowNum_20" localSheetId="17">#REF!</definedName>
    <definedName name="S_RowNum_20">#REF!</definedName>
    <definedName name="S_RowNum_21" localSheetId="21">#REF!</definedName>
    <definedName name="S_RowNum_21" localSheetId="22">#REF!</definedName>
    <definedName name="S_RowNum_21" localSheetId="9">#REF!</definedName>
    <definedName name="S_RowNum_21" localSheetId="7">#REF!</definedName>
    <definedName name="S_RowNum_21" localSheetId="16">#REF!</definedName>
    <definedName name="S_RowNum_21" localSheetId="5">#REF!</definedName>
    <definedName name="S_RowNum_21" localSheetId="17">#REF!</definedName>
    <definedName name="S_RowNum_21">#REF!</definedName>
    <definedName name="S_RowNum_23" localSheetId="21">#REF!</definedName>
    <definedName name="S_RowNum_23" localSheetId="22">#REF!</definedName>
    <definedName name="S_RowNum_23" localSheetId="9">#REF!</definedName>
    <definedName name="S_RowNum_23" localSheetId="7">#REF!</definedName>
    <definedName name="S_RowNum_23" localSheetId="16">#REF!</definedName>
    <definedName name="S_RowNum_23" localSheetId="5">#REF!</definedName>
    <definedName name="S_RowNum_23" localSheetId="17">#REF!</definedName>
    <definedName name="S_RowNum_23">#REF!</definedName>
    <definedName name="S_RowNum_5" localSheetId="21">#REF!</definedName>
    <definedName name="S_RowNum_5" localSheetId="22">#REF!</definedName>
    <definedName name="S_RowNum_5" localSheetId="9">#REF!</definedName>
    <definedName name="S_RowNum_5" localSheetId="7">#REF!</definedName>
    <definedName name="S_RowNum_5" localSheetId="16">#REF!</definedName>
    <definedName name="S_RowNum_5" localSheetId="5">#REF!</definedName>
    <definedName name="S_RowNum_5" localSheetId="17">#REF!</definedName>
    <definedName name="S_RowNum_5">#REF!</definedName>
    <definedName name="S_RowNum_8" localSheetId="21">#REF!</definedName>
    <definedName name="S_RowNum_8" localSheetId="22">#REF!</definedName>
    <definedName name="S_RowNum_8" localSheetId="9">#REF!</definedName>
    <definedName name="S_RowNum_8" localSheetId="7">#REF!</definedName>
    <definedName name="S_RowNum_8" localSheetId="16">#REF!</definedName>
    <definedName name="S_RowNum_8" localSheetId="5">#REF!</definedName>
    <definedName name="S_RowNum_8" localSheetId="17">#REF!</definedName>
    <definedName name="S_RowNum_8">#REF!</definedName>
    <definedName name="SA" localSheetId="21" hidden="1">{#N/A,#N/A,FALSE,"dec98qtr";#N/A,#N/A,FALSE,"suppdecsep98";#N/A,#N/A,FALSE,"w-dec98"}</definedName>
    <definedName name="SA" localSheetId="9" hidden="1">{#N/A,#N/A,FALSE,"dec98qtr";#N/A,#N/A,FALSE,"suppdecsep98";#N/A,#N/A,FALSE,"w-dec98"}</definedName>
    <definedName name="SA" localSheetId="11" hidden="1">{#N/A,#N/A,FALSE,"dec98qtr";#N/A,#N/A,FALSE,"suppdecsep98";#N/A,#N/A,FALSE,"w-dec98"}</definedName>
    <definedName name="SA" localSheetId="2" hidden="1">{#N/A,#N/A,FALSE,"dec98qtr";#N/A,#N/A,FALSE,"suppdecsep98";#N/A,#N/A,FALSE,"w-dec98"}</definedName>
    <definedName name="SA" hidden="1">{#N/A,#N/A,FALSE,"dec98qtr";#N/A,#N/A,FALSE,"suppdecsep98";#N/A,#N/A,FALSE,"w-dec98"}</definedName>
    <definedName name="sad" localSheetId="21" hidden="1">{"'CALL MONEY'!$K$53"}</definedName>
    <definedName name="sad" localSheetId="9" hidden="1">{"'CALL MONEY'!$K$53"}</definedName>
    <definedName name="sad" localSheetId="11" hidden="1">{"'CALL MONEY'!$K$53"}</definedName>
    <definedName name="sad" hidden="1">{"'CALL MONEY'!$K$53"}</definedName>
    <definedName name="sadfafasdf" localSheetId="21">#REF!</definedName>
    <definedName name="sadfafasdf" localSheetId="22">#REF!</definedName>
    <definedName name="sadfafasdf" localSheetId="9">#REF!</definedName>
    <definedName name="sadfafasdf" localSheetId="16">#REF!</definedName>
    <definedName name="sadfafasdf" localSheetId="5">#REF!</definedName>
    <definedName name="sadfafasdf" localSheetId="17">#REF!</definedName>
    <definedName name="sadfafasdf">#REF!</definedName>
    <definedName name="sal_apr" localSheetId="11">#REF!</definedName>
    <definedName name="sal_apr" localSheetId="7">#REF!</definedName>
    <definedName name="sal_apr">#REF!</definedName>
    <definedName name="SALE_FIG">#REF!</definedName>
    <definedName name="sale2000">'[99]INCOME 2004'!#REF!</definedName>
    <definedName name="SALES" localSheetId="21">[28]acct!#REF!</definedName>
    <definedName name="SALES" localSheetId="22">[29]acct!#REF!</definedName>
    <definedName name="SALES" localSheetId="9">[29]acct!#REF!</definedName>
    <definedName name="SALES" localSheetId="7">[28]acct!#REF!</definedName>
    <definedName name="SALES" localSheetId="2">[30]acct!#REF!</definedName>
    <definedName name="SALES" localSheetId="16">[29]acct!#REF!</definedName>
    <definedName name="SALES" localSheetId="5">[29]acct!#REF!</definedName>
    <definedName name="SALES" localSheetId="17">[29]acct!#REF!</definedName>
    <definedName name="SALES">[29]acct!#REF!</definedName>
    <definedName name="SALES_PLAN" localSheetId="21">#REF!</definedName>
    <definedName name="SALES_PLAN" localSheetId="22">#REF!</definedName>
    <definedName name="SALES_PLAN" localSheetId="9">#REF!</definedName>
    <definedName name="SALES_PLAN" localSheetId="2">#REF!</definedName>
    <definedName name="SALES_PLAN" localSheetId="16">#REF!</definedName>
    <definedName name="SALES_PLAN" localSheetId="5">#REF!</definedName>
    <definedName name="SALES_PLAN" localSheetId="17">#REF!</definedName>
    <definedName name="SALES_PLAN">#REF!</definedName>
    <definedName name="SALES_VALUE" localSheetId="21">#REF!</definedName>
    <definedName name="SALES_VALUE" localSheetId="22">#REF!</definedName>
    <definedName name="SALES_VALUE" localSheetId="9">#REF!</definedName>
    <definedName name="SALES_VALUE" localSheetId="2">#REF!</definedName>
    <definedName name="SALES_VALUE" localSheetId="16">#REF!</definedName>
    <definedName name="SALES_VALUE" localSheetId="5">#REF!</definedName>
    <definedName name="SALES_VALUE" localSheetId="17">#REF!</definedName>
    <definedName name="SALES_VALUE">#REF!</definedName>
    <definedName name="sam" localSheetId="21">#REF!</definedName>
    <definedName name="sam" localSheetId="22">#REF!</definedName>
    <definedName name="sam" localSheetId="9">#REF!</definedName>
    <definedName name="sam" localSheetId="7">#REF!</definedName>
    <definedName name="sam" localSheetId="16">#REF!</definedName>
    <definedName name="sam" localSheetId="5">#REF!</definedName>
    <definedName name="sam" localSheetId="17">#REF!</definedName>
    <definedName name="sam">#REF!</definedName>
    <definedName name="Samp_Ass" localSheetId="11">#REF!</definedName>
    <definedName name="Samp_Ass" localSheetId="7">#REF!</definedName>
    <definedName name="Samp_Ass">#REF!</definedName>
    <definedName name="Samp_Calc_Sample" localSheetId="11">#REF!</definedName>
    <definedName name="Samp_Calc_Sample" localSheetId="7">#REF!</definedName>
    <definedName name="Samp_Calc_Sample">#REF!</definedName>
    <definedName name="Samp_Calc_TM" localSheetId="11">#REF!</definedName>
    <definedName name="Samp_Calc_TM" localSheetId="7">#REF!</definedName>
    <definedName name="Samp_Calc_TM">#REF!</definedName>
    <definedName name="Samp_DSS" localSheetId="11">#REF!</definedName>
    <definedName name="Samp_DSS" localSheetId="7">#REF!</definedName>
    <definedName name="Samp_DSS">#REF!</definedName>
    <definedName name="Samp_EM_Per" localSheetId="11">#REF!</definedName>
    <definedName name="Samp_EM_Per" localSheetId="7">#REF!</definedName>
    <definedName name="Samp_EM_Per">#REF!</definedName>
    <definedName name="Samp_EM_T" localSheetId="11">#REF!</definedName>
    <definedName name="Samp_EM_T" localSheetId="7">#REF!</definedName>
    <definedName name="Samp_EM_T">#REF!</definedName>
    <definedName name="Samp_Factor" localSheetId="11">#REF!</definedName>
    <definedName name="Samp_Factor" localSheetId="7">#REF!</definedName>
    <definedName name="Samp_Factor">#REF!</definedName>
    <definedName name="Samp_Min_SS" localSheetId="11">#REF!</definedName>
    <definedName name="Samp_Min_SS" localSheetId="7">#REF!</definedName>
    <definedName name="Samp_Min_SS">#REF!</definedName>
    <definedName name="Samp_MTM" localSheetId="11">#REF!</definedName>
    <definedName name="Samp_MTM" localSheetId="7">#REF!</definedName>
    <definedName name="Samp_MTM">#REF!</definedName>
    <definedName name="Samp_PM" localSheetId="11">#REF!</definedName>
    <definedName name="Samp_PM" localSheetId="7">#REF!</definedName>
    <definedName name="Samp_PM">#REF!</definedName>
    <definedName name="Samp_Pre" localSheetId="11">#REF!</definedName>
    <definedName name="Samp_Pre" localSheetId="7">#REF!</definedName>
    <definedName name="Samp_Pre">#REF!</definedName>
    <definedName name="Samp_Pre_T" localSheetId="11">#REF!</definedName>
    <definedName name="Samp_Pre_T" localSheetId="7">#REF!</definedName>
    <definedName name="Samp_Pre_T">#REF!</definedName>
    <definedName name="Samp_RTB" localSheetId="11">#REF!</definedName>
    <definedName name="Samp_RTB" localSheetId="7">#REF!</definedName>
    <definedName name="Samp_RTB">#REF!</definedName>
    <definedName name="Samp_RTB_Desc" localSheetId="11">#REF!</definedName>
    <definedName name="Samp_RTB_Desc" localSheetId="7">#REF!</definedName>
    <definedName name="Samp_RTB_Desc">#REF!</definedName>
    <definedName name="Samp_Sel" localSheetId="11">#REF!</definedName>
    <definedName name="Samp_Sel" localSheetId="7">#REF!</definedName>
    <definedName name="Samp_Sel">#REF!</definedName>
    <definedName name="Samp_Small_Adj" localSheetId="11">#REF!</definedName>
    <definedName name="Samp_Small_Adj" localSheetId="7">#REF!</definedName>
    <definedName name="Samp_Small_Adj">#REF!</definedName>
    <definedName name="Samp_SS" localSheetId="11">#REF!</definedName>
    <definedName name="Samp_SS" localSheetId="7">#REF!</definedName>
    <definedName name="Samp_SS">#REF!</definedName>
    <definedName name="Samp_TM_Diff" localSheetId="11">#REF!</definedName>
    <definedName name="Samp_TM_Diff" localSheetId="7">#REF!</definedName>
    <definedName name="Samp_TM_Diff">#REF!</definedName>
    <definedName name="Samp_TM_Exp_Diff" localSheetId="11">#REF!</definedName>
    <definedName name="Samp_TM_Exp_Diff" localSheetId="7">#REF!</definedName>
    <definedName name="Samp_TM_Exp_Diff">#REF!</definedName>
    <definedName name="Samp_TM_N" localSheetId="11">#REF!</definedName>
    <definedName name="Samp_TM_N" localSheetId="7">#REF!</definedName>
    <definedName name="Samp_TM_N">#REF!</definedName>
    <definedName name="Samp_TM_Y" localSheetId="11">#REF!</definedName>
    <definedName name="Samp_TM_Y" localSheetId="7">#REF!</definedName>
    <definedName name="Samp_TM_Y">#REF!</definedName>
    <definedName name="Sampr_Factor" localSheetId="11">#REF!</definedName>
    <definedName name="Sampr_Factor" localSheetId="7">#REF!</definedName>
    <definedName name="Sampr_Factor">#REF!</definedName>
    <definedName name="SAVE">#REF!</definedName>
    <definedName name="SBP" localSheetId="21">'[104]Notes1-5'!#REF!</definedName>
    <definedName name="SBP" localSheetId="22">'[104]Notes1-5'!#REF!</definedName>
    <definedName name="SBP" localSheetId="9">'[104]Notes1-5'!#REF!</definedName>
    <definedName name="SBP" localSheetId="7">'[104]Notes1-5'!#REF!</definedName>
    <definedName name="SBP" localSheetId="16">'[104]Notes1-5'!#REF!</definedName>
    <definedName name="SBP" localSheetId="5">'[104]Notes1-5'!#REF!</definedName>
    <definedName name="SBP" localSheetId="17">'[104]Notes1-5'!#REF!</definedName>
    <definedName name="SBP">'[104]Notes1-5'!#REF!</definedName>
    <definedName name="SC">#REF!</definedName>
    <definedName name="Sched_Pay">#REF!</definedName>
    <definedName name="Scheduled_Extra_Payments">#REF!</definedName>
    <definedName name="Scheduled_Interest_Rate">#REF!</definedName>
    <definedName name="Scheduled_Monthly_Payment">#REF!</definedName>
    <definedName name="sda" localSheetId="21" hidden="1">{"Sales 2",#N/A,FALSE,"SALES";"Transfer 2",#N/A,FALSE,"TRANSFERS";"A1460",#N/A,FALSE,"A1460"}</definedName>
    <definedName name="sda" localSheetId="9" hidden="1">{"Sales 2",#N/A,FALSE,"SALES";"Transfer 2",#N/A,FALSE,"TRANSFERS";"A1460",#N/A,FALSE,"A1460"}</definedName>
    <definedName name="sda" localSheetId="11" hidden="1">{"Sales 2",#N/A,FALSE,"SALES";"Transfer 2",#N/A,FALSE,"TRANSFERS";"A1460",#N/A,FALSE,"A1460"}</definedName>
    <definedName name="sda" localSheetId="2" hidden="1">{"Sales 2",#N/A,FALSE,"SALES";"Transfer 2",#N/A,FALSE,"TRANSFERS";"A1460",#N/A,FALSE,"A1460"}</definedName>
    <definedName name="sda" hidden="1">{"Sales 2",#N/A,FALSE,"SALES";"Transfer 2",#N/A,FALSE,"TRANSFERS";"A1460",#N/A,FALSE,"A1460"}</definedName>
    <definedName name="sddd" localSheetId="21">[28]acct!#REF!</definedName>
    <definedName name="sddd" localSheetId="22">[28]acct!#REF!</definedName>
    <definedName name="sddd" localSheetId="9">[28]acct!#REF!</definedName>
    <definedName name="sddd" localSheetId="16">[28]acct!#REF!</definedName>
    <definedName name="sddd" localSheetId="5">[28]acct!#REF!</definedName>
    <definedName name="sddd" localSheetId="17">[28]acct!#REF!</definedName>
    <definedName name="sddd">[28]acct!#REF!</definedName>
    <definedName name="SDG" localSheetId="21">#REF!</definedName>
    <definedName name="SDG" localSheetId="22">#REF!</definedName>
    <definedName name="SDG" localSheetId="9">#REF!</definedName>
    <definedName name="SDG" localSheetId="7">#REF!</definedName>
    <definedName name="SDG" localSheetId="16">#REF!</definedName>
    <definedName name="SDG" localSheetId="5">#REF!</definedName>
    <definedName name="SDG" localSheetId="17">#REF!</definedName>
    <definedName name="SDG">#REF!</definedName>
    <definedName name="sdsa">[105]A!$AX$5:$AX$129</definedName>
    <definedName name="sectionNames" localSheetId="21">#REF!</definedName>
    <definedName name="sectionNames" localSheetId="22">#REF!</definedName>
    <definedName name="sectionNames" localSheetId="9">#REF!</definedName>
    <definedName name="sectionNames" localSheetId="7">#REF!</definedName>
    <definedName name="sectionNames" localSheetId="2">#REF!</definedName>
    <definedName name="sectionNames" localSheetId="16">#REF!</definedName>
    <definedName name="sectionNames" localSheetId="5">#REF!</definedName>
    <definedName name="sectionNames" localSheetId="17">#REF!</definedName>
    <definedName name="sectionNames">#REF!</definedName>
    <definedName name="sffff" localSheetId="21">[28]acct!#REF!</definedName>
    <definedName name="sffff" localSheetId="22">[28]acct!#REF!</definedName>
    <definedName name="sffff" localSheetId="9">[28]acct!#REF!</definedName>
    <definedName name="sffff" localSheetId="16">[28]acct!#REF!</definedName>
    <definedName name="sffff" localSheetId="5">[28]acct!#REF!</definedName>
    <definedName name="sffff" localSheetId="17">[28]acct!#REF!</definedName>
    <definedName name="sffff">[28]acct!#REF!</definedName>
    <definedName name="sfgs" localSheetId="21" hidden="1">{#N/A,#N/A,FALSE,"dec98qtr";#N/A,#N/A,FALSE,"suppdecsep98";#N/A,#N/A,FALSE,"w-dec98"}</definedName>
    <definedName name="sfgs" localSheetId="9" hidden="1">{#N/A,#N/A,FALSE,"dec98qtr";#N/A,#N/A,FALSE,"suppdecsep98";#N/A,#N/A,FALSE,"w-dec98"}</definedName>
    <definedName name="sfgs" localSheetId="11" hidden="1">{#N/A,#N/A,FALSE,"dec98qtr";#N/A,#N/A,FALSE,"suppdecsep98";#N/A,#N/A,FALSE,"w-dec98"}</definedName>
    <definedName name="sfgs" localSheetId="2" hidden="1">{#N/A,#N/A,FALSE,"dec98qtr";#N/A,#N/A,FALSE,"suppdecsep98";#N/A,#N/A,FALSE,"w-dec98"}</definedName>
    <definedName name="sfgs" hidden="1">{#N/A,#N/A,FALSE,"dec98qtr";#N/A,#N/A,FALSE,"suppdecsep98";#N/A,#N/A,FALSE,"w-dec98"}</definedName>
    <definedName name="SGDD" localSheetId="21">[30]acct!#REF!</definedName>
    <definedName name="SGDD" localSheetId="22">[30]acct!#REF!</definedName>
    <definedName name="SGDD" localSheetId="9">[30]acct!#REF!</definedName>
    <definedName name="SGDD" localSheetId="7">[30]acct!#REF!</definedName>
    <definedName name="SGDD" localSheetId="16">[30]acct!#REF!</definedName>
    <definedName name="SGDD" localSheetId="5">[30]acct!#REF!</definedName>
    <definedName name="SGDD" localSheetId="17">[30]acct!#REF!</definedName>
    <definedName name="SGDD">[30]acct!#REF!</definedName>
    <definedName name="sheet" localSheetId="21">'[41]Revenue-Fire-Marine-Motor'!#REF!</definedName>
    <definedName name="sheet" localSheetId="22">'[41]Revenue-Fire-Marine-Motor'!#REF!</definedName>
    <definedName name="sheet" localSheetId="9">'[41]Revenue-Fire-Marine-Motor'!#REF!</definedName>
    <definedName name="sheet" localSheetId="7">'[42]Revenue-Fire-Marine-Motor'!#REF!</definedName>
    <definedName name="sheet" localSheetId="2">'[41]Revenue-Fire-Marine-Motor'!#REF!</definedName>
    <definedName name="sheet" localSheetId="16">'[41]Revenue-Fire-Marine-Motor'!#REF!</definedName>
    <definedName name="sheet" localSheetId="5">'[41]Revenue-Fire-Marine-Motor'!#REF!</definedName>
    <definedName name="sheet" localSheetId="17">'[41]Revenue-Fire-Marine-Motor'!#REF!</definedName>
    <definedName name="sheet">'[41]Revenue-Fire-Marine-Motor'!#REF!</definedName>
    <definedName name="sheet5" localSheetId="11" hidden="1">{#N/A,#N/A,FALSE,"Aging Summary";#N/A,#N/A,FALSE,"Ratio Analysis";#N/A,#N/A,FALSE,"Test 120 Day Accts";#N/A,#N/A,FALSE,"Tickmarks"}</definedName>
    <definedName name="sheet5" hidden="1">{#N/A,#N/A,FALSE,"Aging Summary";#N/A,#N/A,FALSE,"Ratio Analysis";#N/A,#N/A,FALSE,"Test 120 Day Accts";#N/A,#N/A,FALSE,"Tickmarks"}</definedName>
    <definedName name="shehzad" localSheetId="21">[106]Sheet2!#REF!</definedName>
    <definedName name="shehzad" localSheetId="22">[106]Sheet2!#REF!</definedName>
    <definedName name="shehzad" localSheetId="9">[106]Sheet2!#REF!</definedName>
    <definedName name="shehzad" localSheetId="16">[106]Sheet2!#REF!</definedName>
    <definedName name="shehzad" localSheetId="5">[106]Sheet2!#REF!</definedName>
    <definedName name="shehzad" localSheetId="17">[106]Sheet2!#REF!</definedName>
    <definedName name="shehzad">[106]Sheet2!#REF!</definedName>
    <definedName name="SHIP" localSheetId="11">#REF!</definedName>
    <definedName name="SHIP" localSheetId="7">#REF!</definedName>
    <definedName name="SHIP">#REF!</definedName>
    <definedName name="shortterm" localSheetId="21">#REF!</definedName>
    <definedName name="shortterm" localSheetId="22">#REF!</definedName>
    <definedName name="shortterm" localSheetId="9">#REF!</definedName>
    <definedName name="shortterm" localSheetId="16">#REF!</definedName>
    <definedName name="shortterm" localSheetId="5">#REF!</definedName>
    <definedName name="shortterm" localSheetId="17">#REF!</definedName>
    <definedName name="shortterm">#REF!</definedName>
    <definedName name="sma">[6]Sheet4!$A$421:$Q$523</definedName>
    <definedName name="SNS" localSheetId="21">[28]acct!#REF!</definedName>
    <definedName name="SNS" localSheetId="22">[29]acct!#REF!</definedName>
    <definedName name="SNS" localSheetId="9">[29]acct!#REF!</definedName>
    <definedName name="SNS" localSheetId="7">[28]acct!#REF!</definedName>
    <definedName name="SNS" localSheetId="2">[30]acct!#REF!</definedName>
    <definedName name="SNS" localSheetId="16">[29]acct!#REF!</definedName>
    <definedName name="SNS" localSheetId="5">[29]acct!#REF!</definedName>
    <definedName name="SNS" localSheetId="17">[29]acct!#REF!</definedName>
    <definedName name="SNS">[29]acct!#REF!</definedName>
    <definedName name="SOC">#REF!</definedName>
    <definedName name="SOEILTOAC" localSheetId="11">#REF!</definedName>
    <definedName name="SOEILTOAC" localSheetId="7">#REF!</definedName>
    <definedName name="SOEILTOAC">#REF!</definedName>
    <definedName name="SOPLLOAC" localSheetId="11">#REF!</definedName>
    <definedName name="SOPLLOAC" localSheetId="7">#REF!</definedName>
    <definedName name="SOPLLOAC">#REF!</definedName>
    <definedName name="SOPYILTOAC" localSheetId="11">#REF!</definedName>
    <definedName name="SOPYILTOAC" localSheetId="7">#REF!</definedName>
    <definedName name="SOPYILTOAC">#REF!</definedName>
    <definedName name="SOTAX" localSheetId="11">#REF!</definedName>
    <definedName name="SOTAX" localSheetId="7">#REF!</definedName>
    <definedName name="SOTAX">#REF!</definedName>
    <definedName name="SOTOAC" localSheetId="11">#REF!</definedName>
    <definedName name="SOTOAC" localSheetId="7">#REF!</definedName>
    <definedName name="SOTOAC">#REF!</definedName>
    <definedName name="SR" localSheetId="21">#REF!</definedName>
    <definedName name="SR" localSheetId="22">#REF!</definedName>
    <definedName name="SR" localSheetId="9">#REF!</definedName>
    <definedName name="SR" localSheetId="16">#REF!</definedName>
    <definedName name="SR" localSheetId="5">#REF!</definedName>
    <definedName name="SR" localSheetId="17">#REF!</definedName>
    <definedName name="SR">#REF!</definedName>
    <definedName name="ss" localSheetId="21">[74]Lead!#REF!</definedName>
    <definedName name="SS" localSheetId="9" hidden="1">{#N/A,#N/A,FALSE,"dec98qtr";#N/A,#N/A,FALSE,"suppdecsep98";#N/A,#N/A,FALSE,"w-dec98"}</definedName>
    <definedName name="SS" localSheetId="11" hidden="1">{#N/A,#N/A,FALSE,"dec98qtr";#N/A,#N/A,FALSE,"suppdecsep98";#N/A,#N/A,FALSE,"w-dec98"}</definedName>
    <definedName name="ss" localSheetId="7">[74]Lead!#REF!</definedName>
    <definedName name="SS" localSheetId="2" hidden="1">{#N/A,#N/A,FALSE,"dec98qtr";#N/A,#N/A,FALSE,"suppdecsep98";#N/A,#N/A,FALSE,"w-dec98"}</definedName>
    <definedName name="SS" hidden="1">{#N/A,#N/A,FALSE,"dec98qtr";#N/A,#N/A,FALSE,"suppdecsep98";#N/A,#N/A,FALSE,"w-dec98"}</definedName>
    <definedName name="sshsi">'[107]T-BILL'!#REF!</definedName>
    <definedName name="ssss" localSheetId="11">'[108]LOCAL STUDENTS'!#REF!</definedName>
    <definedName name="ssss" localSheetId="7">'[108]LOCAL STUDENTS'!#REF!</definedName>
    <definedName name="ssss">'[108]LOCAL STUDENTS'!#REF!</definedName>
    <definedName name="START">#REF!</definedName>
    <definedName name="STATEMENT_OF_FUNDS_POSITION">[4]FundsNW!$A$3+[4]FundsNW!$A$2:$S$76</definedName>
    <definedName name="STIMV" localSheetId="11">'[92]F-B-21'!#REF!</definedName>
    <definedName name="STIMV" localSheetId="7">'[92]F-B-21'!#REF!</definedName>
    <definedName name="STIMV">'[92]F-B-21'!#REF!</definedName>
    <definedName name="Strat_1_Def" localSheetId="11">#REF!</definedName>
    <definedName name="Strat_1_Def" localSheetId="7">#REF!</definedName>
    <definedName name="Strat_1_Def">#REF!</definedName>
    <definedName name="Strat_1_It" localSheetId="11">#REF!</definedName>
    <definedName name="Strat_1_It" localSheetId="7">#REF!</definedName>
    <definedName name="Strat_1_It">#REF!</definedName>
    <definedName name="Strat_1_T" localSheetId="11">#REF!</definedName>
    <definedName name="Strat_1_T" localSheetId="7">#REF!</definedName>
    <definedName name="Strat_1_T">#REF!</definedName>
    <definedName name="Strat_2_Def" localSheetId="11">#REF!</definedName>
    <definedName name="Strat_2_Def" localSheetId="7">#REF!</definedName>
    <definedName name="Strat_2_Def">#REF!</definedName>
    <definedName name="Strat_2_It" localSheetId="11">#REF!</definedName>
    <definedName name="Strat_2_It" localSheetId="7">#REF!</definedName>
    <definedName name="Strat_2_It">#REF!</definedName>
    <definedName name="Strat_2_T" localSheetId="11">#REF!</definedName>
    <definedName name="Strat_2_T" localSheetId="7">#REF!</definedName>
    <definedName name="Strat_2_T">#REF!</definedName>
    <definedName name="Strat_Dec" localSheetId="11">#REF!</definedName>
    <definedName name="Strat_Dec" localSheetId="7">#REF!</definedName>
    <definedName name="Strat_Dec">#REF!</definedName>
    <definedName name="Strat_Def" localSheetId="11">#REF!</definedName>
    <definedName name="Strat_Def" localSheetId="7">#REF!</definedName>
    <definedName name="Strat_Def">#REF!</definedName>
    <definedName name="Strat_T_It" localSheetId="11">#REF!</definedName>
    <definedName name="Strat_T_It" localSheetId="7">#REF!</definedName>
    <definedName name="Strat_T_It">#REF!</definedName>
    <definedName name="Strat_T_T" localSheetId="11">#REF!</definedName>
    <definedName name="Strat_T_T" localSheetId="7">#REF!</definedName>
    <definedName name="Strat_T_T">#REF!</definedName>
    <definedName name="STT" localSheetId="21" hidden="1">#REF!</definedName>
    <definedName name="STT" localSheetId="22" hidden="1">#REF!</definedName>
    <definedName name="STT" localSheetId="9" hidden="1">#REF!</definedName>
    <definedName name="STT" localSheetId="16" hidden="1">#REF!</definedName>
    <definedName name="STT" localSheetId="5" hidden="1">#REF!</definedName>
    <definedName name="STT" localSheetId="17" hidden="1">#REF!</definedName>
    <definedName name="STT" hidden="1">#REF!</definedName>
    <definedName name="sum" localSheetId="21">#REF!</definedName>
    <definedName name="sum" localSheetId="22">#REF!</definedName>
    <definedName name="sum" localSheetId="9">#REF!</definedName>
    <definedName name="sum" localSheetId="7">#REF!</definedName>
    <definedName name="sum" localSheetId="16">#REF!</definedName>
    <definedName name="sum" localSheetId="5">#REF!</definedName>
    <definedName name="sum" localSheetId="17">#REF!</definedName>
    <definedName name="sum">#REF!</definedName>
    <definedName name="Summary" localSheetId="21">[58]Augbkp98!$BH$5:$BM$26</definedName>
    <definedName name="Summary">[58]Augbkp98!$BH$5:$BM$26</definedName>
    <definedName name="Summary_ApprovedUnapproved">'[33]CARs'' 99 Summary Info. (B&amp;A)'!$B$1:$M$52</definedName>
    <definedName name="sxcz" localSheetId="21">#REF!</definedName>
    <definedName name="sxcz" localSheetId="22">#REF!</definedName>
    <definedName name="sxcz" localSheetId="9">#REF!</definedName>
    <definedName name="sxcz" localSheetId="16">#REF!</definedName>
    <definedName name="sxcz" localSheetId="5">#REF!</definedName>
    <definedName name="sxcz" localSheetId="17">#REF!</definedName>
    <definedName name="sxcz">#REF!</definedName>
    <definedName name="T_BILLOWN" localSheetId="21">#REF!</definedName>
    <definedName name="T_BILLOWN" localSheetId="22">#REF!</definedName>
    <definedName name="T_BILLOWN" localSheetId="9">#REF!</definedName>
    <definedName name="T_BILLOWN" localSheetId="7">#REF!</definedName>
    <definedName name="T_BILLOWN" localSheetId="16">#REF!</definedName>
    <definedName name="T_BILLOWN" localSheetId="5">#REF!</definedName>
    <definedName name="T_BILLOWN" localSheetId="17">#REF!</definedName>
    <definedName name="T_BILLOWN">#REF!</definedName>
    <definedName name="T_BILLREPO" localSheetId="21">#REF!</definedName>
    <definedName name="T_BILLREPO" localSheetId="22">'[107]T-BILL'!#REF!</definedName>
    <definedName name="T_BILLREPO" localSheetId="9">'[107]T-BILL'!#REF!</definedName>
    <definedName name="T_BILLREPO" localSheetId="7">'[107]T-BILL'!#REF!</definedName>
    <definedName name="T_BILLREPO" localSheetId="16">'[107]T-BILL'!#REF!</definedName>
    <definedName name="T_BILLREPO" localSheetId="5">'[107]T-BILL'!#REF!</definedName>
    <definedName name="T_BILLREPO" localSheetId="17">'[107]T-BILL'!#REF!</definedName>
    <definedName name="T_BILLREPO">'[107]T-BILL'!#REF!</definedName>
    <definedName name="TA" localSheetId="11">#REF!</definedName>
    <definedName name="TA" localSheetId="7">#REF!</definedName>
    <definedName name="TA">#REF!</definedName>
    <definedName name="TableName">"Dummy"</definedName>
    <definedName name="talha" localSheetId="21" hidden="1">{"'CALL MONEY'!$K$53"}</definedName>
    <definedName name="talha" localSheetId="9" hidden="1">{"'CALL MONEY'!$K$53"}</definedName>
    <definedName name="talha" localSheetId="11" hidden="1">{"'CALL MONEY'!$K$53"}</definedName>
    <definedName name="talha" hidden="1">{"'CALL MONEY'!$K$53"}</definedName>
    <definedName name="tam" localSheetId="11" hidden="1">#REF!</definedName>
    <definedName name="tam" localSheetId="7" hidden="1">#REF!</definedName>
    <definedName name="tam" hidden="1">#REF!</definedName>
    <definedName name="TAWANA" localSheetId="11">#REF!</definedName>
    <definedName name="TAWANA" localSheetId="7">#REF!</definedName>
    <definedName name="TAWANA">#REF!</definedName>
    <definedName name="tAX" localSheetId="21">[28]acct!#REF!</definedName>
    <definedName name="tAX" localSheetId="22">[29]acct!#REF!</definedName>
    <definedName name="tAX" localSheetId="9">[29]acct!#REF!</definedName>
    <definedName name="tAX" localSheetId="7">[28]acct!#REF!</definedName>
    <definedName name="tAX" localSheetId="2">[30]acct!#REF!</definedName>
    <definedName name="tAX" localSheetId="16">[29]acct!#REF!</definedName>
    <definedName name="tAX" localSheetId="5">[29]acct!#REF!</definedName>
    <definedName name="tAX" localSheetId="17">[29]acct!#REF!</definedName>
    <definedName name="tAX">[29]acct!#REF!</definedName>
    <definedName name="TAX_AND_WWF" localSheetId="21">#REF!</definedName>
    <definedName name="TAX_AND_WWF" localSheetId="22">#REF!</definedName>
    <definedName name="TAX_AND_WWF" localSheetId="9">#REF!</definedName>
    <definedName name="TAX_AND_WWF" localSheetId="2">#REF!</definedName>
    <definedName name="TAX_AND_WWF" localSheetId="16">#REF!</definedName>
    <definedName name="TAX_AND_WWF" localSheetId="5">#REF!</definedName>
    <definedName name="TAX_AND_WWF" localSheetId="17">#REF!</definedName>
    <definedName name="TAX_AND_WWF">#REF!</definedName>
    <definedName name="TAX_DEP_SCHD" localSheetId="21">#REF!</definedName>
    <definedName name="TAX_DEP_SCHD" localSheetId="22">#REF!</definedName>
    <definedName name="TAX_DEP_SCHD" localSheetId="9">#REF!</definedName>
    <definedName name="TAX_DEP_SCHD" localSheetId="2">#REF!</definedName>
    <definedName name="TAX_DEP_SCHD" localSheetId="16">#REF!</definedName>
    <definedName name="TAX_DEP_SCHD" localSheetId="5">#REF!</definedName>
    <definedName name="TAX_DEP_SCHD" localSheetId="17">#REF!</definedName>
    <definedName name="TAX_DEP_SCHD">#REF!</definedName>
    <definedName name="Tax_Effect_Income">#REF!</definedName>
    <definedName name="Tax_Effect_Liabs">#REF!</definedName>
    <definedName name="Tax_Effect_RetEarn">#REF!</definedName>
    <definedName name="TAX_FIG">#REF!</definedName>
    <definedName name="Tax_Rate">#REF!</definedName>
    <definedName name="Taxation" localSheetId="21" hidden="1">{"Sales 2",#N/A,FALSE,"SALES";"Transfer 2",#N/A,FALSE,"TRANSFERS";"A1460",#N/A,FALSE,"A1460"}</definedName>
    <definedName name="Taxation" localSheetId="9" hidden="1">{"Sales 2",#N/A,FALSE,"SALES";"Transfer 2",#N/A,FALSE,"TRANSFERS";"A1460",#N/A,FALSE,"A1460"}</definedName>
    <definedName name="Taxation" localSheetId="11" hidden="1">{"Sales 2",#N/A,FALSE,"SALES";"Transfer 2",#N/A,FALSE,"TRANSFERS";"A1460",#N/A,FALSE,"A1460"}</definedName>
    <definedName name="Taxation" localSheetId="2" hidden="1">{"Sales 2",#N/A,FALSE,"SALES";"Transfer 2",#N/A,FALSE,"TRANSFERS";"A1460",#N/A,FALSE,"A1460"}</definedName>
    <definedName name="Taxation" hidden="1">{"Sales 2",#N/A,FALSE,"SALES";"Transfer 2",#N/A,FALSE,"TRANSFERS";"A1460",#N/A,FALSE,"A1460"}</definedName>
    <definedName name="TAXDEPRECIATION">#REF!</definedName>
    <definedName name="TB" localSheetId="21" hidden="1">#REF!</definedName>
    <definedName name="TB" localSheetId="22" hidden="1">#REF!</definedName>
    <definedName name="TB" localSheetId="9" hidden="1">#REF!</definedName>
    <definedName name="TB" localSheetId="7" hidden="1">#REF!</definedName>
    <definedName name="TB" localSheetId="2" hidden="1">#REF!</definedName>
    <definedName name="TB" localSheetId="16" hidden="1">#REF!</definedName>
    <definedName name="TB" localSheetId="5" hidden="1">#REF!</definedName>
    <definedName name="TB" localSheetId="17" hidden="1">#REF!</definedName>
    <definedName name="TB" hidden="1">#REF!</definedName>
    <definedName name="TECH_OPS" localSheetId="21">[58]Augbkp98!$I$6:$X$25</definedName>
    <definedName name="TECH_OPS">[58]Augbkp98!$I$6:$X$25</definedName>
    <definedName name="TELEC" localSheetId="11">#REF!</definedName>
    <definedName name="TELEC" localSheetId="7">#REF!</definedName>
    <definedName name="TELEC">#REF!</definedName>
    <definedName name="Test_ND" localSheetId="11">#REF!</definedName>
    <definedName name="Test_ND" localSheetId="7">#REF!</definedName>
    <definedName name="Test_ND">#REF!</definedName>
    <definedName name="Test_Proj_Mis" localSheetId="11">#REF!</definedName>
    <definedName name="Test_Proj_Mis" localSheetId="7">#REF!</definedName>
    <definedName name="Test_Proj_Mis">#REF!</definedName>
    <definedName name="Test_Targ" localSheetId="11">#REF!</definedName>
    <definedName name="Test_Targ" localSheetId="7">#REF!</definedName>
    <definedName name="Test_Targ">#REF!</definedName>
    <definedName name="Test_Total_T" localSheetId="11">#REF!</definedName>
    <definedName name="Test_Total_T" localSheetId="7">#REF!</definedName>
    <definedName name="Test_Total_T">#REF!</definedName>
    <definedName name="TEXT" localSheetId="11">#REF!</definedName>
    <definedName name="TEXT" localSheetId="7">#REF!</definedName>
    <definedName name="TEXT">#REF!</definedName>
    <definedName name="TextRefCopy1" localSheetId="21">#REF!</definedName>
    <definedName name="TextRefCopy1" localSheetId="22">#REF!</definedName>
    <definedName name="TextRefCopy1" localSheetId="9">#REF!</definedName>
    <definedName name="TextRefCopy1" localSheetId="7">#REF!</definedName>
    <definedName name="TextRefCopy1" localSheetId="16">#REF!</definedName>
    <definedName name="TextRefCopy1" localSheetId="5">#REF!</definedName>
    <definedName name="TextRefCopy1" localSheetId="17">#REF!</definedName>
    <definedName name="TextRefCopy1">#REF!</definedName>
    <definedName name="TextRefCopy1_1" localSheetId="21">#REF!</definedName>
    <definedName name="TextRefCopy1_1" localSheetId="22">#REF!</definedName>
    <definedName name="TextRefCopy1_1" localSheetId="9">#REF!</definedName>
    <definedName name="TextRefCopy1_1" localSheetId="7">#REF!</definedName>
    <definedName name="TextRefCopy1_1" localSheetId="16">#REF!</definedName>
    <definedName name="TextRefCopy1_1" localSheetId="5">#REF!</definedName>
    <definedName name="TextRefCopy1_1" localSheetId="17">#REF!</definedName>
    <definedName name="TextRefCopy1_1">#REF!</definedName>
    <definedName name="TextRefCopy1_20" localSheetId="21">#REF!</definedName>
    <definedName name="TextRefCopy1_20" localSheetId="22">#REF!</definedName>
    <definedName name="TextRefCopy1_20" localSheetId="9">#REF!</definedName>
    <definedName name="TextRefCopy1_20" localSheetId="7">#REF!</definedName>
    <definedName name="TextRefCopy1_20" localSheetId="16">#REF!</definedName>
    <definedName name="TextRefCopy1_20" localSheetId="5">#REF!</definedName>
    <definedName name="TextRefCopy1_20" localSheetId="17">#REF!</definedName>
    <definedName name="TextRefCopy1_20">#REF!</definedName>
    <definedName name="TextRefCopy1_21" localSheetId="21">#REF!</definedName>
    <definedName name="TextRefCopy1_21" localSheetId="22">#REF!</definedName>
    <definedName name="TextRefCopy1_21" localSheetId="9">#REF!</definedName>
    <definedName name="TextRefCopy1_21" localSheetId="7">#REF!</definedName>
    <definedName name="TextRefCopy1_21" localSheetId="16">#REF!</definedName>
    <definedName name="TextRefCopy1_21" localSheetId="5">#REF!</definedName>
    <definedName name="TextRefCopy1_21" localSheetId="17">#REF!</definedName>
    <definedName name="TextRefCopy1_21">#REF!</definedName>
    <definedName name="TextRefCopy1_23" localSheetId="21">#REF!</definedName>
    <definedName name="TextRefCopy1_23" localSheetId="22">#REF!</definedName>
    <definedName name="TextRefCopy1_23" localSheetId="9">#REF!</definedName>
    <definedName name="TextRefCopy1_23" localSheetId="7">#REF!</definedName>
    <definedName name="TextRefCopy1_23" localSheetId="16">#REF!</definedName>
    <definedName name="TextRefCopy1_23" localSheetId="5">#REF!</definedName>
    <definedName name="TextRefCopy1_23" localSheetId="17">#REF!</definedName>
    <definedName name="TextRefCopy1_23">#REF!</definedName>
    <definedName name="TextRefCopy1_5" localSheetId="21">#REF!</definedName>
    <definedName name="TextRefCopy1_5" localSheetId="22">#REF!</definedName>
    <definedName name="TextRefCopy1_5" localSheetId="9">#REF!</definedName>
    <definedName name="TextRefCopy1_5" localSheetId="7">#REF!</definedName>
    <definedName name="TextRefCopy1_5" localSheetId="16">#REF!</definedName>
    <definedName name="TextRefCopy1_5" localSheetId="5">#REF!</definedName>
    <definedName name="TextRefCopy1_5" localSheetId="17">#REF!</definedName>
    <definedName name="TextRefCopy1_5">#REF!</definedName>
    <definedName name="TextRefCopy1_8" localSheetId="21">#REF!</definedName>
    <definedName name="TextRefCopy1_8" localSheetId="22">#REF!</definedName>
    <definedName name="TextRefCopy1_8" localSheetId="9">#REF!</definedName>
    <definedName name="TextRefCopy1_8" localSheetId="7">#REF!</definedName>
    <definedName name="TextRefCopy1_8" localSheetId="16">#REF!</definedName>
    <definedName name="TextRefCopy1_8" localSheetId="5">#REF!</definedName>
    <definedName name="TextRefCopy1_8" localSheetId="17">#REF!</definedName>
    <definedName name="TextRefCopy1_8">#REF!</definedName>
    <definedName name="TextRefCopy10" localSheetId="11">#REF!</definedName>
    <definedName name="TextRefCopy10" localSheetId="7">[109]BS!#REF!</definedName>
    <definedName name="TextRefCopy10">#REF!</definedName>
    <definedName name="TextRefCopy11" localSheetId="11">'[110]6.Summary of Capital Gain'!$O$78</definedName>
    <definedName name="TextRefCopy11" localSheetId="7">'[110]6.Summary of Capital Gain'!$O$78</definedName>
    <definedName name="TextRefCopy11">'[111]6.Summary of Capital Gain'!$O$78</definedName>
    <definedName name="TextRefCopy12" localSheetId="11">#REF!</definedName>
    <definedName name="TextRefCopy12" localSheetId="7">#REF!</definedName>
    <definedName name="TextRefCopy12">#REF!</definedName>
    <definedName name="TextRefCopy14" localSheetId="11">'[112]8.1 old'!#REF!</definedName>
    <definedName name="TextRefCopy14" localSheetId="7">'[112]8.1 old'!#REF!</definedName>
    <definedName name="TextRefCopy14">'[113]8.1 old'!#REF!</definedName>
    <definedName name="TextRefCopy15" localSheetId="11">'[112]8.1 old'!$K$121</definedName>
    <definedName name="TextRefCopy15" localSheetId="7">'[112]8.1 old'!$K$121</definedName>
    <definedName name="TextRefCopy15">'[113]8.1 old'!$K$121</definedName>
    <definedName name="TextRefCopy16" localSheetId="11">'[112]8.1 old'!#REF!</definedName>
    <definedName name="TextRefCopy16" localSheetId="7">[109]IS!#REF!</definedName>
    <definedName name="TextRefCopy16">'[113]8.1 old'!#REF!</definedName>
    <definedName name="TextRefCopy19" localSheetId="21">[114]IS!$F$26</definedName>
    <definedName name="TextRefCopy19">[115]IS!$F$26</definedName>
    <definedName name="TextRefCopy2" localSheetId="11">#REF!</definedName>
    <definedName name="TextRefCopy2" localSheetId="7">#REF!</definedName>
    <definedName name="TextRefCopy2">#REF!</definedName>
    <definedName name="TextRefCopy27">#REF!</definedName>
    <definedName name="TextRefCopy28">#REF!</definedName>
    <definedName name="TextRefCopy29">#REF!</definedName>
    <definedName name="TextRefCopy3" localSheetId="11">[116]S1!#REF!</definedName>
    <definedName name="TextRefCopy3" localSheetId="7">[109]BS!$K$13</definedName>
    <definedName name="TextRefCopy3">[116]S1!#REF!</definedName>
    <definedName name="TextRefCopy30">#REF!</definedName>
    <definedName name="TextRefCopy31" localSheetId="11">'[112]8.1 old'!#REF!</definedName>
    <definedName name="TextRefCopy31" localSheetId="7">#REF!</definedName>
    <definedName name="TextRefCopy31">'[113]8.1 old'!#REF!</definedName>
    <definedName name="TextRefCopy32">#REF!</definedName>
    <definedName name="TextRefCopy33">#REF!</definedName>
    <definedName name="TextRefCopy34">#REF!</definedName>
    <definedName name="TextRefCopy35">[91]CMA_Calculations!$D$2</definedName>
    <definedName name="TextRefCopy36">#REF!</definedName>
    <definedName name="TextRefCopy37">#REF!</definedName>
    <definedName name="TextRefCopy41">#REF!</definedName>
    <definedName name="TextRefCopy43">'[117]Verification of Sales'!$E$3</definedName>
    <definedName name="TextRefCopy45">#REF!</definedName>
    <definedName name="TextRefCopy47">#REF!</definedName>
    <definedName name="TextRefCopy48">#REF!</definedName>
    <definedName name="TextRefCopy49">#REF!</definedName>
    <definedName name="TextRefCopy50">'[117]Verification of Sales'!#REF!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 localSheetId="11">[118]S1!#REF!</definedName>
    <definedName name="TextRefCopy6" localSheetId="7">[118]S1!#REF!</definedName>
    <definedName name="TextRefCopy6">[118]S1!#REF!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11">#REF!</definedName>
    <definedName name="TextRefCopy7" localSheetId="7">#REF!</definedName>
    <definedName name="TextRefCopy7">#REF!</definedName>
    <definedName name="TextRefCopy70">#REF!</definedName>
    <definedName name="TextRefCopy71">#REF!</definedName>
    <definedName name="TextRefCopy72">#REF!</definedName>
    <definedName name="TextRefCopy73">#REF!</definedName>
    <definedName name="TextRefCopyRangeCount" localSheetId="21" hidden="1">1</definedName>
    <definedName name="TextRefCopyRangeCount" hidden="1">1</definedName>
    <definedName name="TEZT" localSheetId="11">#REF!</definedName>
    <definedName name="TEZT" localSheetId="7">#REF!</definedName>
    <definedName name="TEZT">#REF!</definedName>
    <definedName name="tfc" localSheetId="21" hidden="1">{"'CALL MONEY'!$K$53"}</definedName>
    <definedName name="tfc" localSheetId="9" hidden="1">{"'CALL MONEY'!$K$53"}</definedName>
    <definedName name="tfc" localSheetId="11" hidden="1">{"'CALL MONEY'!$K$53"}</definedName>
    <definedName name="tfc" hidden="1">{"'CALL MONEY'!$K$53"}</definedName>
    <definedName name="thirdparty" localSheetId="11">#REF!</definedName>
    <definedName name="thirdparty" localSheetId="7">#REF!</definedName>
    <definedName name="thirdparty">#REF!</definedName>
    <definedName name="thuchut" localSheetId="11">#REF!</definedName>
    <definedName name="thuchut" localSheetId="7">#REF!</definedName>
    <definedName name="thuchut">#REF!</definedName>
    <definedName name="Title" localSheetId="21">#REF!</definedName>
    <definedName name="Title" localSheetId="22">#REF!</definedName>
    <definedName name="Title" localSheetId="9">#REF!</definedName>
    <definedName name="Title" localSheetId="7">#REF!</definedName>
    <definedName name="Title" localSheetId="16">#REF!</definedName>
    <definedName name="Title" localSheetId="5">#REF!</definedName>
    <definedName name="Title" localSheetId="17">#REF!</definedName>
    <definedName name="Title">#REF!</definedName>
    <definedName name="TITLE_FINAL_A_C" localSheetId="21">#REF!</definedName>
    <definedName name="TITLE_FINAL_A_C" localSheetId="22">#REF!</definedName>
    <definedName name="TITLE_FINAL_A_C" localSheetId="9">#REF!</definedName>
    <definedName name="TITLE_FINAL_A_C" localSheetId="2">#REF!</definedName>
    <definedName name="TITLE_FINAL_A_C" localSheetId="16">#REF!</definedName>
    <definedName name="TITLE_FINAL_A_C" localSheetId="5">#REF!</definedName>
    <definedName name="TITLE_FINAL_A_C" localSheetId="17">#REF!</definedName>
    <definedName name="TITLE_FINAL_A_C">#REF!</definedName>
    <definedName name="TITLE_HALF_YEAR" localSheetId="21">#REF!</definedName>
    <definedName name="TITLE_HALF_YEAR" localSheetId="22">#REF!</definedName>
    <definedName name="TITLE_HALF_YEAR" localSheetId="9">#REF!</definedName>
    <definedName name="TITLE_HALF_YEAR" localSheetId="2">#REF!</definedName>
    <definedName name="TITLE_HALF_YEAR" localSheetId="16">#REF!</definedName>
    <definedName name="TITLE_HALF_YEAR" localSheetId="5">#REF!</definedName>
    <definedName name="TITLE_HALF_YEAR" localSheetId="17">#REF!</definedName>
    <definedName name="TITLE_HALF_YEAR">#REF!</definedName>
    <definedName name="Tot_knw_Xfoot">#REF!</definedName>
    <definedName name="Tot_lik_Xfoot">#REF!</definedName>
    <definedName name="TOTAL" localSheetId="21">#REF!</definedName>
    <definedName name="TOTAL" localSheetId="22">#REF!</definedName>
    <definedName name="TOTAL" localSheetId="9">#REF!</definedName>
    <definedName name="TOTAL" localSheetId="7">#REF!</definedName>
    <definedName name="TOTAL" localSheetId="16">#REF!</definedName>
    <definedName name="TOTAL" localSheetId="5">#REF!</definedName>
    <definedName name="TOTAL" localSheetId="17">#REF!</definedName>
    <definedName name="TOTAL">#REF!</definedName>
    <definedName name="Total_Amount">[91]CMA_Calculations!$D$122</definedName>
    <definedName name="Total_Interest">#REF!</definedName>
    <definedName name="Total_Pay">#REF!</definedName>
    <definedName name="Total_Payment" localSheetId="11">Scheduled_Payment+Extra_Payment</definedName>
    <definedName name="Total_Payment">Scheduled_Payment+Extra_Payment</definedName>
    <definedName name="TotalCARs98" localSheetId="11">#REF!</definedName>
    <definedName name="TotalCARs98" localSheetId="7">#REF!</definedName>
    <definedName name="TotalCARs98">#REF!</definedName>
    <definedName name="TRADE" localSheetId="11">#REF!</definedName>
    <definedName name="TRADE" localSheetId="7">#REF!</definedName>
    <definedName name="TRADE">#REF!</definedName>
    <definedName name="TRF" localSheetId="21">'[2]last qrt2001'!#REF!</definedName>
    <definedName name="TRF" localSheetId="22">'[2]last qrt2001'!#REF!</definedName>
    <definedName name="TRF" localSheetId="9">'[2]last qrt2001'!#REF!</definedName>
    <definedName name="TRF" localSheetId="7">'[2]last qrt2001'!#REF!</definedName>
    <definedName name="TRF" localSheetId="16">'[2]last qrt2001'!#REF!</definedName>
    <definedName name="TRF" localSheetId="5">'[2]last qrt2001'!#REF!</definedName>
    <definedName name="TRF" localSheetId="17">'[2]last qrt2001'!#REF!</definedName>
    <definedName name="TRF">'[2]last qrt2001'!#REF!</definedName>
    <definedName name="TTFCR" localSheetId="11">#REF!</definedName>
    <definedName name="TTFCR" localSheetId="7">#REF!</definedName>
    <definedName name="TTFCR">#REF!</definedName>
    <definedName name="ttt" localSheetId="21" hidden="1">#REF!</definedName>
    <definedName name="ttt" localSheetId="22" hidden="1">#REF!</definedName>
    <definedName name="ttt" localSheetId="9" hidden="1">#REF!</definedName>
    <definedName name="ttt" localSheetId="16" hidden="1">#REF!</definedName>
    <definedName name="ttt" localSheetId="5" hidden="1">#REF!</definedName>
    <definedName name="ttt" localSheetId="17" hidden="1">#REF!</definedName>
    <definedName name="ttt" hidden="1">#REF!</definedName>
    <definedName name="TURNOVER" localSheetId="11">#REF!</definedName>
    <definedName name="TURNOVER" localSheetId="7">#REF!</definedName>
    <definedName name="TURNOVER">#REF!</definedName>
    <definedName name="two">#REF!</definedName>
    <definedName name="uae">[39]UAE!$A$8:$G$29</definedName>
    <definedName name="ubl" localSheetId="21">#REF!</definedName>
    <definedName name="ubl" localSheetId="22">#REF!</definedName>
    <definedName name="ubl" localSheetId="9">#REF!</definedName>
    <definedName name="ubl" localSheetId="16">#REF!</definedName>
    <definedName name="ubl" localSheetId="5">#REF!</definedName>
    <definedName name="ubl" localSheetId="17">#REF!</definedName>
    <definedName name="ubl">#REF!</definedName>
    <definedName name="ublbs" localSheetId="21">#REF!</definedName>
    <definedName name="ublbs" localSheetId="22">#REF!</definedName>
    <definedName name="ublbs" localSheetId="9">#REF!</definedName>
    <definedName name="ublbs" localSheetId="16">#REF!</definedName>
    <definedName name="ublbs" localSheetId="5">#REF!</definedName>
    <definedName name="ublbs" localSheetId="17">#REF!</definedName>
    <definedName name="ublbs">#REF!</definedName>
    <definedName name="UCD" localSheetId="11">'[92]F-B-3'!#REF!</definedName>
    <definedName name="UCD" localSheetId="7">'[92]F-B-3'!#REF!</definedName>
    <definedName name="UCD">'[92]F-B-3'!#REF!</definedName>
    <definedName name="UCR" localSheetId="11">'[92]F-B-4'!#REF!</definedName>
    <definedName name="UCR" localSheetId="7">'[92]F-B-4'!#REF!</definedName>
    <definedName name="UCR">'[92]F-B-4'!#REF!</definedName>
    <definedName name="UHFFF" localSheetId="11">#REF!</definedName>
    <definedName name="UHFFF" localSheetId="7">#REF!</definedName>
    <definedName name="UHFFF">#REF!</definedName>
    <definedName name="Unapproved_summary">'[33]CARs'' 99 Summary Info. (B&amp;A)'!$B$107:$M$158</definedName>
    <definedName name="UnApproved98" localSheetId="11">#REF!</definedName>
    <definedName name="UnApproved98" localSheetId="7">#REF!</definedName>
    <definedName name="UnApproved98">#REF!</definedName>
    <definedName name="Units" localSheetId="21">#REF!</definedName>
    <definedName name="Units" localSheetId="22">#REF!</definedName>
    <definedName name="Units" localSheetId="9">#REF!</definedName>
    <definedName name="Units" localSheetId="7">#REF!</definedName>
    <definedName name="Units" localSheetId="2">#REF!</definedName>
    <definedName name="Units" localSheetId="16">#REF!</definedName>
    <definedName name="Units" localSheetId="5">#REF!</definedName>
    <definedName name="Units" localSheetId="17">#REF!</definedName>
    <definedName name="Units">#REF!</definedName>
    <definedName name="UPDATE">#REF!</definedName>
    <definedName name="usman" localSheetId="21">#REF!</definedName>
    <definedName name="usman" localSheetId="22">#REF!</definedName>
    <definedName name="usman" localSheetId="9">#REF!</definedName>
    <definedName name="usman" localSheetId="7">#REF!</definedName>
    <definedName name="usman" localSheetId="16">#REF!</definedName>
    <definedName name="usman" localSheetId="5">#REF!</definedName>
    <definedName name="usman" localSheetId="17">#REF!</definedName>
    <definedName name="usman">#REF!</definedName>
    <definedName name="UT" localSheetId="21" hidden="1">#REF!</definedName>
    <definedName name="UT" localSheetId="22" hidden="1">#REF!</definedName>
    <definedName name="UT" localSheetId="9" hidden="1">#REF!</definedName>
    <definedName name="UT" localSheetId="7" hidden="1">#REF!</definedName>
    <definedName name="UT" localSheetId="16" hidden="1">#REF!</definedName>
    <definedName name="UT" localSheetId="5" hidden="1">#REF!</definedName>
    <definedName name="UT" localSheetId="17" hidden="1">#REF!</definedName>
    <definedName name="UT" hidden="1">#REF!</definedName>
    <definedName name="Values_Entered" localSheetId="11">IF(Loan_Amount*Interest_Rate*Loan_Years*Loan_Start&gt;0,1,0)</definedName>
    <definedName name="Values_Entered">IF(Loan_Amount*Interest_Rate*Loan_Years*Loan_Start&gt;0,1,0)</definedName>
    <definedName name="VehicleType">[119]Sheet1!$A$4:$A$20</definedName>
    <definedName name="W" localSheetId="21">#REF!</definedName>
    <definedName name="W" localSheetId="22">#REF!</definedName>
    <definedName name="W" localSheetId="9">#REF!</definedName>
    <definedName name="W" localSheetId="7">#REF!</definedName>
    <definedName name="W" localSheetId="16">#REF!</definedName>
    <definedName name="W" localSheetId="5">#REF!</definedName>
    <definedName name="W" localSheetId="17">#REF!</definedName>
    <definedName name="W">#REF!</definedName>
    <definedName name="workin">'[120]Input-Qtrly'!$F$27</definedName>
    <definedName name="WORKING_F_A_C" localSheetId="21">#REF!</definedName>
    <definedName name="WORKING_F_A_C" localSheetId="22">#REF!</definedName>
    <definedName name="WORKING_F_A_C" localSheetId="9">#REF!</definedName>
    <definedName name="WORKING_F_A_C" localSheetId="2">#REF!</definedName>
    <definedName name="WORKING_F_A_C" localSheetId="16">#REF!</definedName>
    <definedName name="WORKING_F_A_C" localSheetId="5">#REF!</definedName>
    <definedName name="WORKING_F_A_C" localSheetId="17">#REF!</definedName>
    <definedName name="WORKING_F_A_C">#REF!</definedName>
    <definedName name="wrn.3." localSheetId="21" hidden="1">{#N/A,#N/A,FALSE,"dec98qtr";#N/A,#N/A,FALSE,"suppdecsep98";#N/A,#N/A,FALSE,"w-dec98"}</definedName>
    <definedName name="wrn.3." localSheetId="9" hidden="1">{#N/A,#N/A,FALSE,"dec98qtr";#N/A,#N/A,FALSE,"suppdecsep98";#N/A,#N/A,FALSE,"w-dec98"}</definedName>
    <definedName name="wrn.3." localSheetId="11" hidden="1">{#N/A,#N/A,FALSE,"dec98qtr";#N/A,#N/A,FALSE,"suppdecsep98";#N/A,#N/A,FALSE,"w-dec98"}</definedName>
    <definedName name="wrn.3." localSheetId="2" hidden="1">{#N/A,#N/A,FALSE,"dec98qtr";#N/A,#N/A,FALSE,"suppdecsep98";#N/A,#N/A,FALSE,"w-dec98"}</definedName>
    <definedName name="wrn.3." hidden="1">{#N/A,#N/A,FALSE,"dec98qtr";#N/A,#N/A,FALSE,"suppdecsep98";#N/A,#N/A,FALSE,"w-dec98"}</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if" localSheetId="21" hidden="1">{"MSS",#N/A,FALSE,"MSS";"ProdSA",#N/A,FALSE,"ProdSA";"Sales 1",#N/A,FALSE,"SALES";"Transfer 1",#N/A,FALSE,"TRANSFERS"}</definedName>
    <definedName name="wrn.asif" localSheetId="9" hidden="1">{"MSS",#N/A,FALSE,"MSS";"ProdSA",#N/A,FALSE,"ProdSA";"Sales 1",#N/A,FALSE,"SALES";"Transfer 1",#N/A,FALSE,"TRANSFERS"}</definedName>
    <definedName name="wrn.asif" localSheetId="11" hidden="1">{"MSS",#N/A,FALSE,"MSS";"ProdSA",#N/A,FALSE,"ProdSA";"Sales 1",#N/A,FALSE,"SALES";"Transfer 1",#N/A,FALSE,"TRANSFERS"}</definedName>
    <definedName name="wrn.asif" localSheetId="2" hidden="1">{"MSS",#N/A,FALSE,"MSS";"ProdSA",#N/A,FALSE,"ProdSA";"Sales 1",#N/A,FALSE,"SALES";"Transfer 1",#N/A,FALSE,"TRANSFERS"}</definedName>
    <definedName name="wrn.asif" hidden="1">{"MSS",#N/A,FALSE,"MSS";"ProdSA",#N/A,FALSE,"ProdSA";"Sales 1",#N/A,FALSE,"SALES";"Transfer 1",#N/A,FALSE,"TRANSFERS"}</definedName>
    <definedName name="wrn.Hanif." localSheetId="21" hidden="1">{"MSS",#N/A,FALSE,"MSS";"ProdSA",#N/A,FALSE,"ProdSA";"Sales 1",#N/A,FALSE,"SALES";"Transfer 1",#N/A,FALSE,"TRANSFERS"}</definedName>
    <definedName name="wrn.Hanif." localSheetId="9" hidden="1">{"MSS",#N/A,FALSE,"MSS";"ProdSA",#N/A,FALSE,"ProdSA";"Sales 1",#N/A,FALSE,"SALES";"Transfer 1",#N/A,FALSE,"TRANSFERS"}</definedName>
    <definedName name="wrn.Hanif." localSheetId="11" hidden="1">{"MSS",#N/A,FALSE,"MSS";"ProdSA",#N/A,FALSE,"ProdSA";"Sales 1",#N/A,FALSE,"SALES";"Transfer 1",#N/A,FALSE,"TRANSFERS"}</definedName>
    <definedName name="wrn.Hanif." localSheetId="2" hidden="1">{"MSS",#N/A,FALSE,"MSS";"ProdSA",#N/A,FALSE,"ProdSA";"Sales 1",#N/A,FALSE,"SALES";"Transfer 1",#N/A,FALSE,"TRANSFERS"}</definedName>
    <definedName name="wrn.Hanif." hidden="1">{"MSS",#N/A,FALSE,"MSS";"ProdSA",#N/A,FALSE,"ProdSA";"Sales 1",#N/A,FALSE,"SALES";"Transfer 1",#N/A,FALSE,"TRANSFERS"}</definedName>
    <definedName name="wrn.Mohsin." localSheetId="21" hidden="1">{"Sales 2",#N/A,FALSE,"SALES";"Transfer 2",#N/A,FALSE,"TRANSFERS";"A1460",#N/A,FALSE,"A1460"}</definedName>
    <definedName name="wrn.Mohsin." localSheetId="9" hidden="1">{"Sales 2",#N/A,FALSE,"SALES";"Transfer 2",#N/A,FALSE,"TRANSFERS";"A1460",#N/A,FALSE,"A1460"}</definedName>
    <definedName name="wrn.Mohsin." localSheetId="11" hidden="1">{"Sales 2",#N/A,FALSE,"SALES";"Transfer 2",#N/A,FALSE,"TRANSFERS";"A1460",#N/A,FALSE,"A1460"}</definedName>
    <definedName name="wrn.Mohsin." localSheetId="2" hidden="1">{"Sales 2",#N/A,FALSE,"SALES";"Transfer 2",#N/A,FALSE,"TRANSFERS";"A1460",#N/A,FALSE,"A1460"}</definedName>
    <definedName name="wrn.Mohsin." hidden="1">{"Sales 2",#N/A,FALSE,"SALES";"Transfer 2",#N/A,FALSE,"TRANSFERS";"A1460",#N/A,FALSE,"A1460"}</definedName>
    <definedName name="wrn.RATIO." localSheetId="11" hidden="1">{"PAGE1",#N/A,FALSE,"Sheet1";"PAGE2",#N/A,FALSE,"Sheet1"}</definedName>
    <definedName name="wrn.RATIO." hidden="1">{"PAGE1",#N/A,FALSE,"Sheet1";"PAGE2",#N/A,FALSE,"Sheet1"}</definedName>
    <definedName name="ws">'[40]Revenue-Fire-Marine-Motor'!#REF!</definedName>
    <definedName name="wsx" localSheetId="21" hidden="1">{"'CALL MONEY'!$K$53"}</definedName>
    <definedName name="wsx" localSheetId="9" hidden="1">{"'CALL MONEY'!$K$53"}</definedName>
    <definedName name="wsx" localSheetId="11" hidden="1">{"'CALL MONEY'!$K$53"}</definedName>
    <definedName name="wsx" localSheetId="7" hidden="1">{"'CALL MONEY'!$K$53"}</definedName>
    <definedName name="wsx" hidden="1">{"'CALL MONEY'!$K$53"}</definedName>
    <definedName name="WWW" localSheetId="21" hidden="1">{#N/A,#N/A,FALSE,"dec98qtr";#N/A,#N/A,FALSE,"suppdecsep98";#N/A,#N/A,FALSE,"w-dec98"}</definedName>
    <definedName name="WWW" localSheetId="9" hidden="1">{#N/A,#N/A,FALSE,"dec98qtr";#N/A,#N/A,FALSE,"suppdecsep98";#N/A,#N/A,FALSE,"w-dec98"}</definedName>
    <definedName name="WWW" localSheetId="11" hidden="1">{#N/A,#N/A,FALSE,"dec98qtr";#N/A,#N/A,FALSE,"suppdecsep98";#N/A,#N/A,FALSE,"w-dec98"}</definedName>
    <definedName name="WWW" localSheetId="2" hidden="1">{#N/A,#N/A,FALSE,"dec98qtr";#N/A,#N/A,FALSE,"suppdecsep98";#N/A,#N/A,FALSE,"w-dec98"}</definedName>
    <definedName name="WWW" hidden="1">{#N/A,#N/A,FALSE,"dec98qtr";#N/A,#N/A,FALSE,"suppdecsep98";#N/A,#N/A,FALSE,"w-dec98"}</definedName>
    <definedName name="www\" localSheetId="11">#REF!</definedName>
    <definedName name="www\" localSheetId="7">#REF!</definedName>
    <definedName name="www\">#REF!</definedName>
    <definedName name="wwwwww" localSheetId="21">#REF!</definedName>
    <definedName name="wwwwww" localSheetId="22">#REF!</definedName>
    <definedName name="wwwwww" localSheetId="9">#REF!</definedName>
    <definedName name="wwwwww" localSheetId="16">#REF!</definedName>
    <definedName name="wwwwww" localSheetId="5">#REF!</definedName>
    <definedName name="wwwwww" localSheetId="17">#REF!</definedName>
    <definedName name="wwwwww">#REF!</definedName>
    <definedName name="X" localSheetId="21">#REF!</definedName>
    <definedName name="X" localSheetId="22">#REF!</definedName>
    <definedName name="X" localSheetId="9">#REF!</definedName>
    <definedName name="X" localSheetId="7">#REF!</definedName>
    <definedName name="X" localSheetId="16">#REF!</definedName>
    <definedName name="X" localSheetId="5">#REF!</definedName>
    <definedName name="X" localSheetId="17">#REF!</definedName>
    <definedName name="X">#REF!</definedName>
    <definedName name="X_B_S_MIS" localSheetId="21">'[37]Balance Sheet'!#REF!</definedName>
    <definedName name="X_B_S_MIS" localSheetId="22">'[37]Balance Sheet'!#REF!</definedName>
    <definedName name="X_B_S_MIS" localSheetId="9">'[37]Balance Sheet'!#REF!</definedName>
    <definedName name="X_B_S_MIS" localSheetId="2">'[37]Balance Sheet'!#REF!</definedName>
    <definedName name="X_B_S_MIS" localSheetId="16">'[37]Balance Sheet'!#REF!</definedName>
    <definedName name="X_B_S_MIS" localSheetId="5">'[37]Balance Sheet'!#REF!</definedName>
    <definedName name="X_B_S_MIS" localSheetId="17">'[37]Balance Sheet'!#REF!</definedName>
    <definedName name="X_B_S_MIS">'[37]Balance Sheet'!#REF!</definedName>
    <definedName name="X_FASSETS_MIS" localSheetId="21">#REF!</definedName>
    <definedName name="X_FASSETS_MIS" localSheetId="22">#REF!</definedName>
    <definedName name="X_FASSETS_MIS" localSheetId="9">#REF!</definedName>
    <definedName name="X_FASSETS_MIS" localSheetId="2">#REF!</definedName>
    <definedName name="X_FASSETS_MIS" localSheetId="16">#REF!</definedName>
    <definedName name="X_FASSETS_MIS" localSheetId="5">#REF!</definedName>
    <definedName name="X_FASSETS_MIS" localSheetId="17">#REF!</definedName>
    <definedName name="X_FASSETS_MIS">#REF!</definedName>
    <definedName name="X_FEXCHG_MIS" localSheetId="21">#REF!</definedName>
    <definedName name="X_FEXCHG_MIS" localSheetId="22">#REF!</definedName>
    <definedName name="X_FEXCHG_MIS" localSheetId="9">#REF!</definedName>
    <definedName name="X_FEXCHG_MIS" localSheetId="2">#REF!</definedName>
    <definedName name="X_FEXCHG_MIS" localSheetId="16">#REF!</definedName>
    <definedName name="X_FEXCHG_MIS" localSheetId="5">#REF!</definedName>
    <definedName name="X_FEXCHG_MIS" localSheetId="17">#REF!</definedName>
    <definedName name="X_FEXCHG_MIS">#REF!</definedName>
    <definedName name="X_HD_MIS" localSheetId="21">#REF!</definedName>
    <definedName name="X_HD_MIS" localSheetId="22">#REF!</definedName>
    <definedName name="X_HD_MIS" localSheetId="9">#REF!</definedName>
    <definedName name="X_HD_MIS" localSheetId="2">#REF!</definedName>
    <definedName name="X_HD_MIS" localSheetId="16">#REF!</definedName>
    <definedName name="X_HD_MIS" localSheetId="5">#REF!</definedName>
    <definedName name="X_HD_MIS" localSheetId="17">#REF!</definedName>
    <definedName name="X_HD_MIS">#REF!</definedName>
    <definedName name="X_MIS_REPORT_2" localSheetId="21">#REF!</definedName>
    <definedName name="X_MIS_REPORT_2" localSheetId="22">#REF!</definedName>
    <definedName name="X_MIS_REPORT_2" localSheetId="9">#REF!</definedName>
    <definedName name="X_MIS_REPORT_2" localSheetId="2">#REF!</definedName>
    <definedName name="X_MIS_REPORT_2" localSheetId="16">#REF!</definedName>
    <definedName name="X_MIS_REPORT_2" localSheetId="5">#REF!</definedName>
    <definedName name="X_MIS_REPORT_2" localSheetId="17">#REF!</definedName>
    <definedName name="X_MIS_REPORT_2">#REF!</definedName>
    <definedName name="X_P_L_MIS" localSheetId="21">#REF!</definedName>
    <definedName name="X_P_L_MIS" localSheetId="22">#REF!</definedName>
    <definedName name="X_P_L_MIS" localSheetId="9">#REF!</definedName>
    <definedName name="X_P_L_MIS" localSheetId="2">#REF!</definedName>
    <definedName name="X_P_L_MIS" localSheetId="16">#REF!</definedName>
    <definedName name="X_P_L_MIS" localSheetId="5">#REF!</definedName>
    <definedName name="X_P_L_MIS" localSheetId="17">#REF!</definedName>
    <definedName name="X_P_L_MIS">#REF!</definedName>
    <definedName name="X_PROF_RECON" localSheetId="21">[34]ProfitProv!#REF!</definedName>
    <definedName name="X_PROF_RECON" localSheetId="22">[34]ProfitProv!#REF!</definedName>
    <definedName name="X_PROF_RECON" localSheetId="9">[34]ProfitProv!#REF!</definedName>
    <definedName name="X_PROF_RECON" localSheetId="2">[34]ProfitProv!#REF!</definedName>
    <definedName name="X_PROF_RECON" localSheetId="16">[34]ProfitProv!#REF!</definedName>
    <definedName name="X_PROF_RECON" localSheetId="5">[34]ProfitProv!#REF!</definedName>
    <definedName name="X_PROF_RECON" localSheetId="17">[34]ProfitProv!#REF!</definedName>
    <definedName name="X_PROF_RECON">[34]ProfitProv!#REF!</definedName>
    <definedName name="X_TITLE_MIS" localSheetId="21">#REF!</definedName>
    <definedName name="X_TITLE_MIS" localSheetId="22">#REF!</definedName>
    <definedName name="X_TITLE_MIS" localSheetId="9">#REF!</definedName>
    <definedName name="X_TITLE_MIS" localSheetId="2">#REF!</definedName>
    <definedName name="X_TITLE_MIS" localSheetId="16">#REF!</definedName>
    <definedName name="X_TITLE_MIS" localSheetId="5">#REF!</definedName>
    <definedName name="X_TITLE_MIS" localSheetId="17">#REF!</definedName>
    <definedName name="X_TITLE_MIS">#REF!</definedName>
    <definedName name="xcx" localSheetId="21">#REF!</definedName>
    <definedName name="xcx" localSheetId="22">#REF!</definedName>
    <definedName name="xcx" localSheetId="9">#REF!</definedName>
    <definedName name="xcx" localSheetId="16">#REF!</definedName>
    <definedName name="xcx" localSheetId="5">#REF!</definedName>
    <definedName name="xcx" localSheetId="17">#REF!</definedName>
    <definedName name="xcx">#REF!</definedName>
    <definedName name="XREF_COLUMN_1" localSheetId="11" hidden="1">[121]Working!#REF!</definedName>
    <definedName name="XREF_COLUMN_1" localSheetId="7" hidden="1">[121]Working!#REF!</definedName>
    <definedName name="XREF_COLUMN_1" hidden="1">[121]Working!#REF!</definedName>
    <definedName name="XREF_COLUMN_3" localSheetId="11" hidden="1">[122]Top!#REF!</definedName>
    <definedName name="XREF_COLUMN_3" localSheetId="7" hidden="1">[122]Top!#REF!</definedName>
    <definedName name="XREF_COLUMN_3" hidden="1">[122]Top!#REF!</definedName>
    <definedName name="XREF_COLUMN_4" localSheetId="11" hidden="1">[122]Top!#REF!</definedName>
    <definedName name="XREF_COLUMN_4" localSheetId="7" hidden="1">[122]Top!#REF!</definedName>
    <definedName name="XREF_COLUMN_4" hidden="1">[122]Top!#REF!</definedName>
    <definedName name="XRefColumnsCount" hidden="1">4</definedName>
    <definedName name="XRefCopy1Row" localSheetId="11" hidden="1">#REF!</definedName>
    <definedName name="XRefCopy1Row" localSheetId="7" hidden="1">#REF!</definedName>
    <definedName name="XRefCopy1Row" hidden="1">#REF!</definedName>
    <definedName name="XRefCopy3Row" localSheetId="11" hidden="1">#REF!</definedName>
    <definedName name="XRefCopy3Row" localSheetId="7" hidden="1">#REF!</definedName>
    <definedName name="XRefCopy3Row" hidden="1">#REF!</definedName>
    <definedName name="XRefCopy4" localSheetId="11" hidden="1">[122]Top!#REF!</definedName>
    <definedName name="XRefCopy4" localSheetId="7" hidden="1">[122]Top!#REF!</definedName>
    <definedName name="XRefCopy4" hidden="1">[122]Top!#REF!</definedName>
    <definedName name="XRefCopyRangeCount" hidden="1">4</definedName>
    <definedName name="XRefPasteRangeCount" hidden="1">2</definedName>
    <definedName name="XX" localSheetId="21">'[2]last qrt2001'!#REF!</definedName>
    <definedName name="XX" localSheetId="22">'[2]last qrt2001'!#REF!</definedName>
    <definedName name="XX" localSheetId="9">'[2]last qrt2001'!#REF!</definedName>
    <definedName name="XX" localSheetId="7">'[2]last qrt2001'!#REF!</definedName>
    <definedName name="XX" localSheetId="16">'[2]last qrt2001'!#REF!</definedName>
    <definedName name="XX" localSheetId="5">'[2]last qrt2001'!#REF!</definedName>
    <definedName name="XX" localSheetId="17">'[2]last qrt2001'!#REF!</definedName>
    <definedName name="XX">'[2]last qrt2001'!#REF!</definedName>
    <definedName name="xxx" localSheetId="21">#REF!</definedName>
    <definedName name="XXX" localSheetId="22">#REF!</definedName>
    <definedName name="XXX" localSheetId="9">#REF!</definedName>
    <definedName name="XXX" localSheetId="2">#REF!</definedName>
    <definedName name="XXX" localSheetId="16">#REF!</definedName>
    <definedName name="XXX" localSheetId="5">#REF!</definedName>
    <definedName name="XXX" localSheetId="17">#REF!</definedName>
    <definedName name="XXX">#REF!</definedName>
    <definedName name="xxxx" localSheetId="11" hidden="1">{"'CALL MONEY'!$K$53"}</definedName>
    <definedName name="xxxx" localSheetId="7" hidden="1">{"'CALL MONEY'!$K$53"}</definedName>
    <definedName name="xxxx" hidden="1">{"'CALL MONEY'!$K$53"}</definedName>
    <definedName name="xyz" localSheetId="21">'[4]Adv to vendor'!#REF!</definedName>
    <definedName name="xyz" localSheetId="22">'[4]Adv to vendor'!#REF!</definedName>
    <definedName name="xyz" localSheetId="9">'[4]Adv to vendor'!#REF!</definedName>
    <definedName name="xyz" localSheetId="2">'[4]Adv to vendor'!#REF!</definedName>
    <definedName name="xyz" localSheetId="16">'[4]Adv to vendor'!#REF!</definedName>
    <definedName name="xyz" localSheetId="5">'[4]Adv to vendor'!#REF!</definedName>
    <definedName name="xyz" localSheetId="17">'[4]Adv to vendor'!#REF!</definedName>
    <definedName name="xyz">'[4]Adv to vendor'!#REF!</definedName>
    <definedName name="YAR" localSheetId="11">'[123]100082'!#REF!</definedName>
    <definedName name="YAR" localSheetId="7">'[123]100082'!#REF!</definedName>
    <definedName name="YAR">'[123]100082'!#REF!</definedName>
    <definedName name="YCAB" localSheetId="21">#REF!</definedName>
    <definedName name="YCAB" localSheetId="22">#REF!</definedName>
    <definedName name="YCAB" localSheetId="9">#REF!</definedName>
    <definedName name="YCAB" localSheetId="7">#REF!</definedName>
    <definedName name="YCAB" localSheetId="16">#REF!</definedName>
    <definedName name="YCAB" localSheetId="5">#REF!</definedName>
    <definedName name="YCAB" localSheetId="17">#REF!</definedName>
    <definedName name="YCAB">#REF!</definedName>
    <definedName name="ycab1" localSheetId="21">#REF!</definedName>
    <definedName name="ycab1" localSheetId="22">#REF!</definedName>
    <definedName name="ycab1" localSheetId="9">#REF!</definedName>
    <definedName name="ycab1" localSheetId="16">#REF!</definedName>
    <definedName name="ycab1" localSheetId="5">#REF!</definedName>
    <definedName name="ycab1" localSheetId="17">#REF!</definedName>
    <definedName name="ycab1">#REF!</definedName>
    <definedName name="YEMEN1" localSheetId="21">[8]Sheet4!$L$222:$L$313</definedName>
    <definedName name="YEMEN1" localSheetId="7">[8]Sheet4!$L$222:$L$313</definedName>
    <definedName name="YEMEN1">[6]Sheet4!$L$222:$L$313</definedName>
    <definedName name="YEMEN2" localSheetId="21">[8]Sheet4!$Y$222:$Y$313</definedName>
    <definedName name="YEMEN2" localSheetId="7">[8]Sheet4!$Y$222:$Y$313</definedName>
    <definedName name="YEMEN2">[6]Sheet4!$Y$222:$Y$313</definedName>
    <definedName name="YesNoNA">'[71]Drop down'!$G$6:$G$9</definedName>
    <definedName name="YR" localSheetId="21" hidden="1">#REF!</definedName>
    <definedName name="YR" localSheetId="22" hidden="1">#REF!</definedName>
    <definedName name="YR" localSheetId="9" hidden="1">#REF!</definedName>
    <definedName name="YR" localSheetId="7" hidden="1">#REF!</definedName>
    <definedName name="YR" localSheetId="16" hidden="1">#REF!</definedName>
    <definedName name="YR" localSheetId="5" hidden="1">#REF!</definedName>
    <definedName name="YR" localSheetId="17" hidden="1">#REF!</definedName>
    <definedName name="YR" hidden="1">#REF!</definedName>
    <definedName name="z" localSheetId="21">'[4]Stock in Trade'!#REF!</definedName>
    <definedName name="z" localSheetId="22">'[4]Stock in Trade'!#REF!</definedName>
    <definedName name="z" localSheetId="9">'[4]Stock in Trade'!#REF!</definedName>
    <definedName name="z" localSheetId="2">'[4]Stock in Trade'!#REF!</definedName>
    <definedName name="z" localSheetId="16">'[4]Stock in Trade'!#REF!</definedName>
    <definedName name="z" localSheetId="5">'[4]Stock in Trade'!#REF!</definedName>
    <definedName name="z" localSheetId="17">'[4]Stock in Trade'!#REF!</definedName>
    <definedName name="z">'[4]Stock in Trade'!#REF!</definedName>
    <definedName name="Z_2F0BD9A2_457D_11D2_8EE8_0060971217D4_.wvu.PrintArea" localSheetId="21" hidden="1">'[13]34-38.2'!#REF!</definedName>
    <definedName name="Z_2F0BD9A2_457D_11D2_8EE8_0060971217D4_.wvu.PrintArea" localSheetId="22" hidden="1">'[13]34-38.2'!#REF!</definedName>
    <definedName name="Z_2F0BD9A2_457D_11D2_8EE8_0060971217D4_.wvu.PrintArea" localSheetId="9" hidden="1">'[13]34-38.2'!#REF!</definedName>
    <definedName name="Z_2F0BD9A2_457D_11D2_8EE8_0060971217D4_.wvu.PrintArea" localSheetId="2" hidden="1">'[13]34-38.2'!#REF!</definedName>
    <definedName name="Z_2F0BD9A2_457D_11D2_8EE8_0060971217D4_.wvu.PrintArea" localSheetId="16" hidden="1">'[13]34-38.2'!#REF!</definedName>
    <definedName name="Z_2F0BD9A2_457D_11D2_8EE8_0060971217D4_.wvu.PrintArea" localSheetId="5" hidden="1">'[13]34-38.2'!#REF!</definedName>
    <definedName name="Z_2F0BD9A2_457D_11D2_8EE8_0060971217D4_.wvu.PrintArea" localSheetId="17" hidden="1">'[13]34-38.2'!#REF!</definedName>
    <definedName name="Z_2F0BD9A2_457D_11D2_8EE8_0060971217D4_.wvu.PrintArea" hidden="1">'[13]34-38.2'!#REF!</definedName>
    <definedName name="Z_2F0BD9A2_457D_11D2_8EE8_0060971217D4_.wvu.PrintTitles" localSheetId="21" hidden="1">'[13]34-38.2'!#REF!</definedName>
    <definedName name="Z_2F0BD9A2_457D_11D2_8EE8_0060971217D4_.wvu.PrintTitles" localSheetId="22" hidden="1">'[13]34-38.2'!#REF!</definedName>
    <definedName name="Z_2F0BD9A2_457D_11D2_8EE8_0060971217D4_.wvu.PrintTitles" localSheetId="9" hidden="1">'[13]34-38.2'!#REF!</definedName>
    <definedName name="Z_2F0BD9A2_457D_11D2_8EE8_0060971217D4_.wvu.PrintTitles" localSheetId="2" hidden="1">'[13]34-38.2'!#REF!</definedName>
    <definedName name="Z_2F0BD9A2_457D_11D2_8EE8_0060971217D4_.wvu.PrintTitles" localSheetId="16" hidden="1">'[13]34-38.2'!#REF!</definedName>
    <definedName name="Z_2F0BD9A2_457D_11D2_8EE8_0060971217D4_.wvu.PrintTitles" localSheetId="5" hidden="1">'[13]34-38.2'!#REF!</definedName>
    <definedName name="Z_2F0BD9A2_457D_11D2_8EE8_0060971217D4_.wvu.PrintTitles" localSheetId="17" hidden="1">'[13]34-38.2'!#REF!</definedName>
    <definedName name="Z_2F0BD9A2_457D_11D2_8EE8_0060971217D4_.wvu.PrintTitles" hidden="1">'[13]34-38.2'!#REF!</definedName>
    <definedName name="Z_3AB84060_44C7_11D2_8EE8_0060971217D4_.wvu.PrintArea" localSheetId="21" hidden="1">'[13]34-38.2'!#REF!</definedName>
    <definedName name="Z_3AB84060_44C7_11D2_8EE8_0060971217D4_.wvu.PrintArea" localSheetId="22" hidden="1">'[13]34-38.2'!#REF!</definedName>
    <definedName name="Z_3AB84060_44C7_11D2_8EE8_0060971217D4_.wvu.PrintArea" localSheetId="9" hidden="1">'[13]34-38.2'!#REF!</definedName>
    <definedName name="Z_3AB84060_44C7_11D2_8EE8_0060971217D4_.wvu.PrintArea" localSheetId="2" hidden="1">'[13]34-38.2'!#REF!</definedName>
    <definedName name="Z_3AB84060_44C7_11D2_8EE8_0060971217D4_.wvu.PrintArea" localSheetId="16" hidden="1">'[13]34-38.2'!#REF!</definedName>
    <definedName name="Z_3AB84060_44C7_11D2_8EE8_0060971217D4_.wvu.PrintArea" localSheetId="5" hidden="1">'[13]34-38.2'!#REF!</definedName>
    <definedName name="Z_3AB84060_44C7_11D2_8EE8_0060971217D4_.wvu.PrintArea" localSheetId="17" hidden="1">'[13]34-38.2'!#REF!</definedName>
    <definedName name="Z_3AB84060_44C7_11D2_8EE8_0060971217D4_.wvu.PrintArea" hidden="1">'[13]34-38.2'!#REF!</definedName>
    <definedName name="Z_3AB84060_44C7_11D2_8EE8_0060971217D4_.wvu.PrintTitles" localSheetId="21" hidden="1">'[13]34-38.2'!#REF!</definedName>
    <definedName name="Z_3AB84060_44C7_11D2_8EE8_0060971217D4_.wvu.PrintTitles" localSheetId="22" hidden="1">'[13]34-38.2'!#REF!</definedName>
    <definedName name="Z_3AB84060_44C7_11D2_8EE8_0060971217D4_.wvu.PrintTitles" localSheetId="9" hidden="1">'[13]34-38.2'!#REF!</definedName>
    <definedName name="Z_3AB84060_44C7_11D2_8EE8_0060971217D4_.wvu.PrintTitles" localSheetId="2" hidden="1">'[13]34-38.2'!#REF!</definedName>
    <definedName name="Z_3AB84060_44C7_11D2_8EE8_0060971217D4_.wvu.PrintTitles" localSheetId="16" hidden="1">'[13]34-38.2'!#REF!</definedName>
    <definedName name="Z_3AB84060_44C7_11D2_8EE8_0060971217D4_.wvu.PrintTitles" localSheetId="5" hidden="1">'[13]34-38.2'!#REF!</definedName>
    <definedName name="Z_3AB84060_44C7_11D2_8EE8_0060971217D4_.wvu.PrintTitles" localSheetId="17" hidden="1">'[13]34-38.2'!#REF!</definedName>
    <definedName name="Z_3AB84060_44C7_11D2_8EE8_0060971217D4_.wvu.PrintTitles" hidden="1">'[13]34-38.2'!#REF!</definedName>
    <definedName name="Z_C2C0FF43_603F_11D2_A368_00001C3AD7D3_.wvu.PrintArea" localSheetId="21" hidden="1">'[13]34-38.2'!#REF!</definedName>
    <definedName name="Z_C2C0FF43_603F_11D2_A368_00001C3AD7D3_.wvu.PrintArea" localSheetId="22" hidden="1">'[13]34-38.2'!#REF!</definedName>
    <definedName name="Z_C2C0FF43_603F_11D2_A368_00001C3AD7D3_.wvu.PrintArea" localSheetId="9" hidden="1">'[13]34-38.2'!#REF!</definedName>
    <definedName name="Z_C2C0FF43_603F_11D2_A368_00001C3AD7D3_.wvu.PrintArea" localSheetId="2" hidden="1">'[13]34-38.2'!#REF!</definedName>
    <definedName name="Z_C2C0FF43_603F_11D2_A368_00001C3AD7D3_.wvu.PrintArea" localSheetId="16" hidden="1">'[13]34-38.2'!#REF!</definedName>
    <definedName name="Z_C2C0FF43_603F_11D2_A368_00001C3AD7D3_.wvu.PrintArea" localSheetId="5" hidden="1">'[13]34-38.2'!#REF!</definedName>
    <definedName name="Z_C2C0FF43_603F_11D2_A368_00001C3AD7D3_.wvu.PrintArea" localSheetId="17" hidden="1">'[13]34-38.2'!#REF!</definedName>
    <definedName name="Z_C2C0FF43_603F_11D2_A368_00001C3AD7D3_.wvu.PrintArea" hidden="1">'[13]34-38.2'!#REF!</definedName>
    <definedName name="Z_C2C0FF43_603F_11D2_A368_00001C3AD7D3_.wvu.PrintTitles" localSheetId="21" hidden="1">'[13]34-38.2'!#REF!</definedName>
    <definedName name="Z_C2C0FF43_603F_11D2_A368_00001C3AD7D3_.wvu.PrintTitles" localSheetId="22" hidden="1">'[13]34-38.2'!#REF!</definedName>
    <definedName name="Z_C2C0FF43_603F_11D2_A368_00001C3AD7D3_.wvu.PrintTitles" localSheetId="9" hidden="1">'[13]34-38.2'!#REF!</definedName>
    <definedName name="Z_C2C0FF43_603F_11D2_A368_00001C3AD7D3_.wvu.PrintTitles" localSheetId="2" hidden="1">'[13]34-38.2'!#REF!</definedName>
    <definedName name="Z_C2C0FF43_603F_11D2_A368_00001C3AD7D3_.wvu.PrintTitles" localSheetId="16" hidden="1">'[13]34-38.2'!#REF!</definedName>
    <definedName name="Z_C2C0FF43_603F_11D2_A368_00001C3AD7D3_.wvu.PrintTitles" localSheetId="5" hidden="1">'[13]34-38.2'!#REF!</definedName>
    <definedName name="Z_C2C0FF43_603F_11D2_A368_00001C3AD7D3_.wvu.PrintTitles" localSheetId="17" hidden="1">'[13]34-38.2'!#REF!</definedName>
    <definedName name="Z_C2C0FF43_603F_11D2_A368_00001C3AD7D3_.wvu.PrintTitles" hidden="1">'[13]34-38.2'!#REF!</definedName>
    <definedName name="Z_D068BBA0_44C0_11D2_8EE8_0060971217D4_.wvu.Cols" localSheetId="21" hidden="1">'[13]34-38.2'!#REF!,'[13]34-38.2'!#REF!,'[13]34-38.2'!#REF!,'[13]34-38.2'!#REF!</definedName>
    <definedName name="Z_D068BBA0_44C0_11D2_8EE8_0060971217D4_.wvu.Cols" localSheetId="22" hidden="1">'[13]34-38.2'!#REF!,'[13]34-38.2'!#REF!,'[13]34-38.2'!#REF!,'[13]34-38.2'!#REF!</definedName>
    <definedName name="Z_D068BBA0_44C0_11D2_8EE8_0060971217D4_.wvu.Cols" localSheetId="9" hidden="1">'[13]34-38.2'!#REF!,'[13]34-38.2'!#REF!,'[13]34-38.2'!#REF!,'[13]34-38.2'!#REF!</definedName>
    <definedName name="Z_D068BBA0_44C0_11D2_8EE8_0060971217D4_.wvu.Cols" localSheetId="2" hidden="1">'[13]34-38.2'!#REF!,'[13]34-38.2'!#REF!,'[13]34-38.2'!#REF!,'[13]34-38.2'!#REF!</definedName>
    <definedName name="Z_D068BBA0_44C0_11D2_8EE8_0060971217D4_.wvu.Cols" localSheetId="16" hidden="1">'[13]34-38.2'!#REF!,'[13]34-38.2'!#REF!,'[13]34-38.2'!#REF!,'[13]34-38.2'!#REF!</definedName>
    <definedName name="Z_D068BBA0_44C0_11D2_8EE8_0060971217D4_.wvu.Cols" localSheetId="5" hidden="1">'[13]34-38.2'!#REF!,'[13]34-38.2'!#REF!,'[13]34-38.2'!#REF!,'[13]34-38.2'!#REF!</definedName>
    <definedName name="Z_D068BBA0_44C0_11D2_8EE8_0060971217D4_.wvu.Cols" localSheetId="17" hidden="1">'[13]34-38.2'!#REF!,'[13]34-38.2'!#REF!,'[13]34-38.2'!#REF!,'[13]34-38.2'!#REF!</definedName>
    <definedName name="Z_D068BBA0_44C0_11D2_8EE8_0060971217D4_.wvu.Cols" hidden="1">'[13]34-38.2'!#REF!,'[13]34-38.2'!#REF!,'[13]34-38.2'!#REF!,'[13]34-38.2'!#REF!</definedName>
    <definedName name="Z_D068BBA0_44C0_11D2_8EE8_0060971217D4_.wvu.PrintArea" localSheetId="21" hidden="1">'[13]34-38.2'!#REF!</definedName>
    <definedName name="Z_D068BBA0_44C0_11D2_8EE8_0060971217D4_.wvu.PrintArea" localSheetId="22" hidden="1">'[13]34-38.2'!#REF!</definedName>
    <definedName name="Z_D068BBA0_44C0_11D2_8EE8_0060971217D4_.wvu.PrintArea" localSheetId="9" hidden="1">'[13]34-38.2'!#REF!</definedName>
    <definedName name="Z_D068BBA0_44C0_11D2_8EE8_0060971217D4_.wvu.PrintArea" localSheetId="2" hidden="1">'[13]34-38.2'!#REF!</definedName>
    <definedName name="Z_D068BBA0_44C0_11D2_8EE8_0060971217D4_.wvu.PrintArea" localSheetId="16" hidden="1">'[13]34-38.2'!#REF!</definedName>
    <definedName name="Z_D068BBA0_44C0_11D2_8EE8_0060971217D4_.wvu.PrintArea" localSheetId="5" hidden="1">'[13]34-38.2'!#REF!</definedName>
    <definedName name="Z_D068BBA0_44C0_11D2_8EE8_0060971217D4_.wvu.PrintArea" localSheetId="17" hidden="1">'[13]34-38.2'!#REF!</definedName>
    <definedName name="Z_D068BBA0_44C0_11D2_8EE8_0060971217D4_.wvu.PrintArea" hidden="1">'[13]34-38.2'!#REF!</definedName>
    <definedName name="zaheer" localSheetId="21">#REF!</definedName>
    <definedName name="zaheer" localSheetId="22">#REF!</definedName>
    <definedName name="zaheer" localSheetId="9">#REF!</definedName>
    <definedName name="zaheer" localSheetId="7">#REF!</definedName>
    <definedName name="zaheer" localSheetId="16">#REF!</definedName>
    <definedName name="zaheer" localSheetId="5">#REF!</definedName>
    <definedName name="zaheer" localSheetId="17">#REF!</definedName>
    <definedName name="zaheer">#REF!</definedName>
    <definedName name="zia" localSheetId="21">#REF!</definedName>
    <definedName name="zia" localSheetId="22">#REF!</definedName>
    <definedName name="zia" localSheetId="9">#REF!</definedName>
    <definedName name="zia" localSheetId="2">#REF!</definedName>
    <definedName name="zia" localSheetId="16">#REF!</definedName>
    <definedName name="zia" localSheetId="5">#REF!</definedName>
    <definedName name="zia" localSheetId="17">#REF!</definedName>
    <definedName name="zia">#REF!</definedName>
    <definedName name="zzz" localSheetId="21" hidden="1">'[4]Adv to vendor'!#REF!</definedName>
    <definedName name="zzz" localSheetId="22" hidden="1">'[4]Adv to vendor'!#REF!</definedName>
    <definedName name="zzz" localSheetId="9" hidden="1">'[4]Adv to vendor'!#REF!</definedName>
    <definedName name="zzz" localSheetId="2" hidden="1">'[4]Adv to vendor'!#REF!</definedName>
    <definedName name="zzz" localSheetId="16" hidden="1">'[4]Adv to vendor'!#REF!</definedName>
    <definedName name="zzz" localSheetId="5" hidden="1">'[4]Adv to vendor'!#REF!</definedName>
    <definedName name="zzz" localSheetId="17" hidden="1">'[4]Adv to vendor'!#REF!</definedName>
    <definedName name="zzz" hidden="1">'[4]Adv to vendor'!#REF!</definedName>
    <definedName name="zzzz" localSheetId="21">'[4]Adv to vendor'!#REF!</definedName>
    <definedName name="zzzz" localSheetId="22">'[4]Adv to vendor'!#REF!</definedName>
    <definedName name="zzzz" localSheetId="9">'[4]Adv to vendor'!#REF!</definedName>
    <definedName name="zzzz" localSheetId="2">'[4]Adv to vendor'!#REF!</definedName>
    <definedName name="zzzz" localSheetId="16">'[4]Adv to vendor'!#REF!</definedName>
    <definedName name="zzzz" localSheetId="5">'[4]Adv to vendor'!#REF!</definedName>
    <definedName name="zzzz" localSheetId="17">'[4]Adv to vendor'!#REF!</definedName>
    <definedName name="zzzz">'[4]Adv to vendor'!#REF!</definedName>
  </definedNames>
  <calcPr calcId="162913"/>
</workbook>
</file>

<file path=xl/calcChain.xml><?xml version="1.0" encoding="utf-8"?>
<calcChain xmlns="http://schemas.openxmlformats.org/spreadsheetml/2006/main">
  <c r="H15" i="74" l="1"/>
  <c r="J155" i="76" l="1"/>
  <c r="J151" i="76"/>
  <c r="J148" i="76"/>
  <c r="J147" i="76"/>
  <c r="J146" i="76"/>
  <c r="J145" i="76"/>
  <c r="J144" i="76"/>
  <c r="J138" i="76"/>
  <c r="J141" i="76"/>
  <c r="J140" i="76"/>
  <c r="J139" i="76"/>
  <c r="J135" i="76"/>
  <c r="J134" i="76"/>
  <c r="J133" i="76"/>
  <c r="J132" i="76"/>
  <c r="J129" i="76"/>
  <c r="J128" i="76"/>
  <c r="J127" i="76"/>
  <c r="J126" i="76"/>
  <c r="J125" i="76"/>
  <c r="J119" i="76"/>
  <c r="J120" i="76"/>
  <c r="J121" i="76"/>
  <c r="J122" i="76"/>
  <c r="J118" i="76"/>
  <c r="J115" i="76"/>
  <c r="J114" i="76"/>
  <c r="J113" i="76"/>
  <c r="J109" i="76"/>
  <c r="J108" i="76"/>
  <c r="J107" i="76"/>
  <c r="J106" i="76"/>
  <c r="J105" i="76"/>
  <c r="J102" i="76"/>
  <c r="J101" i="76"/>
  <c r="J100" i="76"/>
  <c r="J99" i="76"/>
  <c r="J93" i="76"/>
  <c r="J94" i="76"/>
  <c r="J95" i="76"/>
  <c r="J96" i="76"/>
  <c r="J90" i="76"/>
  <c r="J89" i="76"/>
  <c r="J88" i="76"/>
  <c r="J85" i="76"/>
  <c r="J82" i="76"/>
  <c r="J81" i="76"/>
  <c r="J78" i="76"/>
  <c r="J75" i="76"/>
  <c r="J74" i="76"/>
  <c r="J73" i="76"/>
  <c r="J72" i="76"/>
  <c r="J71" i="76"/>
  <c r="J70" i="76"/>
  <c r="J67" i="76"/>
  <c r="J66" i="76"/>
  <c r="J65" i="76"/>
  <c r="J61" i="76"/>
  <c r="J60" i="76"/>
  <c r="J59" i="76"/>
  <c r="J58" i="76"/>
  <c r="J57" i="76"/>
  <c r="J45" i="76"/>
  <c r="J46" i="76"/>
  <c r="J47" i="76"/>
  <c r="J48" i="76"/>
  <c r="J49" i="76"/>
  <c r="J50" i="76"/>
  <c r="J51" i="76"/>
  <c r="J52" i="76"/>
  <c r="J53" i="76"/>
  <c r="J54" i="76"/>
  <c r="J44" i="76"/>
  <c r="J38" i="76"/>
  <c r="J39" i="76"/>
  <c r="J40" i="76"/>
  <c r="J41" i="76"/>
  <c r="J37" i="76"/>
  <c r="J27" i="76"/>
  <c r="J28" i="76"/>
  <c r="J29" i="76"/>
  <c r="J30" i="76"/>
  <c r="J31" i="76"/>
  <c r="J32" i="76"/>
  <c r="J33" i="76"/>
  <c r="J34" i="76"/>
  <c r="J26" i="76"/>
  <c r="J23" i="76"/>
  <c r="J20" i="76"/>
  <c r="J19" i="76"/>
  <c r="J18" i="76"/>
  <c r="J12" i="76"/>
  <c r="J13" i="76"/>
  <c r="J14" i="76"/>
  <c r="J15" i="76"/>
  <c r="J11" i="76"/>
  <c r="K170" i="76"/>
  <c r="K169" i="76"/>
  <c r="A7" i="78" l="1"/>
  <c r="A32" i="78" s="1"/>
  <c r="A43" i="78" s="1"/>
  <c r="A51" i="78" s="1"/>
  <c r="O3" i="74"/>
  <c r="O4" i="74"/>
  <c r="G26" i="81" l="1"/>
  <c r="I127" i="7" l="1"/>
  <c r="I115" i="7"/>
  <c r="I112" i="7"/>
  <c r="O26" i="74" l="1"/>
  <c r="O27" i="74" s="1"/>
  <c r="H48" i="2"/>
  <c r="P27" i="1" l="1"/>
  <c r="AF143" i="76" l="1"/>
  <c r="I64" i="7"/>
  <c r="I60" i="7"/>
  <c r="I56" i="7"/>
  <c r="I52" i="7"/>
  <c r="I48" i="7"/>
  <c r="I44" i="7"/>
  <c r="I39" i="7"/>
  <c r="I35" i="7"/>
  <c r="I63" i="7"/>
  <c r="I59" i="7"/>
  <c r="I55" i="7"/>
  <c r="I51" i="7"/>
  <c r="I47" i="7"/>
  <c r="I43" i="7"/>
  <c r="I38" i="7"/>
  <c r="I34" i="7"/>
  <c r="I30" i="7"/>
  <c r="I31" i="7"/>
  <c r="I24" i="7"/>
  <c r="I23" i="7"/>
  <c r="I124" i="7" l="1"/>
  <c r="I121" i="7"/>
  <c r="I118" i="7"/>
  <c r="I109" i="7"/>
  <c r="I106" i="7"/>
  <c r="I103" i="7"/>
  <c r="I100" i="7"/>
  <c r="I97" i="7"/>
  <c r="J62" i="71"/>
  <c r="I62" i="71"/>
  <c r="H59" i="71"/>
  <c r="G151" i="76"/>
  <c r="G148" i="76"/>
  <c r="G147" i="76"/>
  <c r="G146" i="76"/>
  <c r="G145" i="76"/>
  <c r="G144" i="76"/>
  <c r="G141" i="76"/>
  <c r="G140" i="76"/>
  <c r="G139" i="76"/>
  <c r="G138" i="76"/>
  <c r="G135" i="76"/>
  <c r="G134" i="76"/>
  <c r="G133" i="76"/>
  <c r="G132" i="76"/>
  <c r="G129" i="76"/>
  <c r="G128" i="76"/>
  <c r="G127" i="76"/>
  <c r="G126" i="76"/>
  <c r="G125" i="76"/>
  <c r="G122" i="76"/>
  <c r="G121" i="76"/>
  <c r="G120" i="76"/>
  <c r="G119" i="76"/>
  <c r="G118" i="76"/>
  <c r="G115" i="76"/>
  <c r="G114" i="76"/>
  <c r="G113" i="76"/>
  <c r="G109" i="76"/>
  <c r="G108" i="76"/>
  <c r="G107" i="76"/>
  <c r="G106" i="76"/>
  <c r="G105" i="76"/>
  <c r="G102" i="76"/>
  <c r="G101" i="76"/>
  <c r="G100" i="76"/>
  <c r="G99" i="76"/>
  <c r="G96" i="76"/>
  <c r="G95" i="76"/>
  <c r="G94" i="76"/>
  <c r="G93" i="76"/>
  <c r="G90" i="76"/>
  <c r="G89" i="76"/>
  <c r="G88" i="76"/>
  <c r="G85" i="76"/>
  <c r="G82" i="76"/>
  <c r="G81" i="76"/>
  <c r="G78" i="76"/>
  <c r="G75" i="76"/>
  <c r="G74" i="76"/>
  <c r="G73" i="76"/>
  <c r="G72" i="76"/>
  <c r="G71" i="76"/>
  <c r="G70" i="76"/>
  <c r="G67" i="76"/>
  <c r="G66" i="76"/>
  <c r="G65" i="76"/>
  <c r="G61" i="76"/>
  <c r="G60" i="76"/>
  <c r="G59" i="76"/>
  <c r="G58" i="76"/>
  <c r="G57" i="76"/>
  <c r="G54" i="76"/>
  <c r="G53" i="76"/>
  <c r="G52" i="76"/>
  <c r="G51" i="76"/>
  <c r="G50" i="76"/>
  <c r="G49" i="76"/>
  <c r="G48" i="76"/>
  <c r="G47" i="76"/>
  <c r="G46" i="76"/>
  <c r="G45" i="76"/>
  <c r="G44" i="76"/>
  <c r="G41" i="76"/>
  <c r="G40" i="76"/>
  <c r="G39" i="76"/>
  <c r="G38" i="76"/>
  <c r="G37" i="76"/>
  <c r="G34" i="76"/>
  <c r="G33" i="76"/>
  <c r="G32" i="76"/>
  <c r="G31" i="76"/>
  <c r="G30" i="76"/>
  <c r="G29" i="76"/>
  <c r="G28" i="76"/>
  <c r="G27" i="76"/>
  <c r="G26" i="76"/>
  <c r="G23" i="76"/>
  <c r="G20" i="76"/>
  <c r="G19" i="76"/>
  <c r="G18" i="76"/>
  <c r="G15" i="76"/>
  <c r="G14" i="76"/>
  <c r="G13" i="76"/>
  <c r="G12" i="76"/>
  <c r="G11" i="76"/>
  <c r="L149" i="76" l="1"/>
  <c r="I149" i="76"/>
  <c r="H149" i="76"/>
  <c r="L142" i="76"/>
  <c r="I142" i="76"/>
  <c r="H142" i="76"/>
  <c r="L136" i="76"/>
  <c r="I136" i="76"/>
  <c r="H136" i="76"/>
  <c r="L130" i="76"/>
  <c r="I130" i="76"/>
  <c r="H130" i="76"/>
  <c r="L123" i="76"/>
  <c r="I123" i="76"/>
  <c r="H123" i="76"/>
  <c r="L116" i="76"/>
  <c r="I116" i="76"/>
  <c r="H116" i="76"/>
  <c r="L110" i="76"/>
  <c r="I110" i="76"/>
  <c r="H110" i="76"/>
  <c r="L103" i="76"/>
  <c r="I103" i="76"/>
  <c r="H103" i="76"/>
  <c r="L97" i="76"/>
  <c r="I97" i="76"/>
  <c r="H97" i="76"/>
  <c r="L91" i="76"/>
  <c r="I91" i="76"/>
  <c r="H91" i="76"/>
  <c r="I86" i="76"/>
  <c r="H86" i="76"/>
  <c r="L83" i="76"/>
  <c r="I83" i="76"/>
  <c r="H83" i="76"/>
  <c r="L79" i="76"/>
  <c r="I79" i="76"/>
  <c r="H79" i="76"/>
  <c r="L76" i="76"/>
  <c r="I76" i="76"/>
  <c r="H76" i="76"/>
  <c r="L68" i="76"/>
  <c r="I68" i="76"/>
  <c r="H68" i="76"/>
  <c r="L62" i="76"/>
  <c r="I62" i="76"/>
  <c r="H62" i="76"/>
  <c r="L55" i="76"/>
  <c r="I55" i="76"/>
  <c r="H55" i="76"/>
  <c r="L42" i="76"/>
  <c r="I42" i="76"/>
  <c r="H42" i="76"/>
  <c r="L35" i="76"/>
  <c r="I35" i="76"/>
  <c r="H35" i="76"/>
  <c r="L24" i="76"/>
  <c r="I24" i="76"/>
  <c r="H24" i="76"/>
  <c r="L21" i="76"/>
  <c r="I21" i="76"/>
  <c r="H21" i="76"/>
  <c r="L16" i="76"/>
  <c r="I16" i="76"/>
  <c r="H16" i="76"/>
  <c r="J24" i="76"/>
  <c r="J42" i="76"/>
  <c r="J79" i="76"/>
  <c r="J83" i="76"/>
  <c r="J86" i="76"/>
  <c r="J91" i="76"/>
  <c r="J97" i="76"/>
  <c r="J103" i="76"/>
  <c r="J116" i="76"/>
  <c r="J152" i="76"/>
  <c r="J149" i="76"/>
  <c r="L152" i="76"/>
  <c r="I152" i="76"/>
  <c r="H152" i="76"/>
  <c r="J157" i="76"/>
  <c r="J35" i="76" l="1"/>
  <c r="J62" i="76"/>
  <c r="J142" i="76"/>
  <c r="J136" i="76"/>
  <c r="J130" i="76"/>
  <c r="J16" i="76"/>
  <c r="J123" i="76"/>
  <c r="J110" i="76"/>
  <c r="J76" i="76"/>
  <c r="J68" i="76"/>
  <c r="J55" i="76"/>
  <c r="J21" i="76"/>
  <c r="H155" i="76"/>
  <c r="I155" i="76"/>
  <c r="K85" i="76"/>
  <c r="K86" i="76" s="1"/>
  <c r="H44" i="6"/>
  <c r="L85" i="76" l="1"/>
  <c r="L86" i="76" s="1"/>
  <c r="N21" i="1"/>
  <c r="V29" i="2" l="1"/>
  <c r="H3" i="76" l="1"/>
  <c r="H151" i="75"/>
  <c r="H12" i="2"/>
  <c r="C146" i="75" l="1"/>
  <c r="E100" i="75" l="1"/>
  <c r="E116" i="75"/>
  <c r="J123" i="88"/>
  <c r="AB27" i="74" l="1"/>
  <c r="AA27" i="74"/>
  <c r="Z27" i="74"/>
  <c r="P15" i="74" s="1"/>
  <c r="P16" i="74" s="1"/>
  <c r="Y27" i="74"/>
  <c r="O15" i="74" s="1"/>
  <c r="O6" i="74" l="1"/>
  <c r="O16" i="74"/>
  <c r="Y30" i="74"/>
  <c r="Z30" i="74"/>
  <c r="O21" i="74"/>
  <c r="P6" i="74" s="1"/>
  <c r="P21" i="74"/>
  <c r="O22" i="74" l="1"/>
  <c r="P22" i="74"/>
  <c r="N6" i="74"/>
  <c r="H27" i="1"/>
  <c r="L46" i="81" l="1"/>
  <c r="I46" i="81"/>
  <c r="L16" i="81"/>
  <c r="I16" i="81"/>
  <c r="H15" i="2"/>
  <c r="H10" i="74"/>
  <c r="J42" i="74"/>
  <c r="L172" i="76" l="1"/>
  <c r="J172" i="76"/>
  <c r="K35" i="1" l="1"/>
  <c r="K36" i="1"/>
  <c r="P50" i="2" l="1"/>
  <c r="P51" i="2" s="1"/>
  <c r="F22" i="74" l="1"/>
  <c r="G55" i="2"/>
  <c r="B115" i="88" l="1"/>
  <c r="B113" i="88"/>
  <c r="O705" i="92" l="1"/>
  <c r="S703" i="92"/>
  <c r="O703" i="92"/>
  <c r="S701" i="92"/>
  <c r="O701" i="92"/>
  <c r="O700" i="92"/>
  <c r="P832" i="91"/>
  <c r="T830" i="91"/>
  <c r="P830" i="91"/>
  <c r="T829" i="91"/>
  <c r="P829" i="91"/>
  <c r="P828" i="91"/>
  <c r="P831" i="91" s="1"/>
  <c r="R1286" i="90"/>
  <c r="N1286" i="90"/>
  <c r="R1257" i="90"/>
  <c r="N1257" i="90"/>
  <c r="S1186" i="90"/>
  <c r="O1186" i="90"/>
  <c r="O1185" i="90"/>
  <c r="G29" i="81"/>
  <c r="G25" i="81"/>
  <c r="M39" i="81"/>
  <c r="N39" i="81" s="1"/>
  <c r="M38" i="81"/>
  <c r="N38" i="81" s="1"/>
  <c r="M36" i="81"/>
  <c r="N36" i="81" s="1"/>
  <c r="M34" i="81"/>
  <c r="N34" i="81" s="1"/>
  <c r="G22" i="81"/>
  <c r="G31" i="81"/>
  <c r="G33" i="81"/>
  <c r="P833" i="91" l="1"/>
  <c r="O704" i="92"/>
  <c r="G32" i="81"/>
  <c r="G41" i="2" l="1"/>
  <c r="E33" i="1"/>
  <c r="E26" i="1"/>
  <c r="M74" i="89" l="1"/>
  <c r="L62" i="89"/>
  <c r="J61" i="89"/>
  <c r="J62" i="89" s="1"/>
  <c r="B19" i="89"/>
  <c r="L17" i="89"/>
  <c r="A3" i="88"/>
  <c r="J127" i="88"/>
  <c r="L125" i="88"/>
  <c r="L128" i="88" s="1"/>
  <c r="O115" i="88"/>
  <c r="L111" i="88"/>
  <c r="N108" i="88"/>
  <c r="A35" i="88"/>
  <c r="A1" i="88"/>
  <c r="M46" i="89" l="1"/>
  <c r="B34" i="89"/>
  <c r="G37" i="2"/>
  <c r="A120" i="88"/>
  <c r="E12" i="1" s="1"/>
  <c r="E11" i="1"/>
  <c r="K54" i="71" l="1"/>
  <c r="K55" i="71"/>
  <c r="K56" i="71"/>
  <c r="K57" i="71"/>
  <c r="K58" i="71"/>
  <c r="K60" i="71"/>
  <c r="H57" i="71"/>
  <c r="C32" i="75" l="1"/>
  <c r="K53" i="71" l="1"/>
  <c r="K62" i="71" s="1"/>
  <c r="H54" i="71"/>
  <c r="H55" i="71"/>
  <c r="H56" i="71"/>
  <c r="H58" i="71"/>
  <c r="H60" i="71"/>
  <c r="H53" i="71"/>
  <c r="O39" i="2" l="1"/>
  <c r="O37" i="2"/>
  <c r="O164" i="75"/>
  <c r="O160" i="75"/>
  <c r="O159" i="75"/>
  <c r="O161" i="75"/>
  <c r="P161" i="75"/>
  <c r="O162" i="75"/>
  <c r="P162" i="75"/>
  <c r="O163" i="75"/>
  <c r="P163" i="75"/>
  <c r="O165" i="75"/>
  <c r="P165" i="75"/>
  <c r="O166" i="75"/>
  <c r="P166" i="75"/>
  <c r="D170" i="75"/>
  <c r="C175" i="75"/>
  <c r="D175" i="75"/>
  <c r="C177" i="75"/>
  <c r="D177" i="75"/>
  <c r="O17" i="2"/>
  <c r="I29" i="1" l="1"/>
  <c r="I27" i="1"/>
  <c r="N16" i="80"/>
  <c r="I16" i="1"/>
  <c r="L26" i="74" l="1"/>
  <c r="L22" i="74"/>
  <c r="L21" i="74"/>
  <c r="L16" i="74"/>
  <c r="L15" i="74"/>
  <c r="L10" i="74"/>
  <c r="I46" i="71" l="1"/>
  <c r="L34" i="80" l="1"/>
  <c r="G40" i="81" l="1"/>
  <c r="L49" i="80" l="1"/>
  <c r="I29" i="74" l="1"/>
  <c r="J54" i="74" l="1"/>
  <c r="A57" i="2"/>
  <c r="M1229" i="77" l="1"/>
  <c r="M1228" i="77"/>
  <c r="M1226" i="77" l="1"/>
  <c r="P38" i="2" l="1"/>
  <c r="O5" i="2" l="1"/>
  <c r="O6" i="2" s="1"/>
  <c r="O156" i="75"/>
  <c r="C176" i="75" s="1"/>
  <c r="P156" i="75"/>
  <c r="D176" i="75" s="1"/>
  <c r="O157" i="75"/>
  <c r="P157" i="75"/>
  <c r="O158" i="75"/>
  <c r="P158" i="75"/>
  <c r="N9" i="74" l="1"/>
  <c r="N8" i="74"/>
  <c r="N10" i="74" l="1"/>
  <c r="R31" i="2" l="1"/>
  <c r="K29" i="1"/>
  <c r="K27" i="1"/>
  <c r="K25" i="1"/>
  <c r="K24" i="1"/>
  <c r="K23" i="1"/>
  <c r="K22" i="1" l="1"/>
  <c r="K20" i="1"/>
  <c r="K16" i="1"/>
  <c r="K15" i="1"/>
  <c r="K14" i="1"/>
  <c r="K12" i="1"/>
  <c r="L21" i="1"/>
  <c r="K11" i="1"/>
  <c r="J37" i="74" l="1"/>
  <c r="J48" i="74" s="1"/>
  <c r="L29" i="74" l="1"/>
  <c r="J29" i="74"/>
  <c r="K29" i="74"/>
  <c r="I23" i="74"/>
  <c r="J23" i="74"/>
  <c r="K23" i="74"/>
  <c r="L23" i="74"/>
  <c r="L17" i="74"/>
  <c r="L31" i="74" s="1"/>
  <c r="K17" i="74"/>
  <c r="J17" i="74"/>
  <c r="I17" i="74"/>
  <c r="I31" i="74" l="1"/>
  <c r="J31" i="74"/>
  <c r="K31" i="74"/>
  <c r="I165" i="76" l="1"/>
  <c r="A26" i="74" l="1"/>
  <c r="N169" i="76"/>
  <c r="G28" i="81" l="1"/>
  <c r="G37" i="81"/>
  <c r="G35" i="81"/>
  <c r="G30" i="81"/>
  <c r="G27" i="81"/>
  <c r="O19" i="80"/>
  <c r="N170" i="76" l="1"/>
  <c r="P155" i="75"/>
  <c r="D174" i="75" s="1"/>
  <c r="O155" i="75"/>
  <c r="C174" i="75" s="1"/>
  <c r="P154" i="75"/>
  <c r="D173" i="75" s="1"/>
  <c r="O154" i="75"/>
  <c r="C173" i="75" s="1"/>
  <c r="P153" i="75"/>
  <c r="D172" i="75" s="1"/>
  <c r="O153" i="75"/>
  <c r="C172" i="75" s="1"/>
  <c r="P152" i="75"/>
  <c r="D171" i="75" s="1"/>
  <c r="O152" i="75"/>
  <c r="P151" i="75"/>
  <c r="O151" i="75"/>
  <c r="P150" i="75"/>
  <c r="O150" i="75"/>
  <c r="P149" i="75"/>
  <c r="O149" i="75"/>
  <c r="P148" i="75"/>
  <c r="O148" i="75"/>
  <c r="P147" i="75"/>
  <c r="O147" i="75"/>
  <c r="P146" i="75"/>
  <c r="O146" i="75"/>
  <c r="P145" i="75"/>
  <c r="O145" i="75"/>
  <c r="P144" i="75"/>
  <c r="O144" i="75"/>
  <c r="P143" i="75"/>
  <c r="O143" i="75"/>
  <c r="P142" i="75"/>
  <c r="O142" i="75"/>
  <c r="P141" i="75"/>
  <c r="O141" i="75"/>
  <c r="P140" i="75"/>
  <c r="O140" i="75"/>
  <c r="P139" i="75"/>
  <c r="O139" i="75"/>
  <c r="P138" i="75"/>
  <c r="O138" i="75"/>
  <c r="P137" i="75"/>
  <c r="O137" i="75"/>
  <c r="P136" i="75"/>
  <c r="O136" i="75"/>
  <c r="P135" i="75"/>
  <c r="O135" i="75"/>
  <c r="P134" i="75"/>
  <c r="O134" i="75"/>
  <c r="P133" i="75"/>
  <c r="O133" i="75"/>
  <c r="P132" i="75"/>
  <c r="O132" i="75"/>
  <c r="P131" i="75"/>
  <c r="O131" i="75"/>
  <c r="P130" i="75"/>
  <c r="O130" i="75"/>
  <c r="P129" i="75"/>
  <c r="O129" i="75"/>
  <c r="P128" i="75"/>
  <c r="O128" i="75"/>
  <c r="C143" i="75" s="1"/>
  <c r="P127" i="75"/>
  <c r="O127" i="75"/>
  <c r="P126" i="75"/>
  <c r="O126" i="75"/>
  <c r="C141" i="75" s="1"/>
  <c r="P125" i="75"/>
  <c r="O125" i="75"/>
  <c r="P124" i="75"/>
  <c r="O124" i="75"/>
  <c r="C139" i="75" s="1"/>
  <c r="P123" i="75"/>
  <c r="O123" i="75"/>
  <c r="P122" i="75"/>
  <c r="O122" i="75"/>
  <c r="P121" i="75"/>
  <c r="O121" i="75"/>
  <c r="P120" i="75"/>
  <c r="O120" i="75"/>
  <c r="P119" i="75"/>
  <c r="O119" i="75"/>
  <c r="P118" i="75"/>
  <c r="O118" i="75"/>
  <c r="P117" i="75"/>
  <c r="O117" i="75"/>
  <c r="P116" i="75"/>
  <c r="O116" i="75"/>
  <c r="P115" i="75"/>
  <c r="O115" i="75"/>
  <c r="P114" i="75"/>
  <c r="O114" i="75"/>
  <c r="P113" i="75"/>
  <c r="O113" i="75"/>
  <c r="P112" i="75"/>
  <c r="O112" i="75"/>
  <c r="P111" i="75"/>
  <c r="D122" i="75" s="1"/>
  <c r="E122" i="75" s="1"/>
  <c r="J14" i="89" s="1"/>
  <c r="O111" i="75"/>
  <c r="P110" i="75"/>
  <c r="O110" i="75"/>
  <c r="P109" i="75"/>
  <c r="O109" i="75"/>
  <c r="P108" i="75"/>
  <c r="O108" i="75"/>
  <c r="P107" i="75"/>
  <c r="O107" i="75"/>
  <c r="P106" i="75"/>
  <c r="O106" i="75"/>
  <c r="P105" i="75"/>
  <c r="O105" i="75"/>
  <c r="P104" i="75"/>
  <c r="O104" i="75"/>
  <c r="P103" i="75"/>
  <c r="O103" i="75"/>
  <c r="P102" i="75"/>
  <c r="O102" i="75"/>
  <c r="P101" i="75"/>
  <c r="O101" i="75"/>
  <c r="P100" i="75"/>
  <c r="O100" i="75"/>
  <c r="P99" i="75"/>
  <c r="O99" i="75"/>
  <c r="P98" i="75"/>
  <c r="O98" i="75"/>
  <c r="P97" i="75"/>
  <c r="O97" i="75"/>
  <c r="P96" i="75"/>
  <c r="O96" i="75"/>
  <c r="P95" i="75"/>
  <c r="O95" i="75"/>
  <c r="P94" i="75"/>
  <c r="D99" i="75" s="1"/>
  <c r="O94" i="75"/>
  <c r="C99" i="75" s="1"/>
  <c r="P93" i="75"/>
  <c r="O93" i="75"/>
  <c r="P92" i="75"/>
  <c r="O92" i="75"/>
  <c r="P91" i="75"/>
  <c r="O91" i="75"/>
  <c r="P90" i="75"/>
  <c r="O90" i="75"/>
  <c r="P89" i="75"/>
  <c r="O89" i="75"/>
  <c r="P88" i="75"/>
  <c r="O88" i="75"/>
  <c r="P87" i="75"/>
  <c r="O87" i="75"/>
  <c r="P86" i="75"/>
  <c r="O86" i="75"/>
  <c r="P85" i="75"/>
  <c r="O85" i="75"/>
  <c r="P84" i="75"/>
  <c r="O84" i="75"/>
  <c r="P83" i="75"/>
  <c r="O83" i="75"/>
  <c r="P82" i="75"/>
  <c r="O82" i="75"/>
  <c r="P81" i="75"/>
  <c r="O81" i="75"/>
  <c r="P80" i="75"/>
  <c r="O80" i="75"/>
  <c r="P79" i="75"/>
  <c r="O79" i="75"/>
  <c r="P78" i="75"/>
  <c r="O78" i="75"/>
  <c r="P77" i="75"/>
  <c r="O77" i="75"/>
  <c r="P76" i="75"/>
  <c r="O76" i="75"/>
  <c r="P75" i="75"/>
  <c r="D55" i="75" s="1"/>
  <c r="O75" i="75"/>
  <c r="C55" i="75" s="1"/>
  <c r="P74" i="75"/>
  <c r="O74" i="75"/>
  <c r="P73" i="75"/>
  <c r="O73" i="75"/>
  <c r="P72" i="75"/>
  <c r="D75" i="75" s="1"/>
  <c r="O72" i="75"/>
  <c r="C75" i="75" s="1"/>
  <c r="P71" i="75"/>
  <c r="O71" i="75"/>
  <c r="P70" i="75"/>
  <c r="O70" i="75"/>
  <c r="P69" i="75"/>
  <c r="O69" i="75"/>
  <c r="P68" i="75"/>
  <c r="O68" i="75"/>
  <c r="P67" i="75"/>
  <c r="O67" i="75"/>
  <c r="P66" i="75"/>
  <c r="O66" i="75"/>
  <c r="P65" i="75"/>
  <c r="O65" i="75"/>
  <c r="P64" i="75"/>
  <c r="O64" i="75"/>
  <c r="P63" i="75"/>
  <c r="O63" i="75"/>
  <c r="P62" i="75"/>
  <c r="O62" i="75"/>
  <c r="P61" i="75"/>
  <c r="O61" i="75"/>
  <c r="P60" i="75"/>
  <c r="O60" i="75"/>
  <c r="P59" i="75"/>
  <c r="O59" i="75"/>
  <c r="P58" i="75"/>
  <c r="O58" i="75"/>
  <c r="P57" i="75"/>
  <c r="O57" i="75"/>
  <c r="P56" i="75"/>
  <c r="O56" i="75"/>
  <c r="P55" i="75"/>
  <c r="O55" i="75"/>
  <c r="P54" i="75"/>
  <c r="O54" i="75"/>
  <c r="P53" i="75"/>
  <c r="O53" i="75"/>
  <c r="P52" i="75"/>
  <c r="O52" i="75"/>
  <c r="P51" i="75"/>
  <c r="O51" i="75"/>
  <c r="P50" i="75"/>
  <c r="O50" i="75"/>
  <c r="P49" i="75"/>
  <c r="O49" i="75"/>
  <c r="P48" i="75"/>
  <c r="O48" i="75"/>
  <c r="P47" i="75"/>
  <c r="O47" i="75"/>
  <c r="P46" i="75"/>
  <c r="O46" i="75"/>
  <c r="P45" i="75"/>
  <c r="O45" i="75"/>
  <c r="P44" i="75"/>
  <c r="O44" i="75"/>
  <c r="P43" i="75"/>
  <c r="O43" i="75"/>
  <c r="P42" i="75"/>
  <c r="O42" i="75"/>
  <c r="P41" i="75"/>
  <c r="O41" i="75"/>
  <c r="P40" i="75"/>
  <c r="O40" i="75"/>
  <c r="P39" i="75"/>
  <c r="O39" i="75"/>
  <c r="P38" i="75"/>
  <c r="O38" i="75"/>
  <c r="P37" i="75"/>
  <c r="O37" i="75"/>
  <c r="P36" i="75"/>
  <c r="O36" i="75"/>
  <c r="P35" i="75"/>
  <c r="O35" i="75"/>
  <c r="P34" i="75"/>
  <c r="O34" i="75"/>
  <c r="P33" i="75"/>
  <c r="O33" i="75"/>
  <c r="P32" i="75"/>
  <c r="O32" i="75"/>
  <c r="P31" i="75"/>
  <c r="O31" i="75"/>
  <c r="P30" i="75"/>
  <c r="D29" i="75" s="1"/>
  <c r="O30" i="75"/>
  <c r="C29" i="75" s="1"/>
  <c r="Q30" i="75" s="1"/>
  <c r="P29" i="75"/>
  <c r="O29" i="75"/>
  <c r="P28" i="75"/>
  <c r="O28" i="75"/>
  <c r="P27" i="75"/>
  <c r="D26" i="75" s="1"/>
  <c r="O27" i="75"/>
  <c r="C26" i="75" s="1"/>
  <c r="Q27" i="75" s="1"/>
  <c r="P26" i="75"/>
  <c r="O26" i="75"/>
  <c r="P25" i="75"/>
  <c r="O25" i="75"/>
  <c r="P24" i="75"/>
  <c r="O24" i="75"/>
  <c r="P23" i="75"/>
  <c r="O23" i="75"/>
  <c r="P22" i="75"/>
  <c r="O22" i="75"/>
  <c r="P21" i="75"/>
  <c r="O21" i="75"/>
  <c r="P20" i="75"/>
  <c r="O20" i="75"/>
  <c r="P19" i="75"/>
  <c r="O19" i="75"/>
  <c r="P18" i="75"/>
  <c r="O18" i="75"/>
  <c r="P17" i="75"/>
  <c r="O17" i="75"/>
  <c r="P16" i="75"/>
  <c r="O16" i="75"/>
  <c r="P15" i="75"/>
  <c r="O15" i="75"/>
  <c r="P14" i="75"/>
  <c r="O14" i="75"/>
  <c r="P13" i="75"/>
  <c r="O13" i="75"/>
  <c r="P12" i="75"/>
  <c r="O12" i="75"/>
  <c r="P11" i="75"/>
  <c r="O11" i="75"/>
  <c r="P10" i="75"/>
  <c r="D9" i="75" s="1"/>
  <c r="O10" i="75"/>
  <c r="C9" i="75" s="1"/>
  <c r="Q10" i="75" s="1"/>
  <c r="P9" i="75"/>
  <c r="O9" i="75"/>
  <c r="P8" i="75"/>
  <c r="O8" i="75"/>
  <c r="P7" i="75"/>
  <c r="O7" i="75"/>
  <c r="C48" i="75" l="1"/>
  <c r="Q74" i="75"/>
  <c r="E99" i="75"/>
  <c r="G100" i="75"/>
  <c r="D48" i="75"/>
  <c r="C111" i="75"/>
  <c r="C171" i="75"/>
  <c r="C164" i="75"/>
  <c r="D149" i="75"/>
  <c r="F149" i="75" s="1"/>
  <c r="D164" i="75"/>
  <c r="C149" i="75"/>
  <c r="C145" i="75"/>
  <c r="D111" i="75"/>
  <c r="E111" i="75" s="1"/>
  <c r="C122" i="75"/>
  <c r="D139" i="75"/>
  <c r="Q124" i="75" s="1"/>
  <c r="D143" i="75"/>
  <c r="Q128" i="75" s="1"/>
  <c r="D145" i="75"/>
  <c r="D138" i="75"/>
  <c r="Q123" i="75" s="1"/>
  <c r="D140" i="75"/>
  <c r="Q125" i="75" s="1"/>
  <c r="D142" i="75"/>
  <c r="Q127" i="75" s="1"/>
  <c r="D144" i="75"/>
  <c r="C138" i="75"/>
  <c r="C140" i="75"/>
  <c r="C142" i="75"/>
  <c r="C144" i="75"/>
  <c r="D141" i="75"/>
  <c r="Q126" i="75" s="1"/>
  <c r="C54" i="75"/>
  <c r="I81" i="7" s="1"/>
  <c r="H149" i="75"/>
  <c r="H147" i="75"/>
  <c r="H146" i="75"/>
  <c r="H145" i="75"/>
  <c r="H144" i="75"/>
  <c r="H143" i="75"/>
  <c r="H134" i="75"/>
  <c r="H142" i="75"/>
  <c r="H141" i="75"/>
  <c r="H140" i="75"/>
  <c r="H139" i="75"/>
  <c r="H138" i="75"/>
  <c r="H137" i="75"/>
  <c r="H136" i="75"/>
  <c r="H135" i="75"/>
  <c r="H133" i="75"/>
  <c r="H132" i="75"/>
  <c r="H131" i="75"/>
  <c r="H130" i="75"/>
  <c r="H129" i="75"/>
  <c r="H128" i="75"/>
  <c r="H127" i="75"/>
  <c r="G98" i="75"/>
  <c r="G97" i="75"/>
  <c r="G96" i="75"/>
  <c r="G95" i="75"/>
  <c r="G94" i="75"/>
  <c r="G93" i="75"/>
  <c r="G92" i="75"/>
  <c r="G91" i="75"/>
  <c r="F35" i="75"/>
  <c r="F34" i="75"/>
  <c r="F33" i="75"/>
  <c r="F32" i="75"/>
  <c r="F31" i="75"/>
  <c r="F30" i="75"/>
  <c r="F29" i="75"/>
  <c r="I20" i="7"/>
  <c r="D169" i="75"/>
  <c r="C169" i="75"/>
  <c r="D168" i="75"/>
  <c r="C168" i="75"/>
  <c r="D167" i="75"/>
  <c r="C167" i="75"/>
  <c r="I147" i="75" s="1"/>
  <c r="D166" i="75"/>
  <c r="C166" i="75"/>
  <c r="I146" i="75" s="1"/>
  <c r="H32" i="2" s="1"/>
  <c r="D165" i="75"/>
  <c r="C165" i="75"/>
  <c r="I143" i="75" s="1"/>
  <c r="H29" i="2" s="1"/>
  <c r="D163" i="75"/>
  <c r="C163" i="75"/>
  <c r="I151" i="75" s="1"/>
  <c r="H37" i="2" s="1"/>
  <c r="D162" i="75"/>
  <c r="C162" i="75"/>
  <c r="D161" i="75"/>
  <c r="C161" i="75"/>
  <c r="D160" i="75"/>
  <c r="C160" i="75"/>
  <c r="I144" i="75" s="1"/>
  <c r="H30" i="2" s="1"/>
  <c r="D159" i="75"/>
  <c r="C159" i="75"/>
  <c r="I142" i="75" s="1"/>
  <c r="H28" i="2" s="1"/>
  <c r="I8" i="7" s="1"/>
  <c r="D158" i="75"/>
  <c r="C158" i="75"/>
  <c r="I141" i="75" s="1"/>
  <c r="H27" i="2" s="1"/>
  <c r="I9" i="7" s="1"/>
  <c r="D157" i="75"/>
  <c r="C157" i="75"/>
  <c r="I140" i="75" s="1"/>
  <c r="H26" i="2" s="1"/>
  <c r="D156" i="75"/>
  <c r="C156" i="75"/>
  <c r="I138" i="75" s="1"/>
  <c r="H24" i="2" s="1"/>
  <c r="D155" i="75"/>
  <c r="C155" i="75"/>
  <c r="I137" i="75" s="1"/>
  <c r="H23" i="2" s="1"/>
  <c r="D154" i="75"/>
  <c r="C154" i="75"/>
  <c r="D153" i="75"/>
  <c r="C153" i="75"/>
  <c r="I136" i="75" s="1"/>
  <c r="H22" i="2" s="1"/>
  <c r="D152" i="75"/>
  <c r="C152" i="75"/>
  <c r="I134" i="75" s="1"/>
  <c r="H20" i="2" s="1"/>
  <c r="D148" i="75"/>
  <c r="C148" i="75"/>
  <c r="D147" i="75"/>
  <c r="Q130" i="75" s="1"/>
  <c r="C147" i="75"/>
  <c r="D146" i="75"/>
  <c r="I129" i="75" s="1"/>
  <c r="D137" i="75"/>
  <c r="Q122" i="75" s="1"/>
  <c r="C137" i="75"/>
  <c r="D136" i="75"/>
  <c r="Q121" i="75" s="1"/>
  <c r="C136" i="75"/>
  <c r="D135" i="75"/>
  <c r="Q120" i="75" s="1"/>
  <c r="C135" i="75"/>
  <c r="D134" i="75"/>
  <c r="Q119" i="75" s="1"/>
  <c r="C134" i="75"/>
  <c r="D133" i="75"/>
  <c r="C133" i="75"/>
  <c r="D132" i="75"/>
  <c r="C132" i="75"/>
  <c r="D131" i="75"/>
  <c r="C131" i="75"/>
  <c r="D130" i="75"/>
  <c r="I128" i="75" s="1"/>
  <c r="H11" i="2" s="1"/>
  <c r="C130" i="75"/>
  <c r="D129" i="75"/>
  <c r="C129" i="75"/>
  <c r="D128" i="75"/>
  <c r="C128" i="75"/>
  <c r="D124" i="75"/>
  <c r="C124" i="75"/>
  <c r="D123" i="75"/>
  <c r="C123" i="75"/>
  <c r="D121" i="75"/>
  <c r="E121" i="75" s="1"/>
  <c r="J15" i="89" s="1"/>
  <c r="C121" i="75"/>
  <c r="D120" i="75"/>
  <c r="E120" i="75" s="1"/>
  <c r="C120" i="75"/>
  <c r="D119" i="75"/>
  <c r="E119" i="75" s="1"/>
  <c r="C119" i="75"/>
  <c r="D118" i="75"/>
  <c r="C118" i="75"/>
  <c r="D117" i="75"/>
  <c r="E117" i="75" s="1"/>
  <c r="J12" i="89" s="1"/>
  <c r="C117" i="75"/>
  <c r="D115" i="75"/>
  <c r="E115" i="75" s="1"/>
  <c r="C115" i="75"/>
  <c r="D114" i="75"/>
  <c r="C114" i="75"/>
  <c r="D113" i="75"/>
  <c r="E113" i="75" s="1"/>
  <c r="C113" i="75"/>
  <c r="D112" i="75"/>
  <c r="E112" i="75" s="1"/>
  <c r="C112" i="75"/>
  <c r="D110" i="75"/>
  <c r="E110" i="75" s="1"/>
  <c r="C110" i="75"/>
  <c r="D109" i="75"/>
  <c r="E109" i="75" s="1"/>
  <c r="C109" i="75"/>
  <c r="D108" i="75"/>
  <c r="E108" i="75" s="1"/>
  <c r="C108" i="75"/>
  <c r="D107" i="75"/>
  <c r="E107" i="75" s="1"/>
  <c r="C107" i="75"/>
  <c r="D106" i="75"/>
  <c r="E106" i="75" s="1"/>
  <c r="C106" i="75"/>
  <c r="D105" i="75"/>
  <c r="E105" i="75" s="1"/>
  <c r="C105" i="75"/>
  <c r="D104" i="75"/>
  <c r="E104" i="75" s="1"/>
  <c r="C104" i="75"/>
  <c r="D103" i="75"/>
  <c r="E103" i="75" s="1"/>
  <c r="C103" i="75"/>
  <c r="D102" i="75"/>
  <c r="C102" i="75"/>
  <c r="D101" i="75"/>
  <c r="C101" i="75"/>
  <c r="D98" i="75"/>
  <c r="H96" i="75" s="1"/>
  <c r="F24" i="1" s="1"/>
  <c r="C98" i="75"/>
  <c r="D97" i="75"/>
  <c r="C97" i="75"/>
  <c r="D96" i="75"/>
  <c r="C96" i="75"/>
  <c r="D95" i="75"/>
  <c r="C95" i="75"/>
  <c r="D94" i="75"/>
  <c r="C94" i="75"/>
  <c r="D93" i="75"/>
  <c r="C93" i="75"/>
  <c r="D92" i="75"/>
  <c r="C92" i="75"/>
  <c r="D91" i="75"/>
  <c r="C91" i="75"/>
  <c r="D90" i="75"/>
  <c r="C90" i="75"/>
  <c r="D89" i="75"/>
  <c r="C89" i="75"/>
  <c r="D85" i="75"/>
  <c r="C85" i="75"/>
  <c r="D84" i="75"/>
  <c r="C84" i="75"/>
  <c r="D83" i="75"/>
  <c r="C83" i="75"/>
  <c r="D82" i="75"/>
  <c r="C82" i="75"/>
  <c r="D81" i="75"/>
  <c r="C81" i="75"/>
  <c r="D80" i="75"/>
  <c r="C80" i="75"/>
  <c r="D79" i="75"/>
  <c r="C79" i="75"/>
  <c r="D78" i="75"/>
  <c r="C78" i="75"/>
  <c r="D77" i="75"/>
  <c r="C77" i="75"/>
  <c r="D74" i="75"/>
  <c r="C74" i="75"/>
  <c r="D73" i="75"/>
  <c r="C73" i="75"/>
  <c r="D72" i="75"/>
  <c r="C72" i="75"/>
  <c r="D71" i="75"/>
  <c r="C71" i="75"/>
  <c r="D70" i="75"/>
  <c r="C70" i="75"/>
  <c r="D69" i="75"/>
  <c r="C69" i="75"/>
  <c r="D68" i="75"/>
  <c r="C68" i="75"/>
  <c r="D67" i="75"/>
  <c r="C67" i="75"/>
  <c r="D66" i="75"/>
  <c r="C66" i="75"/>
  <c r="D65" i="75"/>
  <c r="C65" i="75"/>
  <c r="D64" i="75"/>
  <c r="C64" i="75"/>
  <c r="D63" i="75"/>
  <c r="C63" i="75"/>
  <c r="D62" i="75"/>
  <c r="C62" i="75"/>
  <c r="D61" i="75"/>
  <c r="C61" i="75"/>
  <c r="D60" i="75"/>
  <c r="C60" i="75"/>
  <c r="D59" i="75"/>
  <c r="C59" i="75"/>
  <c r="F60" i="75" s="1"/>
  <c r="D58" i="75"/>
  <c r="C58" i="75"/>
  <c r="D57" i="75"/>
  <c r="C57" i="75"/>
  <c r="D56" i="75"/>
  <c r="C56" i="75"/>
  <c r="D54" i="75"/>
  <c r="D53" i="75"/>
  <c r="C53" i="75"/>
  <c r="D52" i="75"/>
  <c r="C52" i="75"/>
  <c r="D51" i="75"/>
  <c r="C51" i="75"/>
  <c r="D50" i="75"/>
  <c r="C50" i="75"/>
  <c r="D49" i="75"/>
  <c r="C49" i="75"/>
  <c r="D47" i="75"/>
  <c r="C47" i="75"/>
  <c r="D46" i="75"/>
  <c r="C46" i="75"/>
  <c r="I94" i="7" s="1"/>
  <c r="D45" i="75"/>
  <c r="C45" i="75"/>
  <c r="D44" i="75"/>
  <c r="C44" i="75"/>
  <c r="D43" i="75"/>
  <c r="C43" i="75"/>
  <c r="D42" i="75"/>
  <c r="C42" i="75"/>
  <c r="D41" i="75"/>
  <c r="C41" i="75"/>
  <c r="D40" i="75"/>
  <c r="C40" i="75"/>
  <c r="D39" i="75"/>
  <c r="C39" i="75"/>
  <c r="D38" i="75"/>
  <c r="C38" i="75"/>
  <c r="D37" i="75"/>
  <c r="C37" i="75"/>
  <c r="D36" i="75"/>
  <c r="C36" i="75"/>
  <c r="D35" i="75"/>
  <c r="C35" i="75"/>
  <c r="D34" i="75"/>
  <c r="C34" i="75"/>
  <c r="D33" i="75"/>
  <c r="C33" i="75"/>
  <c r="Q34" i="75" s="1"/>
  <c r="D32" i="75"/>
  <c r="Q33" i="75"/>
  <c r="D31" i="75"/>
  <c r="C31" i="75"/>
  <c r="Q32" i="75" s="1"/>
  <c r="D30" i="75"/>
  <c r="C30" i="75"/>
  <c r="E35" i="75" s="1"/>
  <c r="D28" i="75"/>
  <c r="C28" i="75"/>
  <c r="D27" i="75"/>
  <c r="C27" i="75"/>
  <c r="Q28" i="75" s="1"/>
  <c r="D25" i="75"/>
  <c r="C25" i="75"/>
  <c r="Q26" i="75" s="1"/>
  <c r="D24" i="75"/>
  <c r="C24" i="75"/>
  <c r="Q25" i="75" s="1"/>
  <c r="D23" i="75"/>
  <c r="C23" i="75"/>
  <c r="Q24" i="75" s="1"/>
  <c r="D22" i="75"/>
  <c r="C22" i="75"/>
  <c r="Q23" i="75" s="1"/>
  <c r="D21" i="75"/>
  <c r="C21" i="75"/>
  <c r="Q22" i="75" s="1"/>
  <c r="D20" i="75"/>
  <c r="C20" i="75"/>
  <c r="Q21" i="75" s="1"/>
  <c r="D19" i="75"/>
  <c r="C19" i="75"/>
  <c r="Q20" i="75" s="1"/>
  <c r="D18" i="75"/>
  <c r="C18" i="75"/>
  <c r="Q19" i="75" s="1"/>
  <c r="D17" i="75"/>
  <c r="C17" i="75"/>
  <c r="Q18" i="75" s="1"/>
  <c r="D16" i="75"/>
  <c r="C16" i="75"/>
  <c r="Q17" i="75" s="1"/>
  <c r="D15" i="75"/>
  <c r="C15" i="75"/>
  <c r="Q16" i="75" s="1"/>
  <c r="D14" i="75"/>
  <c r="C14" i="75"/>
  <c r="Q15" i="75" s="1"/>
  <c r="D13" i="75"/>
  <c r="C13" i="75"/>
  <c r="Q14" i="75" s="1"/>
  <c r="D12" i="75"/>
  <c r="C12" i="75"/>
  <c r="D11" i="75"/>
  <c r="C11" i="75"/>
  <c r="Q12" i="75" s="1"/>
  <c r="D10" i="75"/>
  <c r="C10" i="75"/>
  <c r="D8" i="75"/>
  <c r="C8" i="75"/>
  <c r="Q9" i="75" s="1"/>
  <c r="D7" i="75"/>
  <c r="C7" i="75"/>
  <c r="Q8" i="75" s="1"/>
  <c r="D6" i="75"/>
  <c r="C6" i="75"/>
  <c r="G6" i="75" s="1"/>
  <c r="P169" i="75"/>
  <c r="O169" i="75"/>
  <c r="E76" i="75"/>
  <c r="M169" i="75"/>
  <c r="N169" i="75"/>
  <c r="G31" i="75" l="1"/>
  <c r="F13" i="1" s="1"/>
  <c r="I84" i="7"/>
  <c r="G33" i="75"/>
  <c r="F20" i="1"/>
  <c r="I12" i="7"/>
  <c r="I130" i="75"/>
  <c r="I127" i="75"/>
  <c r="F72" i="75"/>
  <c r="I80" i="7"/>
  <c r="E93" i="75"/>
  <c r="E101" i="75"/>
  <c r="F25" i="1"/>
  <c r="N25" i="1" s="1"/>
  <c r="I76" i="7"/>
  <c r="E124" i="75"/>
  <c r="G7" i="75"/>
  <c r="J110" i="88" s="1"/>
  <c r="M110" i="88" s="1"/>
  <c r="F59" i="75"/>
  <c r="I132" i="75"/>
  <c r="J29" i="80"/>
  <c r="N20" i="1"/>
  <c r="I72" i="7"/>
  <c r="E89" i="75"/>
  <c r="J47" i="80"/>
  <c r="F22" i="1"/>
  <c r="N22" i="1" s="1"/>
  <c r="I79" i="7"/>
  <c r="E95" i="75"/>
  <c r="S102" i="75"/>
  <c r="E114" i="75"/>
  <c r="F114" i="75" s="1"/>
  <c r="J11" i="89" s="1"/>
  <c r="I13" i="7"/>
  <c r="I145" i="75"/>
  <c r="H13" i="2"/>
  <c r="G77" i="75"/>
  <c r="H16" i="2"/>
  <c r="I133" i="75"/>
  <c r="I73" i="7"/>
  <c r="E91" i="75"/>
  <c r="F23" i="1"/>
  <c r="N23" i="1" s="1"/>
  <c r="E97" i="75"/>
  <c r="I85" i="7"/>
  <c r="I74" i="7"/>
  <c r="E90" i="75"/>
  <c r="E92" i="75"/>
  <c r="J8" i="89"/>
  <c r="J9" i="89"/>
  <c r="E94" i="75"/>
  <c r="F124" i="75"/>
  <c r="J16" i="89" s="1"/>
  <c r="E96" i="75"/>
  <c r="E98" i="75"/>
  <c r="N24" i="1"/>
  <c r="F111" i="75"/>
  <c r="J10" i="89" s="1"/>
  <c r="E102" i="75"/>
  <c r="E118" i="75"/>
  <c r="F118" i="75"/>
  <c r="J13" i="89" s="1"/>
  <c r="I75" i="7"/>
  <c r="E123" i="75"/>
  <c r="J32" i="80" s="1"/>
  <c r="I7" i="7"/>
  <c r="H31" i="2"/>
  <c r="G20" i="75"/>
  <c r="G32" i="75"/>
  <c r="F20" i="75"/>
  <c r="H20" i="75" s="1"/>
  <c r="G30" i="75"/>
  <c r="J16" i="80"/>
  <c r="G29" i="75"/>
  <c r="G41" i="75"/>
  <c r="G42" i="75" s="1"/>
  <c r="Q118" i="75"/>
  <c r="Q11" i="75"/>
  <c r="F14" i="75"/>
  <c r="F15" i="75" s="1"/>
  <c r="Q13" i="75"/>
  <c r="F11" i="75"/>
  <c r="F12" i="75" s="1"/>
  <c r="E57" i="75"/>
  <c r="H10" i="2"/>
  <c r="H14" i="6"/>
  <c r="Q31" i="75"/>
  <c r="Q7" i="75"/>
  <c r="I93" i="7"/>
  <c r="Q29" i="75"/>
  <c r="J30" i="80"/>
  <c r="J48" i="80"/>
  <c r="J49" i="80" s="1"/>
  <c r="J33" i="80"/>
  <c r="J31" i="80"/>
  <c r="F169" i="75"/>
  <c r="I149" i="75"/>
  <c r="H34" i="2" s="1"/>
  <c r="F168" i="75"/>
  <c r="Q129" i="75"/>
  <c r="I21" i="7"/>
  <c r="H92" i="75"/>
  <c r="H94" i="75"/>
  <c r="S99" i="75"/>
  <c r="S91" i="75"/>
  <c r="S96" i="75"/>
  <c r="S97" i="75"/>
  <c r="S104" i="75"/>
  <c r="S94" i="75"/>
  <c r="S103" i="75"/>
  <c r="S95" i="75"/>
  <c r="S92" i="75"/>
  <c r="S101" i="75"/>
  <c r="S93" i="75"/>
  <c r="S98" i="75"/>
  <c r="S90" i="75"/>
  <c r="H33" i="2"/>
  <c r="N170" i="75"/>
  <c r="E39" i="75"/>
  <c r="H95" i="75"/>
  <c r="H98" i="75"/>
  <c r="P170" i="75"/>
  <c r="I13" i="1" l="1"/>
  <c r="H19" i="6" s="1"/>
  <c r="N13" i="1"/>
  <c r="L13" i="1"/>
  <c r="V39" i="89"/>
  <c r="T32" i="89"/>
  <c r="U32" i="89" s="1"/>
  <c r="J17" i="89"/>
  <c r="L20" i="1"/>
  <c r="H97" i="75"/>
  <c r="J34" i="80"/>
  <c r="I22" i="1"/>
  <c r="H27" i="6" s="1"/>
  <c r="L22" i="1"/>
  <c r="I25" i="1"/>
  <c r="H30" i="6" s="1"/>
  <c r="L25" i="1"/>
  <c r="I24" i="1"/>
  <c r="H29" i="6" s="1"/>
  <c r="L24" i="1"/>
  <c r="I23" i="1"/>
  <c r="H28" i="6" s="1"/>
  <c r="L23" i="1"/>
  <c r="I150" i="75"/>
  <c r="I20" i="1"/>
  <c r="H25" i="6" s="1"/>
  <c r="G34" i="75"/>
  <c r="J35" i="2"/>
  <c r="F53" i="74" l="1"/>
  <c r="H17" i="2"/>
  <c r="M17" i="80"/>
  <c r="H99" i="75"/>
  <c r="A3" i="77"/>
  <c r="J20" i="1" l="1"/>
  <c r="K64" i="71" l="1"/>
  <c r="J124" i="88"/>
  <c r="I64" i="71"/>
  <c r="J1237" i="77" l="1"/>
  <c r="J64" i="71"/>
  <c r="S29" i="79"/>
  <c r="U29" i="79"/>
  <c r="Q28" i="79"/>
  <c r="W28" i="79" s="1"/>
  <c r="Q27" i="79"/>
  <c r="I8" i="80"/>
  <c r="K38" i="71"/>
  <c r="I37" i="71"/>
  <c r="I36" i="71"/>
  <c r="K34" i="71"/>
  <c r="G34" i="71"/>
  <c r="H34" i="71"/>
  <c r="I33" i="71"/>
  <c r="I32" i="71"/>
  <c r="I31" i="71"/>
  <c r="K26" i="71"/>
  <c r="I25" i="71"/>
  <c r="I24" i="71"/>
  <c r="I23" i="71"/>
  <c r="I20" i="71"/>
  <c r="K18" i="71"/>
  <c r="I17" i="71"/>
  <c r="I16" i="71"/>
  <c r="I13" i="71"/>
  <c r="I10" i="71"/>
  <c r="F39" i="71"/>
  <c r="F37" i="71"/>
  <c r="F36" i="71"/>
  <c r="F32" i="71"/>
  <c r="F33" i="71"/>
  <c r="F31" i="71"/>
  <c r="F28" i="71"/>
  <c r="F24" i="71"/>
  <c r="F25" i="71"/>
  <c r="F23" i="71"/>
  <c r="F20" i="71"/>
  <c r="F17" i="71"/>
  <c r="F16" i="71"/>
  <c r="F13" i="71"/>
  <c r="F10" i="71"/>
  <c r="H7" i="75"/>
  <c r="L1224" i="77"/>
  <c r="Q29" i="79" l="1"/>
  <c r="I18" i="71"/>
  <c r="I26" i="71"/>
  <c r="I34" i="71"/>
  <c r="I38" i="71"/>
  <c r="G23" i="74" l="1"/>
  <c r="F23" i="74"/>
  <c r="G17" i="74"/>
  <c r="F17" i="74"/>
  <c r="B36" i="61"/>
  <c r="I7" i="80" l="1"/>
  <c r="L17" i="80" l="1"/>
  <c r="L1238" i="77" l="1"/>
  <c r="A1226" i="77"/>
  <c r="I1222" i="77" s="1"/>
  <c r="A1229" i="77" l="1"/>
  <c r="I1223" i="77" s="1"/>
  <c r="E49" i="75" l="1"/>
  <c r="E48" i="75"/>
  <c r="F49" i="75" l="1"/>
  <c r="F14" i="1"/>
  <c r="E75" i="75"/>
  <c r="H77" i="75"/>
  <c r="F67" i="75"/>
  <c r="F63" i="75"/>
  <c r="N14" i="1" l="1"/>
  <c r="I14" i="1"/>
  <c r="H20" i="6" s="1"/>
  <c r="L14" i="1"/>
  <c r="K184" i="76"/>
  <c r="K183" i="76"/>
  <c r="K185" i="76" l="1"/>
  <c r="M16" i="7" l="1"/>
  <c r="P16" i="7" s="1"/>
  <c r="D11" i="70" l="1"/>
  <c r="F27" i="79" l="1"/>
  <c r="N27" i="79" s="1"/>
  <c r="W27" i="79" l="1"/>
  <c r="W29" i="79" s="1"/>
  <c r="F61" i="75" l="1"/>
  <c r="F64" i="75" l="1"/>
  <c r="A1" i="77"/>
  <c r="F65" i="75" l="1"/>
  <c r="I172" i="76"/>
  <c r="M71" i="76" l="1"/>
  <c r="A568" i="76" l="1"/>
  <c r="C275" i="76"/>
  <c r="C273" i="76"/>
  <c r="I272" i="76"/>
  <c r="F271" i="76"/>
  <c r="K172" i="76" l="1"/>
  <c r="J125" i="88" l="1"/>
  <c r="J128" i="88" l="1"/>
  <c r="F12" i="1"/>
  <c r="J1236" i="77"/>
  <c r="J184" i="76"/>
  <c r="J183" i="76"/>
  <c r="F37" i="74"/>
  <c r="J7" i="80"/>
  <c r="M19" i="80" s="1"/>
  <c r="G29" i="74"/>
  <c r="G31" i="74" s="1"/>
  <c r="J1223" i="77"/>
  <c r="I12" i="1" l="1"/>
  <c r="H18" i="6" s="1"/>
  <c r="M1238" i="77"/>
  <c r="M1236" i="77"/>
  <c r="N1236" i="77" s="1"/>
  <c r="L12" i="1"/>
  <c r="J1238" i="77"/>
  <c r="V48" i="76"/>
  <c r="V4" i="76"/>
  <c r="J185" i="76"/>
  <c r="Q24" i="79"/>
  <c r="F24" i="79"/>
  <c r="H133" i="54"/>
  <c r="H132" i="54"/>
  <c r="H131" i="54"/>
  <c r="I131" i="54"/>
  <c r="N1238" i="77" l="1"/>
  <c r="W24" i="79"/>
  <c r="N24" i="79"/>
  <c r="F163" i="75"/>
  <c r="H151" i="54"/>
  <c r="H141" i="54"/>
  <c r="H137" i="54"/>
  <c r="F153" i="75"/>
  <c r="F154" i="75"/>
  <c r="F155" i="75"/>
  <c r="F156" i="75"/>
  <c r="F157" i="75"/>
  <c r="F159" i="75"/>
  <c r="F160" i="75"/>
  <c r="G159" i="75" s="1"/>
  <c r="F162" i="75"/>
  <c r="F164" i="75"/>
  <c r="F165" i="75"/>
  <c r="F166" i="75"/>
  <c r="F167" i="75"/>
  <c r="F170" i="75"/>
  <c r="F171" i="75"/>
  <c r="F172" i="75"/>
  <c r="F173" i="75"/>
  <c r="F174" i="75"/>
  <c r="F175" i="75"/>
  <c r="F152" i="75"/>
  <c r="F131" i="75"/>
  <c r="F136" i="75"/>
  <c r="F130" i="75"/>
  <c r="H155" i="54"/>
  <c r="F148" i="75"/>
  <c r="F146" i="75"/>
  <c r="F145" i="75"/>
  <c r="F144" i="75"/>
  <c r="F143" i="75"/>
  <c r="F142" i="75"/>
  <c r="F141" i="75"/>
  <c r="F140" i="75"/>
  <c r="F139" i="75"/>
  <c r="F138" i="75"/>
  <c r="F134" i="75"/>
  <c r="F133" i="75"/>
  <c r="F132" i="75"/>
  <c r="F129" i="75"/>
  <c r="F147" i="75"/>
  <c r="F128" i="75"/>
  <c r="H107" i="54"/>
  <c r="F174" i="54"/>
  <c r="E97" i="54"/>
  <c r="J9" i="80"/>
  <c r="H71" i="54"/>
  <c r="J12" i="80"/>
  <c r="J14" i="80"/>
  <c r="J8" i="80"/>
  <c r="E73" i="54"/>
  <c r="F48" i="75"/>
  <c r="E53" i="75"/>
  <c r="E55" i="75"/>
  <c r="H66" i="54"/>
  <c r="U158" i="59"/>
  <c r="T158" i="59"/>
  <c r="I81" i="59"/>
  <c r="H81" i="59"/>
  <c r="I80" i="59"/>
  <c r="J80" i="59" s="1"/>
  <c r="H80" i="59"/>
  <c r="I79" i="59"/>
  <c r="H79" i="59"/>
  <c r="U81" i="59"/>
  <c r="S81" i="59"/>
  <c r="G81" i="59"/>
  <c r="U80" i="59"/>
  <c r="S80" i="59"/>
  <c r="G80" i="59"/>
  <c r="M80" i="59" s="1"/>
  <c r="U79" i="59"/>
  <c r="S79" i="59"/>
  <c r="G79" i="59"/>
  <c r="M79" i="59" s="1"/>
  <c r="U78" i="59"/>
  <c r="S78" i="59"/>
  <c r="I148" i="59"/>
  <c r="H148" i="59"/>
  <c r="I147" i="59"/>
  <c r="H147" i="59"/>
  <c r="I146" i="59"/>
  <c r="H146" i="59"/>
  <c r="I145" i="59"/>
  <c r="H145" i="59"/>
  <c r="I142" i="59"/>
  <c r="H142" i="59"/>
  <c r="I141" i="59"/>
  <c r="H141" i="59"/>
  <c r="G141" i="59"/>
  <c r="I124" i="59"/>
  <c r="H124" i="59"/>
  <c r="I122" i="59"/>
  <c r="H122" i="59"/>
  <c r="I119" i="59"/>
  <c r="H119" i="59"/>
  <c r="I118" i="59"/>
  <c r="H118" i="59"/>
  <c r="I112" i="59"/>
  <c r="H112" i="59"/>
  <c r="I111" i="59"/>
  <c r="H111" i="59"/>
  <c r="I110" i="59"/>
  <c r="H110" i="59"/>
  <c r="I109" i="59"/>
  <c r="H109" i="59"/>
  <c r="I108" i="59"/>
  <c r="H108" i="59"/>
  <c r="I107" i="59"/>
  <c r="H107" i="59"/>
  <c r="I103" i="59"/>
  <c r="H103" i="59"/>
  <c r="I102" i="59"/>
  <c r="H102" i="59"/>
  <c r="I101" i="59"/>
  <c r="H101" i="59"/>
  <c r="I100" i="59"/>
  <c r="H100" i="59"/>
  <c r="I97" i="59"/>
  <c r="H97" i="59"/>
  <c r="I94" i="59"/>
  <c r="H94" i="59"/>
  <c r="S90" i="59"/>
  <c r="U90" i="59"/>
  <c r="G91" i="59"/>
  <c r="M91" i="59" s="1"/>
  <c r="J91" i="59"/>
  <c r="J92" i="59" s="1"/>
  <c r="S91" i="59"/>
  <c r="U91" i="59"/>
  <c r="H92" i="59"/>
  <c r="I92" i="59"/>
  <c r="S92" i="59"/>
  <c r="U92" i="59"/>
  <c r="I87" i="59"/>
  <c r="H87" i="59"/>
  <c r="I84" i="59"/>
  <c r="H84" i="59"/>
  <c r="I75" i="59"/>
  <c r="H75" i="59"/>
  <c r="I74" i="59"/>
  <c r="H74" i="59"/>
  <c r="I73" i="59"/>
  <c r="H73" i="59"/>
  <c r="S76" i="59"/>
  <c r="U76" i="59"/>
  <c r="I76" i="59"/>
  <c r="H76" i="59"/>
  <c r="G76" i="59"/>
  <c r="I69" i="59"/>
  <c r="H69" i="59"/>
  <c r="I68" i="59"/>
  <c r="H68" i="59"/>
  <c r="G68" i="59"/>
  <c r="I64" i="59"/>
  <c r="H64" i="59"/>
  <c r="I63" i="59"/>
  <c r="H63" i="59"/>
  <c r="G63" i="59"/>
  <c r="M63" i="59" s="1"/>
  <c r="G62" i="59"/>
  <c r="M62" i="59" s="1"/>
  <c r="J62" i="59"/>
  <c r="I61" i="59"/>
  <c r="H61" i="59"/>
  <c r="I59" i="59"/>
  <c r="H59" i="59"/>
  <c r="G59" i="59"/>
  <c r="I57" i="59"/>
  <c r="H57" i="59"/>
  <c r="I56" i="59"/>
  <c r="H56" i="59"/>
  <c r="I55" i="59"/>
  <c r="H55" i="59"/>
  <c r="I54" i="59"/>
  <c r="H54" i="59"/>
  <c r="G50" i="59"/>
  <c r="M50" i="59" s="1"/>
  <c r="J50" i="59"/>
  <c r="I49" i="59"/>
  <c r="H49" i="59"/>
  <c r="I48" i="59"/>
  <c r="H48" i="59"/>
  <c r="F48" i="59"/>
  <c r="C48" i="59"/>
  <c r="I36" i="59"/>
  <c r="H36" i="59"/>
  <c r="I35" i="59"/>
  <c r="H35" i="59"/>
  <c r="I33" i="59"/>
  <c r="H33" i="59"/>
  <c r="I32" i="59"/>
  <c r="H32" i="59"/>
  <c r="J18" i="59"/>
  <c r="J19" i="59"/>
  <c r="F53" i="75" l="1"/>
  <c r="F15" i="1"/>
  <c r="G142" i="75"/>
  <c r="J13" i="80"/>
  <c r="I82" i="59"/>
  <c r="G161" i="75"/>
  <c r="F55" i="75"/>
  <c r="H77" i="59"/>
  <c r="I77" i="59"/>
  <c r="H143" i="59"/>
  <c r="H82" i="59"/>
  <c r="G128" i="75"/>
  <c r="J10" i="80"/>
  <c r="G173" i="75"/>
  <c r="G166" i="75"/>
  <c r="G156" i="75"/>
  <c r="F97" i="75"/>
  <c r="M82" i="59"/>
  <c r="J79" i="59"/>
  <c r="J81" i="59"/>
  <c r="J63" i="59"/>
  <c r="J76" i="59"/>
  <c r="G48" i="59"/>
  <c r="N15" i="1" l="1"/>
  <c r="I15" i="1"/>
  <c r="H21" i="6" s="1"/>
  <c r="L15" i="1"/>
  <c r="J11" i="80"/>
  <c r="J17" i="80" s="1"/>
  <c r="F26" i="1"/>
  <c r="N26" i="1" s="1"/>
  <c r="H172" i="75"/>
  <c r="H35" i="2"/>
  <c r="B37" i="61"/>
  <c r="J82" i="59"/>
  <c r="V38" i="2" l="1"/>
  <c r="V39" i="2" s="1"/>
  <c r="H39" i="2"/>
  <c r="O40" i="2" s="1"/>
  <c r="I26" i="1"/>
  <c r="L26" i="1"/>
  <c r="H43" i="2" l="1"/>
  <c r="F44" i="74" s="1"/>
  <c r="D179" i="75"/>
  <c r="D180" i="75" s="1"/>
  <c r="C179" i="75"/>
  <c r="C180" i="75" s="1"/>
  <c r="H52" i="2" l="1"/>
  <c r="H11" i="62"/>
  <c r="H16" i="62" s="1"/>
  <c r="H10" i="6"/>
  <c r="E179" i="75"/>
  <c r="H50" i="2" l="1"/>
  <c r="F40" i="74" s="1"/>
  <c r="F42" i="74" s="1"/>
  <c r="F48" i="74" s="1"/>
  <c r="G8" i="75"/>
  <c r="J109" i="88" s="1"/>
  <c r="J111" i="88" s="1"/>
  <c r="F11" i="1" s="1"/>
  <c r="H6" i="75"/>
  <c r="E23" i="54"/>
  <c r="E25" i="54" s="1"/>
  <c r="F25" i="54" s="1"/>
  <c r="I11" i="1" l="1"/>
  <c r="N47" i="6"/>
  <c r="L11" i="1"/>
  <c r="H51" i="2"/>
  <c r="H8" i="75"/>
  <c r="J1222" i="77" s="1"/>
  <c r="L10" i="72"/>
  <c r="J10" i="72" s="1"/>
  <c r="G38" i="67"/>
  <c r="J15" i="6"/>
  <c r="J1224" i="77" l="1"/>
  <c r="E29" i="74"/>
  <c r="A1" i="74"/>
  <c r="A562" i="59" l="1"/>
  <c r="A557" i="66"/>
  <c r="A556" i="70"/>
  <c r="A556" i="67"/>
  <c r="G10" i="72" l="1"/>
  <c r="O2" i="72"/>
  <c r="O5" i="72" s="1"/>
  <c r="F10" i="72" s="1"/>
  <c r="F37" i="72" s="1"/>
  <c r="O3" i="72"/>
  <c r="N40" i="72" l="1"/>
  <c r="N39" i="72"/>
  <c r="F41" i="72"/>
  <c r="N41" i="72" l="1"/>
  <c r="K23" i="72"/>
  <c r="J23" i="72" s="1"/>
  <c r="K15" i="72"/>
  <c r="J15" i="72" s="1"/>
  <c r="O25" i="72"/>
  <c r="O14" i="72"/>
  <c r="O20" i="72"/>
  <c r="N20" i="72"/>
  <c r="E18" i="72" s="1"/>
  <c r="E22" i="72" s="1"/>
  <c r="N23" i="72" l="1"/>
  <c r="G23" i="72"/>
  <c r="F23" i="72"/>
  <c r="K54" i="72" l="1"/>
  <c r="K39" i="72"/>
  <c r="J30" i="72"/>
  <c r="M29" i="72"/>
  <c r="E30" i="72"/>
  <c r="H29" i="72"/>
  <c r="AB10" i="72"/>
  <c r="H22" i="72"/>
  <c r="H21" i="72"/>
  <c r="Z5" i="72"/>
  <c r="G15" i="72"/>
  <c r="F15" i="72"/>
  <c r="F39" i="72"/>
  <c r="A100" i="72"/>
  <c r="A99" i="72"/>
  <c r="A94" i="72"/>
  <c r="A93" i="72"/>
  <c r="A90" i="72"/>
  <c r="Z82" i="72"/>
  <c r="Y81" i="72"/>
  <c r="Z79" i="72"/>
  <c r="Z78" i="72"/>
  <c r="Z76" i="72"/>
  <c r="Z74" i="72"/>
  <c r="Z73" i="72"/>
  <c r="Z72" i="72"/>
  <c r="Z70" i="72"/>
  <c r="Z68" i="72"/>
  <c r="Z67" i="72"/>
  <c r="Z66" i="72"/>
  <c r="Y65" i="72"/>
  <c r="W65" i="72"/>
  <c r="S65" i="72"/>
  <c r="Z63" i="72"/>
  <c r="Q62" i="72"/>
  <c r="Q61" i="72"/>
  <c r="U61" i="72" s="1"/>
  <c r="Z60" i="72"/>
  <c r="Z59" i="72"/>
  <c r="Z58" i="72"/>
  <c r="Z57" i="72"/>
  <c r="Z56" i="72"/>
  <c r="S54" i="72"/>
  <c r="A45" i="72"/>
  <c r="W41" i="72"/>
  <c r="U39" i="72"/>
  <c r="S39" i="72"/>
  <c r="Q39" i="72"/>
  <c r="W37" i="72"/>
  <c r="Y22" i="72"/>
  <c r="W22" i="72"/>
  <c r="Z17" i="72"/>
  <c r="Z12" i="72"/>
  <c r="Z11" i="72"/>
  <c r="AA3" i="72"/>
  <c r="A1" i="72"/>
  <c r="J32" i="72" l="1"/>
  <c r="Y83" i="72"/>
  <c r="W32" i="72"/>
  <c r="S32" i="72"/>
  <c r="Q65" i="72"/>
  <c r="U62" i="72"/>
  <c r="Z61" i="72"/>
  <c r="U65" i="72" l="1"/>
  <c r="Z65" i="72" s="1"/>
  <c r="Z62" i="72"/>
  <c r="H154" i="54" l="1"/>
  <c r="H153" i="54"/>
  <c r="I153" i="54" s="1"/>
  <c r="H156" i="54"/>
  <c r="I149" i="59" l="1"/>
  <c r="I143" i="59"/>
  <c r="I129" i="59"/>
  <c r="I126" i="59"/>
  <c r="I120" i="59"/>
  <c r="I116" i="59"/>
  <c r="I20" i="59"/>
  <c r="I51" i="59"/>
  <c r="I25" i="59"/>
  <c r="H128" i="59"/>
  <c r="H126" i="59"/>
  <c r="H95" i="59"/>
  <c r="H89" i="59"/>
  <c r="H51" i="59"/>
  <c r="H37" i="59"/>
  <c r="H29" i="59"/>
  <c r="H25" i="59"/>
  <c r="H20" i="59"/>
  <c r="H71" i="59" l="1"/>
  <c r="H65" i="59"/>
  <c r="H113" i="59"/>
  <c r="I29" i="59"/>
  <c r="I37" i="59"/>
  <c r="I65" i="59"/>
  <c r="I71" i="59"/>
  <c r="I104" i="59"/>
  <c r="I113" i="59"/>
  <c r="N32" i="2" l="1"/>
  <c r="J17" i="2"/>
  <c r="J39" i="2" l="1"/>
  <c r="J43" i="2" s="1"/>
  <c r="Z38" i="72"/>
  <c r="AA38" i="72"/>
  <c r="J11" i="62" l="1"/>
  <c r="J16" i="62" s="1"/>
  <c r="J46" i="2"/>
  <c r="AB38" i="72"/>
  <c r="L28" i="2"/>
  <c r="L33" i="2"/>
  <c r="L31" i="2"/>
  <c r="L30" i="2"/>
  <c r="L29" i="2"/>
  <c r="L27" i="2"/>
  <c r="L26" i="2"/>
  <c r="L24" i="2"/>
  <c r="L23" i="2"/>
  <c r="L22" i="2"/>
  <c r="L20" i="2"/>
  <c r="L15" i="2"/>
  <c r="L14" i="2"/>
  <c r="L13" i="2"/>
  <c r="L12" i="2"/>
  <c r="L11" i="2"/>
  <c r="L10" i="2"/>
  <c r="O33" i="66" l="1"/>
  <c r="U138" i="59" l="1"/>
  <c r="S138" i="59"/>
  <c r="U137" i="59"/>
  <c r="S137" i="59"/>
  <c r="U136" i="59"/>
  <c r="S136" i="59"/>
  <c r="U135" i="59"/>
  <c r="S135" i="59"/>
  <c r="U134" i="59"/>
  <c r="S134" i="59"/>
  <c r="U133" i="59"/>
  <c r="S133" i="59"/>
  <c r="U132" i="59"/>
  <c r="S132" i="59"/>
  <c r="U131" i="59"/>
  <c r="S131" i="59"/>
  <c r="U130" i="59"/>
  <c r="S130" i="59"/>
  <c r="Z7" i="7"/>
  <c r="Z10" i="7"/>
  <c r="Z12" i="7"/>
  <c r="AX12" i="7"/>
  <c r="AX13" i="7"/>
  <c r="AY13" i="7"/>
  <c r="Z16" i="7"/>
  <c r="O83" i="7"/>
  <c r="I12" i="70"/>
  <c r="H12" i="70"/>
  <c r="G12" i="70"/>
  <c r="E11" i="70"/>
  <c r="F11" i="70" s="1"/>
  <c r="H38" i="71"/>
  <c r="G38" i="71"/>
  <c r="T33" i="71"/>
  <c r="H26" i="71"/>
  <c r="G26" i="71"/>
  <c r="H18" i="71"/>
  <c r="G18" i="71"/>
  <c r="A1" i="79" l="1"/>
  <c r="I274" i="76"/>
  <c r="Q83" i="7"/>
  <c r="A49" i="66"/>
  <c r="G27" i="67" l="1"/>
  <c r="G25" i="67"/>
  <c r="G23" i="67"/>
  <c r="H20" i="72" l="1"/>
  <c r="L45" i="66"/>
  <c r="L41" i="66"/>
  <c r="P42" i="66"/>
  <c r="O42" i="66"/>
  <c r="Q42" i="66" l="1"/>
  <c r="J43" i="66"/>
  <c r="F43" i="66"/>
  <c r="A105" i="66"/>
  <c r="A104" i="66"/>
  <c r="A99" i="66"/>
  <c r="A98" i="66"/>
  <c r="A95" i="66"/>
  <c r="O89" i="66"/>
  <c r="N88" i="66"/>
  <c r="O86" i="66"/>
  <c r="O85" i="66"/>
  <c r="O83" i="66"/>
  <c r="O81" i="66"/>
  <c r="O80" i="66"/>
  <c r="O79" i="66"/>
  <c r="O77" i="66"/>
  <c r="O75" i="66"/>
  <c r="O74" i="66"/>
  <c r="O73" i="66"/>
  <c r="N72" i="66"/>
  <c r="L72" i="66"/>
  <c r="O70" i="66"/>
  <c r="F69" i="66"/>
  <c r="J69" i="66" s="1"/>
  <c r="O69" i="66" s="1"/>
  <c r="F68" i="66"/>
  <c r="O67" i="66"/>
  <c r="O66" i="66"/>
  <c r="O65" i="66"/>
  <c r="O64" i="66"/>
  <c r="O63" i="66"/>
  <c r="N19" i="66"/>
  <c r="L19" i="66"/>
  <c r="O16" i="66"/>
  <c r="O12" i="66"/>
  <c r="O11" i="66"/>
  <c r="P3" i="66"/>
  <c r="A3" i="66"/>
  <c r="A1" i="66"/>
  <c r="N90" i="66" l="1"/>
  <c r="F72" i="66"/>
  <c r="J68" i="66"/>
  <c r="J72" i="66" s="1"/>
  <c r="O72" i="66" l="1"/>
  <c r="O68" i="66"/>
  <c r="O3" i="5" l="1"/>
  <c r="C269" i="59" l="1"/>
  <c r="C267" i="59"/>
  <c r="H118" i="54" l="1"/>
  <c r="I585" i="65" l="1"/>
  <c r="I584" i="65"/>
  <c r="I583" i="65"/>
  <c r="I582" i="65"/>
  <c r="I581" i="65"/>
  <c r="I580" i="65"/>
  <c r="I579" i="65"/>
  <c r="I578" i="65"/>
  <c r="I577" i="65"/>
  <c r="I576" i="65"/>
  <c r="I575" i="65"/>
  <c r="I574" i="65"/>
  <c r="I573" i="65"/>
  <c r="I572" i="65"/>
  <c r="I571" i="65"/>
  <c r="I570" i="65"/>
  <c r="I569" i="65"/>
  <c r="I568" i="65"/>
  <c r="I567" i="65"/>
  <c r="I566" i="65"/>
  <c r="I565" i="65"/>
  <c r="I564" i="65"/>
  <c r="I563" i="65"/>
  <c r="I562" i="65"/>
  <c r="I561" i="65"/>
  <c r="I560" i="65"/>
  <c r="I559" i="65"/>
  <c r="I558" i="65"/>
  <c r="I557" i="65"/>
  <c r="I556" i="65"/>
  <c r="I555" i="65"/>
  <c r="I554" i="65"/>
  <c r="I553" i="65"/>
  <c r="I552" i="65"/>
  <c r="I551" i="65"/>
  <c r="I550" i="65"/>
  <c r="I549" i="65"/>
  <c r="I548" i="65"/>
  <c r="I547" i="65"/>
  <c r="I546" i="65"/>
  <c r="I545" i="65"/>
  <c r="I544" i="65"/>
  <c r="I543" i="65"/>
  <c r="I542" i="65"/>
  <c r="I541" i="65"/>
  <c r="I540" i="65"/>
  <c r="I539" i="65"/>
  <c r="I538" i="65"/>
  <c r="I537" i="65"/>
  <c r="I536" i="65"/>
  <c r="I535" i="65"/>
  <c r="I534" i="65"/>
  <c r="I533" i="65"/>
  <c r="I532" i="65"/>
  <c r="I531" i="65"/>
  <c r="I530" i="65"/>
  <c r="I529" i="65"/>
  <c r="I528" i="65"/>
  <c r="I527" i="65"/>
  <c r="I526" i="65"/>
  <c r="I525" i="65"/>
  <c r="I524" i="65"/>
  <c r="I523" i="65"/>
  <c r="I522" i="65"/>
  <c r="I521" i="65"/>
  <c r="I520" i="65"/>
  <c r="I519" i="65"/>
  <c r="I518" i="65"/>
  <c r="I517" i="65"/>
  <c r="I516" i="65"/>
  <c r="I515" i="65"/>
  <c r="I514" i="65"/>
  <c r="I513" i="65"/>
  <c r="I512" i="65"/>
  <c r="I511" i="65"/>
  <c r="I510" i="65"/>
  <c r="I509" i="65"/>
  <c r="I508" i="65"/>
  <c r="I507" i="65"/>
  <c r="I506" i="65"/>
  <c r="I505" i="65"/>
  <c r="I504" i="65"/>
  <c r="I503" i="65"/>
  <c r="I502" i="65"/>
  <c r="I501" i="65"/>
  <c r="I500" i="65"/>
  <c r="I499" i="65"/>
  <c r="I498" i="65"/>
  <c r="I497" i="65"/>
  <c r="I496" i="65"/>
  <c r="I495" i="65"/>
  <c r="I494" i="65"/>
  <c r="I493" i="65"/>
  <c r="I492" i="65"/>
  <c r="I491" i="65"/>
  <c r="I490" i="65"/>
  <c r="I489" i="65"/>
  <c r="I488" i="65"/>
  <c r="I487" i="65"/>
  <c r="I486" i="65"/>
  <c r="I485" i="65"/>
  <c r="I484" i="65"/>
  <c r="I483" i="65"/>
  <c r="I482" i="65"/>
  <c r="I481" i="65"/>
  <c r="I480" i="65"/>
  <c r="I479" i="65"/>
  <c r="I478" i="65"/>
  <c r="I477" i="65"/>
  <c r="I476" i="65"/>
  <c r="I475" i="65"/>
  <c r="I474" i="65"/>
  <c r="I473" i="65"/>
  <c r="I472" i="65"/>
  <c r="I471" i="65"/>
  <c r="I470" i="65"/>
  <c r="I469" i="65"/>
  <c r="I468" i="65"/>
  <c r="I467" i="65"/>
  <c r="I466" i="65"/>
  <c r="I465" i="65"/>
  <c r="I464" i="65"/>
  <c r="I463" i="65"/>
  <c r="I462" i="65"/>
  <c r="I461" i="65"/>
  <c r="I460" i="65"/>
  <c r="I459" i="65"/>
  <c r="I458" i="65"/>
  <c r="I457" i="65"/>
  <c r="I456" i="65"/>
  <c r="I455" i="65"/>
  <c r="I454" i="65"/>
  <c r="I453" i="65"/>
  <c r="I452" i="65"/>
  <c r="I451" i="65"/>
  <c r="I450" i="65"/>
  <c r="I449" i="65"/>
  <c r="I448" i="65"/>
  <c r="I447" i="65"/>
  <c r="I446" i="65"/>
  <c r="I445" i="65"/>
  <c r="I444" i="65"/>
  <c r="I443" i="65"/>
  <c r="I442" i="65"/>
  <c r="I441" i="65"/>
  <c r="I440" i="65"/>
  <c r="I439" i="65"/>
  <c r="I438" i="65"/>
  <c r="I437" i="65"/>
  <c r="I436" i="65"/>
  <c r="I435" i="65"/>
  <c r="I434" i="65"/>
  <c r="I433" i="65"/>
  <c r="I432" i="65"/>
  <c r="I431" i="65"/>
  <c r="I430" i="65"/>
  <c r="I429" i="65"/>
  <c r="I428" i="65"/>
  <c r="I427" i="65"/>
  <c r="I426" i="65"/>
  <c r="I425" i="65"/>
  <c r="I424" i="65"/>
  <c r="I423" i="65"/>
  <c r="I422" i="65"/>
  <c r="I421" i="65"/>
  <c r="I420" i="65"/>
  <c r="I419" i="65"/>
  <c r="I418" i="65"/>
  <c r="I417" i="65"/>
  <c r="I416" i="65"/>
  <c r="I415" i="65"/>
  <c r="I414" i="65"/>
  <c r="I413" i="65"/>
  <c r="I412" i="65"/>
  <c r="I411" i="65"/>
  <c r="I410" i="65"/>
  <c r="I409" i="65"/>
  <c r="I408" i="65"/>
  <c r="I407" i="65"/>
  <c r="I406" i="65"/>
  <c r="I405" i="65"/>
  <c r="I404" i="65"/>
  <c r="I403" i="65"/>
  <c r="I402" i="65"/>
  <c r="I401" i="65"/>
  <c r="I400" i="65"/>
  <c r="I399" i="65"/>
  <c r="I398" i="65"/>
  <c r="I397" i="65"/>
  <c r="I396" i="65"/>
  <c r="I395" i="65"/>
  <c r="I394" i="65"/>
  <c r="I393" i="65"/>
  <c r="I392" i="65"/>
  <c r="I391" i="65"/>
  <c r="I390" i="65"/>
  <c r="I389" i="65"/>
  <c r="I388" i="65"/>
  <c r="I387" i="65"/>
  <c r="I386" i="65"/>
  <c r="I385" i="65"/>
  <c r="I384" i="65"/>
  <c r="I383" i="65"/>
  <c r="I382" i="65"/>
  <c r="I381" i="65"/>
  <c r="I380" i="65"/>
  <c r="I379" i="65"/>
  <c r="I378" i="65"/>
  <c r="I377" i="65"/>
  <c r="I376" i="65"/>
  <c r="I375" i="65"/>
  <c r="I374" i="65"/>
  <c r="I373" i="65"/>
  <c r="I372" i="65"/>
  <c r="I371" i="65"/>
  <c r="I370" i="65"/>
  <c r="I369" i="65"/>
  <c r="I368" i="65"/>
  <c r="I367" i="65"/>
  <c r="I366" i="65"/>
  <c r="I365" i="65"/>
  <c r="I364" i="65"/>
  <c r="I363" i="65"/>
  <c r="I362" i="65"/>
  <c r="I361" i="65"/>
  <c r="I360" i="65"/>
  <c r="I359" i="65"/>
  <c r="I358" i="65"/>
  <c r="I357" i="65"/>
  <c r="I356" i="65"/>
  <c r="I355" i="65"/>
  <c r="I354" i="65"/>
  <c r="I353" i="65"/>
  <c r="I352" i="65"/>
  <c r="I351" i="65"/>
  <c r="I350" i="65"/>
  <c r="I349" i="65"/>
  <c r="I348" i="65"/>
  <c r="I347" i="65"/>
  <c r="I346" i="65"/>
  <c r="I345" i="65"/>
  <c r="I344" i="65"/>
  <c r="I343" i="65"/>
  <c r="I342" i="65"/>
  <c r="I341" i="65"/>
  <c r="I340" i="65"/>
  <c r="I339" i="65"/>
  <c r="I338" i="65"/>
  <c r="I337" i="65"/>
  <c r="I336" i="65"/>
  <c r="I335" i="65"/>
  <c r="I334" i="65"/>
  <c r="I333" i="65"/>
  <c r="I332" i="65"/>
  <c r="I331" i="65"/>
  <c r="I330" i="65"/>
  <c r="I329" i="65"/>
  <c r="I328" i="65"/>
  <c r="I327" i="65"/>
  <c r="I326" i="65"/>
  <c r="I325" i="65"/>
  <c r="I324" i="65"/>
  <c r="I323" i="65"/>
  <c r="I322" i="65"/>
  <c r="I321" i="65"/>
  <c r="I320" i="65"/>
  <c r="I319" i="65"/>
  <c r="I318" i="65"/>
  <c r="I317" i="65"/>
  <c r="I316" i="65"/>
  <c r="I315" i="65"/>
  <c r="I314" i="65"/>
  <c r="I313" i="65"/>
  <c r="I312" i="65"/>
  <c r="I311" i="65"/>
  <c r="I310" i="65"/>
  <c r="I309" i="65"/>
  <c r="I308" i="65"/>
  <c r="I307" i="65"/>
  <c r="I306" i="65"/>
  <c r="I305" i="65"/>
  <c r="I304" i="65"/>
  <c r="I303" i="65"/>
  <c r="I302" i="65"/>
  <c r="I301" i="65"/>
  <c r="I300" i="65"/>
  <c r="I299" i="65"/>
  <c r="I298" i="65"/>
  <c r="I297" i="65"/>
  <c r="I296" i="65"/>
  <c r="I295" i="65"/>
  <c r="I294" i="65"/>
  <c r="I293" i="65"/>
  <c r="I292" i="65"/>
  <c r="I291" i="65"/>
  <c r="I290" i="65"/>
  <c r="I289" i="65"/>
  <c r="I288" i="65"/>
  <c r="I287" i="65"/>
  <c r="I286" i="65"/>
  <c r="I285" i="65"/>
  <c r="I284" i="65"/>
  <c r="I283" i="65"/>
  <c r="I282" i="65"/>
  <c r="I281" i="65"/>
  <c r="I280" i="65"/>
  <c r="I279" i="65"/>
  <c r="I278" i="65"/>
  <c r="I277" i="65"/>
  <c r="I276" i="65"/>
  <c r="I275" i="65"/>
  <c r="I274" i="65"/>
  <c r="I273" i="65"/>
  <c r="I272" i="65"/>
  <c r="I271" i="65"/>
  <c r="I270" i="65"/>
  <c r="I269" i="65"/>
  <c r="I268" i="65"/>
  <c r="I267" i="65"/>
  <c r="I266" i="65"/>
  <c r="I265" i="65"/>
  <c r="I264" i="65"/>
  <c r="I263" i="65"/>
  <c r="I262" i="65"/>
  <c r="I261" i="65"/>
  <c r="I260" i="65"/>
  <c r="I259" i="65"/>
  <c r="I258" i="65"/>
  <c r="I257" i="65"/>
  <c r="I256" i="65"/>
  <c r="I255" i="65"/>
  <c r="I254" i="65"/>
  <c r="I253" i="65"/>
  <c r="I252" i="65"/>
  <c r="I251" i="65"/>
  <c r="I250" i="65"/>
  <c r="I249" i="65"/>
  <c r="I248" i="65"/>
  <c r="I247" i="65"/>
  <c r="I246" i="65"/>
  <c r="I245" i="65"/>
  <c r="I244" i="65"/>
  <c r="I243" i="65"/>
  <c r="I242" i="65"/>
  <c r="I241" i="65"/>
  <c r="I240" i="65"/>
  <c r="I239" i="65"/>
  <c r="I238" i="65"/>
  <c r="I237" i="65"/>
  <c r="I236" i="65"/>
  <c r="I235" i="65"/>
  <c r="I234" i="65"/>
  <c r="I233" i="65"/>
  <c r="I232" i="65"/>
  <c r="I231" i="65"/>
  <c r="I230" i="65"/>
  <c r="I229" i="65"/>
  <c r="I228" i="65"/>
  <c r="I227" i="65"/>
  <c r="I226" i="65"/>
  <c r="I225" i="65"/>
  <c r="I224" i="65"/>
  <c r="I223" i="65"/>
  <c r="I222" i="65"/>
  <c r="I221" i="65"/>
  <c r="I220" i="65"/>
  <c r="I219" i="65"/>
  <c r="I218" i="65"/>
  <c r="I217" i="65"/>
  <c r="I216" i="65"/>
  <c r="I215" i="65"/>
  <c r="I214" i="65"/>
  <c r="I213" i="65"/>
  <c r="I212" i="65"/>
  <c r="I211" i="65"/>
  <c r="I210" i="65"/>
  <c r="I209" i="65"/>
  <c r="I208" i="65"/>
  <c r="I207" i="65"/>
  <c r="I206" i="65"/>
  <c r="I205" i="65"/>
  <c r="I204" i="65"/>
  <c r="I203" i="65"/>
  <c r="I202" i="65"/>
  <c r="I201" i="65"/>
  <c r="I200" i="65"/>
  <c r="I199" i="65"/>
  <c r="I198" i="65"/>
  <c r="I197" i="65"/>
  <c r="I196" i="65"/>
  <c r="I195" i="65"/>
  <c r="I194" i="65"/>
  <c r="I193" i="65"/>
  <c r="I192" i="65"/>
  <c r="I191" i="65"/>
  <c r="I190" i="65"/>
  <c r="I189" i="65"/>
  <c r="I188" i="65"/>
  <c r="I187" i="65"/>
  <c r="I186" i="65"/>
  <c r="I185" i="65"/>
  <c r="I184" i="65"/>
  <c r="I183" i="65"/>
  <c r="I182" i="65"/>
  <c r="I181" i="65"/>
  <c r="I180" i="65"/>
  <c r="I179" i="65"/>
  <c r="I178" i="65"/>
  <c r="I177" i="65"/>
  <c r="I176" i="65"/>
  <c r="I175" i="65"/>
  <c r="I174" i="65"/>
  <c r="I173" i="65"/>
  <c r="I172" i="65"/>
  <c r="I171" i="65"/>
  <c r="I170" i="65"/>
  <c r="I169" i="65"/>
  <c r="I168" i="65"/>
  <c r="I167" i="65"/>
  <c r="I166" i="65"/>
  <c r="I165" i="65"/>
  <c r="I164" i="65"/>
  <c r="I163" i="65"/>
  <c r="I162" i="65"/>
  <c r="I161" i="65"/>
  <c r="I160" i="65"/>
  <c r="I159" i="65"/>
  <c r="I158" i="65"/>
  <c r="I157" i="65"/>
  <c r="I156" i="65"/>
  <c r="I155" i="65"/>
  <c r="I154" i="65"/>
  <c r="I153" i="65"/>
  <c r="I152" i="65"/>
  <c r="I151" i="65"/>
  <c r="I150" i="65"/>
  <c r="I149" i="65"/>
  <c r="I148" i="65"/>
  <c r="I147" i="65"/>
  <c r="I146" i="65"/>
  <c r="I145" i="65"/>
  <c r="I144" i="65"/>
  <c r="I143" i="65"/>
  <c r="I142" i="65"/>
  <c r="I141" i="65"/>
  <c r="I140" i="65"/>
  <c r="I139" i="65"/>
  <c r="I138" i="65"/>
  <c r="I137" i="65"/>
  <c r="I136" i="65"/>
  <c r="I135" i="65"/>
  <c r="I134" i="65"/>
  <c r="I133" i="65"/>
  <c r="I132" i="65"/>
  <c r="I131" i="65"/>
  <c r="I130" i="65"/>
  <c r="I129" i="65"/>
  <c r="I128" i="65"/>
  <c r="I127" i="65"/>
  <c r="I126" i="65"/>
  <c r="I125" i="65"/>
  <c r="I124" i="65"/>
  <c r="I123" i="65"/>
  <c r="I122" i="65"/>
  <c r="I121" i="65"/>
  <c r="I120" i="65"/>
  <c r="I119" i="65"/>
  <c r="I118" i="65"/>
  <c r="I117" i="65"/>
  <c r="I116" i="65"/>
  <c r="I115" i="65"/>
  <c r="I114" i="65"/>
  <c r="I113" i="65"/>
  <c r="I112" i="65"/>
  <c r="I111" i="65"/>
  <c r="I110" i="65"/>
  <c r="I109" i="65"/>
  <c r="I108" i="65"/>
  <c r="I107" i="65"/>
  <c r="I106" i="65"/>
  <c r="I105" i="65"/>
  <c r="I104" i="65"/>
  <c r="I103" i="65"/>
  <c r="I102" i="65"/>
  <c r="I101" i="65"/>
  <c r="I100" i="65"/>
  <c r="I99" i="65"/>
  <c r="I98" i="65"/>
  <c r="I97" i="65"/>
  <c r="I96" i="65"/>
  <c r="I95" i="65"/>
  <c r="I94" i="65"/>
  <c r="I93" i="65"/>
  <c r="I92" i="65"/>
  <c r="I91" i="65"/>
  <c r="I90" i="65"/>
  <c r="I89" i="65"/>
  <c r="I88" i="65"/>
  <c r="I87" i="65"/>
  <c r="I86" i="65"/>
  <c r="I85" i="65"/>
  <c r="I84" i="65"/>
  <c r="I83" i="65"/>
  <c r="I82" i="65"/>
  <c r="I81" i="65"/>
  <c r="I80" i="65"/>
  <c r="I79" i="65"/>
  <c r="I78" i="65"/>
  <c r="I77" i="65"/>
  <c r="I76" i="65"/>
  <c r="I75" i="65"/>
  <c r="I74" i="65"/>
  <c r="I73" i="65"/>
  <c r="I72" i="65"/>
  <c r="I71" i="65"/>
  <c r="I70" i="65"/>
  <c r="I69" i="65"/>
  <c r="I68" i="65"/>
  <c r="I67" i="65"/>
  <c r="I66" i="65"/>
  <c r="I65" i="65"/>
  <c r="I64" i="65"/>
  <c r="I63" i="65"/>
  <c r="I62" i="65"/>
  <c r="I61" i="65"/>
  <c r="I60" i="65"/>
  <c r="I59" i="65"/>
  <c r="I58" i="65"/>
  <c r="I57" i="65"/>
  <c r="I56" i="65"/>
  <c r="I55" i="65"/>
  <c r="I54" i="65"/>
  <c r="I53" i="65"/>
  <c r="I52" i="65"/>
  <c r="I51" i="65"/>
  <c r="I50" i="65"/>
  <c r="I49" i="65"/>
  <c r="I48" i="65"/>
  <c r="I47" i="65"/>
  <c r="I46" i="65"/>
  <c r="I45" i="65"/>
  <c r="I44" i="65"/>
  <c r="I43" i="65"/>
  <c r="I42" i="65"/>
  <c r="I41" i="65"/>
  <c r="I40" i="65"/>
  <c r="I39" i="65"/>
  <c r="I38" i="65"/>
  <c r="I37" i="65"/>
  <c r="I36" i="65"/>
  <c r="I35" i="65"/>
  <c r="I34" i="65"/>
  <c r="I33" i="65"/>
  <c r="I32" i="65"/>
  <c r="I31" i="65"/>
  <c r="I30" i="65"/>
  <c r="I29" i="65"/>
  <c r="I28" i="65"/>
  <c r="I27" i="65"/>
  <c r="I26" i="65"/>
  <c r="I25" i="65"/>
  <c r="I24" i="65"/>
  <c r="I23" i="65"/>
  <c r="I22" i="65"/>
  <c r="I21" i="65"/>
  <c r="I20" i="65"/>
  <c r="I19" i="65"/>
  <c r="I18" i="65"/>
  <c r="I17" i="65"/>
  <c r="I16" i="65"/>
  <c r="I15" i="65"/>
  <c r="I14" i="65"/>
  <c r="I13" i="65"/>
  <c r="I12" i="65"/>
  <c r="I11" i="65"/>
  <c r="I10" i="65"/>
  <c r="I9" i="65"/>
  <c r="I8" i="65"/>
  <c r="I7" i="65"/>
  <c r="I6" i="65"/>
  <c r="I5" i="65"/>
  <c r="I4" i="65"/>
  <c r="I3" i="65"/>
  <c r="I2" i="65"/>
  <c r="H12" i="54"/>
  <c r="I12" i="54" s="1"/>
  <c r="H11" i="54"/>
  <c r="I11" i="54" s="1"/>
  <c r="F23" i="54"/>
  <c r="G31" i="54"/>
  <c r="G30" i="54"/>
  <c r="G29" i="54"/>
  <c r="G28" i="54"/>
  <c r="G27" i="54"/>
  <c r="G26" i="54"/>
  <c r="G25" i="54"/>
  <c r="G24" i="54"/>
  <c r="G23" i="54"/>
  <c r="G22" i="54"/>
  <c r="G21" i="54"/>
  <c r="G20" i="54"/>
  <c r="G19" i="54"/>
  <c r="G18" i="54"/>
  <c r="G17" i="54"/>
  <c r="G16" i="54"/>
  <c r="G15" i="54"/>
  <c r="G14" i="54"/>
  <c r="G13" i="54"/>
  <c r="G12" i="54"/>
  <c r="G11" i="54"/>
  <c r="G10" i="54"/>
  <c r="G9" i="54"/>
  <c r="H111" i="54"/>
  <c r="D5" i="54"/>
  <c r="C5" i="54"/>
  <c r="E5" i="54" l="1"/>
  <c r="W80" i="72"/>
  <c r="W81" i="72" s="1"/>
  <c r="W83" i="72" s="1"/>
  <c r="L15" i="6"/>
  <c r="N39" i="6"/>
  <c r="N32" i="6"/>
  <c r="N22" i="6"/>
  <c r="N15" i="6"/>
  <c r="J22" i="6"/>
  <c r="F125" i="54"/>
  <c r="H119" i="54"/>
  <c r="H109" i="54"/>
  <c r="E106" i="54"/>
  <c r="H128" i="54"/>
  <c r="J266" i="59"/>
  <c r="J37" i="54"/>
  <c r="F129" i="54"/>
  <c r="H129" i="54" s="1"/>
  <c r="J146" i="59"/>
  <c r="U146" i="59"/>
  <c r="S146" i="59"/>
  <c r="G148" i="59"/>
  <c r="M148" i="59" s="1"/>
  <c r="G147" i="59"/>
  <c r="M147" i="59" s="1"/>
  <c r="G146" i="59"/>
  <c r="M146" i="59" s="1"/>
  <c r="I85" i="59"/>
  <c r="H85" i="59"/>
  <c r="U84" i="59"/>
  <c r="S84" i="59"/>
  <c r="J84" i="59"/>
  <c r="J85" i="59" s="1"/>
  <c r="G84" i="59"/>
  <c r="M84" i="59" s="1"/>
  <c r="U83" i="59"/>
  <c r="S83" i="59"/>
  <c r="U142" i="59"/>
  <c r="S142" i="59"/>
  <c r="J142" i="59"/>
  <c r="G142" i="59"/>
  <c r="M142" i="59" s="1"/>
  <c r="U123" i="59"/>
  <c r="S123" i="59"/>
  <c r="J123" i="59"/>
  <c r="G123" i="59"/>
  <c r="M123" i="59" s="1"/>
  <c r="U110" i="59"/>
  <c r="S110" i="59"/>
  <c r="J110" i="59"/>
  <c r="G110" i="59"/>
  <c r="M110" i="59" s="1"/>
  <c r="U109" i="59"/>
  <c r="S109" i="59"/>
  <c r="J109" i="59"/>
  <c r="G109" i="59"/>
  <c r="M109" i="59" s="1"/>
  <c r="U101" i="59"/>
  <c r="S101" i="59"/>
  <c r="J101" i="59"/>
  <c r="G101" i="59"/>
  <c r="M101" i="59" s="1"/>
  <c r="I89" i="59"/>
  <c r="G87" i="59"/>
  <c r="M87" i="59" s="1"/>
  <c r="J87" i="59"/>
  <c r="U87" i="59"/>
  <c r="S87" i="59"/>
  <c r="U70" i="59"/>
  <c r="U69" i="59"/>
  <c r="U68" i="59"/>
  <c r="S70" i="59"/>
  <c r="S69" i="59"/>
  <c r="S68" i="59"/>
  <c r="J69" i="59"/>
  <c r="J68" i="59"/>
  <c r="G69" i="59"/>
  <c r="M69" i="59" s="1"/>
  <c r="M68" i="59"/>
  <c r="U59" i="59"/>
  <c r="U58" i="59"/>
  <c r="S59" i="59"/>
  <c r="S58" i="59"/>
  <c r="J59" i="59"/>
  <c r="J58" i="59"/>
  <c r="M59" i="59"/>
  <c r="G58" i="59"/>
  <c r="U49" i="59"/>
  <c r="S49" i="59"/>
  <c r="J49" i="59"/>
  <c r="G49" i="59"/>
  <c r="M49" i="59" s="1"/>
  <c r="U35" i="59"/>
  <c r="U34" i="59"/>
  <c r="U33" i="59"/>
  <c r="U32" i="59"/>
  <c r="S36" i="59"/>
  <c r="S35" i="59"/>
  <c r="S34" i="59"/>
  <c r="S33" i="59"/>
  <c r="S32" i="59"/>
  <c r="G35" i="59"/>
  <c r="G34" i="59"/>
  <c r="M34" i="59" s="1"/>
  <c r="G33" i="59"/>
  <c r="M33" i="59" s="1"/>
  <c r="G32" i="59"/>
  <c r="M32" i="59" s="1"/>
  <c r="J35" i="59"/>
  <c r="J34" i="59"/>
  <c r="J33" i="59"/>
  <c r="J32" i="59"/>
  <c r="U153" i="59"/>
  <c r="U152" i="59"/>
  <c r="U151" i="59"/>
  <c r="U150" i="59"/>
  <c r="U149" i="59"/>
  <c r="U148" i="59"/>
  <c r="U147" i="59"/>
  <c r="U145" i="59"/>
  <c r="U144" i="59"/>
  <c r="U143" i="59"/>
  <c r="U141" i="59"/>
  <c r="U140" i="59"/>
  <c r="U139" i="59"/>
  <c r="U129" i="59"/>
  <c r="U128" i="59"/>
  <c r="U127" i="59"/>
  <c r="U126" i="59"/>
  <c r="U125" i="59"/>
  <c r="U124" i="59"/>
  <c r="U122" i="59"/>
  <c r="U121" i="59"/>
  <c r="U120" i="59"/>
  <c r="U119" i="59"/>
  <c r="U118" i="59"/>
  <c r="U117" i="59"/>
  <c r="U46" i="59"/>
  <c r="U45" i="59"/>
  <c r="U44" i="59"/>
  <c r="U43" i="59"/>
  <c r="U42" i="59"/>
  <c r="U41" i="59"/>
  <c r="U40" i="59"/>
  <c r="U39" i="59"/>
  <c r="U38" i="59"/>
  <c r="U116" i="59"/>
  <c r="U115" i="59"/>
  <c r="U114" i="59"/>
  <c r="U113" i="59"/>
  <c r="U112" i="59"/>
  <c r="U111" i="59"/>
  <c r="U108" i="59"/>
  <c r="U107" i="59"/>
  <c r="U106" i="59"/>
  <c r="U105" i="59"/>
  <c r="U104" i="59"/>
  <c r="U103" i="59"/>
  <c r="U102" i="59"/>
  <c r="U100" i="59"/>
  <c r="U99" i="59"/>
  <c r="U98" i="59"/>
  <c r="U97" i="59"/>
  <c r="U96" i="59"/>
  <c r="U95" i="59"/>
  <c r="U94" i="59"/>
  <c r="U93" i="59"/>
  <c r="U89" i="59"/>
  <c r="U88" i="59"/>
  <c r="U86" i="59"/>
  <c r="U77" i="59"/>
  <c r="U75" i="59"/>
  <c r="U74" i="59"/>
  <c r="U73" i="59"/>
  <c r="U72" i="59"/>
  <c r="U71" i="59"/>
  <c r="U67" i="59"/>
  <c r="U66" i="59"/>
  <c r="U65" i="59"/>
  <c r="U64" i="59"/>
  <c r="U61" i="59"/>
  <c r="U60" i="59"/>
  <c r="U57" i="59"/>
  <c r="U56" i="59"/>
  <c r="U55" i="59"/>
  <c r="U54" i="59"/>
  <c r="U53" i="59"/>
  <c r="U52" i="59"/>
  <c r="U51" i="59"/>
  <c r="U48" i="59"/>
  <c r="U47" i="59"/>
  <c r="U37" i="59"/>
  <c r="U36" i="59"/>
  <c r="U31" i="59"/>
  <c r="U30" i="59"/>
  <c r="U29" i="59"/>
  <c r="U28" i="59"/>
  <c r="U27" i="59"/>
  <c r="U26" i="59"/>
  <c r="U25" i="59"/>
  <c r="U24" i="59"/>
  <c r="U23" i="59"/>
  <c r="U22" i="59"/>
  <c r="U21" i="59"/>
  <c r="U20" i="59"/>
  <c r="S153" i="59"/>
  <c r="S152" i="59"/>
  <c r="S151" i="59"/>
  <c r="S150" i="59"/>
  <c r="S149" i="59"/>
  <c r="S148" i="59"/>
  <c r="S147" i="59"/>
  <c r="S145" i="59"/>
  <c r="S144" i="59"/>
  <c r="S143" i="59"/>
  <c r="S141" i="59"/>
  <c r="S140" i="59"/>
  <c r="S139" i="59"/>
  <c r="S129" i="59"/>
  <c r="S128" i="59"/>
  <c r="S127" i="59"/>
  <c r="S126" i="59"/>
  <c r="S125" i="59"/>
  <c r="S124" i="59"/>
  <c r="S122" i="59"/>
  <c r="S121" i="59"/>
  <c r="S120" i="59"/>
  <c r="S119" i="59"/>
  <c r="S118" i="59"/>
  <c r="S117" i="59"/>
  <c r="S46" i="59"/>
  <c r="S45" i="59"/>
  <c r="S44" i="59"/>
  <c r="S43" i="59"/>
  <c r="S42" i="59"/>
  <c r="S41" i="59"/>
  <c r="S40" i="59"/>
  <c r="S39" i="59"/>
  <c r="S38" i="59"/>
  <c r="S116" i="59"/>
  <c r="S115" i="59"/>
  <c r="S114" i="59"/>
  <c r="S113" i="59"/>
  <c r="S112" i="59"/>
  <c r="S111" i="59"/>
  <c r="S108" i="59"/>
  <c r="S107" i="59"/>
  <c r="S106" i="59"/>
  <c r="S105" i="59"/>
  <c r="S104" i="59"/>
  <c r="S103" i="59"/>
  <c r="S102" i="59"/>
  <c r="S100" i="59"/>
  <c r="S99" i="59"/>
  <c r="S98" i="59"/>
  <c r="S97" i="59"/>
  <c r="S96" i="59"/>
  <c r="S95" i="59"/>
  <c r="S94" i="59"/>
  <c r="S93" i="59"/>
  <c r="S89" i="59"/>
  <c r="S88" i="59"/>
  <c r="S86" i="59"/>
  <c r="S77" i="59"/>
  <c r="S75" i="59"/>
  <c r="S74" i="59"/>
  <c r="S73" i="59"/>
  <c r="S72" i="59"/>
  <c r="S71" i="59"/>
  <c r="S67" i="59"/>
  <c r="S66" i="59"/>
  <c r="S65" i="59"/>
  <c r="S64" i="59"/>
  <c r="S61" i="59"/>
  <c r="S60" i="59"/>
  <c r="S57" i="59"/>
  <c r="S56" i="59"/>
  <c r="S55" i="59"/>
  <c r="S54" i="59"/>
  <c r="S53" i="59"/>
  <c r="S52" i="59"/>
  <c r="S51" i="59"/>
  <c r="S48" i="59"/>
  <c r="S47" i="59"/>
  <c r="S37" i="59"/>
  <c r="S31" i="59"/>
  <c r="S30" i="59"/>
  <c r="S29" i="59"/>
  <c r="S28" i="59"/>
  <c r="S27" i="59"/>
  <c r="S26" i="59"/>
  <c r="S25" i="59"/>
  <c r="S24" i="59"/>
  <c r="S23" i="59"/>
  <c r="S22" i="59"/>
  <c r="S21" i="59"/>
  <c r="U19" i="59"/>
  <c r="U18" i="59"/>
  <c r="U17" i="59"/>
  <c r="U16" i="59"/>
  <c r="S19" i="59"/>
  <c r="S18" i="59"/>
  <c r="S17" i="59"/>
  <c r="S16" i="59"/>
  <c r="G19" i="59"/>
  <c r="M19" i="59" s="1"/>
  <c r="G18" i="59"/>
  <c r="M18" i="59" s="1"/>
  <c r="N34" i="6" l="1"/>
  <c r="N41" i="6" s="1"/>
  <c r="B16" i="61"/>
  <c r="D14" i="61" s="1"/>
  <c r="L32" i="66"/>
  <c r="L87" i="66"/>
  <c r="L88" i="66" s="1"/>
  <c r="L90" i="66" s="1"/>
  <c r="F103" i="54" l="1"/>
  <c r="I36" i="54"/>
  <c r="I34" i="54"/>
  <c r="E104" i="54" l="1"/>
  <c r="H41" i="54"/>
  <c r="H30" i="54"/>
  <c r="D156" i="63"/>
  <c r="C156" i="63"/>
  <c r="D188" i="54"/>
  <c r="C188" i="54"/>
  <c r="J155" i="54" l="1"/>
  <c r="J119" i="54"/>
  <c r="Q71" i="72" l="1"/>
  <c r="U71" i="72" s="1"/>
  <c r="Z71" i="72" s="1"/>
  <c r="F78" i="66"/>
  <c r="F180" i="54"/>
  <c r="H36" i="54"/>
  <c r="J78" i="66" l="1"/>
  <c r="O78" i="66" s="1"/>
  <c r="E78" i="54"/>
  <c r="H65" i="54"/>
  <c r="H67" i="54"/>
  <c r="H42" i="54"/>
  <c r="A57" i="5" l="1"/>
  <c r="A56" i="5"/>
  <c r="A51" i="5"/>
  <c r="A50" i="5"/>
  <c r="A32" i="4"/>
  <c r="A31" i="4"/>
  <c r="A26" i="4"/>
  <c r="A25" i="4"/>
  <c r="K41" i="5" l="1"/>
  <c r="A3" i="62"/>
  <c r="A3" i="74" s="1"/>
  <c r="A3" i="6" s="1"/>
  <c r="L28" i="72" l="1"/>
  <c r="S80" i="72"/>
  <c r="S81" i="72" s="1"/>
  <c r="S83" i="72" s="1"/>
  <c r="G41" i="5"/>
  <c r="L30" i="72" l="1"/>
  <c r="L32" i="72" s="1"/>
  <c r="N11" i="5"/>
  <c r="N12" i="5"/>
  <c r="N14" i="5"/>
  <c r="N17" i="5"/>
  <c r="N18" i="5"/>
  <c r="N19" i="5"/>
  <c r="N20" i="5"/>
  <c r="N21" i="5"/>
  <c r="N24" i="5"/>
  <c r="N27" i="5"/>
  <c r="N28" i="5"/>
  <c r="N29" i="5"/>
  <c r="N31" i="5"/>
  <c r="N33" i="5"/>
  <c r="N34" i="5"/>
  <c r="N35" i="5"/>
  <c r="N37" i="5"/>
  <c r="N39" i="5"/>
  <c r="N40" i="5"/>
  <c r="N43" i="5"/>
  <c r="M15" i="54" l="1"/>
  <c r="K10" i="54" l="1"/>
  <c r="E42" i="54"/>
  <c r="K9" i="54" l="1"/>
  <c r="K11" i="54"/>
  <c r="M14" i="54" l="1"/>
  <c r="F24" i="54"/>
  <c r="H13" i="54"/>
  <c r="A1" i="59" l="1"/>
  <c r="A47" i="5"/>
  <c r="A22" i="4"/>
  <c r="A19" i="62"/>
  <c r="A62" i="74" s="1"/>
  <c r="A49" i="6" s="1"/>
  <c r="J268" i="59" l="1"/>
  <c r="B61" i="61" l="1"/>
  <c r="B56" i="61"/>
  <c r="B51" i="61"/>
  <c r="B46" i="61"/>
  <c r="B41" i="61"/>
  <c r="B26" i="61"/>
  <c r="B20" i="61"/>
  <c r="B31" i="61"/>
  <c r="B10" i="61"/>
  <c r="D11" i="61" s="1"/>
  <c r="A13" i="61" l="1"/>
  <c r="A12" i="61"/>
  <c r="H165" i="54" l="1"/>
  <c r="H82" i="54"/>
  <c r="E102" i="54"/>
  <c r="E101" i="54"/>
  <c r="F74" i="54"/>
  <c r="F75" i="54"/>
  <c r="F76" i="54"/>
  <c r="F77" i="54"/>
  <c r="F78" i="54"/>
  <c r="F73" i="54"/>
  <c r="L18" i="4" l="1"/>
  <c r="H84" i="54"/>
  <c r="K18" i="4" l="1"/>
  <c r="G18" i="4" l="1"/>
  <c r="M160" i="54"/>
  <c r="M105" i="54"/>
  <c r="N106" i="54"/>
  <c r="O105" i="54"/>
  <c r="N105" i="54" l="1"/>
  <c r="I160" i="54"/>
  <c r="K160" i="54" s="1"/>
  <c r="L36" i="54" l="1"/>
  <c r="V27" i="59" l="1"/>
  <c r="H76" i="54" l="1"/>
  <c r="M36" i="54" l="1"/>
  <c r="J36" i="54" s="1"/>
  <c r="K36" i="54" s="1"/>
  <c r="H168" i="54" l="1"/>
  <c r="H47" i="54"/>
  <c r="E77" i="54"/>
  <c r="F16" i="1" l="1"/>
  <c r="L16" i="1" s="1"/>
  <c r="B27" i="61"/>
  <c r="B28" i="61" s="1"/>
  <c r="H148" i="54" l="1"/>
  <c r="H142" i="54"/>
  <c r="A1" i="5" l="1"/>
  <c r="A1" i="4"/>
  <c r="A1" i="2"/>
  <c r="A1" i="62" s="1"/>
  <c r="A1" i="6" s="1"/>
  <c r="I98" i="59" l="1"/>
  <c r="H98" i="59"/>
  <c r="J97" i="59"/>
  <c r="J98" i="59" s="1"/>
  <c r="G97" i="59"/>
  <c r="M97" i="59" s="1"/>
  <c r="H116" i="59"/>
  <c r="J140" i="59"/>
  <c r="G140" i="59"/>
  <c r="M140" i="59" s="1"/>
  <c r="J115" i="59"/>
  <c r="J116" i="59" s="1"/>
  <c r="G115" i="59"/>
  <c r="M115" i="59" s="1"/>
  <c r="J148" i="59" l="1"/>
  <c r="H149" i="59" l="1"/>
  <c r="J147" i="59"/>
  <c r="J145" i="59"/>
  <c r="G145" i="59"/>
  <c r="M145" i="59" s="1"/>
  <c r="H129" i="59"/>
  <c r="J141" i="59"/>
  <c r="J143" i="59" s="1"/>
  <c r="J128" i="59"/>
  <c r="J129" i="59" s="1"/>
  <c r="G128" i="59"/>
  <c r="M128" i="59" s="1"/>
  <c r="J125" i="59"/>
  <c r="J124" i="59"/>
  <c r="J122" i="59"/>
  <c r="G125" i="59"/>
  <c r="M125" i="59" s="1"/>
  <c r="G124" i="59"/>
  <c r="M124" i="59" s="1"/>
  <c r="H120" i="59"/>
  <c r="J119" i="59"/>
  <c r="J118" i="59"/>
  <c r="G119" i="59"/>
  <c r="J112" i="59"/>
  <c r="J111" i="59"/>
  <c r="J108" i="59"/>
  <c r="J107" i="59"/>
  <c r="J106" i="59"/>
  <c r="H104" i="59"/>
  <c r="J103" i="59"/>
  <c r="J102" i="59"/>
  <c r="J100" i="59"/>
  <c r="G103" i="59"/>
  <c r="M103" i="59" s="1"/>
  <c r="G102" i="59"/>
  <c r="M102" i="59" s="1"/>
  <c r="G100" i="59"/>
  <c r="J94" i="59"/>
  <c r="J95" i="59" s="1"/>
  <c r="J88" i="59"/>
  <c r="J89" i="59" s="1"/>
  <c r="G88" i="59"/>
  <c r="M88" i="59" s="1"/>
  <c r="J75" i="59"/>
  <c r="J74" i="59"/>
  <c r="J73" i="59"/>
  <c r="G75" i="59"/>
  <c r="G74" i="59"/>
  <c r="M74" i="59" s="1"/>
  <c r="G73" i="59"/>
  <c r="M73" i="59" s="1"/>
  <c r="J70" i="59"/>
  <c r="J67" i="59"/>
  <c r="G70" i="59"/>
  <c r="J64" i="59"/>
  <c r="J61" i="59"/>
  <c r="J60" i="59"/>
  <c r="J57" i="59"/>
  <c r="J56" i="59"/>
  <c r="J55" i="59"/>
  <c r="J54" i="59"/>
  <c r="J53" i="59"/>
  <c r="G64" i="59"/>
  <c r="M64" i="59" s="1"/>
  <c r="G61" i="59"/>
  <c r="M61" i="59" s="1"/>
  <c r="G60" i="59"/>
  <c r="M60" i="59" s="1"/>
  <c r="G57" i="59"/>
  <c r="M57" i="59" s="1"/>
  <c r="G56" i="59"/>
  <c r="M56" i="59" s="1"/>
  <c r="G55" i="59"/>
  <c r="M55" i="59" s="1"/>
  <c r="J48" i="59"/>
  <c r="J51" i="59" s="1"/>
  <c r="J36" i="59"/>
  <c r="J31" i="59"/>
  <c r="G36" i="59"/>
  <c r="M36" i="59" s="1"/>
  <c r="G31" i="59"/>
  <c r="M31" i="59" s="1"/>
  <c r="J22" i="59"/>
  <c r="J25" i="59" s="1"/>
  <c r="J17" i="59"/>
  <c r="J16" i="59"/>
  <c r="J77" i="59" l="1"/>
  <c r="J20" i="59"/>
  <c r="J71" i="59"/>
  <c r="H151" i="59"/>
  <c r="J126" i="59"/>
  <c r="J29" i="59"/>
  <c r="J37" i="59"/>
  <c r="J65" i="59"/>
  <c r="J104" i="59"/>
  <c r="J113" i="59"/>
  <c r="J120" i="59"/>
  <c r="J149" i="59"/>
  <c r="G28" i="72"/>
  <c r="G30" i="72" s="1"/>
  <c r="G32" i="72" s="1"/>
  <c r="Q80" i="72"/>
  <c r="D13" i="61"/>
  <c r="E41" i="5"/>
  <c r="F32" i="66"/>
  <c r="J32" i="66" s="1"/>
  <c r="F87" i="66"/>
  <c r="J151" i="59" l="1"/>
  <c r="U160" i="59" s="1"/>
  <c r="J87" i="66"/>
  <c r="O87" i="66" s="1"/>
  <c r="U80" i="72"/>
  <c r="G122" i="59"/>
  <c r="M122" i="59" s="1"/>
  <c r="G118" i="59"/>
  <c r="G112" i="59"/>
  <c r="G111" i="59"/>
  <c r="M111" i="59" s="1"/>
  <c r="G108" i="59"/>
  <c r="M108" i="59" s="1"/>
  <c r="G107" i="59"/>
  <c r="G106" i="59"/>
  <c r="M106" i="59" s="1"/>
  <c r="I95" i="59"/>
  <c r="I151" i="59" s="1"/>
  <c r="T160" i="59" s="1"/>
  <c r="G94" i="59"/>
  <c r="G67" i="59"/>
  <c r="G54" i="59"/>
  <c r="M54" i="59" s="1"/>
  <c r="G53" i="59"/>
  <c r="M53" i="59" s="1"/>
  <c r="G28" i="59"/>
  <c r="G27" i="59"/>
  <c r="M27" i="59" s="1"/>
  <c r="G22" i="59"/>
  <c r="M22" i="59" s="1"/>
  <c r="G17" i="59"/>
  <c r="G16" i="59"/>
  <c r="M16" i="59" s="1"/>
  <c r="Q75" i="72" l="1"/>
  <c r="F54" i="72"/>
  <c r="Q54" i="72"/>
  <c r="Z80" i="72"/>
  <c r="M48" i="59"/>
  <c r="G265" i="59"/>
  <c r="F61" i="66"/>
  <c r="F82" i="66"/>
  <c r="U54" i="72" l="1"/>
  <c r="F45" i="66"/>
  <c r="J45" i="66" s="1"/>
  <c r="Q41" i="72"/>
  <c r="U75" i="72"/>
  <c r="J61" i="66"/>
  <c r="J82" i="66"/>
  <c r="Z75" i="72" l="1"/>
  <c r="U41" i="72"/>
  <c r="O82" i="66"/>
  <c r="E100" i="54" l="1"/>
  <c r="E99" i="54"/>
  <c r="E98" i="54"/>
  <c r="F96" i="54"/>
  <c r="E86" i="54"/>
  <c r="F51" i="54" l="1"/>
  <c r="F53" i="54"/>
  <c r="E74" i="54"/>
  <c r="E75" i="54"/>
  <c r="E76" i="54"/>
  <c r="B62" i="61" l="1"/>
  <c r="B63" i="61" s="1"/>
  <c r="H31" i="6" s="1"/>
  <c r="F27" i="1"/>
  <c r="L27" i="1" s="1"/>
  <c r="B38" i="61" l="1"/>
  <c r="O32" i="6"/>
  <c r="J39" i="6"/>
  <c r="J32" i="6"/>
  <c r="Q19" i="6"/>
  <c r="B32" i="61" l="1"/>
  <c r="B33" i="61" s="1"/>
  <c r="M42" i="5"/>
  <c r="M26" i="5"/>
  <c r="M16" i="5"/>
  <c r="K26" i="5"/>
  <c r="K42" i="5"/>
  <c r="G42" i="5"/>
  <c r="G26" i="5"/>
  <c r="G16" i="5"/>
  <c r="E22" i="5"/>
  <c r="I22" i="5" s="1"/>
  <c r="N22" i="5" s="1"/>
  <c r="E23" i="5"/>
  <c r="I23" i="5" s="1"/>
  <c r="N23" i="5" s="1"/>
  <c r="M44" i="5" l="1"/>
  <c r="I10" i="5" s="1"/>
  <c r="G44" i="5"/>
  <c r="H162" i="54" l="1"/>
  <c r="K35" i="2"/>
  <c r="K17" i="2"/>
  <c r="H160" i="54"/>
  <c r="N160" i="54" s="1"/>
  <c r="H158" i="54"/>
  <c r="H139" i="54"/>
  <c r="H135" i="54"/>
  <c r="H134" i="54"/>
  <c r="F107" i="54"/>
  <c r="K26" i="72" l="1"/>
  <c r="N24" i="72" s="1"/>
  <c r="N25" i="72" s="1"/>
  <c r="M13" i="2"/>
  <c r="E32" i="5"/>
  <c r="E16" i="4"/>
  <c r="Q21" i="6"/>
  <c r="B13" i="61"/>
  <c r="L39" i="6"/>
  <c r="E36" i="5"/>
  <c r="H80" i="54"/>
  <c r="B47" i="61" s="1"/>
  <c r="B48" i="61" s="1"/>
  <c r="J48" i="2" l="1"/>
  <c r="J52" i="2" s="1"/>
  <c r="J50" i="2" s="1"/>
  <c r="J51" i="2" s="1"/>
  <c r="I16" i="4"/>
  <c r="Q64" i="72"/>
  <c r="F71" i="66"/>
  <c r="D12" i="61"/>
  <c r="M26" i="72"/>
  <c r="E25" i="5"/>
  <c r="I25" i="5" s="1"/>
  <c r="N25" i="5" s="1"/>
  <c r="I32" i="5"/>
  <c r="N32" i="5" s="1"/>
  <c r="I36" i="5"/>
  <c r="N36" i="5" s="1"/>
  <c r="H103" i="54"/>
  <c r="B52" i="61"/>
  <c r="B53" i="61" s="1"/>
  <c r="B57" i="61"/>
  <c r="B58" i="61" s="1"/>
  <c r="Q36" i="6" s="1"/>
  <c r="Q22" i="6"/>
  <c r="J71" i="66" l="1"/>
  <c r="O71" i="66" s="1"/>
  <c r="F76" i="66"/>
  <c r="J76" i="66" s="1"/>
  <c r="O76" i="66" s="1"/>
  <c r="Q69" i="72"/>
  <c r="U69" i="72" s="1"/>
  <c r="Z69" i="72" s="1"/>
  <c r="U64" i="72"/>
  <c r="Z64" i="72" s="1"/>
  <c r="Q77" i="72"/>
  <c r="U77" i="72" s="1"/>
  <c r="E38" i="5"/>
  <c r="I38" i="5" s="1"/>
  <c r="N38" i="5" s="1"/>
  <c r="F84" i="66"/>
  <c r="I26" i="5"/>
  <c r="E30" i="5"/>
  <c r="I30" i="5" s="1"/>
  <c r="N30" i="5" s="1"/>
  <c r="E26" i="5"/>
  <c r="I41" i="5"/>
  <c r="N41" i="5" s="1"/>
  <c r="B42" i="61"/>
  <c r="B43" i="61" s="1"/>
  <c r="H32" i="6" l="1"/>
  <c r="Q81" i="72"/>
  <c r="S45" i="72"/>
  <c r="S50" i="72" s="1"/>
  <c r="S55" i="72" s="1"/>
  <c r="S53" i="72" s="1"/>
  <c r="K28" i="72"/>
  <c r="K45" i="72"/>
  <c r="K50" i="72" s="1"/>
  <c r="K55" i="72" s="1"/>
  <c r="K53" i="72" s="1"/>
  <c r="Z77" i="72"/>
  <c r="U81" i="72"/>
  <c r="J42" i="6"/>
  <c r="E42" i="5"/>
  <c r="J84" i="66"/>
  <c r="F88" i="66"/>
  <c r="N26" i="5"/>
  <c r="I42" i="5"/>
  <c r="L32" i="6"/>
  <c r="I67" i="54"/>
  <c r="J45" i="6" l="1"/>
  <c r="K30" i="72"/>
  <c r="K32" i="72" s="1"/>
  <c r="M28" i="72"/>
  <c r="M30" i="72" s="1"/>
  <c r="M32" i="72" s="1"/>
  <c r="Z81" i="72"/>
  <c r="N42" i="5"/>
  <c r="O84" i="66"/>
  <c r="J88" i="66"/>
  <c r="B21" i="61"/>
  <c r="B22" i="61" s="1"/>
  <c r="O88" i="66" l="1"/>
  <c r="H16" i="1"/>
  <c r="H29" i="1" s="1"/>
  <c r="H31" i="1" l="1"/>
  <c r="J38" i="1"/>
  <c r="J39" i="1" s="1"/>
  <c r="H40" i="1"/>
  <c r="H185" i="54"/>
  <c r="I26" i="81" l="1"/>
  <c r="I40" i="81"/>
  <c r="M40" i="81" s="1"/>
  <c r="I32" i="81"/>
  <c r="M32" i="81" s="1"/>
  <c r="I28" i="81"/>
  <c r="M28" i="81" s="1"/>
  <c r="I37" i="81"/>
  <c r="M37" i="81" s="1"/>
  <c r="I31" i="81"/>
  <c r="M31" i="81" s="1"/>
  <c r="I27" i="81"/>
  <c r="M27" i="81" s="1"/>
  <c r="I35" i="81"/>
  <c r="M35" i="81" s="1"/>
  <c r="I30" i="81"/>
  <c r="M30" i="81" s="1"/>
  <c r="I25" i="81"/>
  <c r="M25" i="81" s="1"/>
  <c r="I33" i="81"/>
  <c r="M33" i="81" s="1"/>
  <c r="I29" i="81"/>
  <c r="M29" i="81" s="1"/>
  <c r="I22" i="81"/>
  <c r="Q21" i="74"/>
  <c r="R21" i="74" s="1"/>
  <c r="Q15" i="74"/>
  <c r="R15" i="74" s="1"/>
  <c r="M22" i="81"/>
  <c r="F58" i="74"/>
  <c r="N13" i="72"/>
  <c r="N14" i="72" s="1"/>
  <c r="E13" i="72" s="1"/>
  <c r="AB6" i="72"/>
  <c r="X3" i="72"/>
  <c r="F13" i="66" s="1"/>
  <c r="X18" i="72"/>
  <c r="Q18" i="72" s="1"/>
  <c r="X13" i="72"/>
  <c r="Q13" i="72" s="1"/>
  <c r="H10" i="72"/>
  <c r="Q10" i="72"/>
  <c r="M17" i="66"/>
  <c r="F17" i="66" s="1"/>
  <c r="E10" i="5"/>
  <c r="N10" i="5" s="1"/>
  <c r="F10" i="66"/>
  <c r="O10" i="66" s="1"/>
  <c r="O22" i="6"/>
  <c r="R16" i="74" l="1"/>
  <c r="E15" i="74" s="1"/>
  <c r="S15" i="74"/>
  <c r="S16" i="74" s="1"/>
  <c r="E16" i="74" s="1"/>
  <c r="R22" i="74"/>
  <c r="E21" i="74" s="1"/>
  <c r="H21" i="74" s="1"/>
  <c r="S21" i="74"/>
  <c r="S22" i="74" s="1"/>
  <c r="E22" i="74" s="1"/>
  <c r="H22" i="74" s="1"/>
  <c r="U18" i="72"/>
  <c r="Z18" i="72" s="1"/>
  <c r="Z10" i="72"/>
  <c r="Q83" i="72"/>
  <c r="E14" i="72"/>
  <c r="Q14" i="72"/>
  <c r="Q15" i="72" s="1"/>
  <c r="U13" i="72"/>
  <c r="H18" i="72"/>
  <c r="H23" i="72" s="1"/>
  <c r="F14" i="66"/>
  <c r="J13" i="66"/>
  <c r="O13" i="66" s="1"/>
  <c r="J17" i="66"/>
  <c r="O17" i="66" s="1"/>
  <c r="O39" i="6"/>
  <c r="H23" i="74" l="1"/>
  <c r="E23" i="74"/>
  <c r="H14" i="72"/>
  <c r="Q27" i="72"/>
  <c r="U22" i="72"/>
  <c r="U32" i="72" s="1"/>
  <c r="E15" i="72"/>
  <c r="H13" i="72"/>
  <c r="Z13" i="72"/>
  <c r="F15" i="66"/>
  <c r="O34" i="66"/>
  <c r="J19" i="66"/>
  <c r="J90" i="66" s="1"/>
  <c r="F90" i="66"/>
  <c r="H38" i="6" l="1"/>
  <c r="O9" i="74"/>
  <c r="H15" i="72"/>
  <c r="Z22" i="72"/>
  <c r="U83" i="72"/>
  <c r="Z83" i="72" s="1"/>
  <c r="O19" i="66"/>
  <c r="O90" i="66"/>
  <c r="F92" i="21" l="1"/>
  <c r="C58" i="50" l="1"/>
  <c r="C54" i="50"/>
  <c r="C50" i="50"/>
  <c r="C38" i="50"/>
  <c r="C34" i="50"/>
  <c r="C30" i="50"/>
  <c r="C20" i="50"/>
  <c r="C23" i="50" s="1"/>
  <c r="C25" i="50" s="1"/>
  <c r="C40" i="50" l="1"/>
  <c r="C61" i="50"/>
  <c r="P73" i="21" l="1"/>
  <c r="P70" i="21"/>
  <c r="A1" i="21" l="1"/>
  <c r="O115" i="21" l="1"/>
  <c r="O116" i="21" s="1"/>
  <c r="B31" i="50" l="1"/>
  <c r="C9" i="50"/>
  <c r="C8" i="50"/>
  <c r="C10" i="50" l="1"/>
  <c r="C38" i="49" l="1"/>
  <c r="C32" i="49"/>
  <c r="C29" i="49"/>
  <c r="B27" i="49"/>
  <c r="C25" i="49"/>
  <c r="C20" i="49"/>
  <c r="C16" i="49"/>
  <c r="C19" i="49" s="1"/>
  <c r="C10" i="49"/>
  <c r="C31" i="49" l="1"/>
  <c r="C33" i="49" s="1"/>
  <c r="C21" i="49"/>
  <c r="C36" i="49" l="1"/>
  <c r="C40" i="49" s="1"/>
  <c r="I126" i="47"/>
  <c r="G126" i="47"/>
  <c r="K126" i="47" s="1"/>
  <c r="I123" i="47"/>
  <c r="G123" i="47"/>
  <c r="K123" i="47" s="1"/>
  <c r="I120" i="47"/>
  <c r="G120" i="47"/>
  <c r="K120" i="47" s="1"/>
  <c r="N118" i="47"/>
  <c r="I117" i="47"/>
  <c r="G117" i="47"/>
  <c r="K117" i="47" s="1"/>
  <c r="I114" i="47"/>
  <c r="G114" i="47"/>
  <c r="K114" i="47" s="1"/>
  <c r="I111" i="47"/>
  <c r="G111" i="47"/>
  <c r="K111" i="47" s="1"/>
  <c r="H109" i="47"/>
  <c r="I108" i="47"/>
  <c r="I109" i="47" s="1"/>
  <c r="G108" i="47"/>
  <c r="K108" i="47" s="1"/>
  <c r="G107" i="47"/>
  <c r="K107" i="47" s="1"/>
  <c r="G106" i="47"/>
  <c r="K106" i="47" s="1"/>
  <c r="G105" i="47"/>
  <c r="K105" i="47" s="1"/>
  <c r="G104" i="47"/>
  <c r="K104" i="47" s="1"/>
  <c r="I101" i="47"/>
  <c r="G101" i="47"/>
  <c r="K101" i="47" s="1"/>
  <c r="I100" i="47"/>
  <c r="G100" i="47"/>
  <c r="K100" i="47" s="1"/>
  <c r="H98" i="47"/>
  <c r="I97" i="47"/>
  <c r="G97" i="47"/>
  <c r="K97" i="47" s="1"/>
  <c r="I96" i="47"/>
  <c r="G96" i="47"/>
  <c r="K96" i="47" s="1"/>
  <c r="I95" i="47"/>
  <c r="G95" i="47"/>
  <c r="K95" i="47" s="1"/>
  <c r="H93" i="47"/>
  <c r="I92" i="47"/>
  <c r="G92" i="47"/>
  <c r="K92" i="47" s="1"/>
  <c r="I91" i="47"/>
  <c r="G91" i="47"/>
  <c r="K91" i="47" s="1"/>
  <c r="G90" i="47"/>
  <c r="K90" i="47" s="1"/>
  <c r="I87" i="47"/>
  <c r="G87" i="47"/>
  <c r="K87" i="47" s="1"/>
  <c r="M84" i="47"/>
  <c r="M118" i="47" s="1"/>
  <c r="L82" i="47"/>
  <c r="I68" i="47"/>
  <c r="G68" i="47"/>
  <c r="K68" i="47" s="1"/>
  <c r="I65" i="47"/>
  <c r="G65" i="47"/>
  <c r="K65" i="47" s="1"/>
  <c r="J63" i="47"/>
  <c r="H63" i="47"/>
  <c r="I62" i="47"/>
  <c r="G62" i="47"/>
  <c r="K62" i="47" s="1"/>
  <c r="I61" i="47"/>
  <c r="G61" i="47"/>
  <c r="K61" i="47" s="1"/>
  <c r="I60" i="47"/>
  <c r="G60" i="47"/>
  <c r="K60" i="47" s="1"/>
  <c r="I59" i="47"/>
  <c r="G59" i="47"/>
  <c r="K59" i="47" s="1"/>
  <c r="I58" i="47"/>
  <c r="G58" i="47"/>
  <c r="K58" i="47" s="1"/>
  <c r="I57" i="47"/>
  <c r="G57" i="47"/>
  <c r="K57" i="47" s="1"/>
  <c r="I54" i="47"/>
  <c r="G54" i="47"/>
  <c r="K54" i="47" s="1"/>
  <c r="I53" i="47"/>
  <c r="G53" i="47"/>
  <c r="K53" i="47" s="1"/>
  <c r="J51" i="47"/>
  <c r="H51" i="47"/>
  <c r="I50" i="47"/>
  <c r="G50" i="47"/>
  <c r="K50" i="47" s="1"/>
  <c r="I49" i="47"/>
  <c r="G49" i="47"/>
  <c r="K49" i="47" s="1"/>
  <c r="I48" i="47"/>
  <c r="G48" i="47"/>
  <c r="K48" i="47" s="1"/>
  <c r="I47" i="47"/>
  <c r="G47" i="47"/>
  <c r="K47" i="47" s="1"/>
  <c r="I46" i="47"/>
  <c r="G46" i="47"/>
  <c r="K46" i="47" s="1"/>
  <c r="I45" i="47"/>
  <c r="G45" i="47"/>
  <c r="K45" i="47" s="1"/>
  <c r="I44" i="47"/>
  <c r="G44" i="47"/>
  <c r="K44" i="47" s="1"/>
  <c r="I43" i="47"/>
  <c r="G43" i="47"/>
  <c r="K43" i="47" s="1"/>
  <c r="H41" i="47"/>
  <c r="I40" i="47"/>
  <c r="I41" i="47" s="1"/>
  <c r="G40" i="47"/>
  <c r="K40" i="47" s="1"/>
  <c r="G39" i="47"/>
  <c r="K39" i="47" s="1"/>
  <c r="G38" i="47"/>
  <c r="K38" i="47" s="1"/>
  <c r="G37" i="47"/>
  <c r="K37" i="47" s="1"/>
  <c r="G36" i="47"/>
  <c r="K36" i="47" s="1"/>
  <c r="I33" i="47"/>
  <c r="G33" i="47"/>
  <c r="K33" i="47" s="1"/>
  <c r="H31" i="47"/>
  <c r="I30" i="47"/>
  <c r="G30" i="47"/>
  <c r="K30" i="47" s="1"/>
  <c r="I29" i="47"/>
  <c r="G29" i="47"/>
  <c r="K29" i="47" s="1"/>
  <c r="I28" i="47"/>
  <c r="G28" i="47"/>
  <c r="K28" i="47" s="1"/>
  <c r="I27" i="47"/>
  <c r="G27" i="47"/>
  <c r="K27" i="47" s="1"/>
  <c r="I26" i="47"/>
  <c r="G26" i="47"/>
  <c r="K26" i="47" s="1"/>
  <c r="I25" i="47"/>
  <c r="G25" i="47"/>
  <c r="K25" i="47" s="1"/>
  <c r="I24" i="47"/>
  <c r="G24" i="47"/>
  <c r="K24" i="47" s="1"/>
  <c r="I23" i="47"/>
  <c r="G23" i="47"/>
  <c r="K23" i="47" s="1"/>
  <c r="I22" i="47"/>
  <c r="G22" i="47"/>
  <c r="I98" i="47" l="1"/>
  <c r="G70" i="47"/>
  <c r="G84" i="47" s="1"/>
  <c r="G129" i="47" s="1"/>
  <c r="I51" i="47"/>
  <c r="I63" i="47"/>
  <c r="H70" i="47"/>
  <c r="H84" i="47" s="1"/>
  <c r="H129" i="47" s="1"/>
  <c r="I31" i="47"/>
  <c r="I70" i="47" s="1"/>
  <c r="I84" i="47" s="1"/>
  <c r="I129" i="47" s="1"/>
  <c r="I93" i="47"/>
  <c r="K22" i="47"/>
  <c r="AE107" i="46" l="1"/>
  <c r="F103" i="46"/>
  <c r="AE91" i="46"/>
  <c r="A87" i="46"/>
  <c r="A100" i="46" s="1"/>
  <c r="A38" i="46"/>
  <c r="A40" i="46" s="1"/>
  <c r="A93" i="46" l="1"/>
  <c r="A95" i="46" l="1"/>
  <c r="F90" i="46" s="1"/>
  <c r="F89" i="46"/>
  <c r="N79" i="21" l="1"/>
  <c r="G89" i="46" l="1"/>
  <c r="G90" i="46"/>
  <c r="G91" i="46" l="1"/>
  <c r="L29" i="66" l="1"/>
  <c r="L36" i="66" s="1"/>
  <c r="I88" i="21"/>
  <c r="I46" i="21"/>
  <c r="H18" i="21"/>
  <c r="L18" i="21" s="1"/>
  <c r="H19" i="21"/>
  <c r="H20" i="21"/>
  <c r="L20" i="21" s="1"/>
  <c r="H21" i="21"/>
  <c r="H22" i="21"/>
  <c r="H23" i="21"/>
  <c r="H24" i="21"/>
  <c r="H25" i="21"/>
  <c r="H17" i="21"/>
  <c r="H87" i="21"/>
  <c r="H121" i="21"/>
  <c r="H96" i="21"/>
  <c r="H118" i="21"/>
  <c r="H45" i="21"/>
  <c r="H49" i="21"/>
  <c r="H115" i="21"/>
  <c r="H112" i="21"/>
  <c r="H109" i="21"/>
  <c r="L109" i="21" s="1"/>
  <c r="H106" i="21"/>
  <c r="H102" i="21"/>
  <c r="L102" i="21" s="1"/>
  <c r="H101" i="21"/>
  <c r="H100" i="21"/>
  <c r="H99" i="21"/>
  <c r="H95" i="21"/>
  <c r="H92" i="21"/>
  <c r="H91" i="21"/>
  <c r="H90" i="21"/>
  <c r="H86" i="21"/>
  <c r="H85" i="21"/>
  <c r="H82" i="21"/>
  <c r="H63" i="21"/>
  <c r="H60" i="21"/>
  <c r="H57" i="21"/>
  <c r="L57" i="21" s="1"/>
  <c r="H56" i="21"/>
  <c r="H55" i="21"/>
  <c r="L55" i="21" s="1"/>
  <c r="H54" i="21"/>
  <c r="H53" i="21"/>
  <c r="H52" i="21"/>
  <c r="H48" i="21"/>
  <c r="H44" i="21"/>
  <c r="H43" i="21"/>
  <c r="H42" i="21"/>
  <c r="H41" i="21"/>
  <c r="H40" i="21"/>
  <c r="H39" i="21"/>
  <c r="L39" i="21" s="1"/>
  <c r="H38" i="21"/>
  <c r="H35" i="21"/>
  <c r="L35" i="21" s="1"/>
  <c r="H34" i="21"/>
  <c r="H33" i="21"/>
  <c r="H32" i="21"/>
  <c r="H31" i="21"/>
  <c r="H28" i="21"/>
  <c r="W43" i="72" l="1"/>
  <c r="L47" i="66"/>
  <c r="H65" i="21"/>
  <c r="W50" i="72" l="1"/>
  <c r="W42" i="72"/>
  <c r="L57" i="66"/>
  <c r="L46" i="66"/>
  <c r="K16" i="5"/>
  <c r="K44" i="5" s="1"/>
  <c r="E83" i="26" l="1"/>
  <c r="O15" i="6" l="1"/>
  <c r="O34" i="6" s="1"/>
  <c r="E87" i="26"/>
  <c r="O41" i="6" l="1"/>
  <c r="O45" i="6" s="1"/>
  <c r="E19" i="38"/>
  <c r="B19" i="38"/>
  <c r="C19" i="38"/>
  <c r="B24" i="38"/>
  <c r="F106" i="46" l="1"/>
  <c r="E14" i="38" l="1"/>
  <c r="D13" i="38"/>
  <c r="F13" i="38" s="1"/>
  <c r="E22" i="38" l="1"/>
  <c r="B29" i="38" s="1"/>
  <c r="H103" i="21"/>
  <c r="D12" i="38" l="1"/>
  <c r="F12" i="38" s="1"/>
  <c r="D11" i="38"/>
  <c r="F11" i="38" s="1"/>
  <c r="D10" i="38"/>
  <c r="F10" i="38" s="1"/>
  <c r="D9" i="38"/>
  <c r="F9" i="38" s="1"/>
  <c r="D18" i="38"/>
  <c r="F18" i="38" s="1"/>
  <c r="D17" i="38"/>
  <c r="D8" i="38"/>
  <c r="F8" i="38" s="1"/>
  <c r="B14" i="38"/>
  <c r="C14" i="38"/>
  <c r="F17" i="38" l="1"/>
  <c r="D19" i="38"/>
  <c r="B22" i="38"/>
  <c r="B25" i="38" s="1"/>
  <c r="C22" i="38"/>
  <c r="D14" i="38"/>
  <c r="M47" i="26"/>
  <c r="B28" i="38" l="1"/>
  <c r="D22" i="38"/>
  <c r="B30" i="38" l="1"/>
  <c r="B32" i="38" s="1"/>
  <c r="B31" i="38"/>
  <c r="G100" i="26"/>
  <c r="N113" i="21"/>
  <c r="O113" i="21"/>
  <c r="I93" i="21"/>
  <c r="I104" i="21"/>
  <c r="I58" i="21"/>
  <c r="I36" i="21"/>
  <c r="I26" i="21"/>
  <c r="I65" i="21" l="1"/>
  <c r="I79" i="21" s="1"/>
  <c r="I124" i="21" l="1"/>
  <c r="H103" i="46" l="1"/>
  <c r="H107" i="46" s="1"/>
  <c r="J43" i="32"/>
  <c r="O125" i="21"/>
  <c r="B17" i="36"/>
  <c r="B22" i="36" s="1"/>
  <c r="E56" i="37"/>
  <c r="D52" i="37"/>
  <c r="D45" i="37"/>
  <c r="D43" i="37"/>
  <c r="D30" i="37"/>
  <c r="D21" i="37"/>
  <c r="D25" i="37" s="1"/>
  <c r="D19" i="37"/>
  <c r="D36" i="37" s="1"/>
  <c r="D41" i="37" s="1"/>
  <c r="D32" i="37" l="1"/>
  <c r="F32" i="37" s="1"/>
  <c r="D59" i="37"/>
  <c r="F59" i="37" s="1"/>
  <c r="D47" i="37"/>
  <c r="D54" i="37" s="1"/>
  <c r="D56" i="37" l="1"/>
  <c r="F56" i="37" s="1"/>
  <c r="F54" i="37"/>
  <c r="B25" i="36"/>
  <c r="B28" i="36" s="1"/>
  <c r="B33" i="36" s="1"/>
  <c r="C33" i="36" s="1"/>
  <c r="C35" i="36" l="1"/>
  <c r="D51" i="34"/>
  <c r="E51" i="34" l="1"/>
  <c r="C24" i="38"/>
  <c r="C25" i="38" s="1"/>
  <c r="E25" i="34"/>
  <c r="E15" i="34"/>
  <c r="AQ43" i="28" l="1"/>
  <c r="G66" i="26" l="1"/>
  <c r="G65" i="26"/>
  <c r="G64" i="26"/>
  <c r="G63" i="26"/>
  <c r="G62" i="26"/>
  <c r="G61" i="26"/>
  <c r="G60" i="26"/>
  <c r="G59" i="26"/>
  <c r="G58" i="26"/>
  <c r="F24" i="34" l="1"/>
  <c r="E26" i="34"/>
  <c r="E27" i="34"/>
  <c r="E34" i="34"/>
  <c r="F17" i="34"/>
  <c r="F28" i="34"/>
  <c r="G84" i="26" l="1"/>
  <c r="K84" i="26" s="1"/>
  <c r="J20" i="28"/>
  <c r="F20" i="28" s="1"/>
  <c r="O155" i="76" l="1"/>
  <c r="E126" i="29"/>
  <c r="C36" i="36"/>
  <c r="Q9" i="59" l="1"/>
  <c r="Q151" i="59"/>
  <c r="T3" i="71"/>
  <c r="X133" i="59"/>
  <c r="X41" i="59"/>
  <c r="J32" i="71" s="1"/>
  <c r="J126" i="47"/>
  <c r="J111" i="47"/>
  <c r="J108" i="47"/>
  <c r="J109" i="47" s="1"/>
  <c r="J95" i="47"/>
  <c r="J92" i="47"/>
  <c r="J87" i="47"/>
  <c r="J65" i="47"/>
  <c r="J53" i="47"/>
  <c r="J29" i="47"/>
  <c r="J25" i="47"/>
  <c r="J122" i="47"/>
  <c r="J114" i="47"/>
  <c r="J96" i="47"/>
  <c r="J68" i="47"/>
  <c r="J54" i="47"/>
  <c r="J120" i="47"/>
  <c r="J117" i="47"/>
  <c r="J100" i="47"/>
  <c r="J97" i="47"/>
  <c r="J90" i="47"/>
  <c r="J40" i="47"/>
  <c r="J41" i="47" s="1"/>
  <c r="J27" i="47"/>
  <c r="J23" i="47"/>
  <c r="J33" i="47"/>
  <c r="J30" i="47"/>
  <c r="J22" i="47"/>
  <c r="J101" i="47"/>
  <c r="J91" i="47"/>
  <c r="J28" i="47"/>
  <c r="J24" i="47"/>
  <c r="J26" i="47"/>
  <c r="J19" i="28"/>
  <c r="K109" i="21"/>
  <c r="K106" i="21"/>
  <c r="H79" i="21"/>
  <c r="H124" i="21" s="1"/>
  <c r="E38" i="34"/>
  <c r="E37" i="34"/>
  <c r="F37" i="34" s="1"/>
  <c r="E36" i="34"/>
  <c r="F36" i="34" s="1"/>
  <c r="F51" i="34"/>
  <c r="I98" i="26" s="1"/>
  <c r="K98" i="26" s="1"/>
  <c r="E49" i="34"/>
  <c r="F49" i="34" s="1"/>
  <c r="E24" i="34"/>
  <c r="E23" i="34"/>
  <c r="L79" i="59" l="1"/>
  <c r="L81" i="59"/>
  <c r="L80" i="59"/>
  <c r="L91" i="59"/>
  <c r="L92" i="59" s="1"/>
  <c r="L88" i="59"/>
  <c r="L76" i="59"/>
  <c r="L62" i="59"/>
  <c r="L63" i="59"/>
  <c r="L18" i="59"/>
  <c r="L50" i="59"/>
  <c r="J25" i="71"/>
  <c r="J17" i="71"/>
  <c r="J37" i="71"/>
  <c r="J33" i="71"/>
  <c r="J24" i="71"/>
  <c r="J39" i="71"/>
  <c r="J31" i="71"/>
  <c r="J23" i="71"/>
  <c r="J13" i="71"/>
  <c r="J36" i="71"/>
  <c r="L146" i="59"/>
  <c r="L148" i="59"/>
  <c r="L140" i="59"/>
  <c r="L110" i="59"/>
  <c r="L108" i="59"/>
  <c r="L102" i="59"/>
  <c r="L84" i="59"/>
  <c r="L85" i="59" s="1"/>
  <c r="L68" i="59"/>
  <c r="L60" i="59"/>
  <c r="L56" i="59"/>
  <c r="L27" i="59"/>
  <c r="L35" i="59"/>
  <c r="L31" i="59"/>
  <c r="L87" i="59"/>
  <c r="L57" i="59"/>
  <c r="L115" i="59"/>
  <c r="L116" i="59" s="1"/>
  <c r="L106" i="59"/>
  <c r="L100" i="59"/>
  <c r="L97" i="59"/>
  <c r="L98" i="59" s="1"/>
  <c r="L59" i="59"/>
  <c r="L55" i="59"/>
  <c r="L49" i="59"/>
  <c r="L22" i="59"/>
  <c r="L25" i="59" s="1"/>
  <c r="L34" i="59"/>
  <c r="L73" i="59"/>
  <c r="L61" i="59"/>
  <c r="L32" i="59"/>
  <c r="L145" i="59"/>
  <c r="L142" i="59"/>
  <c r="L128" i="59"/>
  <c r="L122" i="59"/>
  <c r="L111" i="59"/>
  <c r="L103" i="59"/>
  <c r="L101" i="59"/>
  <c r="L74" i="59"/>
  <c r="L69" i="59"/>
  <c r="L64" i="59"/>
  <c r="L58" i="59"/>
  <c r="L54" i="59"/>
  <c r="L48" i="59"/>
  <c r="L19" i="59"/>
  <c r="L36" i="59"/>
  <c r="L33" i="59"/>
  <c r="L109" i="59"/>
  <c r="L53" i="59"/>
  <c r="J28" i="71"/>
  <c r="J20" i="71"/>
  <c r="J16" i="71"/>
  <c r="J10" i="71"/>
  <c r="L123" i="59"/>
  <c r="L118" i="59"/>
  <c r="L17" i="59"/>
  <c r="L125" i="59"/>
  <c r="L94" i="59"/>
  <c r="L95" i="59" s="1"/>
  <c r="L16" i="59"/>
  <c r="L147" i="59"/>
  <c r="L124" i="59"/>
  <c r="L119" i="59"/>
  <c r="L75" i="59"/>
  <c r="X7" i="59"/>
  <c r="Q20" i="6"/>
  <c r="B11" i="61"/>
  <c r="B17" i="61" s="1"/>
  <c r="P11" i="21"/>
  <c r="J31" i="47"/>
  <c r="J70" i="47" s="1"/>
  <c r="J84" i="47" s="1"/>
  <c r="J93" i="47"/>
  <c r="J98" i="47"/>
  <c r="I83" i="26"/>
  <c r="K83" i="26" s="1"/>
  <c r="F38" i="34"/>
  <c r="E17" i="34"/>
  <c r="E16" i="34"/>
  <c r="E13" i="34"/>
  <c r="E12" i="34"/>
  <c r="E11" i="34"/>
  <c r="E10" i="34"/>
  <c r="L82" i="59" l="1"/>
  <c r="D10" i="61"/>
  <c r="D15" i="61" s="1"/>
  <c r="J18" i="71"/>
  <c r="J26" i="71"/>
  <c r="J34" i="71"/>
  <c r="J38" i="71"/>
  <c r="L120" i="59"/>
  <c r="L51" i="59"/>
  <c r="L113" i="59"/>
  <c r="L143" i="59"/>
  <c r="L89" i="59"/>
  <c r="L20" i="59"/>
  <c r="L71" i="59"/>
  <c r="L37" i="59"/>
  <c r="L29" i="59"/>
  <c r="L126" i="59"/>
  <c r="L129" i="59"/>
  <c r="L104" i="59"/>
  <c r="L77" i="59"/>
  <c r="L65" i="59"/>
  <c r="L149" i="59"/>
  <c r="K118" i="21"/>
  <c r="K102" i="21"/>
  <c r="K96" i="21"/>
  <c r="K90" i="21"/>
  <c r="K82" i="21"/>
  <c r="K49" i="21"/>
  <c r="K34" i="21"/>
  <c r="K25" i="21"/>
  <c r="K21" i="21"/>
  <c r="K17" i="21"/>
  <c r="K115" i="21"/>
  <c r="K101" i="21"/>
  <c r="K95" i="21"/>
  <c r="K87" i="21"/>
  <c r="K63" i="21"/>
  <c r="K57" i="21"/>
  <c r="K55" i="21"/>
  <c r="K53" i="21"/>
  <c r="K44" i="21"/>
  <c r="K42" i="21"/>
  <c r="K40" i="21"/>
  <c r="K38" i="21"/>
  <c r="K112" i="21"/>
  <c r="K100" i="21"/>
  <c r="K92" i="21"/>
  <c r="K86" i="21"/>
  <c r="K48" i="21"/>
  <c r="K35" i="21"/>
  <c r="K33" i="21"/>
  <c r="K31" i="21"/>
  <c r="K24" i="21"/>
  <c r="K22" i="21"/>
  <c r="K20" i="21"/>
  <c r="K18" i="21"/>
  <c r="K121" i="21"/>
  <c r="K103" i="21"/>
  <c r="K99" i="21"/>
  <c r="K91" i="21"/>
  <c r="K85" i="21"/>
  <c r="K60" i="21"/>
  <c r="K56" i="21"/>
  <c r="K54" i="21"/>
  <c r="K52" i="21"/>
  <c r="K45" i="21"/>
  <c r="K43" i="21"/>
  <c r="K41" i="21"/>
  <c r="K39" i="21"/>
  <c r="K28" i="21"/>
  <c r="K32" i="21"/>
  <c r="K23" i="21"/>
  <c r="K19" i="21"/>
  <c r="J129" i="47"/>
  <c r="I45" i="26"/>
  <c r="K44" i="26" s="1"/>
  <c r="G45" i="26"/>
  <c r="L44" i="26"/>
  <c r="L43" i="26"/>
  <c r="L42" i="26"/>
  <c r="L41" i="26"/>
  <c r="L40" i="26"/>
  <c r="L39" i="26"/>
  <c r="R18" i="6" l="1"/>
  <c r="L151" i="59"/>
  <c r="K88" i="21"/>
  <c r="K104" i="21"/>
  <c r="K93" i="21"/>
  <c r="K58" i="21"/>
  <c r="K46" i="21"/>
  <c r="K26" i="21"/>
  <c r="K36" i="21"/>
  <c r="K43" i="26"/>
  <c r="K41" i="26"/>
  <c r="K39" i="26"/>
  <c r="K40" i="26"/>
  <c r="K42" i="26"/>
  <c r="K65" i="21" l="1"/>
  <c r="K79" i="21" s="1"/>
  <c r="K124" i="21" s="1"/>
  <c r="K45" i="26"/>
  <c r="K70" i="29" l="1"/>
  <c r="I70" i="29"/>
  <c r="J29" i="28" l="1"/>
  <c r="J37" i="28"/>
  <c r="I37" i="28"/>
  <c r="H37" i="28"/>
  <c r="G37" i="28"/>
  <c r="F37" i="28"/>
  <c r="I31" i="28"/>
  <c r="H31" i="28"/>
  <c r="G31" i="28"/>
  <c r="I23" i="28"/>
  <c r="H23" i="28"/>
  <c r="F18" i="28"/>
  <c r="F29" i="28" l="1"/>
  <c r="G68" i="29"/>
  <c r="E68" i="29" s="1"/>
  <c r="I33" i="28"/>
  <c r="I39" i="28" s="1"/>
  <c r="H33" i="28"/>
  <c r="H39" i="28" s="1"/>
  <c r="F19" i="28" l="1"/>
  <c r="K126" i="29"/>
  <c r="E30" i="34" l="1"/>
  <c r="E74" i="34"/>
  <c r="E70" i="34"/>
  <c r="E67" i="34"/>
  <c r="E68" i="34"/>
  <c r="E60" i="34"/>
  <c r="E50" i="34"/>
  <c r="F50" i="34" s="1"/>
  <c r="E45" i="34"/>
  <c r="F45" i="34" s="1"/>
  <c r="E41" i="34"/>
  <c r="F41" i="34" s="1"/>
  <c r="E40" i="34"/>
  <c r="F40" i="34" s="1"/>
  <c r="E73" i="34"/>
  <c r="E72" i="34"/>
  <c r="E69" i="34"/>
  <c r="E66" i="34"/>
  <c r="E65" i="34"/>
  <c r="E64" i="34"/>
  <c r="E63" i="34"/>
  <c r="E62" i="34"/>
  <c r="E61" i="34"/>
  <c r="E59" i="34"/>
  <c r="E58" i="34"/>
  <c r="E57" i="34"/>
  <c r="E56" i="34"/>
  <c r="E55" i="34"/>
  <c r="E54" i="34"/>
  <c r="E53" i="34"/>
  <c r="E52" i="34"/>
  <c r="E48" i="34"/>
  <c r="E47" i="34"/>
  <c r="E46" i="34"/>
  <c r="E44" i="34"/>
  <c r="F44" i="34" s="1"/>
  <c r="E43" i="34"/>
  <c r="E42" i="34"/>
  <c r="E39" i="34"/>
  <c r="E35" i="34"/>
  <c r="F35" i="34" s="1"/>
  <c r="E33" i="34"/>
  <c r="E32" i="34"/>
  <c r="E31" i="34"/>
  <c r="E29" i="34"/>
  <c r="E28" i="34"/>
  <c r="E18" i="34"/>
  <c r="E14" i="34"/>
  <c r="E9" i="34"/>
  <c r="E8" i="34"/>
  <c r="E7" i="34"/>
  <c r="E5" i="34"/>
  <c r="E4" i="34"/>
  <c r="E3" i="34"/>
  <c r="E22" i="34"/>
  <c r="E21" i="34"/>
  <c r="E20" i="34"/>
  <c r="J17" i="28" l="1"/>
  <c r="F58" i="34"/>
  <c r="F34" i="34"/>
  <c r="AQ66" i="29"/>
  <c r="I87" i="26" l="1"/>
  <c r="J22" i="28"/>
  <c r="F22" i="28" s="1"/>
  <c r="D18" i="30"/>
  <c r="E6" i="34"/>
  <c r="F13" i="34" s="1"/>
  <c r="E71" i="34"/>
  <c r="E19" i="34"/>
  <c r="D24" i="30"/>
  <c r="D22" i="30"/>
  <c r="D20" i="30"/>
  <c r="D16" i="30"/>
  <c r="F48" i="34"/>
  <c r="F47" i="34"/>
  <c r="F46" i="34"/>
  <c r="F43" i="34"/>
  <c r="F42" i="34"/>
  <c r="F39" i="34"/>
  <c r="F33" i="34"/>
  <c r="F32" i="34"/>
  <c r="F31" i="34"/>
  <c r="F18" i="34"/>
  <c r="F56" i="34"/>
  <c r="F4" i="34"/>
  <c r="J44" i="32"/>
  <c r="D9" i="27"/>
  <c r="J9" i="27" s="1"/>
  <c r="H13" i="32"/>
  <c r="H14" i="32"/>
  <c r="N15" i="31"/>
  <c r="N14" i="31"/>
  <c r="N13" i="31"/>
  <c r="N12" i="31"/>
  <c r="J62" i="32"/>
  <c r="J54" i="32"/>
  <c r="J57" i="32" s="1"/>
  <c r="G34" i="32"/>
  <c r="C34" i="32"/>
  <c r="H32" i="32"/>
  <c r="F32" i="32"/>
  <c r="H31" i="32"/>
  <c r="F31" i="32"/>
  <c r="J30" i="32"/>
  <c r="H30" i="32"/>
  <c r="F30" i="32"/>
  <c r="H29" i="32"/>
  <c r="F29" i="32"/>
  <c r="H28" i="32"/>
  <c r="F28" i="32"/>
  <c r="H27" i="32"/>
  <c r="F27" i="32"/>
  <c r="H26" i="32"/>
  <c r="F26" i="32"/>
  <c r="H25" i="32"/>
  <c r="F25" i="32"/>
  <c r="H24" i="32"/>
  <c r="F24" i="32"/>
  <c r="H23" i="32"/>
  <c r="E23" i="32"/>
  <c r="D23" i="32"/>
  <c r="H22" i="32"/>
  <c r="F22" i="32"/>
  <c r="H21" i="32"/>
  <c r="F21" i="32"/>
  <c r="H20" i="32"/>
  <c r="D20" i="32"/>
  <c r="F20" i="32" s="1"/>
  <c r="H19" i="32"/>
  <c r="E19" i="32"/>
  <c r="D19" i="32"/>
  <c r="H18" i="32"/>
  <c r="F18" i="32"/>
  <c r="H17" i="32"/>
  <c r="F17" i="32"/>
  <c r="H16" i="32"/>
  <c r="F16" i="32"/>
  <c r="H15" i="32"/>
  <c r="F15" i="32"/>
  <c r="F14" i="32"/>
  <c r="F13" i="32"/>
  <c r="H20" i="31"/>
  <c r="L13" i="31" s="1"/>
  <c r="C26" i="30"/>
  <c r="H26" i="30"/>
  <c r="I26" i="30"/>
  <c r="J26" i="30"/>
  <c r="K26" i="30"/>
  <c r="L26" i="30"/>
  <c r="M26" i="30"/>
  <c r="G49" i="27"/>
  <c r="G48" i="27"/>
  <c r="G47" i="27"/>
  <c r="AG16" i="27"/>
  <c r="H196" i="29"/>
  <c r="H195" i="29"/>
  <c r="H194" i="29"/>
  <c r="A1" i="27"/>
  <c r="A3" i="5"/>
  <c r="B33" i="23"/>
  <c r="B35" i="23"/>
  <c r="B37" i="23"/>
  <c r="D25" i="22"/>
  <c r="A3" i="4"/>
  <c r="J50" i="32"/>
  <c r="A3" i="46" l="1"/>
  <c r="L22" i="6"/>
  <c r="G86" i="26"/>
  <c r="K86" i="26" s="1"/>
  <c r="L18" i="31"/>
  <c r="A68" i="21"/>
  <c r="F74" i="34"/>
  <c r="H34" i="32"/>
  <c r="F16" i="30"/>
  <c r="B39" i="23"/>
  <c r="C11" i="22" s="1"/>
  <c r="E11" i="22" s="1"/>
  <c r="E25" i="22" s="1"/>
  <c r="F22" i="30"/>
  <c r="F18" i="30"/>
  <c r="E34" i="32"/>
  <c r="F20" i="30"/>
  <c r="F19" i="32"/>
  <c r="F24" i="30"/>
  <c r="J45" i="32"/>
  <c r="A46" i="32"/>
  <c r="A51" i="32" s="1"/>
  <c r="A58" i="32" s="1"/>
  <c r="F23" i="32"/>
  <c r="D26" i="30"/>
  <c r="E20" i="30" s="1"/>
  <c r="D34" i="32"/>
  <c r="L12" i="31"/>
  <c r="L14" i="31"/>
  <c r="F29" i="1" l="1"/>
  <c r="T9" i="89" s="1"/>
  <c r="T10" i="89" s="1"/>
  <c r="F34" i="32"/>
  <c r="F26" i="30"/>
  <c r="F28" i="30" s="1"/>
  <c r="C25" i="22"/>
  <c r="E18" i="30"/>
  <c r="A1" i="32"/>
  <c r="A1" i="26"/>
  <c r="J26" i="28"/>
  <c r="F26" i="28" s="1"/>
  <c r="E24" i="30"/>
  <c r="L15" i="31"/>
  <c r="L20" i="31" s="1"/>
  <c r="E22" i="30"/>
  <c r="E16" i="30"/>
  <c r="G67" i="29"/>
  <c r="J28" i="28"/>
  <c r="G17" i="28"/>
  <c r="A64" i="32"/>
  <c r="H60" i="32" s="1"/>
  <c r="K141" i="76" l="1"/>
  <c r="K140" i="76"/>
  <c r="K139" i="76"/>
  <c r="K138" i="76"/>
  <c r="U39" i="89"/>
  <c r="W39" i="89" s="1"/>
  <c r="O9" i="89"/>
  <c r="O10" i="89" s="1"/>
  <c r="K148" i="76"/>
  <c r="K144" i="76"/>
  <c r="K132" i="76"/>
  <c r="K126" i="76"/>
  <c r="K120" i="76"/>
  <c r="K114" i="76"/>
  <c r="K108" i="76"/>
  <c r="K102" i="76"/>
  <c r="K96" i="76"/>
  <c r="K90" i="76"/>
  <c r="K81" i="76"/>
  <c r="K73" i="76"/>
  <c r="K67" i="76"/>
  <c r="K60" i="76"/>
  <c r="K54" i="76"/>
  <c r="K50" i="76"/>
  <c r="K46" i="76"/>
  <c r="K40" i="76"/>
  <c r="K34" i="76"/>
  <c r="K30" i="76"/>
  <c r="K26" i="76"/>
  <c r="K18" i="76"/>
  <c r="K15" i="76"/>
  <c r="K121" i="76"/>
  <c r="K99" i="76"/>
  <c r="K74" i="76"/>
  <c r="K51" i="76"/>
  <c r="K37" i="76"/>
  <c r="K19" i="76"/>
  <c r="K147" i="76"/>
  <c r="K135" i="76"/>
  <c r="K129" i="76"/>
  <c r="K125" i="76"/>
  <c r="K119" i="76"/>
  <c r="K107" i="76"/>
  <c r="K101" i="76"/>
  <c r="K95" i="76"/>
  <c r="K89" i="76"/>
  <c r="K78" i="76"/>
  <c r="K79" i="76" s="1"/>
  <c r="K72" i="76"/>
  <c r="K66" i="76"/>
  <c r="K59" i="76"/>
  <c r="K53" i="76"/>
  <c r="K49" i="76"/>
  <c r="K45" i="76"/>
  <c r="K39" i="76"/>
  <c r="K33" i="76"/>
  <c r="K29" i="76"/>
  <c r="K23" i="76"/>
  <c r="K24" i="76" s="1"/>
  <c r="K12" i="76"/>
  <c r="K11" i="76"/>
  <c r="K145" i="76"/>
  <c r="K115" i="76"/>
  <c r="K105" i="76"/>
  <c r="K82" i="76"/>
  <c r="K61" i="76"/>
  <c r="K47" i="76"/>
  <c r="K31" i="76"/>
  <c r="K14" i="76"/>
  <c r="K146" i="76"/>
  <c r="K134" i="76"/>
  <c r="K128" i="76"/>
  <c r="K122" i="76"/>
  <c r="K118" i="76"/>
  <c r="K113" i="76"/>
  <c r="K106" i="76"/>
  <c r="K100" i="76"/>
  <c r="K94" i="76"/>
  <c r="K88" i="76"/>
  <c r="K75" i="76"/>
  <c r="K71" i="76"/>
  <c r="K65" i="76"/>
  <c r="K58" i="76"/>
  <c r="K52" i="76"/>
  <c r="K48" i="76"/>
  <c r="K44" i="76"/>
  <c r="K38" i="76"/>
  <c r="K32" i="76"/>
  <c r="K28" i="76"/>
  <c r="K20" i="76"/>
  <c r="K13" i="76"/>
  <c r="K151" i="76"/>
  <c r="K152" i="76" s="1"/>
  <c r="K133" i="76"/>
  <c r="K127" i="76"/>
  <c r="K109" i="76"/>
  <c r="K93" i="76"/>
  <c r="K70" i="76"/>
  <c r="K57" i="76"/>
  <c r="K41" i="76"/>
  <c r="K27" i="76"/>
  <c r="O7" i="80"/>
  <c r="O8" i="80" s="1"/>
  <c r="O9" i="80" s="1"/>
  <c r="N7" i="80"/>
  <c r="N8" i="80" s="1"/>
  <c r="N9" i="80" s="1"/>
  <c r="L29" i="1"/>
  <c r="V47" i="76"/>
  <c r="F40" i="1"/>
  <c r="J12" i="1"/>
  <c r="A1" i="46"/>
  <c r="A1" i="38"/>
  <c r="I99" i="26"/>
  <c r="K99" i="26" s="1"/>
  <c r="I97" i="26"/>
  <c r="K97" i="26" s="1"/>
  <c r="G82" i="26"/>
  <c r="K82" i="26" s="1"/>
  <c r="J21" i="28"/>
  <c r="J23" i="28" s="1"/>
  <c r="G65" i="29"/>
  <c r="E65" i="29" s="1"/>
  <c r="A71" i="26"/>
  <c r="A1" i="28" s="1"/>
  <c r="A1" i="29" s="1"/>
  <c r="A72" i="29" s="1"/>
  <c r="A140" i="29" s="1"/>
  <c r="E26" i="30"/>
  <c r="G69" i="29"/>
  <c r="E69" i="29" s="1"/>
  <c r="J30" i="28"/>
  <c r="F30" i="28" s="1"/>
  <c r="E67" i="29"/>
  <c r="F28" i="28"/>
  <c r="G23" i="28"/>
  <c r="G33" i="28" s="1"/>
  <c r="G39" i="28" s="1"/>
  <c r="F17" i="28"/>
  <c r="K142" i="76" l="1"/>
  <c r="L26" i="81"/>
  <c r="L25" i="81"/>
  <c r="L31" i="81"/>
  <c r="L33" i="81"/>
  <c r="L22" i="81"/>
  <c r="L29" i="81"/>
  <c r="L32" i="81"/>
  <c r="L40" i="81"/>
  <c r="L35" i="81"/>
  <c r="L37" i="81"/>
  <c r="L27" i="81"/>
  <c r="L30" i="81"/>
  <c r="L28" i="81"/>
  <c r="T11" i="89"/>
  <c r="O11" i="89"/>
  <c r="Y39" i="89"/>
  <c r="X39" i="89"/>
  <c r="K91" i="76"/>
  <c r="K116" i="76"/>
  <c r="K62" i="76"/>
  <c r="K68" i="76"/>
  <c r="K76" i="76"/>
  <c r="K97" i="76"/>
  <c r="K110" i="76"/>
  <c r="K83" i="76"/>
  <c r="K136" i="76"/>
  <c r="K21" i="76"/>
  <c r="K149" i="76"/>
  <c r="K55" i="76"/>
  <c r="K123" i="76"/>
  <c r="K130" i="76"/>
  <c r="K103" i="76"/>
  <c r="K35" i="76"/>
  <c r="K16" i="76"/>
  <c r="K42" i="76"/>
  <c r="M15" i="81"/>
  <c r="N31" i="81" s="1"/>
  <c r="N10" i="80"/>
  <c r="O10" i="80"/>
  <c r="F54" i="74"/>
  <c r="F52" i="74" s="1"/>
  <c r="F45" i="72"/>
  <c r="F42" i="72"/>
  <c r="F43" i="72" s="1"/>
  <c r="F28" i="72"/>
  <c r="F26" i="74"/>
  <c r="H26" i="74" s="1"/>
  <c r="F29" i="66"/>
  <c r="E12" i="4"/>
  <c r="E18" i="4" s="1"/>
  <c r="G85" i="26"/>
  <c r="K85" i="26" s="1"/>
  <c r="K87" i="26" s="1"/>
  <c r="I96" i="26"/>
  <c r="K96" i="26" s="1"/>
  <c r="K100" i="26" s="1"/>
  <c r="F21" i="28"/>
  <c r="F23" i="28" s="1"/>
  <c r="H41" i="28"/>
  <c r="I41" i="28" s="1"/>
  <c r="G41" i="28"/>
  <c r="F31" i="28"/>
  <c r="E70" i="29"/>
  <c r="J31" i="28"/>
  <c r="J33" i="28" s="1"/>
  <c r="J39" i="28" s="1"/>
  <c r="G70" i="29"/>
  <c r="Z39" i="89" l="1"/>
  <c r="N28" i="81"/>
  <c r="N27" i="81"/>
  <c r="N40" i="81"/>
  <c r="N37" i="81"/>
  <c r="N29" i="81"/>
  <c r="N22" i="81"/>
  <c r="N32" i="81"/>
  <c r="N25" i="81"/>
  <c r="N35" i="81"/>
  <c r="N30" i="81"/>
  <c r="N33" i="81"/>
  <c r="H29" i="74"/>
  <c r="F29" i="74"/>
  <c r="F31" i="74" s="1"/>
  <c r="F50" i="72"/>
  <c r="F55" i="72" s="1"/>
  <c r="F53" i="72" s="1"/>
  <c r="Q19" i="72"/>
  <c r="Q22" i="72" s="1"/>
  <c r="Q32" i="72" s="1"/>
  <c r="F30" i="72"/>
  <c r="F32" i="72" s="1"/>
  <c r="H28" i="72"/>
  <c r="H30" i="72" s="1"/>
  <c r="H32" i="72" s="1"/>
  <c r="F46" i="66"/>
  <c r="Q42" i="72"/>
  <c r="J29" i="66"/>
  <c r="J36" i="66" s="1"/>
  <c r="I12" i="4"/>
  <c r="I18" i="4" s="1"/>
  <c r="G87" i="26"/>
  <c r="H22" i="6"/>
  <c r="P22" i="6" s="1"/>
  <c r="I100" i="26"/>
  <c r="H15" i="6"/>
  <c r="F33" i="28"/>
  <c r="F39" i="28" s="1"/>
  <c r="V3" i="76" l="1"/>
  <c r="P15" i="6"/>
  <c r="X132" i="59"/>
  <c r="Q8" i="59"/>
  <c r="N151" i="59"/>
  <c r="U42" i="72"/>
  <c r="U43" i="72" s="1"/>
  <c r="U50" i="72" s="1"/>
  <c r="U55" i="72" s="1"/>
  <c r="U53" i="72" s="1"/>
  <c r="Q43" i="72"/>
  <c r="Q50" i="72" s="1"/>
  <c r="Q55" i="72" s="1"/>
  <c r="Q53" i="72" s="1"/>
  <c r="F47" i="66"/>
  <c r="F57" i="66" s="1"/>
  <c r="F62" i="66" s="1"/>
  <c r="F60" i="66" s="1"/>
  <c r="J46" i="66"/>
  <c r="J47" i="66" s="1"/>
  <c r="J57" i="66" s="1"/>
  <c r="J62" i="66" s="1"/>
  <c r="J60" i="66" s="1"/>
  <c r="F60" i="74"/>
  <c r="T2" i="71"/>
  <c r="X40" i="59"/>
  <c r="J27" i="1"/>
  <c r="J25" i="1" s="1"/>
  <c r="X6" i="59"/>
  <c r="L34" i="6"/>
  <c r="P8" i="21"/>
  <c r="J54" i="21" s="1"/>
  <c r="K145" i="59" l="1"/>
  <c r="K80" i="59"/>
  <c r="K79" i="59"/>
  <c r="K81" i="59"/>
  <c r="O145" i="59"/>
  <c r="O80" i="59"/>
  <c r="O81" i="59"/>
  <c r="O79" i="59"/>
  <c r="K91" i="59"/>
  <c r="K92" i="59" s="1"/>
  <c r="K88" i="59"/>
  <c r="O92" i="59"/>
  <c r="O91" i="59"/>
  <c r="K63" i="59"/>
  <c r="K76" i="59"/>
  <c r="O74" i="59"/>
  <c r="O76" i="59"/>
  <c r="O73" i="59"/>
  <c r="O77" i="59"/>
  <c r="K50" i="59"/>
  <c r="K62" i="59"/>
  <c r="H34" i="6"/>
  <c r="K118" i="59"/>
  <c r="K108" i="59"/>
  <c r="K100" i="59"/>
  <c r="K74" i="59"/>
  <c r="K68" i="59"/>
  <c r="K64" i="59"/>
  <c r="K58" i="59"/>
  <c r="K54" i="59"/>
  <c r="K49" i="59"/>
  <c r="K17" i="59"/>
  <c r="K34" i="59"/>
  <c r="K142" i="59"/>
  <c r="K122" i="59"/>
  <c r="K109" i="59"/>
  <c r="K33" i="59"/>
  <c r="K146" i="59"/>
  <c r="K148" i="59"/>
  <c r="K140" i="59"/>
  <c r="K110" i="59"/>
  <c r="K106" i="59"/>
  <c r="K102" i="59"/>
  <c r="K84" i="59"/>
  <c r="K85" i="59" s="1"/>
  <c r="K73" i="59"/>
  <c r="K61" i="59"/>
  <c r="K57" i="59"/>
  <c r="K53" i="59"/>
  <c r="K16" i="59"/>
  <c r="K27" i="59"/>
  <c r="K36" i="59"/>
  <c r="K32" i="59"/>
  <c r="K128" i="59"/>
  <c r="K103" i="59"/>
  <c r="K59" i="59"/>
  <c r="K48" i="59"/>
  <c r="K115" i="59"/>
  <c r="K116" i="59" s="1"/>
  <c r="K111" i="59"/>
  <c r="K97" i="59"/>
  <c r="K98" i="59" s="1"/>
  <c r="K87" i="59"/>
  <c r="K69" i="59"/>
  <c r="K60" i="59"/>
  <c r="K56" i="59"/>
  <c r="K22" i="59"/>
  <c r="K25" i="59" s="1"/>
  <c r="K19" i="59"/>
  <c r="K31" i="59"/>
  <c r="K101" i="59"/>
  <c r="K55" i="59"/>
  <c r="K18" i="59"/>
  <c r="K35" i="59"/>
  <c r="O151" i="59"/>
  <c r="O146" i="59"/>
  <c r="O141" i="59"/>
  <c r="O126" i="59"/>
  <c r="O122" i="59"/>
  <c r="O116" i="59"/>
  <c r="O111" i="59"/>
  <c r="O107" i="59"/>
  <c r="O102" i="59"/>
  <c r="O97" i="59"/>
  <c r="O85" i="59"/>
  <c r="O69" i="59"/>
  <c r="O57" i="59"/>
  <c r="O53" i="59"/>
  <c r="O34" i="59"/>
  <c r="O24" i="59"/>
  <c r="O18" i="59"/>
  <c r="O149" i="59"/>
  <c r="O140" i="59"/>
  <c r="O125" i="59"/>
  <c r="O120" i="59"/>
  <c r="O115" i="59"/>
  <c r="O110" i="59"/>
  <c r="O106" i="59"/>
  <c r="O101" i="59"/>
  <c r="O95" i="59"/>
  <c r="O89" i="59"/>
  <c r="O84" i="59"/>
  <c r="O67" i="59"/>
  <c r="O60" i="59"/>
  <c r="O56" i="59"/>
  <c r="O51" i="59"/>
  <c r="O36" i="59"/>
  <c r="O33" i="59"/>
  <c r="O28" i="59"/>
  <c r="O148" i="59"/>
  <c r="O143" i="59"/>
  <c r="O129" i="59"/>
  <c r="O124" i="59"/>
  <c r="O119" i="59"/>
  <c r="O113" i="59"/>
  <c r="O109" i="59"/>
  <c r="O104" i="59"/>
  <c r="O100" i="59"/>
  <c r="O94" i="59"/>
  <c r="O88" i="59"/>
  <c r="O71" i="59"/>
  <c r="O68" i="59"/>
  <c r="O65" i="59"/>
  <c r="O59" i="59"/>
  <c r="O55" i="59"/>
  <c r="O49" i="59"/>
  <c r="O32" i="59"/>
  <c r="O27" i="59"/>
  <c r="O22" i="59"/>
  <c r="O17" i="59"/>
  <c r="O147" i="59"/>
  <c r="O142" i="59"/>
  <c r="O128" i="59"/>
  <c r="O123" i="59"/>
  <c r="O118" i="59"/>
  <c r="O112" i="59"/>
  <c r="O108" i="59"/>
  <c r="O103" i="59"/>
  <c r="O98" i="59"/>
  <c r="O87" i="59"/>
  <c r="O75" i="59"/>
  <c r="O70" i="59"/>
  <c r="O64" i="59"/>
  <c r="O58" i="59"/>
  <c r="O54" i="59"/>
  <c r="O48" i="59"/>
  <c r="O35" i="59"/>
  <c r="O31" i="59"/>
  <c r="O25" i="59"/>
  <c r="O20" i="59"/>
  <c r="O16" i="59"/>
  <c r="O61" i="59"/>
  <c r="O37" i="59"/>
  <c r="O29" i="59"/>
  <c r="O19" i="59"/>
  <c r="O23" i="59"/>
  <c r="L27" i="67"/>
  <c r="L25" i="67"/>
  <c r="L23" i="67"/>
  <c r="U2" i="71"/>
  <c r="V3" i="71"/>
  <c r="N104" i="59"/>
  <c r="N120" i="59"/>
  <c r="N149" i="59"/>
  <c r="N126" i="59"/>
  <c r="N113" i="59"/>
  <c r="N129" i="59"/>
  <c r="N116" i="59"/>
  <c r="N143" i="59"/>
  <c r="K147" i="59"/>
  <c r="K124" i="59"/>
  <c r="K119" i="59"/>
  <c r="K75" i="59"/>
  <c r="K123" i="59"/>
  <c r="K94" i="59"/>
  <c r="K95" i="59" s="1"/>
  <c r="K125" i="59"/>
  <c r="L41" i="6"/>
  <c r="L45" i="6" s="1"/>
  <c r="J118" i="21"/>
  <c r="J82" i="21"/>
  <c r="J24" i="32"/>
  <c r="J99" i="21"/>
  <c r="J22" i="21"/>
  <c r="J17" i="21"/>
  <c r="J87" i="21"/>
  <c r="J112" i="21"/>
  <c r="J14" i="32"/>
  <c r="J21" i="21"/>
  <c r="J19" i="32"/>
  <c r="J48" i="21"/>
  <c r="J95" i="21"/>
  <c r="J16" i="32"/>
  <c r="J22" i="32"/>
  <c r="J25" i="21"/>
  <c r="J27" i="32"/>
  <c r="J106" i="21"/>
  <c r="J28" i="21"/>
  <c r="J23" i="32"/>
  <c r="J20" i="21"/>
  <c r="J86" i="21"/>
  <c r="J31" i="21"/>
  <c r="J109" i="21"/>
  <c r="J90" i="21"/>
  <c r="J26" i="32"/>
  <c r="J20" i="32"/>
  <c r="J13" i="32"/>
  <c r="J44" i="21"/>
  <c r="J43" i="21"/>
  <c r="J31" i="32"/>
  <c r="J115" i="21"/>
  <c r="J92" i="21"/>
  <c r="J103" i="21"/>
  <c r="J121" i="21"/>
  <c r="J96" i="21"/>
  <c r="J25" i="32"/>
  <c r="J15" i="32"/>
  <c r="J17" i="32"/>
  <c r="J53" i="21"/>
  <c r="J56" i="21"/>
  <c r="J33" i="21"/>
  <c r="J55" i="21"/>
  <c r="J34" i="21"/>
  <c r="J60" i="21"/>
  <c r="J91" i="21"/>
  <c r="J38" i="21"/>
  <c r="J100" i="21"/>
  <c r="J85" i="21"/>
  <c r="J101" i="21"/>
  <c r="J52" i="21"/>
  <c r="J102" i="21"/>
  <c r="J21" i="32"/>
  <c r="J29" i="32"/>
  <c r="J28" i="32"/>
  <c r="J18" i="21"/>
  <c r="J35" i="21"/>
  <c r="J19" i="21"/>
  <c r="J41" i="21"/>
  <c r="J32" i="32"/>
  <c r="J40" i="21"/>
  <c r="J63" i="21"/>
  <c r="J32" i="21"/>
  <c r="J45" i="21"/>
  <c r="J39" i="21"/>
  <c r="J24" i="21"/>
  <c r="J42" i="21"/>
  <c r="J57" i="21"/>
  <c r="J23" i="21"/>
  <c r="J49" i="21"/>
  <c r="K89" i="59" l="1"/>
  <c r="K82" i="59"/>
  <c r="K51" i="59"/>
  <c r="K77" i="59"/>
  <c r="K20" i="59"/>
  <c r="K143" i="59"/>
  <c r="K113" i="59"/>
  <c r="K65" i="59"/>
  <c r="K71" i="59"/>
  <c r="K37" i="59"/>
  <c r="K104" i="59"/>
  <c r="K120" i="59"/>
  <c r="K129" i="59"/>
  <c r="K29" i="59"/>
  <c r="K126" i="59"/>
  <c r="K149" i="59"/>
  <c r="J88" i="21"/>
  <c r="J36" i="21"/>
  <c r="J93" i="21"/>
  <c r="J104" i="21"/>
  <c r="J26" i="21"/>
  <c r="J34" i="32"/>
  <c r="J58" i="21"/>
  <c r="J46" i="21"/>
  <c r="K151" i="59" l="1"/>
  <c r="J65" i="21"/>
  <c r="J79" i="21" s="1"/>
  <c r="J124" i="21" s="1"/>
  <c r="A3" i="26"/>
  <c r="A19" i="26" s="1"/>
  <c r="A33" i="26" s="1"/>
  <c r="A49" i="26" s="1"/>
  <c r="A73" i="26" s="1"/>
  <c r="A102" i="26" s="1"/>
  <c r="A106" i="26" s="1"/>
  <c r="A69" i="28" s="1"/>
  <c r="A74" i="29" l="1"/>
  <c r="A93" i="29" s="1"/>
  <c r="A128" i="29" s="1"/>
  <c r="A135" i="29" s="1"/>
  <c r="A142" i="29" s="1"/>
  <c r="A144" i="29" s="1"/>
  <c r="A117" i="26"/>
  <c r="A106" i="29" l="1"/>
  <c r="A11" i="27"/>
  <c r="A18" i="27" s="1"/>
  <c r="A23" i="27" s="1"/>
  <c r="A25" i="27" s="1"/>
  <c r="E10" i="72" l="1"/>
  <c r="E32" i="72" s="1"/>
  <c r="P38" i="6" l="1"/>
  <c r="P39" i="6" l="1"/>
  <c r="E15" i="5"/>
  <c r="F20" i="66"/>
  <c r="F18" i="66" l="1"/>
  <c r="F36" i="66"/>
  <c r="N29" i="66"/>
  <c r="C13" i="50"/>
  <c r="C15" i="36"/>
  <c r="I15" i="5"/>
  <c r="N15" i="5" l="1"/>
  <c r="O32" i="66"/>
  <c r="O35" i="66" s="1"/>
  <c r="Q6" i="74" l="1"/>
  <c r="E17" i="74" l="1"/>
  <c r="E31" i="74" s="1"/>
  <c r="H16" i="74"/>
  <c r="H17" i="74" s="1"/>
  <c r="N25" i="74" s="1"/>
  <c r="H31" i="74" l="1"/>
  <c r="F31" i="1" s="1"/>
  <c r="I31" i="1" s="1"/>
  <c r="O8" i="74"/>
  <c r="H37" i="6"/>
  <c r="E13" i="5" l="1"/>
  <c r="H39" i="6"/>
  <c r="O2" i="76"/>
  <c r="J33" i="1"/>
  <c r="C12" i="50" l="1"/>
  <c r="E16" i="5"/>
  <c r="I13" i="5"/>
  <c r="I16" i="5" s="1"/>
  <c r="I44" i="5" s="1"/>
  <c r="C13" i="36"/>
  <c r="C17" i="36" s="1"/>
  <c r="H42" i="6"/>
  <c r="H45" i="6" s="1"/>
  <c r="N51" i="6"/>
  <c r="N13" i="5" l="1"/>
  <c r="E44" i="5"/>
  <c r="N16" i="5"/>
  <c r="N48" i="6"/>
  <c r="Q46" i="6"/>
  <c r="N44" i="5" l="1"/>
  <c r="J29" i="1"/>
</calcChain>
</file>

<file path=xl/comments1.xml><?xml version="1.0" encoding="utf-8"?>
<comments xmlns="http://schemas.openxmlformats.org/spreadsheetml/2006/main">
  <authors>
    <author>S.M Moghirah Farooqui</author>
  </authors>
  <commentList>
    <comment ref="J11" authorId="0" shapeId="0">
      <text>
        <r>
          <rPr>
            <b/>
            <sz val="9"/>
            <color indexed="81"/>
            <rFont val="Tahoma"/>
            <family val="2"/>
          </rPr>
          <t>S.M Moghirah Farooqui:</t>
        </r>
        <r>
          <rPr>
            <sz val="9"/>
            <color indexed="81"/>
            <rFont val="Tahoma"/>
            <family val="2"/>
          </rPr>
          <t xml:space="preserve">
Check Formula </t>
        </r>
      </text>
    </comment>
    <comment ref="J18" authorId="0" shapeId="0">
      <text>
        <r>
          <rPr>
            <b/>
            <sz val="9"/>
            <color indexed="81"/>
            <rFont val="Tahoma"/>
            <family val="2"/>
          </rPr>
          <t>S.M Moghirah Farooqui:</t>
        </r>
        <r>
          <rPr>
            <sz val="9"/>
            <color indexed="81"/>
            <rFont val="Tahoma"/>
            <family val="2"/>
          </rPr>
          <t xml:space="preserve">
Check Formula </t>
        </r>
      </text>
    </comment>
    <comment ref="J19" authorId="0" shapeId="0">
      <text>
        <r>
          <rPr>
            <b/>
            <sz val="9"/>
            <color indexed="81"/>
            <rFont val="Tahoma"/>
            <family val="2"/>
          </rPr>
          <t>S.M Moghirah Farooqui:</t>
        </r>
        <r>
          <rPr>
            <sz val="9"/>
            <color indexed="81"/>
            <rFont val="Tahoma"/>
            <family val="2"/>
          </rPr>
          <t xml:space="preserve">
Check Formula </t>
        </r>
      </text>
    </comment>
    <comment ref="J20" authorId="0" shapeId="0">
      <text>
        <r>
          <rPr>
            <b/>
            <sz val="9"/>
            <color indexed="81"/>
            <rFont val="Tahoma"/>
            <family val="2"/>
          </rPr>
          <t>S.M Moghirah Farooqui:</t>
        </r>
        <r>
          <rPr>
            <sz val="9"/>
            <color indexed="81"/>
            <rFont val="Tahoma"/>
            <family val="2"/>
          </rPr>
          <t xml:space="preserve">
Check Formula </t>
        </r>
      </text>
    </comment>
    <comment ref="J23" authorId="0" shapeId="0">
      <text>
        <r>
          <rPr>
            <b/>
            <sz val="9"/>
            <color indexed="81"/>
            <rFont val="Tahoma"/>
            <family val="2"/>
          </rPr>
          <t>S.M Moghirah Farooqui:</t>
        </r>
        <r>
          <rPr>
            <sz val="9"/>
            <color indexed="81"/>
            <rFont val="Tahoma"/>
            <family val="2"/>
          </rPr>
          <t xml:space="preserve">
Check Formula </t>
        </r>
      </text>
    </comment>
    <comment ref="J26" authorId="0" shapeId="0">
      <text>
        <r>
          <rPr>
            <b/>
            <sz val="9"/>
            <color indexed="81"/>
            <rFont val="Tahoma"/>
            <family val="2"/>
          </rPr>
          <t>S.M Moghirah Farooqui:</t>
        </r>
        <r>
          <rPr>
            <sz val="9"/>
            <color indexed="81"/>
            <rFont val="Tahoma"/>
            <family val="2"/>
          </rPr>
          <t xml:space="preserve">
Check Formula </t>
        </r>
      </text>
    </comment>
    <comment ref="J30" authorId="0" shapeId="0">
      <text>
        <r>
          <rPr>
            <b/>
            <sz val="9"/>
            <color indexed="81"/>
            <rFont val="Tahoma"/>
            <family val="2"/>
          </rPr>
          <t>S.M Moghirah Farooqui:</t>
        </r>
        <r>
          <rPr>
            <sz val="9"/>
            <color indexed="81"/>
            <rFont val="Tahoma"/>
            <family val="2"/>
          </rPr>
          <t xml:space="preserve">
Check Formula </t>
        </r>
      </text>
    </comment>
    <comment ref="J31" authorId="0" shapeId="0">
      <text>
        <r>
          <rPr>
            <b/>
            <sz val="9"/>
            <color indexed="81"/>
            <rFont val="Tahoma"/>
            <family val="2"/>
          </rPr>
          <t>S.M Moghirah Farooqui:</t>
        </r>
        <r>
          <rPr>
            <sz val="9"/>
            <color indexed="81"/>
            <rFont val="Tahoma"/>
            <family val="2"/>
          </rPr>
          <t xml:space="preserve">
Check Formula </t>
        </r>
      </text>
    </comment>
    <comment ref="J32" authorId="0" shapeId="0">
      <text>
        <r>
          <rPr>
            <b/>
            <sz val="9"/>
            <color indexed="81"/>
            <rFont val="Tahoma"/>
            <family val="2"/>
          </rPr>
          <t>S.M Moghirah Farooqui:</t>
        </r>
        <r>
          <rPr>
            <sz val="9"/>
            <color indexed="81"/>
            <rFont val="Tahoma"/>
            <family val="2"/>
          </rPr>
          <t xml:space="preserve">
Check Formula </t>
        </r>
      </text>
    </comment>
    <comment ref="J33" authorId="0" shapeId="0">
      <text>
        <r>
          <rPr>
            <b/>
            <sz val="9"/>
            <color indexed="81"/>
            <rFont val="Tahoma"/>
            <family val="2"/>
          </rPr>
          <t>S.M Moghirah Farooqui:</t>
        </r>
        <r>
          <rPr>
            <sz val="9"/>
            <color indexed="81"/>
            <rFont val="Tahoma"/>
            <family val="2"/>
          </rPr>
          <t xml:space="preserve">
Check Formula </t>
        </r>
      </text>
    </comment>
    <comment ref="J34" authorId="0" shapeId="0">
      <text>
        <r>
          <rPr>
            <b/>
            <sz val="9"/>
            <color indexed="81"/>
            <rFont val="Tahoma"/>
            <family val="2"/>
          </rPr>
          <t>S.M Moghirah Farooqui:</t>
        </r>
        <r>
          <rPr>
            <sz val="9"/>
            <color indexed="81"/>
            <rFont val="Tahoma"/>
            <family val="2"/>
          </rPr>
          <t xml:space="preserve">
Check Formula </t>
        </r>
      </text>
    </comment>
    <comment ref="J37" authorId="0" shapeId="0">
      <text>
        <r>
          <rPr>
            <b/>
            <sz val="9"/>
            <color indexed="81"/>
            <rFont val="Tahoma"/>
            <family val="2"/>
          </rPr>
          <t>S.M Moghirah Farooqui:</t>
        </r>
        <r>
          <rPr>
            <sz val="9"/>
            <color indexed="81"/>
            <rFont val="Tahoma"/>
            <family val="2"/>
          </rPr>
          <t xml:space="preserve">
Check Formula </t>
        </r>
      </text>
    </comment>
  </commentList>
</comments>
</file>

<file path=xl/sharedStrings.xml><?xml version="1.0" encoding="utf-8"?>
<sst xmlns="http://schemas.openxmlformats.org/spreadsheetml/2006/main" count="11017" uniqueCount="3331">
  <si>
    <t>Pak Suzuki Motor Company Limited</t>
  </si>
  <si>
    <t>Carrying value as at June 30, 2011</t>
  </si>
  <si>
    <t>--------------------------- % ---------------------------</t>
  </si>
  <si>
    <t xml:space="preserve">Allied Bank Ltd. </t>
  </si>
  <si>
    <t>United Bank Ltd.</t>
  </si>
  <si>
    <t>Bank Al Falah Ltd.</t>
  </si>
  <si>
    <t xml:space="preserve">Engro Rupiya </t>
  </si>
  <si>
    <t>Market Value as at June 30, 2011</t>
  </si>
  <si>
    <t>DIVIDEND AND PROFIT RECEIVABLE</t>
  </si>
  <si>
    <t>AFF &amp; Co.</t>
  </si>
  <si>
    <t>Initials</t>
  </si>
  <si>
    <t>PERIOD OF ACCOUNT :  As at June 30, 2011</t>
  </si>
  <si>
    <t>Prepared by:__________________________</t>
  </si>
  <si>
    <t>SUBJECT :  INVESTMENTS</t>
  </si>
  <si>
    <t>Reviewed by:__________________________</t>
  </si>
  <si>
    <t>P A R T I C U L A R S</t>
  </si>
  <si>
    <t>SCHEDULE REFERENCE</t>
  </si>
  <si>
    <t>Amount in Thousands</t>
  </si>
  <si>
    <t>Reasons for variation</t>
  </si>
  <si>
    <t>June 20, 2011</t>
  </si>
  <si>
    <t>June 30, 2010</t>
  </si>
  <si>
    <t>Difference</t>
  </si>
  <si>
    <t>%</t>
  </si>
  <si>
    <t>Held For Trading</t>
  </si>
  <si>
    <t>-Investments</t>
  </si>
  <si>
    <t>The Nafa Asset Allocation Fund was established after June 30, 2010.</t>
  </si>
  <si>
    <t>Senior:_____________</t>
  </si>
  <si>
    <t>(initials)</t>
  </si>
  <si>
    <t>Date ___________</t>
  </si>
  <si>
    <t>Reviewed By:___________(Initials)       Date:________________</t>
  </si>
  <si>
    <t xml:space="preserve">                       * Delete words in bracket if not applicable</t>
  </si>
  <si>
    <t>A. F. FERGUSON &amp; Co.</t>
  </si>
  <si>
    <t xml:space="preserve">A member firm of </t>
  </si>
  <si>
    <t>Purpose:</t>
  </si>
  <si>
    <t>Prepare a lead schedule for investments showing the corresponding amounts against each line item;</t>
  </si>
  <si>
    <t xml:space="preserve">        - explain movements and</t>
  </si>
  <si>
    <t>BALANCES WITH BANKS</t>
  </si>
  <si>
    <t>Government securities - at fair value through profit or loss</t>
  </si>
  <si>
    <t>Market value of total investments</t>
  </si>
  <si>
    <t>…………Rupees in 000'………….</t>
  </si>
  <si>
    <t>Profit accrued on savings deposits</t>
  </si>
  <si>
    <t>Dividend receivable</t>
  </si>
  <si>
    <t>Preliminary expenses and floatation costs represent expenditure incurred prior to the commencement of operations of the Fund and are being amortised over a period of five years commencing from August 21, 2010 as per the requirements set out in the Trust Deed.</t>
  </si>
  <si>
    <t>Government securities - Market Treasury Bills</t>
  </si>
  <si>
    <t>Total</t>
  </si>
  <si>
    <t>Step 5:</t>
  </si>
  <si>
    <t>Scanned the general ledger and found no unusual item.</t>
  </si>
  <si>
    <t>Step 6:</t>
  </si>
  <si>
    <t>Result satisfactory</t>
  </si>
  <si>
    <r>
      <t xml:space="preserve">CONCLUSION: </t>
    </r>
    <r>
      <rPr>
        <sz val="10"/>
        <rFont val="Arial"/>
        <family val="2"/>
      </rPr>
      <t>Based on the results of our tests of recorded balances, as outlined in the audit programme indicating the work performed, I conclude that the above balances are fairly stated in relation to the Financial Statements taken as a whole.</t>
    </r>
  </si>
  <si>
    <t>ASSETS</t>
  </si>
  <si>
    <t>Note</t>
  </si>
  <si>
    <t>Rupees in '000</t>
  </si>
  <si>
    <t>Total assets</t>
  </si>
  <si>
    <t>LIABILITIES</t>
  </si>
  <si>
    <t>Accrued expenses and other liabilities</t>
  </si>
  <si>
    <t>Total liabilities</t>
  </si>
  <si>
    <t>NET ASSETS</t>
  </si>
  <si>
    <t>Rupees</t>
  </si>
  <si>
    <t>INCOME</t>
  </si>
  <si>
    <t>EXPENSES</t>
  </si>
  <si>
    <t>Securities transaction cost</t>
  </si>
  <si>
    <t>Auditors' remuneration</t>
  </si>
  <si>
    <t>Taxation</t>
  </si>
  <si>
    <t>Net income for the period after taxation</t>
  </si>
  <si>
    <t>Undistributed income carried forward</t>
  </si>
  <si>
    <t>Net assets at the end of the period</t>
  </si>
  <si>
    <t>LEGAL STATUS AND NATURE OF BUSINESS</t>
  </si>
  <si>
    <t>BASIS OF PREPARATION</t>
  </si>
  <si>
    <t>Statement of Compliance</t>
  </si>
  <si>
    <t>a)</t>
  </si>
  <si>
    <t>b)</t>
  </si>
  <si>
    <t>Available for sale</t>
  </si>
  <si>
    <t>Loans and receivables</t>
  </si>
  <si>
    <t>Financial liabilities</t>
  </si>
  <si>
    <t>Balance as at June 30, 2011</t>
  </si>
  <si>
    <t>NAFA Asset Allocation Fund</t>
  </si>
  <si>
    <t>For the year ended June 30, 2011</t>
  </si>
  <si>
    <t>Credit Rating</t>
  </si>
  <si>
    <t>S.No.</t>
  </si>
  <si>
    <t>Name of securities</t>
  </si>
  <si>
    <t>No. of TFCs as on June 30, 2011</t>
  </si>
  <si>
    <t>Market value</t>
  </si>
  <si>
    <t>Credit Rating as per MUFAP</t>
  </si>
  <si>
    <t>Net unrealised appreciation in the value of investments classified as</t>
  </si>
  <si>
    <t>Sensitivity analysis for fixed rate instruments</t>
  </si>
  <si>
    <t>Fair value is the amount for which an asset could be exchanged, or liability settled, between knowledgeable willing parties in an arm's length transaction. Consequently, differences can arise between carrying values and the fair value estimates.</t>
  </si>
  <si>
    <t>SECP ANNUAL FEE</t>
  </si>
  <si>
    <t>AUDIT FEE</t>
  </si>
  <si>
    <t>FEDERAL EXCISE DUTY</t>
  </si>
  <si>
    <t>CDC</t>
  </si>
  <si>
    <t>TRUSTEE REMUNERATION</t>
  </si>
  <si>
    <t>MANAGEMENT COMPANY REMUNERATION</t>
  </si>
  <si>
    <t>CGT PAYABLE</t>
  </si>
  <si>
    <t>W.H.TAX PAYABLE-OTHERS</t>
  </si>
  <si>
    <t>WWF - PROVISION LIABILITY</t>
  </si>
  <si>
    <t>PAYABLE AGAINST PRINTING CHARGES</t>
  </si>
  <si>
    <t>BANK CHARGES PAYABLE</t>
  </si>
  <si>
    <t>PAYABLE TO MANAGEMENT COMPANY</t>
  </si>
  <si>
    <t>TRANSFER LOAD PAYABLE</t>
  </si>
  <si>
    <t>SALES LOAD PAYABLE TO MANAGEMENT COMPANY</t>
  </si>
  <si>
    <t>AUDIT FEE PAYABLE</t>
  </si>
  <si>
    <t>RECEIVABLE - TRANSFER SALES</t>
  </si>
  <si>
    <t>OTHER RECEIVABLE</t>
  </si>
  <si>
    <t>MTM CARRYING VALUE</t>
  </si>
  <si>
    <t>NCSS SECURITY DEPOSIT</t>
  </si>
  <si>
    <t>CDC SECURITY DEPOSIT</t>
  </si>
  <si>
    <t>FORMATION COST</t>
  </si>
  <si>
    <t>Credit</t>
  </si>
  <si>
    <t>Debit</t>
  </si>
  <si>
    <t>Description</t>
  </si>
  <si>
    <t>NAFA ASSET ALLOCATION FUND</t>
  </si>
  <si>
    <t>Investments</t>
  </si>
  <si>
    <t>Payable to the Management Company</t>
  </si>
  <si>
    <t>Payable to the Securities and Exchange Commission of Pakistan</t>
  </si>
  <si>
    <t>Dividend income</t>
  </si>
  <si>
    <t>Name of the investee company</t>
  </si>
  <si>
    <t>Number of shares</t>
  </si>
  <si>
    <t>Investment as a percentage of</t>
  </si>
  <si>
    <t>Bonus / Right Issue</t>
  </si>
  <si>
    <t>Sales during the period</t>
  </si>
  <si>
    <t>Net assets</t>
  </si>
  <si>
    <t>Paid up capital of the investee company</t>
  </si>
  <si>
    <t>Pakistan Oilfields Limited</t>
  </si>
  <si>
    <t>Pakistan Petroleum Limited</t>
  </si>
  <si>
    <t>Lucky Cement Limited</t>
  </si>
  <si>
    <t>The Hub Power Company Limited</t>
  </si>
  <si>
    <t>-</t>
  </si>
  <si>
    <t>Issue date</t>
  </si>
  <si>
    <t>Tenor</t>
  </si>
  <si>
    <t>Purchases during the period</t>
  </si>
  <si>
    <t>Sales / matured during the period</t>
  </si>
  <si>
    <t>3 months</t>
  </si>
  <si>
    <t>Less: Carrying value of investments</t>
  </si>
  <si>
    <t>PRELIMINARY EXPENSES AND FLOATATION COSTS</t>
  </si>
  <si>
    <t>Preliminary expenses and floatation costs incurred</t>
  </si>
  <si>
    <t>Less: Amortisation during the period</t>
  </si>
  <si>
    <t>CONTINGENCIES AND COMMITMENTS</t>
  </si>
  <si>
    <t>DATE OF AUTHORISATION FOR ISSUE</t>
  </si>
  <si>
    <t>GENERAL</t>
  </si>
  <si>
    <t>Figures have been rounded off to the nearest thousand rupees.</t>
  </si>
  <si>
    <t>EQUITY INVESTMENTS</t>
  </si>
  <si>
    <t>DIVIDEND INCOME ON EQUITY SECURITIES</t>
  </si>
  <si>
    <t>BANK CHARGES</t>
  </si>
  <si>
    <t>LEGAL AND PROFESSIONAL CHARGES</t>
  </si>
  <si>
    <t>LAHORE STOCK EXCHANGE (GUARANTEE) LTD.</t>
  </si>
  <si>
    <t>The Board of Directors of the Management Company in their meeting held on July 04, 2011 have approved a final distribution for the period ended June 30, 2011 at the rate of 10.50%. The financial statements for the period ended June 30, 2011 do not include the effect of this final distribution which will be accounted for in the financial statements for the year ending June 30, 2012.</t>
  </si>
  <si>
    <t>For NBP Fullerton Asset Management Limited</t>
  </si>
  <si>
    <t>(Management Company)</t>
  </si>
  <si>
    <t xml:space="preserve">                                Chief Executive                                                                                                  Director</t>
  </si>
  <si>
    <t>S. No</t>
  </si>
  <si>
    <t>Name</t>
  </si>
  <si>
    <t>MBA / Doctorate in Business Administration / CFA</t>
  </si>
  <si>
    <t>Payable against redemption of units</t>
  </si>
  <si>
    <t>Sensitivity analysis for variable rate instruments</t>
  </si>
  <si>
    <t>Security deposit with National Clearing Company of Pakistan Limited</t>
  </si>
  <si>
    <t>NET ASSET VALUE PER UNIT</t>
  </si>
  <si>
    <t>Settlement and bank charges</t>
  </si>
  <si>
    <t>NRFSF is an open-ended mutual fund and is listed on the Lahore Stock Exchange. Units are offered for public subscription on a continuous basis. The units of the Fund can be transferred to / from the Funds managed by the Management Company and can also be redeemed by surrendering to the Fund. The units are listed on the Lahore Stock Exchange. The Fund is categorized as an Open-End Islamic "Income Scheme" as per the criteria laid down by Securities and Exchange Commission of Pakistan for categorization of Collective Investment Schemes (CIS).</t>
  </si>
  <si>
    <t>Market value of investments</t>
  </si>
  <si>
    <t>CVT EXPENSE</t>
  </si>
  <si>
    <t>INVESTMENT IN EQUITY SECURITIES</t>
  </si>
  <si>
    <t>ISSUED IN CASH</t>
  </si>
  <si>
    <t>ELEMENT OF INCOME</t>
  </si>
  <si>
    <t>UNAPPROPRIATED INCOME</t>
  </si>
  <si>
    <t>PAYABLE AGAINST REDEMPTION OF UNITS</t>
  </si>
  <si>
    <t>Net Asset</t>
  </si>
  <si>
    <t>Investment</t>
  </si>
  <si>
    <t>As at June 30, 2011</t>
  </si>
  <si>
    <t>Pakistan State Oil Company Limited</t>
  </si>
  <si>
    <t>Maple Leaf Cement Factory Limited</t>
  </si>
  <si>
    <t>%age of Total Investment</t>
  </si>
  <si>
    <t>AA</t>
  </si>
  <si>
    <t>AA-</t>
  </si>
  <si>
    <t>Grand Total</t>
  </si>
  <si>
    <t>Credit Rating of  AA</t>
  </si>
  <si>
    <t>Credit Rating of  AA-</t>
  </si>
  <si>
    <t xml:space="preserve">   </t>
  </si>
  <si>
    <t>Underlying the definition of fair value is the presumption that the Fund is a going concern without any intention or requirement to curtail materially the scale of its operations or to undertake a transaction on adverse terms.</t>
  </si>
  <si>
    <t>NON-ADJUSTING EVENT AFTER THE BALANCE SHEET DATE</t>
  </si>
  <si>
    <t>quoted prices (unadjusted) in active markets for identical assets or liabilities (level 1)</t>
  </si>
  <si>
    <t>Kot Addu Power Company Limited</t>
  </si>
  <si>
    <t>Face value</t>
  </si>
  <si>
    <t>12 months</t>
  </si>
  <si>
    <t>6 months</t>
  </si>
  <si>
    <t>Qualification</t>
  </si>
  <si>
    <t>Experience in years</t>
  </si>
  <si>
    <t>Dr. Amjad Waheed</t>
  </si>
  <si>
    <t>TOP TEN BROKERS / DEALERS BY PERCENTAGE OF COMMISSION PAID</t>
  </si>
  <si>
    <t>PATTERN OF UNIT HOLDING</t>
  </si>
  <si>
    <t>Category</t>
  </si>
  <si>
    <t>Number of unit holders</t>
  </si>
  <si>
    <t>Investment 
amount</t>
  </si>
  <si>
    <t>Percentage investment</t>
  </si>
  <si>
    <t>FINANCIAL INSTRUMENTS BY CATEGORY</t>
  </si>
  <si>
    <t>Balances with banks</t>
  </si>
  <si>
    <t>Receivable against sale of investments</t>
  </si>
  <si>
    <t>FINANCIAL RISK MANAGEMENT</t>
  </si>
  <si>
    <t>The Fund's activities expose it to a variety of financial risks: market risk, credit risk and liquidity risk.</t>
  </si>
  <si>
    <t>Market risk</t>
  </si>
  <si>
    <t>Currency risk</t>
  </si>
  <si>
    <t>Upto three months</t>
  </si>
  <si>
    <t>More than three months and upto one year</t>
  </si>
  <si>
    <t>More than 
one year</t>
  </si>
  <si>
    <t>----------------------------- (Rupees in '000) -----------------------------</t>
  </si>
  <si>
    <t>On-balance sheet financial instruments</t>
  </si>
  <si>
    <t>Off-balance sheet financial instruments</t>
  </si>
  <si>
    <t>Price risk</t>
  </si>
  <si>
    <t>inputs other than quoted prices included within level 1 that are observable for the asset or liability, whether directly (i.e. as prices) or indirectly (i.e. derived from prices) (level 2) ; and</t>
  </si>
  <si>
    <t>inputs for the asset or liability that are not based on observable market data (unobservable inputs) (level 3)</t>
  </si>
  <si>
    <t xml:space="preserve">Investments carried at fair value are categorised as follows: </t>
  </si>
  <si>
    <t>Level 1</t>
  </si>
  <si>
    <t>Level 2</t>
  </si>
  <si>
    <t>Level 3</t>
  </si>
  <si>
    <t>------------------------------------------------------------ (Rupees in '000) ------------------------------------------------------------</t>
  </si>
  <si>
    <t>Investment in securities - at fair value through profit or loss</t>
  </si>
  <si>
    <t>These financial statements were authorised for issue by the Board of Directors of the Management Company on _______________ .</t>
  </si>
  <si>
    <t>A1+</t>
  </si>
  <si>
    <t>BALANCES WITH BANKS RATINGS</t>
  </si>
  <si>
    <t>PURPOSE:TO DISCLOSE RATING WISE PERCENTAGE OF BANK BALANCES</t>
  </si>
  <si>
    <t>SOURCE:SBP RATING OF BANK ACCOUNTS</t>
  </si>
  <si>
    <t>NATURE:TEST OF DETAILS</t>
  </si>
  <si>
    <t>EXTENT:100%</t>
  </si>
  <si>
    <t>Amount in Rs</t>
  </si>
  <si>
    <t>Amount in Rs(000)'</t>
  </si>
  <si>
    <t>A-1+</t>
  </si>
  <si>
    <t>Rating wise percentage</t>
  </si>
  <si>
    <t>Payable on redemption of units</t>
  </si>
  <si>
    <t>Current accounts</t>
  </si>
  <si>
    <t>The Fund records that portion of the net element of income / (loss) and capital gains / (losses) relating to units issued and redeemed during an accounting period which pertains to income / (losses) that form part of the Unit Holders' Funds in a separate reserve account and any amount remaining in this reserve account at the end of an accounting period (whether gain or loss) is included in the amount available for distribution to the unit holders. The remaining portion of the net element of income / (loss) and capital gains / (losses) relating to units issued and redeemed during an accounting period is recognised in the Income Statement.</t>
  </si>
  <si>
    <t>Percentage</t>
  </si>
  <si>
    <t>The Fund's objectives when managing unit holders' fund are to safeguard its ability to continue as a going concern so that it can continue to provide returns to unit holders and to maintain a strong base of assets to meet unexpected losses or opportunities.</t>
  </si>
  <si>
    <t>BANK BALANCES</t>
  </si>
  <si>
    <t>'at fair value through profit or loss'</t>
  </si>
  <si>
    <t>INVESTMENTS</t>
  </si>
  <si>
    <t>Market Treasury Bills</t>
  </si>
  <si>
    <t>DEPOSITS, PREPAYMENTS AND OTHER RECEIVABLES</t>
  </si>
  <si>
    <t xml:space="preserve">Credit risk   </t>
  </si>
  <si>
    <t xml:space="preserve">  </t>
  </si>
  <si>
    <t>Concentration of credit risk</t>
  </si>
  <si>
    <t>Liquidity risk</t>
  </si>
  <si>
    <t>Over three months and upto one year</t>
  </si>
  <si>
    <t xml:space="preserve">Over one year  </t>
  </si>
  <si>
    <t>UNIT HOLDERS' FUND RISK MANAGEMENT</t>
  </si>
  <si>
    <t>The Fund’s policy is to enter into financial contracts in accordance with the internal risk management policies and investment guidelines approved by the Investment Committee. The Fund does not expect to incur material credit losses on its financial assets.</t>
  </si>
  <si>
    <t xml:space="preserve">The Unit Holders' Fund is represented by redeemable units. These units are entitled to distributions and to payment of a proportionate share, based on the Fund's net asset value per unit on the redemption date. The relevant movements are shown on the 'Statement of Movement in Unit holders' Fund'. </t>
  </si>
  <si>
    <t>FAIR VALUE OF FINANCIAL INSTRUMENTS</t>
  </si>
  <si>
    <t>Security deposit with Central Depository Company of Pakistan Limited</t>
  </si>
  <si>
    <t xml:space="preserve">        - investigate any unexpected or unusual relationship between the current and prior period.</t>
  </si>
  <si>
    <t>Source:</t>
  </si>
  <si>
    <t xml:space="preserve">- General Ledger </t>
  </si>
  <si>
    <t>- System generated NAV report</t>
  </si>
  <si>
    <t>Details of work to be done in this regard are as follows:</t>
  </si>
  <si>
    <t>1) Obtain NAV statement as on June 30, 2011.</t>
  </si>
  <si>
    <t>2) Trace account balances to general ledger and last year audited accounts.</t>
  </si>
  <si>
    <t xml:space="preserve">3) Ensure mathematical accuracy through casts and calculations. </t>
  </si>
  <si>
    <t xml:space="preserve">4) Prepare a lead schedule </t>
  </si>
  <si>
    <t xml:space="preserve">5) Scan for unusual items </t>
  </si>
  <si>
    <t>6) Evaluate and conclude.</t>
  </si>
  <si>
    <t>Results:</t>
  </si>
  <si>
    <t>Steps 1-4 :</t>
  </si>
  <si>
    <t>Particulars</t>
  </si>
  <si>
    <t>Rs. In '000</t>
  </si>
  <si>
    <t>Investments at fair value through profit and loss</t>
  </si>
  <si>
    <t>Equity securities - listed</t>
  </si>
  <si>
    <t>Term finance certificates</t>
  </si>
  <si>
    <t>June 30, 2014</t>
  </si>
  <si>
    <t>Receivable from Management Company</t>
  </si>
  <si>
    <t>Advance against SPO-PPL</t>
  </si>
  <si>
    <t>Others</t>
  </si>
  <si>
    <t>------------------------------------------------------------ As at June 30, 2014 ------------------------------------------------------------</t>
  </si>
  <si>
    <t>CFA</t>
  </si>
  <si>
    <t>CFA / ACCA</t>
  </si>
  <si>
    <t>Prepayments and deposits</t>
  </si>
  <si>
    <t>HBL FINLAY HOUSE BRANCH</t>
  </si>
  <si>
    <t>UBL AMEEN M.A.JINNAH (CDC-NEW)</t>
  </si>
  <si>
    <t>UBL AMEEN M.A. JINNAH (CDC - NEW)</t>
  </si>
  <si>
    <t>Unit Holders' Fund</t>
  </si>
  <si>
    <t>UHF</t>
  </si>
  <si>
    <t>REMUNERATION PAYABLE TO NAFA</t>
  </si>
  <si>
    <t>Accruals, provisions &amp; other liabilities</t>
  </si>
  <si>
    <t>SALES TAX PAYABLE TO MANAGEMENT COMPANY</t>
  </si>
  <si>
    <t>FED 16% PAYABLE TO MANAGEMENT COMPANY</t>
  </si>
  <si>
    <t>SALES TAX PAYABLE ON SALES LOAD</t>
  </si>
  <si>
    <t>FED PAYABLE ON SALES LOAD</t>
  </si>
  <si>
    <t>REMUNERATION PAYABLE TO TRUSTEE - CDC</t>
  </si>
  <si>
    <t>SETTLEMENT CHARGES - CDC</t>
  </si>
  <si>
    <t>Expenses</t>
  </si>
  <si>
    <t>TRUSTEE REMUNERATION - CDC</t>
  </si>
  <si>
    <t>PRINTING EXPENSES</t>
  </si>
  <si>
    <t>SALES TAX EXPENSE ON MANAGEMENT FEE</t>
  </si>
  <si>
    <t>FED 16% ON MANAGEMENT FEE</t>
  </si>
  <si>
    <t>PROVISION FOR WORKER WELFARE FUND</t>
  </si>
  <si>
    <t>Unrealised gain / (loss) on revaluation of investments</t>
  </si>
  <si>
    <t>Interest income</t>
  </si>
  <si>
    <t>Total investments</t>
  </si>
  <si>
    <t>NAFA ISLAMIC PRINCIPAL PROTECTED FUND - II</t>
  </si>
  <si>
    <t>Cash and cash equivalents at the end of the period</t>
  </si>
  <si>
    <t>-------------------------------------------- (Rupees in '000) --------------------------------------------</t>
  </si>
  <si>
    <t>Profit receivable</t>
  </si>
  <si>
    <t>Market risk is the risk that the fair value or the future cash flows of a financial instrument may fluctuate as a result of changes in market  prices.</t>
  </si>
  <si>
    <t>The analysis below summarises the credit quality of the Fund's financial assets:</t>
  </si>
  <si>
    <t>The table below indicates the Fund's financial liabilities into relevant maturity groupings based on the remaining period at the reporting date to the contractual maturity date. The amounts in the table are the contractual undiscounted cash flows.</t>
  </si>
  <si>
    <t>Year ended June 30,2014</t>
  </si>
  <si>
    <t>MEEZAN BANK LIMITED</t>
  </si>
  <si>
    <t>Short term rating</t>
  </si>
  <si>
    <t>Advances and deposits</t>
  </si>
  <si>
    <t>Listed equity securities</t>
  </si>
  <si>
    <t>Market value as a percentage of</t>
  </si>
  <si>
    <t>The Fund has no restrictions on the subscription and redemption of units. As required under the NBFC Regulations, every open end scheme shall maintain fund size (i.e. net assets of the Fund) of Rs 100 million at all times during the life of the scheme. The Fund has maintained and complied with the requirement of minimum fund size during the current period.</t>
  </si>
  <si>
    <t>CFA / MBA Finance</t>
  </si>
  <si>
    <t>At fair value through profit or loss</t>
  </si>
  <si>
    <t>value through profit or loss</t>
  </si>
  <si>
    <t xml:space="preserve">Investment in listed equity securities - at fair </t>
  </si>
  <si>
    <t>NUMBER OF UNITS IN ISSUE</t>
  </si>
  <si>
    <t>Payable to the Central Depository Company of Pakistan Limited - Trustee</t>
  </si>
  <si>
    <t>------------------------------------------------------------ As at June 30, 2015 ------------------------------------------------------------</t>
  </si>
  <si>
    <t>----------------------------------------- June 30, 2015 -----------------------------------------</t>
  </si>
  <si>
    <t>As at June 30,2015</t>
  </si>
  <si>
    <t>SINDH BANK LTD - SAADAT</t>
  </si>
  <si>
    <t>Dividend Receivable</t>
  </si>
  <si>
    <t>Balances with banks (PLS)</t>
  </si>
  <si>
    <t>Balances with banks (Current)</t>
  </si>
  <si>
    <t>LEGAL FEE</t>
  </si>
  <si>
    <t>HARAM INCOME DIST. PAYABLE TO CHARITABLE INS</t>
  </si>
  <si>
    <t>W.H.TAX PAYABLE-DIVIDEND</t>
  </si>
  <si>
    <t>INVESTMENT IN EQUITY SECURITIES (BROKERAGE)</t>
  </si>
  <si>
    <t>Dividend Income</t>
  </si>
  <si>
    <t>Element of income</t>
  </si>
  <si>
    <t xml:space="preserve">Attock Petroleum Limited </t>
  </si>
  <si>
    <t>Shell Pakistan Limited</t>
  </si>
  <si>
    <t>As at June 30, 2015</t>
  </si>
  <si>
    <t>Engro Corporation Limited</t>
  </si>
  <si>
    <t>Fatima Fertilizer Company Limited</t>
  </si>
  <si>
    <t>Kohat Cement Company Limited</t>
  </si>
  <si>
    <t>Indus Motor Company Limited</t>
  </si>
  <si>
    <t>Kohinoor Textile Mills Limited</t>
  </si>
  <si>
    <t>Ferozsons Laboratories Limited</t>
  </si>
  <si>
    <t>Avanceon Limited</t>
  </si>
  <si>
    <t>Lalpir Power Limited</t>
  </si>
  <si>
    <t>Meezan Bank Limited</t>
  </si>
  <si>
    <t>Carrying value as at June 30, 2015</t>
  </si>
  <si>
    <t>Units as of June 30, 2015</t>
  </si>
  <si>
    <t>Dividend and profit receivable</t>
  </si>
  <si>
    <t>For the Year ended June 30, 2015</t>
  </si>
  <si>
    <t>------------------------------------------2015------------------------------------------</t>
  </si>
  <si>
    <t>Elixir Securities Pakistan (Pvt) Limited</t>
  </si>
  <si>
    <t>Arif Habib Securities Limited</t>
  </si>
  <si>
    <t>Number of meetings</t>
  </si>
  <si>
    <t>Meetings not attended</t>
  </si>
  <si>
    <t>Held</t>
  </si>
  <si>
    <t>Attended</t>
  </si>
  <si>
    <t>Leave granted</t>
  </si>
  <si>
    <t>Mr. Koh Boon San</t>
  </si>
  <si>
    <t>Mr. Shehryar Faruque</t>
  </si>
  <si>
    <t>YEAR ENDED JUNE 30, 2015</t>
  </si>
  <si>
    <t>TIMING:AS AT JUNE 30,2015</t>
  </si>
  <si>
    <t>BANK AL FALAH LIMITED KSE BRANCH</t>
  </si>
  <si>
    <t>SINDH BANK SAADAT</t>
  </si>
  <si>
    <t>Rating Agency</t>
  </si>
  <si>
    <t>JCR-VIS</t>
  </si>
  <si>
    <t>PACRA</t>
  </si>
  <si>
    <t>%  of Balances</t>
  </si>
  <si>
    <t>BURJ BANK LTD.MAIN -CHUNDRIGAR (CDC NEW)</t>
  </si>
  <si>
    <t>BANK ISLAMI PAKISTAN LTD</t>
  </si>
  <si>
    <t>SILK BANK LTD - EMAAN ISLAMIC</t>
  </si>
  <si>
    <t>MEEZAN BANK - FTC CDC NEW</t>
  </si>
  <si>
    <t>BANKISLAMI PAKISTAN LTD - KSE</t>
  </si>
  <si>
    <t>SUMMIT BANK LTD - ATM CURRENT</t>
  </si>
  <si>
    <t>BANK ALFALAH KSE BRANCH (CDC NEW)</t>
  </si>
  <si>
    <t>NIB BANK LTD - CURRENT CDC NEW</t>
  </si>
  <si>
    <t>NATIONAL BANK - CURRENT A/C KSE</t>
  </si>
  <si>
    <t>OTHER PAYABLE TO MANAGEMENT COMPANY</t>
  </si>
  <si>
    <t>Unrealised gain / (loss) on sale of investments</t>
  </si>
  <si>
    <t>Receivable against transfer of units</t>
  </si>
  <si>
    <t>Tariq Glass Limited</t>
  </si>
  <si>
    <t>Total as at June 30, 2015</t>
  </si>
  <si>
    <t>Units at beginning</t>
  </si>
  <si>
    <t>Net decrease in units</t>
  </si>
  <si>
    <t>The objective of the Fund is to provide investors with long term capital growth from an actively managed portfolio of Shariah Compliant listed equities.</t>
  </si>
  <si>
    <t>Insurance Companies</t>
  </si>
  <si>
    <t>Retirement Funds</t>
  </si>
  <si>
    <t>Mr. Nausherwan Adil</t>
  </si>
  <si>
    <t>Mr. Aamir Sattar</t>
  </si>
  <si>
    <t>Mr. Abdul Hadi Palekar</t>
  </si>
  <si>
    <t>Mr. Wah Geok Sum*</t>
  </si>
  <si>
    <t>Mr. Nigel Poh Cheng**</t>
  </si>
  <si>
    <t>Mr. Kamal Amir Chinoy</t>
  </si>
  <si>
    <t>Dr Amjad Waheed</t>
  </si>
  <si>
    <t>Summit Bank Limited</t>
  </si>
  <si>
    <t>Al Habib Capital Markets (Pvt) Limited</t>
  </si>
  <si>
    <t>June 30, 2015</t>
  </si>
  <si>
    <t>4.5 - 10.25</t>
  </si>
  <si>
    <t>Habib Bank Limited</t>
  </si>
  <si>
    <t>UBL Bank Limited</t>
  </si>
  <si>
    <t>Bank Alfalah Limited</t>
  </si>
  <si>
    <t>NIB Bank Limited</t>
  </si>
  <si>
    <t>National Bank Limited</t>
  </si>
  <si>
    <t>Rating agency</t>
  </si>
  <si>
    <t>Latest available published rating</t>
  </si>
  <si>
    <t>NON-ADJUSTING EVENT AFTER JUNE 30, 2015</t>
  </si>
  <si>
    <t>Engagement:</t>
  </si>
  <si>
    <t>Period end date:</t>
  </si>
  <si>
    <t>Audit unit:</t>
  </si>
  <si>
    <t>Risk:</t>
  </si>
  <si>
    <t>Risk of fraud in revenue recognition - Element of Income / (loss)</t>
  </si>
  <si>
    <t>FSLI:</t>
  </si>
  <si>
    <t>Element of income/(loss)</t>
  </si>
  <si>
    <t>EGA Title</t>
  </si>
  <si>
    <t>Test element of income / (loss) for the year</t>
  </si>
  <si>
    <t>Ref. no.:</t>
  </si>
  <si>
    <t>As per AFF</t>
  </si>
  <si>
    <t>As per client</t>
  </si>
  <si>
    <t>Units as at 30 June 2014</t>
  </si>
  <si>
    <t>Units issued</t>
  </si>
  <si>
    <t>Units redeemed</t>
  </si>
  <si>
    <t>Units as at 31 March 31, 2015</t>
  </si>
  <si>
    <t>Ex Nav</t>
  </si>
  <si>
    <t>Total value on ex nav</t>
  </si>
  <si>
    <t>Amount issued</t>
  </si>
  <si>
    <t>Amount redeemed</t>
  </si>
  <si>
    <t>Net amount</t>
  </si>
  <si>
    <t>Units as at 31 March 2015</t>
  </si>
  <si>
    <t>Units as at 30 June 2015</t>
  </si>
  <si>
    <t>Total element</t>
  </si>
  <si>
    <t>NAFA Islamic Stock  Fund</t>
  </si>
  <si>
    <t>NAFA Islamic Stock Fund 2015 - HQ</t>
  </si>
  <si>
    <t>Issue of units</t>
  </si>
  <si>
    <t>Redemption of units</t>
  </si>
  <si>
    <t>No. of units</t>
  </si>
  <si>
    <t>Working of Element</t>
  </si>
  <si>
    <t>Opening units</t>
  </si>
  <si>
    <t>Closing units</t>
  </si>
  <si>
    <t>Net units issued during the year</t>
  </si>
  <si>
    <t>Ex NAV</t>
  </si>
  <si>
    <t>Element transferred to distribution statement</t>
  </si>
  <si>
    <t>Element transferred to Income statement</t>
  </si>
  <si>
    <t>Element of Income Total</t>
  </si>
  <si>
    <t>Financial Assets</t>
  </si>
  <si>
    <t>25.1.2</t>
  </si>
  <si>
    <t>25.1.3</t>
  </si>
  <si>
    <t>25.2.1</t>
  </si>
  <si>
    <t>25.2.2</t>
  </si>
  <si>
    <t xml:space="preserve">In accordance with the risk management policies stated in note 25, the Fund endeavours to invest the subscriptions received in appropriate investments while maintaining sufficient liquidity to meet redemptions, such liquidity being augmented by short-term borrowings or disposal of investments where necessary. </t>
  </si>
  <si>
    <t>Concordia Securities (Pvt) Limited</t>
  </si>
  <si>
    <t>Balance brought forward</t>
  </si>
  <si>
    <t>Balance carried forward</t>
  </si>
  <si>
    <t xml:space="preserve">Payable to the Central Depository Company </t>
  </si>
  <si>
    <t xml:space="preserve">    of Pakistan Limited - Trustee</t>
  </si>
  <si>
    <t>Name of Bank</t>
  </si>
  <si>
    <t>Payable against redemption of Units</t>
  </si>
  <si>
    <t>Receivable against isue of units</t>
  </si>
  <si>
    <t>NAFA Government Securities Liquid Fund</t>
  </si>
  <si>
    <t>NAFA Islamic Asset Allocation Fund</t>
  </si>
  <si>
    <t>NAFA Islamic Aggressive Income Fund</t>
  </si>
  <si>
    <t>NAFA Income Opportunity Fund</t>
  </si>
  <si>
    <t>NAFA Money Market Fund</t>
  </si>
  <si>
    <t>NAFA Riba Free Savings Fund</t>
  </si>
  <si>
    <t>NAFA Stock Fund</t>
  </si>
  <si>
    <t>NAFA Islamic Stock Fund</t>
  </si>
  <si>
    <t>NAFA Islamic Stock Fund - HQ</t>
  </si>
  <si>
    <t xml:space="preserve">ASSETS </t>
  </si>
  <si>
    <t>Total expenses</t>
  </si>
  <si>
    <t>Net assets at the beginning of the period</t>
  </si>
  <si>
    <t>NAFA Islamic Stock Fund (the Fund) was established under a Trust Deed executed between NBP Fullerton Asset Management Limited (NAFA) as the Management Company and Central Depository Company of Pakistan Limited (CDC) as the Trustee. The Trust Deed was executed on November 18, 2014 and was approved by the Securities and Exchange Commission of Pakistan (SECP) on November 21, 2014 in accordance with the Non-Banking Finance Companies and Notified Entities Regulations, 2008 (the NBFC Regulations)</t>
  </si>
  <si>
    <t>The Management Company of the Fund has been licensed to act as an Asset Management Company under the NBFC Rules through a certificate of registration issued by the SECP. The registered office of  the Management Company is situated at 7th Floor, Clifton Diamond Building, Block No. 4, Scheme No. 5, Clifton, Karachi. The Management Company is a member of the Mutual Funds Association of Pakistan (MUFAP).</t>
  </si>
  <si>
    <t>The core objective of the Fund is to provide investors with long term capital growth from an actively managed portfolio of shariah compliant listed equities.</t>
  </si>
  <si>
    <t>The Pakistan Credit Rating Agency Limited (PACRA) has assigned an asset manager rating of AM2+ to the Management Company. The Fund has not yet been rated.</t>
  </si>
  <si>
    <t>Title to the assets of the Fund is held in the name of Central Depository Company of Pakistan Limited (CDC) as the Trustee of the Fund.</t>
  </si>
  <si>
    <t>- Listed equity securities</t>
  </si>
  <si>
    <t>OIL &amp; GAS</t>
  </si>
  <si>
    <t>Attock Refinery Limited</t>
  </si>
  <si>
    <t>National Refinery Limited</t>
  </si>
  <si>
    <t>Hascol Petroleum Limited</t>
  </si>
  <si>
    <t>CHEMICALS</t>
  </si>
  <si>
    <t>Ittehad Chemicals Limited</t>
  </si>
  <si>
    <t>FERTILIZERS</t>
  </si>
  <si>
    <t>Engro Fertilizers Limited</t>
  </si>
  <si>
    <t>Dawood Hercules Corporation Limited</t>
  </si>
  <si>
    <t>Fauji Fertilizer Company Limited</t>
  </si>
  <si>
    <t>CONSTRUCTION AND MATERIALS</t>
  </si>
  <si>
    <t>D.G. Khan Cement Company Limited</t>
  </si>
  <si>
    <t>Pioneer Cement Limited</t>
  </si>
  <si>
    <t>Attock Cement Pakistan Limited</t>
  </si>
  <si>
    <t>FECTO Cement Limited</t>
  </si>
  <si>
    <t>GENERAL INDUSTRIES</t>
  </si>
  <si>
    <t>AUTOMOBILES AND PARTS</t>
  </si>
  <si>
    <t>Baluchistan Wheels Limited</t>
  </si>
  <si>
    <t>Ghandhara Nissan Limited</t>
  </si>
  <si>
    <t>Sazgar Engineering Works Limited</t>
  </si>
  <si>
    <t>Honda Atlas Cars (Pakistan) Limited</t>
  </si>
  <si>
    <t>GLASS AND CERAMICS</t>
  </si>
  <si>
    <t>CABLE AND ELECTRIC GOODS</t>
  </si>
  <si>
    <t>Pak Elektron Limited</t>
  </si>
  <si>
    <t>ENGINEERING</t>
  </si>
  <si>
    <t>PERSONAL GOODS</t>
  </si>
  <si>
    <t>PHARMA AND BIOTECH</t>
  </si>
  <si>
    <t>Abbott Lab (Pakistan) Limited</t>
  </si>
  <si>
    <t>The Searle Company Limited</t>
  </si>
  <si>
    <t>TECHNOLOGY AND COMMUNICATION</t>
  </si>
  <si>
    <t>ELECTRICITY</t>
  </si>
  <si>
    <t>Pakgen Power Limited</t>
  </si>
  <si>
    <t>COMMERCIAL BANKS</t>
  </si>
  <si>
    <t>MULTIUTILITIES (GAS AND WATER)</t>
  </si>
  <si>
    <t>INDUSTRIAL METALS AND MINING</t>
  </si>
  <si>
    <t>Crescent Steel &amp; Allied Products Limited</t>
  </si>
  <si>
    <t>Security deposit</t>
  </si>
  <si>
    <t>Taurus Securities Limited</t>
  </si>
  <si>
    <t>BMA Capital Management Limited</t>
  </si>
  <si>
    <t>Aqeel Karim Dehdi Securities (Pvt) Limited</t>
  </si>
  <si>
    <t>Associated companies / Directors</t>
  </si>
  <si>
    <t>Name of Director</t>
  </si>
  <si>
    <t>At fair value through profit or loss'</t>
  </si>
  <si>
    <t>Financial Liabilities</t>
  </si>
  <si>
    <t>Currency risk is the risk that the fair value or future cash flows of a financial instrument will fluctuate as a result of  changes in foreign exchange rates. At present, the Fund is not exposed to currency risk as all the transactions are carried out in Pak Rupees.</t>
  </si>
  <si>
    <t xml:space="preserve">Financial Liabilities </t>
  </si>
  <si>
    <t>The concentration of credit risk exists when changes in economic or industry factors similarly affect groups of counterparties whose aggregate credit exposure is significant in relation to the Fund’s total credit exposure. The Fund’s portfolio of financial instruments is broadly diversified and transactions are entered into with diverse credit-worthy counterparties thereby mitigating any significant concentrations of credit risk.</t>
  </si>
  <si>
    <t>---------------As at June 30, 2015-----------------</t>
  </si>
  <si>
    <t>Thal Limited (Face Value of Rs 5 each)</t>
  </si>
  <si>
    <t>K-Electric Limited (Face value of Rs 3.5 each)</t>
  </si>
  <si>
    <t>NAFA Income Fund</t>
  </si>
  <si>
    <t xml:space="preserve">Total Fund - in  / (Fund - out) </t>
  </si>
  <si>
    <t>Transfer In</t>
  </si>
  <si>
    <t>Transfer Out</t>
  </si>
  <si>
    <t>Subsequent clearance date</t>
  </si>
  <si>
    <t xml:space="preserve">Off-set of Transfer-In and Transfer-Out </t>
  </si>
  <si>
    <t>Financial assets which are tradable in an open market are revalued at the market prices prevailing on the reporting date. Investments of the Fund in equity securities are revalued on the basis of closed quoted market prices available at the stock exchange. The estimated fair value of all other financial assets and liabilities is considered not to be significantly different from carrying values as the items are either short term in nature or periodically repriced.</t>
  </si>
  <si>
    <t xml:space="preserve">Mari Petroleum Company Limited </t>
  </si>
  <si>
    <t>The Fund commenced its operations from January 9, 2015. It is an open-ended mutual fund and is listed on the Lahore Stock Exchange. Units are offered for public subscription on a continuous basis. The units of the Fund are transferable and can be redeemed by surrendering them to the Fund. The Fund is categorized as an Open-End "Shariah Compliant Equity Scheme" as per the criteria laid down by the Securities and Exchange Commission of Pakistan for categorization of Collective Investment Schemes (CIS).</t>
  </si>
  <si>
    <t xml:space="preserve">Financial assets 'at fair value through profit or loss' </t>
  </si>
  <si>
    <t>- Preference shares</t>
  </si>
  <si>
    <t>Foundation Securities (Pvt) Limited</t>
  </si>
  <si>
    <t>The Fund's equity securities are exposed to price risk because of investments held and classified by the Fund on the Statement of Assets and Liabilities 'at fair value through profit or loss'. To manage the risk, the Fund diversifies its portfolio within the eligible stocks prescribed in the Trust Deed. The Fund's constitutive document / NBFC Regulations also limit exposure to individual equity securities based on the net assets, or issued capital of the investee company and sector exposure limit.</t>
  </si>
  <si>
    <t>The analysis is based on the assumption that equity index had increased / decreased by 5% with all other variables held constant and all the Fund's equity instruments moved according to the historical correlation with the index. This represents  management's best estimate of a reasonable possible shift in the KMI 30 Index, having regard to the historical volatility of the index. The composition of the Fund's investment portfolio and the correlation thereof to the KMI 30 Index, is expected to change over time. Accordingly, the aforementioned sensitivity analysis prepared as of June 30, 2015 is not necessarily indicative of the effect on the Fund's net assets of future movements in the level of the KMI 30 Index.</t>
  </si>
  <si>
    <t>All shares have a nominal face value of  Rs.10 each except for the shares of Thal Limited which have a face value of Rs 5 and K-Electric Limited which have a face value of Rs 3.5 each.</t>
  </si>
  <si>
    <t>Net receivable /  (payable)</t>
  </si>
  <si>
    <t>Subsequent clearance amount</t>
  </si>
  <si>
    <t xml:space="preserve">Difference </t>
  </si>
  <si>
    <t>Clearing bank name</t>
  </si>
  <si>
    <t>-------------------------------------Rupees---------------------------------</t>
  </si>
  <si>
    <t>As per TB</t>
  </si>
  <si>
    <t>Bank Islami Pakistan Limited</t>
  </si>
  <si>
    <t>Clearnace percentage</t>
  </si>
  <si>
    <t>Amount required to be cleared</t>
  </si>
  <si>
    <t>Amount Cleared</t>
  </si>
  <si>
    <t>Differnce - below PM</t>
  </si>
  <si>
    <t>% Cleared</t>
  </si>
  <si>
    <t>% remaining</t>
  </si>
  <si>
    <t>25.2.3</t>
  </si>
  <si>
    <t>Profit and loss sharing accounts</t>
  </si>
  <si>
    <t>*Nil value due to rounding off</t>
  </si>
  <si>
    <t>Comparative information is not available as the Fund was launched in the current period.</t>
  </si>
  <si>
    <t>Mughal Iron and Steel Industries Limited</t>
  </si>
  <si>
    <t>Credit risk represents the risk of a loss if counterparties fail to perform as contracted. The Fund's credit risk is primarily attributable to balances with banks, investments, dividend and profit receivable. The credit risk on balances with banks is limited because the counter parties are financial institutions with reasonably high credit ratings. In addition, the internal risk management policies and investment guidelines (approved by the investment Committee) require the Fund to invest in Shariah compliant equity instruments that have been that have been rated by a well known rating agency. Credit risk on dividends receivable is minimal due to statutory protection. All transactions in listed securities are settled / paid for upon delivery using the central clearing company. The risk of default is considered minimal due to inherent systematic measures taken therein.</t>
  </si>
  <si>
    <t>In order to manage the Fund's overall liquidity, the Fund may withhold daily redemption requests in excess of ten percent of units in issue and such requests would be treated as redemption requests qualifying for being processed on the next business day. Such procedure would continue until the outstanding redemption requests come down to a level below ten percent of the units then in issue. The Fund did not withhold any redemptions during the period.</t>
  </si>
  <si>
    <t>On-balance sheet gap (a)</t>
  </si>
  <si>
    <t>Off-balance sheet gap (b)</t>
  </si>
  <si>
    <t>Mr. Sajjad Anwar*</t>
  </si>
  <si>
    <t>Mr. Syed Suleman Akhtar</t>
  </si>
  <si>
    <t>Mr. Asim Wahab Khan</t>
  </si>
  <si>
    <t>Mr. Muhammad Imran</t>
  </si>
  <si>
    <t xml:space="preserve">50th, 52nd &amp; 53rd </t>
  </si>
  <si>
    <t xml:space="preserve">51st </t>
  </si>
  <si>
    <t xml:space="preserve">49th </t>
  </si>
  <si>
    <t xml:space="preserve">48th, 49th &amp; 50th  </t>
  </si>
  <si>
    <t xml:space="preserve">52nd &amp; 53rd </t>
  </si>
  <si>
    <t xml:space="preserve">52nd </t>
  </si>
  <si>
    <t xml:space="preserve">50th, 51st </t>
  </si>
  <si>
    <t>J.S. Global Capital Limited</t>
  </si>
  <si>
    <t>International Financial Reporting Standard 7, 'Financial Instruments : Disclosure' - requires the Fund to classify assets using a fair value hierarchy that reflects the significance of the inputs used in making the measurements. The fair value hierarchy  has the following levels:</t>
  </si>
  <si>
    <t xml:space="preserve">Payable to NBP Fullerton Asset Management </t>
  </si>
  <si>
    <t>Limited - Management Company</t>
  </si>
  <si>
    <t>Invest &amp; Finance Securities (Pvt) Limited</t>
  </si>
  <si>
    <t>Payable to NBP Fullerton Asset Management Limited -</t>
  </si>
  <si>
    <t>Management Company</t>
  </si>
  <si>
    <t>Sui Northern Gas Pipeline Limited</t>
  </si>
  <si>
    <t>Nishat Mills Limited</t>
  </si>
  <si>
    <t>Credit quality of balances held by the Fund's bank accounts</t>
  </si>
  <si>
    <t>Other financial liabilities at Amortised cost</t>
  </si>
  <si>
    <t>Public Limited Companies</t>
  </si>
  <si>
    <t>Price risk is the risk that the fair value or future cash flows of a financial instrument will fluctuate as a result of changes in market prices (other than those arising from profit rate risk or currency risk) whether those changes are caused by factors specific to the individual financial instrument or its issuer, or factors affecting all similar financial instruments traded in the market.</t>
  </si>
  <si>
    <t>Market risk comprises of three types of risk: currency risk, profit rate risk and other price risk.</t>
  </si>
  <si>
    <t>* This includes investment amount Rs 10.564 million of related parties / connected persons.</t>
  </si>
  <si>
    <t>Individuals*</t>
  </si>
  <si>
    <t>The duration of the Fund is perpetual. However, SECP or the Management Company may wind it up on the occurrence of certain events as specified in offering document of the Fund.</t>
  </si>
  <si>
    <t>Yield / profit rate risk</t>
  </si>
  <si>
    <t>Yield / profit rate risk is the risk that the fair value or future cash flows of a financial instrument will fluctuate as a result of changes in market profit rates. The Fund is mainly exposed to profit rate risk on balances held with banks.</t>
  </si>
  <si>
    <t>Yield / profit rate sensitivity position for on-balance sheet financial instruments is based on the earlier of contractual repricing or maturity date and for off-balance sheet financial instruments is based on settlement date.</t>
  </si>
  <si>
    <t>Yield / profit  
rate</t>
  </si>
  <si>
    <t>---Exposed to yield / profit rate risk---</t>
  </si>
  <si>
    <t>Not exposed to yield / profit rate risk</t>
  </si>
  <si>
    <t>Total yield / profit rate sensitivity gap (a+b)</t>
  </si>
  <si>
    <t>Cumulative yield / profit rate sensitivity gap</t>
  </si>
  <si>
    <t>------------------------(Rupees in '000)------------------------</t>
  </si>
  <si>
    <t>------------------------June 30, 2015------------------------</t>
  </si>
  <si>
    <t>CASH FLOWS FROM OPERATING ACTIVITIES</t>
  </si>
  <si>
    <t>CASH FLOWS FROM FINANCING ACTIVITIES</t>
  </si>
  <si>
    <t>These financial statements have been prepared in accordance with the approved accounting standards as applicable in Pakistan. The approved accounting standards comprise of such International Financial Reporting Standards (IFRS) issued by the International Accounting Standards Board as are notified under the Companies Ordinance, 1984, the requirements of the Trust Deed, the Non-Banking Finance Companies (Establishment and Regulation) Rules, 2003 (the NBFC Rules), the Non-Banking Finance Companies and Notified Entities Regulations, 2008 (the NBFC Regulations) and the directives issued by the SECP. Wherever the requirements of the Trust Deed, the NBFC Rules, the NBFC Regulations or the directives issued by the SECP differ with the requirements of IFRSs, the requirements of the Trust Deed, the NBFC Rules, the NBFC Regulations or the directives issued by the SECP prevail.</t>
  </si>
  <si>
    <t>PARTICULARS OF THE INVESTMENT COMMITTEE AND THE FUND MANAGER</t>
  </si>
  <si>
    <t>Details of the members of the investment committee of the Fund are as follows:</t>
  </si>
  <si>
    <t>ATTENDANCE AT MEETINGS OF BOARD OF DIRECTORS OF THE MANAGEMENT COMPANY</t>
  </si>
  <si>
    <t>The 48th, 49th, 50th, 51st, 52nd and 53rd Board of Directors meetings were held on September 16, 2014, October  30, 2014, February 17, 2015, April 21, 2015, June 29, 2015 and June 30, 2015, respectively. Information in respect of attendance by directors in the meetings is given below:</t>
  </si>
  <si>
    <t>*Mr. Who Geok Sum retired from the Board with effect from February 17, 2015</t>
  </si>
  <si>
    <t>The Management Company manages the market risk by monitoring exposure on marketable securities by following  internal risk management policies and investment guidelines approved by the Investment Committee and the regulations laid down by the SECP.</t>
  </si>
  <si>
    <t>Presently, the Fund does not hold any variable rate instrument except for balances in profit and loss sharing accounts which carry profit at rates ranging from 4.5% to 10.25% per annum.</t>
  </si>
  <si>
    <t>Presently, the Fund does not hold any fixed rate instrument that exposes the Fund to any material profit rate risk.</t>
  </si>
  <si>
    <t>Liquidity risk is the risk that the Fund may not be able to generate sufficient cash resources to settle its obligations in full as they fall due or can only do so on the terms that are materially disadvantageous to the Fund.</t>
  </si>
  <si>
    <t xml:space="preserve">The Fund is exposed to the daily settlement of equity securities and to daily cash redemptions, if any at the option of unit holders. The Fund's approach to managing liquidity is to ensure, as far as possible, that the Fund will always have sufficient liquidity to meet its liabilities when due under both normal and stressed conditions, without incurring unacceptable losses or risking damage to the Fund's reputation. The Fund's policy is, therefore, to invest the majority of its assets in investments that can be readily realised. The Fund’s listed securities are considered readily realisable as they are listed on the Stock Exchanges. </t>
  </si>
  <si>
    <t>The Board of Directors of the Management Company in their meeting held on July 14, 2015 approved a final cash distribution of Rs 15.574 million (Re 0.1369 per unit)  for the period ended June 30, 2015. The financial statements of the Fund for the period ended June 30, 2015 do not include the effect of the final distribution which will be accounted for in the financial statements of the Fund for the year ending June 30, 2016.</t>
  </si>
  <si>
    <t>*Mr. Sajjad Anwar is the manager of the Fund. He is also the fund manager of NAFA Islamic Principal Protected Fund I, NAFA Islamic Principal Protected Fund II and NAFA Islamic Principal Preservation Fund.</t>
  </si>
  <si>
    <t>AAA</t>
  </si>
  <si>
    <t>AA+</t>
  </si>
  <si>
    <t>A</t>
  </si>
  <si>
    <t>A-</t>
  </si>
  <si>
    <t>Silk Bank Limited*</t>
  </si>
  <si>
    <t>Sindh Bank Limited*</t>
  </si>
  <si>
    <t>*Nil value due to rounding off difference</t>
  </si>
  <si>
    <t>Burj Bank Limited</t>
  </si>
  <si>
    <t>BankIslami Pakistan Limited</t>
  </si>
  <si>
    <t>Brokerage payable</t>
  </si>
  <si>
    <t>In case of 5% increase / decrease in KMI 30 index on June 30, 2015, net income for the period would increase / decrease by  Rs 11.701 million and net assets of the Fund would increase / decrease by the same amount  as a result of gains / losses on equity securities at fair value through profit or loss. The sensitivity analysis is based on the Fund's equity securities as at Statement of Assets and Liabilities date with all other variables held constant.</t>
  </si>
  <si>
    <t>**Mr. Nigel Poh Cheng was appointed on the Board with effect from February 17, 2015</t>
  </si>
  <si>
    <t>December 31,</t>
  </si>
  <si>
    <t>2015</t>
  </si>
  <si>
    <t>September 31,</t>
  </si>
  <si>
    <t>CONDENSED INTERIM CASH FLOW STATEMENT (UN-AUDITED)</t>
  </si>
  <si>
    <t>CONDENSED INTERIM DISTRIBUTION STATEMENT (UN-AUDITED)</t>
  </si>
  <si>
    <t>NOTES TO AND FORMING PART OF THE CONDENSED INTERIM FINANCIAL STATEMENTS (UN-AUDITED)</t>
  </si>
  <si>
    <t>December 31, 2015</t>
  </si>
  <si>
    <t>(Un-Auidted)</t>
  </si>
  <si>
    <t>(Audited)</t>
  </si>
  <si>
    <t>(Un-Audited)</t>
  </si>
  <si>
    <t xml:space="preserve">CONDENSED INTERIM STATEMENT OF ASSETS AND LIABILITIES </t>
  </si>
  <si>
    <t>As at July 01,
2015</t>
  </si>
  <si>
    <t>As at December 31, 2015</t>
  </si>
  <si>
    <t>Market value as at December 31, 2015</t>
  </si>
  <si>
    <t>As at July 01, 2015</t>
  </si>
  <si>
    <t>FOOD PRODUCERS</t>
  </si>
  <si>
    <t>Al Shaheer Corporation limited</t>
  </si>
  <si>
    <t>Ecopack Limited</t>
  </si>
  <si>
    <t>Fauji Cement Company Limited</t>
  </si>
  <si>
    <t>INDUSTRIAL TRANSPORTATION</t>
  </si>
  <si>
    <t>Pakistan National Shipping Corporation</t>
  </si>
  <si>
    <t>Pakistan Telecommunication Company Limited</t>
  </si>
  <si>
    <t>BEVERAGES</t>
  </si>
  <si>
    <t>Shezan International Limited</t>
  </si>
  <si>
    <t>Service Industries Limited</t>
  </si>
  <si>
    <t>TB</t>
  </si>
  <si>
    <t>Investments include shares with market value of Rs 68.31 (June 30, 2015: Rs 72.84) million which have been pledged with National Clearing Company of Pakistan Limited for guaranteeing settlement of the Fund's trades in accordance with Circular number 11 dated October 23, 2007 issued by the SECP.</t>
  </si>
  <si>
    <t>subject ro change</t>
  </si>
  <si>
    <t xml:space="preserve">Redemption of 94,535,219 units </t>
  </si>
  <si>
    <t>The disclosures made in this condensed interim financial statements have, however, been limited based on the requirements of International Accounting Standard 34: 'Interim Financial Reporting'. This condensed interim financial information does not include all the information and disclosures required in a full set of financial statements and should be read in conjunction with the annual published financial statements of the Fund for the period ended June 30, 2015.</t>
  </si>
  <si>
    <t>SIGNIFICANT ACCOUNTING AND RISK MANAGEMENT POLICIES, ESTIMATES, JUDGMENTS AND CHANGES THEREIN</t>
  </si>
  <si>
    <t>The accounting policies adopted for the preparation of the condensed interim financial statements for the half year and quarter ended December 31, 2015 are same as those applied in the preparation of annual audited financial statements for the year ended June 30, 2015.</t>
  </si>
  <si>
    <t>The preparation of this condensed interim financial information in conformity with the approved accounting standards requires the management to make estimates, judgments and assumptions that affect the reported amounts of assets and liabilities, income and expenses. It also requires the management to exercise judgment in application of its accounting policies. The estimates, judgments and associated assumptions are based on historical experience and various other factors that are believed to be reasonable under the circumstances. These estimates and assumptions are reviewed on an ongoing basis. Revisions to accounting estimates are recognised in the period in which the estimate is revised if the revision affects only that period, or in the period of revision and future periods if the revision affects both current and future periods.</t>
  </si>
  <si>
    <t>The significant estimates, judgments and assumptions made by the management in applying the accounting policies and the key sources of estimation of uncertainty were the same as those that applied to the audited annual financial statements as at and for the period ended June 30, 2015.</t>
  </si>
  <si>
    <t>The financial risk management objectives and policies are consistent with those disclosed in the audited annual financial statements of the Fund for the period ended June 30, 2015.</t>
  </si>
  <si>
    <t>Certain amendments to approved accounting standards have been published and are mandatory for the Fund's accounting period beginning on or after July 1, 2015. None of these amendments have a significant effect on this condensed interim financial information.</t>
  </si>
  <si>
    <t>These carry profits at the rates ranging from 6.30% to 7.25% per annum.</t>
  </si>
  <si>
    <t>These include deposits of Rs 2.046 million and Rs 1.367 million, maintained with the National Bank of Pakistan and Summit Bank Limited (being the related parties of the Fund) respectively.</t>
  </si>
  <si>
    <t>Interim review activities</t>
  </si>
  <si>
    <t>Interim review engagement activities</t>
  </si>
  <si>
    <t>EGA title:</t>
  </si>
  <si>
    <t>NAFA Islamic Stock Fund (Dec 31, 2015)</t>
  </si>
  <si>
    <t>NAFA Islamic Stock Fund (Dec 31, 2015) - HQ</t>
  </si>
  <si>
    <t>Market value of securities</t>
  </si>
  <si>
    <t>Element Working</t>
  </si>
  <si>
    <t>For the half year ended December 31, 2015</t>
  </si>
  <si>
    <t>Legends</t>
  </si>
  <si>
    <t>Total units issued</t>
  </si>
  <si>
    <t>Total units redeemed</t>
  </si>
  <si>
    <t>B</t>
  </si>
  <si>
    <t>Net units redeemed</t>
  </si>
  <si>
    <t>C=A-B</t>
  </si>
  <si>
    <t xml:space="preserve">Calculating Element </t>
  </si>
  <si>
    <t>Units issued from 1 July 2015 till 15 July 2015</t>
  </si>
  <si>
    <t>D</t>
  </si>
  <si>
    <t>Units redeemed from 1 July 2015 till 15 July 2015</t>
  </si>
  <si>
    <t>E</t>
  </si>
  <si>
    <t>Net units Issued</t>
  </si>
  <si>
    <t>F=D-E</t>
  </si>
  <si>
    <t>Opening NAV</t>
  </si>
  <si>
    <t>H</t>
  </si>
  <si>
    <t>I=H*F</t>
  </si>
  <si>
    <t>Actual Proceeds</t>
  </si>
  <si>
    <t>J</t>
  </si>
  <si>
    <t>Element on net units redeemed before date of distribution</t>
  </si>
  <si>
    <t>K=J*I</t>
  </si>
  <si>
    <t>Units issued from 16 July 2015 till 31 December 2015</t>
  </si>
  <si>
    <t>L</t>
  </si>
  <si>
    <t>Units redeemed from 16 July 2015 till 31 December 2015</t>
  </si>
  <si>
    <t>M</t>
  </si>
  <si>
    <t>N-M-L</t>
  </si>
  <si>
    <t>Less: Distribution</t>
  </si>
  <si>
    <t>O</t>
  </si>
  <si>
    <t>Opening Ex-NAV</t>
  </si>
  <si>
    <t>P=H-O</t>
  </si>
  <si>
    <t>Q=P*O</t>
  </si>
  <si>
    <t>R</t>
  </si>
  <si>
    <t>Element on net units redeemed after date of distribution till cut off</t>
  </si>
  <si>
    <t>S=Q-R</t>
  </si>
  <si>
    <t>Element of (income) / loss and capital gains / (losses) included in prices of units  issued less those in units redeemed</t>
  </si>
  <si>
    <t>T=S+K</t>
  </si>
  <si>
    <t>As per Client</t>
  </si>
  <si>
    <t>Half year ended</t>
  </si>
  <si>
    <t>Quarter ended</t>
  </si>
  <si>
    <t>Sindh Sales Tax on remuneration of the Trustee</t>
  </si>
  <si>
    <t>…………………………………..No. of shares………………………………….</t>
  </si>
  <si>
    <t>Holding as a percentage of Paid up capital of the investee company</t>
  </si>
  <si>
    <t xml:space="preserve">K-Electric Limited </t>
  </si>
  <si>
    <t>July to September</t>
  </si>
  <si>
    <t>Units issued from 16 July 2015 till 30 September 2015</t>
  </si>
  <si>
    <t>Units redeemed from 16 July 2015 till 30 September 2015</t>
  </si>
  <si>
    <t>Element of income / (loss) and capital gains / (losses) included in prices of units  issued less those in units redeemed</t>
  </si>
  <si>
    <t xml:space="preserve">Issue of 153,308,338 units </t>
  </si>
  <si>
    <t>(Un-audited)</t>
  </si>
  <si>
    <t>Total amount of units issued</t>
  </si>
  <si>
    <t>Total amount of units redeemed</t>
  </si>
  <si>
    <t>U</t>
  </si>
  <si>
    <t>V</t>
  </si>
  <si>
    <t>Less: Carrying value of securities</t>
  </si>
  <si>
    <t xml:space="preserve">Thal Limited </t>
  </si>
  <si>
    <t>Total as at December 31, 2015</t>
  </si>
  <si>
    <t>Carrying value as at December 31, 2015</t>
  </si>
  <si>
    <t>Al Shaheer Corporation Limited</t>
  </si>
  <si>
    <t>CONDENSED INTERIM STATEMENT OF MOVEMENT IN UNIT HOLDERS' FUND (UN-AUDITED)</t>
  </si>
  <si>
    <t>NOTES TO AND FORMING PART OF THE CONDENSED INTERIM FINANCIAL INFORMATION (UN-AUDITED)</t>
  </si>
  <si>
    <t>Trail Balance</t>
  </si>
  <si>
    <t>Account Code</t>
  </si>
  <si>
    <t>Account Name</t>
  </si>
  <si>
    <t>010400100001</t>
  </si>
  <si>
    <t>RECEIVABLE AGAINST SALE OF UNITS</t>
  </si>
  <si>
    <t>010500100001</t>
  </si>
  <si>
    <t>RECEIVABLE AGAINST SALE  OF EQUITY SECURITIES</t>
  </si>
  <si>
    <t>010602300001</t>
  </si>
  <si>
    <t>RECEIVABLE FROM MANAGEMENT COMPANY</t>
  </si>
  <si>
    <t>010900200001</t>
  </si>
  <si>
    <t>050600200001</t>
  </si>
  <si>
    <t>050600300006</t>
  </si>
  <si>
    <t>FEE &amp; SUBSCRIPANNUAL PACRA FEE</t>
  </si>
  <si>
    <t>050600300009</t>
  </si>
  <si>
    <t>Fee &amp; Subscription Annual Listing Fee Psx</t>
  </si>
  <si>
    <t>050700100001</t>
  </si>
  <si>
    <t>PRINTING OF ACCOUNTS CHARGES</t>
  </si>
  <si>
    <t>051000100003</t>
  </si>
  <si>
    <t>BANK CHARGES - BANK AL FALAH LIMITED</t>
  </si>
  <si>
    <t>051000100009</t>
  </si>
  <si>
    <t>BANK CHARGES - HABIB METROPOLITAN BANK LIMITED</t>
  </si>
  <si>
    <t>051000100010</t>
  </si>
  <si>
    <t>BANK CHARGES - MCB BANK LIMITED</t>
  </si>
  <si>
    <t>051000100016</t>
  </si>
  <si>
    <t>BANK CHARGES - UNITED BANK LIMITED</t>
  </si>
  <si>
    <t>051000100017</t>
  </si>
  <si>
    <t>Bank Charges - Bank Al-Habib Limited</t>
  </si>
  <si>
    <t>050200100001</t>
  </si>
  <si>
    <t>BROKERAGE EXPENSE ON EQUITY INVESTMENT</t>
  </si>
  <si>
    <t>050200100002</t>
  </si>
  <si>
    <t>BROKERAGE EXPENSE  MONEY MARKET TRANSACTIONS</t>
  </si>
  <si>
    <t>050200300002</t>
  </si>
  <si>
    <t>SETT CHG  NCCPL  EQUITY TRANSACTIONS</t>
  </si>
  <si>
    <t>030100100001</t>
  </si>
  <si>
    <t>MANAGEMENT FEE PAYABLE</t>
  </si>
  <si>
    <t>030100600001</t>
  </si>
  <si>
    <t>SALES TAX PAYABLE AGAINST MANAGEMENT FEE</t>
  </si>
  <si>
    <t>030100700001</t>
  </si>
  <si>
    <t>FED TAX PAYABLE AGAINST MANAGEMENT FEE</t>
  </si>
  <si>
    <t>030100800001</t>
  </si>
  <si>
    <t>Sales Tax Payable On Trustee Fee</t>
  </si>
  <si>
    <t>030200100001</t>
  </si>
  <si>
    <t>TRUSTEE REMUNERATION PAYABLE</t>
  </si>
  <si>
    <t>030300200001</t>
  </si>
  <si>
    <t>CDS CHARGES PAYABLE TO TRUSTEE</t>
  </si>
  <si>
    <t>030400100001</t>
  </si>
  <si>
    <t>PAYABLE TO SECP  ANNUAL FEE</t>
  </si>
  <si>
    <t>031000600001</t>
  </si>
  <si>
    <t>WORKER'S WELFARE FUND PAYABLE</t>
  </si>
  <si>
    <t>031001700001</t>
  </si>
  <si>
    <t>PRINTING CHARGES PAYABLE</t>
  </si>
  <si>
    <t>031200100001</t>
  </si>
  <si>
    <t>Back Office Operation Payable</t>
  </si>
  <si>
    <t>030100200001</t>
  </si>
  <si>
    <t>SALE LOAD PAYABLE</t>
  </si>
  <si>
    <t>030100900001</t>
  </si>
  <si>
    <t>Fed Tax Payable Against Sales Load</t>
  </si>
  <si>
    <t>030700100001</t>
  </si>
  <si>
    <t>030900100001</t>
  </si>
  <si>
    <t>DIVIDEND PAYABLE</t>
  </si>
  <si>
    <t>030900100002</t>
  </si>
  <si>
    <t>Dividend Payable - Div Ac # 1 Final 2001</t>
  </si>
  <si>
    <t>030900100003</t>
  </si>
  <si>
    <t>Dividend Payable - Div Ac # 2 Final 2002</t>
  </si>
  <si>
    <t>030900100004</t>
  </si>
  <si>
    <t>Dividend Payable - Div  Ac # 3 Interim 2003</t>
  </si>
  <si>
    <t>030900100005</t>
  </si>
  <si>
    <t>Dividend Payable - Div Ac # 4 Final 2004</t>
  </si>
  <si>
    <t>030900100006</t>
  </si>
  <si>
    <t>Dividend Payable - Div  Ac # 5 Final 2005</t>
  </si>
  <si>
    <t>030900100007</t>
  </si>
  <si>
    <t>Dividend Payable - Div  Ac # 6 Final 2006</t>
  </si>
  <si>
    <t>030900100008</t>
  </si>
  <si>
    <t>Dividend Payable - Div  Ac # 7 Final 2007</t>
  </si>
  <si>
    <t>030900100009</t>
  </si>
  <si>
    <t>Dividend Payable - Div  Ac # 8 Final 2008</t>
  </si>
  <si>
    <t>030900100010</t>
  </si>
  <si>
    <t>Dividend Payable - Div  Ac # 9 Final 2010</t>
  </si>
  <si>
    <t>031000400002</t>
  </si>
  <si>
    <t>BROKERAGE PAYABLE  EQUITY INVESTMENT</t>
  </si>
  <si>
    <t>031000500001</t>
  </si>
  <si>
    <t>BROKERAGE PAYABLE MONEY MARKET</t>
  </si>
  <si>
    <t>031000500003</t>
  </si>
  <si>
    <t>BROKERAGE PAYABLE  MONEY MARKET</t>
  </si>
  <si>
    <t>031000800001</t>
  </si>
  <si>
    <t>WITHHOLDING TAX PAYABLE  CGT U/S 37A</t>
  </si>
  <si>
    <t>031000900001</t>
  </si>
  <si>
    <t>W.H. TAX PAYABLE BROKERAGE U/S 133</t>
  </si>
  <si>
    <t>031000900005</t>
  </si>
  <si>
    <t>W.H. TAX PAYABLE  SERVICES U/S 153</t>
  </si>
  <si>
    <t>031001200001</t>
  </si>
  <si>
    <t>PAYABLE TO LEGAL ADVISOR</t>
  </si>
  <si>
    <t>031001500001</t>
  </si>
  <si>
    <t>ZAKAT PAYABLE</t>
  </si>
  <si>
    <t>030500100001</t>
  </si>
  <si>
    <t>PAYABLE AGAINST PURCHASE OF EQUITY SECURITIES</t>
  </si>
  <si>
    <t>031000700001</t>
  </si>
  <si>
    <t>010700700006</t>
  </si>
  <si>
    <t>Prepayment Of KSE Against Annual Listing Fee</t>
  </si>
  <si>
    <t>010700700009</t>
  </si>
  <si>
    <t>Prepayment Of Psx Against Annual Listing Fee</t>
  </si>
  <si>
    <t>010700800001</t>
  </si>
  <si>
    <t>Advances Against Tax Deducted Against Cot</t>
  </si>
  <si>
    <t>010700500003</t>
  </si>
  <si>
    <t>SECURITY DEPOSITS NCCPL AGAINST MTS</t>
  </si>
  <si>
    <t>010700500005</t>
  </si>
  <si>
    <t>Security Deposits Other</t>
  </si>
  <si>
    <t>010700600001</t>
  </si>
  <si>
    <t>010300100001</t>
  </si>
  <si>
    <t>INVESTMENT IN EQUITY TRANSACTION  HFT</t>
  </si>
  <si>
    <t>010300100002</t>
  </si>
  <si>
    <t>EQUITY TRANSACTION  APPRECIATION / DIMINUTION  HFT</t>
  </si>
  <si>
    <t>010301000001</t>
  </si>
  <si>
    <t>INVESTMENT IN EQYUITY TRANSACTION  AFS</t>
  </si>
  <si>
    <t>010301000002</t>
  </si>
  <si>
    <t>EQUITY TRANSACTION  APPRECIATION / DIMINUTION  AFS</t>
  </si>
  <si>
    <t>020400200001</t>
  </si>
  <si>
    <t>UNREALIZED GAIN / (LOSS) EQUITY - AFS</t>
  </si>
  <si>
    <t>040100100001</t>
  </si>
  <si>
    <t>CAPITAL GAIN / (LOSS) ON SALE OF EQUITY SECURITIES</t>
  </si>
  <si>
    <t>040101200001</t>
  </si>
  <si>
    <t>URG / LOSS HFT EQUITY INVESTMENTS</t>
  </si>
  <si>
    <t>010300300001</t>
  </si>
  <si>
    <t>INVESTMENT IN TREASURY BILLS  FACE VALUE  HFT</t>
  </si>
  <si>
    <t>010300300002</t>
  </si>
  <si>
    <t>TREASURY BILLS  APPRECIATION / DIMINUTION  HFT</t>
  </si>
  <si>
    <t>010300300003</t>
  </si>
  <si>
    <t>TREASURY BILLS  DISCOUNT / AMORTISATION  HFT</t>
  </si>
  <si>
    <t>040100400001</t>
  </si>
  <si>
    <t>CAPITAL GAIN / (LOSS) ON SALE OF T-BILLS</t>
  </si>
  <si>
    <t>040101600001</t>
  </si>
  <si>
    <t>URG/LOSS INVESTMENTS IN TBILLS</t>
  </si>
  <si>
    <t>040201600001</t>
  </si>
  <si>
    <t>AMORTIZATION / DISCOUNT ON GOVT SEC BILLSS</t>
  </si>
  <si>
    <t>050600100001</t>
  </si>
  <si>
    <t>AUDIT FEE EXPENSE</t>
  </si>
  <si>
    <t>050600100002</t>
  </si>
  <si>
    <t>OUT OF POCKET EXPENSES</t>
  </si>
  <si>
    <t>050100100001</t>
  </si>
  <si>
    <t>050100100002</t>
  </si>
  <si>
    <t>SALES TAX ON MANAGEMENT COMPANY REMUNERATION</t>
  </si>
  <si>
    <t>050100200001</t>
  </si>
  <si>
    <t>050100200002</t>
  </si>
  <si>
    <t>Sales Tax On Trustee Fee</t>
  </si>
  <si>
    <t>050100300001</t>
  </si>
  <si>
    <t>050100500001</t>
  </si>
  <si>
    <t>Back Office Operation Expenses</t>
  </si>
  <si>
    <t>050100500002</t>
  </si>
  <si>
    <t>SST on Back Office Operation Expenses</t>
  </si>
  <si>
    <t>050200300001</t>
  </si>
  <si>
    <t>SETT CHG  TRUSTEE</t>
  </si>
  <si>
    <t>010601100001</t>
  </si>
  <si>
    <t>PROFIT RECEIVABLE - BANK AL FALAH LIMITED  - KSE BRANCH</t>
  </si>
  <si>
    <t>010601100014</t>
  </si>
  <si>
    <t>PROFIT RECEIVABLE - HABIB METROPOLITAN BANK LIMITED - KARACHI STOCK EXCHANGE BRANCH</t>
  </si>
  <si>
    <t>010601100017</t>
  </si>
  <si>
    <t>PROFIT RECEIVABLE - MCB BANK LIMITED - UNI TOWER BRANCH</t>
  </si>
  <si>
    <t>010601100034</t>
  </si>
  <si>
    <t>PROFIT RECEIVABLE - UNITED BANK LIMITED - CORPORATE BRANCH</t>
  </si>
  <si>
    <t>010700300001</t>
  </si>
  <si>
    <t>ADVANCES AGAINST TAX DEDUCTED AGAINST BANK PROFIT</t>
  </si>
  <si>
    <t>040200100001</t>
  </si>
  <si>
    <t>PROFIT ON - ALLIED BANK LIMITED - FOREIGN EXCHANGE BRANCH</t>
  </si>
  <si>
    <t>040200100005</t>
  </si>
  <si>
    <t>PROFIT ON - BANK AL FALAH LIMITED  - KSE BRANCH</t>
  </si>
  <si>
    <t>040200100014</t>
  </si>
  <si>
    <t>Profit On - Habib Metropolitan Bank Limited - Karachi Stock Exchange Branch</t>
  </si>
  <si>
    <t>040200100017</t>
  </si>
  <si>
    <t>Profit On - Mcb Bank Limited - Uni Tower Branch</t>
  </si>
  <si>
    <t>040200100021</t>
  </si>
  <si>
    <t>Profit On - Mcb Bank Limited - Shaheen Complex Branch</t>
  </si>
  <si>
    <t>040200100034</t>
  </si>
  <si>
    <t>Profit On - United Bank Limited - Corporate Branch</t>
  </si>
  <si>
    <t>040200100069</t>
  </si>
  <si>
    <t>Profit On - Bank Al Habib Limited - Main Branch</t>
  </si>
  <si>
    <t>010602100001</t>
  </si>
  <si>
    <t>DIVIDEND RECEIVABLES  EQUITY INVESTMENTS</t>
  </si>
  <si>
    <t>010700400001</t>
  </si>
  <si>
    <t>ADVANCES AGAINST TAX DEDUCTED AGAINST DIVIDEND INCOME</t>
  </si>
  <si>
    <t>040101000001</t>
  </si>
  <si>
    <t>010100100001</t>
  </si>
  <si>
    <t>BANK BALANCES - ALLIED BANK LIMITED - FOREIGN EXCHANGE BRANCH</t>
  </si>
  <si>
    <t>010100100014</t>
  </si>
  <si>
    <t>BANK BALANCES - HABIB METROPOLITAN BANK LIMITED - KARACHI STOCK EXCHANGE BRANCH</t>
  </si>
  <si>
    <t>010100100017</t>
  </si>
  <si>
    <t>BANK BALANCES - MCB BANK LIMITED - UNI TOWER BRANCH</t>
  </si>
  <si>
    <t>010100100020</t>
  </si>
  <si>
    <t>BANK BALANCES - MCB BANK LIMITED - MAIN BRANCH</t>
  </si>
  <si>
    <t>010100100021</t>
  </si>
  <si>
    <t>BANK BALANCES - MCB BANK LIMITED - GLOBAL TRANSACTION - SHAHEEN COMPLEX BRANCH</t>
  </si>
  <si>
    <t>010100100033</t>
  </si>
  <si>
    <t>BANK BALANCES - STANDARD CHARTERED BANK LIMITED - DIVIDEND - 1 - MAIN BRANCH</t>
  </si>
  <si>
    <t>010100100034</t>
  </si>
  <si>
    <t>BANK BALANCES - STANDARD CHARTERED BANK LIMITED - DIVIDEND - 2 - MAIN BRANCH</t>
  </si>
  <si>
    <t>010100100035</t>
  </si>
  <si>
    <t>BANK BALANCES - STANDARD CHARTERED BANK LIMITED - DIVIDEND - 3 - MAIN BRANCH</t>
  </si>
  <si>
    <t>010100100038</t>
  </si>
  <si>
    <t>BANK BALANCES - SUMMIT BANK LIMITED - DIVIDEND - 1 - UNI TOWER BRANCH</t>
  </si>
  <si>
    <t>010100100040</t>
  </si>
  <si>
    <t>BANK BALANCES - UNITED BANK LIMITED - CORPORATE BRANCH</t>
  </si>
  <si>
    <t>010100100044</t>
  </si>
  <si>
    <t>Bank Balances - Bank Al-Habib Limited - DIVIDEND - 1 - KSE BRANCH</t>
  </si>
  <si>
    <t>010100100045</t>
  </si>
  <si>
    <t>Bank Balances - Bank Al-Habib Limited - DIVIDEND # 2 - KSE BRANCH</t>
  </si>
  <si>
    <t>010100100046</t>
  </si>
  <si>
    <t>Bank Balances - Mcb Bank Limited- Stock Exchange Div Ac # 1 Final 2001</t>
  </si>
  <si>
    <t>010100100047</t>
  </si>
  <si>
    <t>Bank Balances - Mcb Bank Limited- Stock Exchange Div Ac # 2 Final 2002</t>
  </si>
  <si>
    <t>010100100048</t>
  </si>
  <si>
    <t>Bank Balances - Summit Bank Limited - Dividend - 2 - Uni Tower Branch</t>
  </si>
  <si>
    <t>010100100049</t>
  </si>
  <si>
    <t>Bank Balances - Summit Bank Limited - Dividend - 3 - Uni Tower Branch</t>
  </si>
  <si>
    <t>010302900001</t>
  </si>
  <si>
    <t>FAIR VALUE OF DERIVATIVE OF FUTURE TRANSACTION</t>
  </si>
  <si>
    <t>010700900001</t>
  </si>
  <si>
    <t>Provision Fortaxation-1996-1997</t>
  </si>
  <si>
    <t>010700900002</t>
  </si>
  <si>
    <t>Provision Fortaxation-1997-1998</t>
  </si>
  <si>
    <t>010700900003</t>
  </si>
  <si>
    <t>Provision Fortaxation-1998-1999</t>
  </si>
  <si>
    <t>010700900004</t>
  </si>
  <si>
    <t>Provision Fortaxation-1999-2000</t>
  </si>
  <si>
    <t>010700900005</t>
  </si>
  <si>
    <t>Provision Fortaxation-2000-2001</t>
  </si>
  <si>
    <t>010700900006</t>
  </si>
  <si>
    <t>Provision Fortaxation-2002-2003</t>
  </si>
  <si>
    <t>010700900007</t>
  </si>
  <si>
    <t>Provision Fortaxation-2003-2004</t>
  </si>
  <si>
    <t>010700900008</t>
  </si>
  <si>
    <t>Provision Fortaxation-2004-2005</t>
  </si>
  <si>
    <t>010700900009</t>
  </si>
  <si>
    <t>Provision For Taxation - 2005-2006</t>
  </si>
  <si>
    <t>010701000001</t>
  </si>
  <si>
    <t>Advances Tax Against- Sale Of Shares</t>
  </si>
  <si>
    <t>010800100001</t>
  </si>
  <si>
    <t>010800100002</t>
  </si>
  <si>
    <t>AMORTISATION OF FORMATION COST</t>
  </si>
  <si>
    <t>020100100001</t>
  </si>
  <si>
    <t>ISSUED OF UNITS AGAINST SALE OF UNITS</t>
  </si>
  <si>
    <t>020100200001</t>
  </si>
  <si>
    <t>REDEMPTION OF UNITS  NORMAL</t>
  </si>
  <si>
    <t>020100300001</t>
  </si>
  <si>
    <t>CONVERSION IN UNITS</t>
  </si>
  <si>
    <t>020100400001</t>
  </si>
  <si>
    <t>CONVERSION OUT UNITS</t>
  </si>
  <si>
    <t>020200100001</t>
  </si>
  <si>
    <t>ELEMENT OF INCOME  REALIZED</t>
  </si>
  <si>
    <t>020200200001</t>
  </si>
  <si>
    <t>ELEMENT OF INCOME  UNREALIZED</t>
  </si>
  <si>
    <t>020500100001</t>
  </si>
  <si>
    <t>BALANCE ACCOUNT</t>
  </si>
  <si>
    <t>040400100001</t>
  </si>
  <si>
    <t>ELEMENT OF INCOME - REALIZED</t>
  </si>
  <si>
    <t>040400200001</t>
  </si>
  <si>
    <t>ELEMENT OF INCOME - UNREALIZED</t>
  </si>
  <si>
    <t>MCB - ARIF HABIB PAKISTAN SOCK MARKET FUND</t>
  </si>
  <si>
    <t>Sum</t>
  </si>
  <si>
    <t>Carrying Value</t>
  </si>
  <si>
    <t>AUTOMOBILE ASSEMBLER</t>
  </si>
  <si>
    <t>Listed equity securities at fair value through profit or loss - held for trading</t>
  </si>
  <si>
    <t xml:space="preserve">Payable to the Securities and Exchange Commission of Pakistan </t>
  </si>
  <si>
    <t>Payable against purchase of investments</t>
  </si>
  <si>
    <t>2016</t>
  </si>
  <si>
    <t>Round Off</t>
  </si>
  <si>
    <t>Round off Sum</t>
  </si>
  <si>
    <t>PAYABLE TO CDC</t>
  </si>
  <si>
    <t>ADVANCES AND SECURITY DEPOSITS</t>
  </si>
  <si>
    <t>ACCRUED EXPENSES AND OTHER LIABILITIES</t>
  </si>
  <si>
    <t>CAPITAL GAIN/LOSS ON SALE OF INVESTMENTS</t>
  </si>
  <si>
    <t>INCOME FROM GOVERNEMETN SECURITIES</t>
  </si>
  <si>
    <t>PROFIT ON BANK DEPOSITS</t>
  </si>
  <si>
    <t>Fees and subscriptions</t>
  </si>
  <si>
    <t>ELEMENT OF INCOME REALIZED</t>
  </si>
  <si>
    <t xml:space="preserve">Net unrealised (diminution) / appreciation in value of investments </t>
  </si>
  <si>
    <t>classified as available for sale  - net</t>
  </si>
  <si>
    <t>Undistributed income brought forward</t>
  </si>
  <si>
    <t xml:space="preserve">included in the prices of units issued less those in units </t>
  </si>
  <si>
    <t>redeemed - transferred to the Distribution Statement</t>
  </si>
  <si>
    <t>ELEMENT OF INCOME UNREALIZED</t>
  </si>
  <si>
    <t>UNREALIZED GAIN/(LOSS) ON INVESTEMENTS (AFS)</t>
  </si>
  <si>
    <t>ISSUE OF UNITS</t>
  </si>
  <si>
    <t>REDEMPTION OF UNITS</t>
  </si>
  <si>
    <t>Net element of (income) / loss and capital (gains) / losses included</t>
  </si>
  <si>
    <t>in prices of units issued less those in units redeemed</t>
  </si>
  <si>
    <t>- amount representing (income) / loss and capital (gains) / losses</t>
  </si>
  <si>
    <t>transferred to the Income Statement:</t>
  </si>
  <si>
    <t>transferred to the Distribution Statement</t>
  </si>
  <si>
    <t>Capital gain on sale of investments - net</t>
  </si>
  <si>
    <t>investments classified as 'financial assets at fair value</t>
  </si>
  <si>
    <t>through profit or loss'</t>
  </si>
  <si>
    <t>Other income (net of expenses)</t>
  </si>
  <si>
    <t xml:space="preserve">    classified as 'available for sale during the period' - net</t>
  </si>
  <si>
    <t>UNREALISED APPRECIATION ON REMEASUREMENT OF INVESTMENTS</t>
  </si>
  <si>
    <t>FORMATION COST AMORTIZATION</t>
  </si>
  <si>
    <t>The Management Company of the Fund has been licensed to act as an Asset Management Company under the Non-Banking Finance Companies (Establishment and Regulations) Rules, 2003 through a certificate of registration issued by the SECP. The registered office of the Management Company is situated at 24th Floor, Centrepoint, Off Shaheed-e-Millat Expressway, Near K.P.T. Interchange, Karachi, Pakistan.</t>
  </si>
  <si>
    <t>Advance Tax</t>
  </si>
  <si>
    <t xml:space="preserve">Auditors' remuneration </t>
  </si>
  <si>
    <t>FOR THE HALF YEAR ENDED DECEMBER 31, 2016</t>
  </si>
  <si>
    <t>Automobile Parts &amp; Accessories</t>
  </si>
  <si>
    <t>Cable and Electrical Goods</t>
  </si>
  <si>
    <t>TPL Trakker Limited</t>
  </si>
  <si>
    <t>Appreciation/ (Diminution)</t>
  </si>
  <si>
    <t>Cement</t>
  </si>
  <si>
    <t xml:space="preserve">Fauji Cement Company Limited </t>
  </si>
  <si>
    <t>Chemicals</t>
  </si>
  <si>
    <t>Engro Polymer and Chemicals Limited</t>
  </si>
  <si>
    <t>Commercial Banks</t>
  </si>
  <si>
    <t>Allied Bank Limited</t>
  </si>
  <si>
    <t>Faysal Bank Limited</t>
  </si>
  <si>
    <t>Habib Metropolitan Bank Limited</t>
  </si>
  <si>
    <t>MCB Bank Limited</t>
  </si>
  <si>
    <t>United Bank Limited</t>
  </si>
  <si>
    <t xml:space="preserve">Engineering </t>
  </si>
  <si>
    <t>International Industries Limited</t>
  </si>
  <si>
    <t xml:space="preserve">Fertlizers </t>
  </si>
  <si>
    <t xml:space="preserve">Engro Corporation Limited </t>
  </si>
  <si>
    <t>Insurance</t>
  </si>
  <si>
    <t>Investment Companies</t>
  </si>
  <si>
    <t>Leather and Tanneries</t>
  </si>
  <si>
    <t xml:space="preserve">Oil and Gas Exploration Companies </t>
  </si>
  <si>
    <t>Mari Petroleum Company Limited</t>
  </si>
  <si>
    <t>Oil &amp; Gas Development Company Limited</t>
  </si>
  <si>
    <t xml:space="preserve">Oil and Gas Marketing Companies </t>
  </si>
  <si>
    <t>Hi-Tech Lubricants Limited</t>
  </si>
  <si>
    <t>Sui Northern Gas Pipelines Limited</t>
  </si>
  <si>
    <t>Sui Southern Gas Company Limited</t>
  </si>
  <si>
    <t>Paper and Board</t>
  </si>
  <si>
    <t>Pharmaceuticals</t>
  </si>
  <si>
    <t xml:space="preserve">Power Generation &amp; Distribution </t>
  </si>
  <si>
    <t>Nishat Power Limited</t>
  </si>
  <si>
    <t xml:space="preserve">Refinery </t>
  </si>
  <si>
    <t xml:space="preserve">Technology and Communication </t>
  </si>
  <si>
    <t xml:space="preserve">Textile Composite </t>
  </si>
  <si>
    <t>Gul Ahmed Textile Mills Limited</t>
  </si>
  <si>
    <t>Miscellaneous</t>
  </si>
  <si>
    <t>Cherat Cement Company Limited</t>
  </si>
  <si>
    <t>Archroma Pakistan Limited</t>
  </si>
  <si>
    <t>Bank Al Habib Limited</t>
  </si>
  <si>
    <t>Glass and Ceramics</t>
  </si>
  <si>
    <t>Altern Energy Limited</t>
  </si>
  <si>
    <t>Systems Limited</t>
  </si>
  <si>
    <t>---------Rupees in '000---------</t>
  </si>
  <si>
    <t>MCB PAKISTAN STOCK MARKET FUND</t>
  </si>
  <si>
    <t>CONDENSED INTERIM INCOME STATEMENT (UN-AUDITED)</t>
  </si>
  <si>
    <t>Next Capital Limited</t>
  </si>
  <si>
    <t>Bank charges</t>
  </si>
  <si>
    <t>Nishat Chunian Limited</t>
  </si>
  <si>
    <t>Remuneration payable</t>
  </si>
  <si>
    <t>Balance with bank</t>
  </si>
  <si>
    <t>*</t>
  </si>
  <si>
    <t>Arif Habib Limited</t>
  </si>
  <si>
    <t>MCB-Arif Habib Savings and Investments Limited</t>
  </si>
  <si>
    <t>Adjustment</t>
  </si>
  <si>
    <t>Balance</t>
  </si>
  <si>
    <t>CASH FLOW WORKING</t>
  </si>
  <si>
    <t>Investments - net</t>
  </si>
  <si>
    <t>Opening</t>
  </si>
  <si>
    <t>Closing</t>
  </si>
  <si>
    <t>Net</t>
  </si>
  <si>
    <t>Fee payable to the Trustee</t>
  </si>
  <si>
    <t>Net amount paid</t>
  </si>
  <si>
    <t>Adamjee Life Assurance Company Limited - IMF</t>
  </si>
  <si>
    <t>---------------------------- Rupees in '000 ----------------------------</t>
  </si>
  <si>
    <t>the Distribution Statement</t>
  </si>
  <si>
    <t>prices of units issued less those in units redeemed - transferred to</t>
  </si>
  <si>
    <t>MCB - Arif Habib Savings and Investment Limited - Management Company</t>
  </si>
  <si>
    <t>Accrued expense and other liabilities</t>
  </si>
  <si>
    <t>Unrealised appreciation / (diminution) in fair value of investments</t>
  </si>
  <si>
    <t xml:space="preserve"> - arising from other loss / (income)</t>
  </si>
  <si>
    <t xml:space="preserve"> - arising from capital (gain) and unrealised (gain)</t>
  </si>
  <si>
    <t>Bank Balances - Bank Al Habib Limited - Main Branch</t>
  </si>
  <si>
    <t>010100100069</t>
  </si>
  <si>
    <t xml:space="preserve">Net unrealised appreciation on remeasurement of </t>
  </si>
  <si>
    <t xml:space="preserve">Net element of income and capital gains  </t>
  </si>
  <si>
    <t>Net element of income and capital gains included in</t>
  </si>
  <si>
    <t>- amount representing unrealised capital (gains) -</t>
  </si>
  <si>
    <t>Total comprehensive income for the period</t>
  </si>
  <si>
    <t>**</t>
  </si>
  <si>
    <t>Allocated expenses</t>
  </si>
  <si>
    <t>CONDENSED INTERIM STATEMENT OF COMPREHENSIVE INCOME (UN-AUDITED)</t>
  </si>
  <si>
    <t>All shares have a nominal value of Rs.10 each except as stated otherwise.</t>
  </si>
  <si>
    <t xml:space="preserve">Sales load payable </t>
  </si>
  <si>
    <t>The Fund has been categorised as equity scheme and offers units for public subscription on a continuous basis. The units of the Fund are transferable and can also be redeemed by surrendering them to the Fund. The units are listed on the Pakistan Stock Exchange. The Fund primarily invests in listed equity securities. However, it also invests in cash instruments and treasury bills not exceeding 90 days in maturities.</t>
  </si>
  <si>
    <t>Unrealised appreciation on re-measurement of</t>
  </si>
  <si>
    <t>investments classified as financial assets at</t>
  </si>
  <si>
    <t>fair value through profit or loss-net</t>
  </si>
  <si>
    <t>010100100005</t>
  </si>
  <si>
    <t>010100100018</t>
  </si>
  <si>
    <t>010100100054</t>
  </si>
  <si>
    <t>010100100075</t>
  </si>
  <si>
    <t>010100100087</t>
  </si>
  <si>
    <t>010601100005</t>
  </si>
  <si>
    <t>010601100075</t>
  </si>
  <si>
    <t>010700700005</t>
  </si>
  <si>
    <t>0314001001</t>
  </si>
  <si>
    <t>040200100026</t>
  </si>
  <si>
    <t>040200100075</t>
  </si>
  <si>
    <t>040200100090</t>
  </si>
  <si>
    <t>040300400001</t>
  </si>
  <si>
    <t>0501006001</t>
  </si>
  <si>
    <t>051000100001</t>
  </si>
  <si>
    <t>051000100008</t>
  </si>
  <si>
    <t>051000100021</t>
  </si>
  <si>
    <t>BANK BALANCES - BANK AL FALAH LIMITED  - KSE BRANCH</t>
  </si>
  <si>
    <t>BANK BALANCES - MCB BANK LIMITED - KSE BRANCH</t>
  </si>
  <si>
    <t>Bank Balances - Mcb Bank Limited - Shaheen Complex Branch</t>
  </si>
  <si>
    <t>Bank Balances - Js Bank Limited - Ocean Tower, Clifton Branch</t>
  </si>
  <si>
    <t>Bank Balances - Habib Bank Limited - Kse Branch</t>
  </si>
  <si>
    <t>Profit Receivable - Js Bank Limited - Ocean Tower, Clifton Branch</t>
  </si>
  <si>
    <t>PREPAYMENT OF PACRA AGAINST ANNUAL PACRA RATING FEE</t>
  </si>
  <si>
    <t>Marketing And Selling Payable</t>
  </si>
  <si>
    <t>Profit On - Nib Bank Limited - Main Branch</t>
  </si>
  <si>
    <t>Profit On - Js Bank Limited - Ocean Tower, Clifton Branch</t>
  </si>
  <si>
    <t>Profit On - Habib Bank Limited Kse Branch</t>
  </si>
  <si>
    <t>Back End Load Income</t>
  </si>
  <si>
    <t>Marketing And Selling Expense</t>
  </si>
  <si>
    <t>BANK CHARGES - ALLIED BANK LIMITED</t>
  </si>
  <si>
    <t>BANK CHARGES - HABIB BANK LIMITED</t>
  </si>
  <si>
    <t>Bank Charges - JS Bank Limited</t>
  </si>
  <si>
    <t>As at July 01,
2017</t>
  </si>
  <si>
    <t>010100100100</t>
  </si>
  <si>
    <t>Bank Balances - National Bank Of Pakistan - Main Branch</t>
  </si>
  <si>
    <t>010601100018</t>
  </si>
  <si>
    <t>PROFIT RECEIVABLE - MCB BANK LIMITED - KSE BRANCH</t>
  </si>
  <si>
    <t>040200100018</t>
  </si>
  <si>
    <t>Profit On - Mcb Bank Limited - Kse Branch</t>
  </si>
  <si>
    <t>04060010001</t>
  </si>
  <si>
    <t>Impairment On Impairment Losses - Equity Investment - Afs</t>
  </si>
  <si>
    <t>PROFIT RECEIVABLE - ALLIED BANK LIMITED - FOREIGN EXCHANGE BRANCH</t>
  </si>
  <si>
    <t>SECURITY DEPOSITS  CDC</t>
  </si>
  <si>
    <t>Code</t>
  </si>
  <si>
    <t>2017</t>
  </si>
  <si>
    <t>December 31, 2017</t>
  </si>
  <si>
    <t>Ghandhara Industries Ltd</t>
  </si>
  <si>
    <t>Honda Atlas Cars(Pakistan) Limited</t>
  </si>
  <si>
    <t>General Tyre &amp; Rubber Company</t>
  </si>
  <si>
    <t>Kohat Cement Limited</t>
  </si>
  <si>
    <t>Thatta Cement Company Limited</t>
  </si>
  <si>
    <t>Askari Bank Limited</t>
  </si>
  <si>
    <t>International Steels Limited</t>
  </si>
  <si>
    <t>Ittefaq Iron Industries Limited</t>
  </si>
  <si>
    <t>Adamjee Insurance Company Limited</t>
  </si>
  <si>
    <t>Pakistan Reinsurance Company Limited</t>
  </si>
  <si>
    <t>Pakistan Oil Fields Limited</t>
  </si>
  <si>
    <t>Attock Petroleum Limited</t>
  </si>
  <si>
    <t>Cherat Packaging Limited</t>
  </si>
  <si>
    <t>K-Electric Limited</t>
  </si>
  <si>
    <t>Hum Network Limited</t>
  </si>
  <si>
    <t>Kohinoor Textiles Mills Limited</t>
  </si>
  <si>
    <t>Impairment</t>
  </si>
  <si>
    <t>(2016: 28,043,118) units for the half year and quarter ended respectively</t>
  </si>
  <si>
    <t>(2016: 23,632,792) units for the half year and quarter ended respectively</t>
  </si>
  <si>
    <t>Redemption of 42,503,625 (2016: 36,679,734) units and 10,670,308</t>
  </si>
  <si>
    <t>Saving</t>
  </si>
  <si>
    <t>current</t>
  </si>
  <si>
    <t>a</t>
  </si>
  <si>
    <t>Paid Up capital</t>
  </si>
  <si>
    <t>DOMF</t>
  </si>
  <si>
    <t>Dominion Stock Fund Limited</t>
  </si>
  <si>
    <t>CLOSE - END MUTUAL FUND</t>
  </si>
  <si>
    <t>FDMF</t>
  </si>
  <si>
    <t>First Dawood Mutual Fund</t>
  </si>
  <si>
    <t>GASF</t>
  </si>
  <si>
    <t>Golden Arrow Selected Stocks Fund Limited</t>
  </si>
  <si>
    <t>PGF</t>
  </si>
  <si>
    <t>PICIC Growth Fund</t>
  </si>
  <si>
    <t>INMF</t>
  </si>
  <si>
    <t>Investec Mutual Fund Limited</t>
  </si>
  <si>
    <t>PIF</t>
  </si>
  <si>
    <t>PICIC Investment Fund</t>
  </si>
  <si>
    <t>SINDM</t>
  </si>
  <si>
    <t>Sindh Modaraba</t>
  </si>
  <si>
    <t>MODARABAS</t>
  </si>
  <si>
    <t>PUDF</t>
  </si>
  <si>
    <t>Prudential Stocks Fund Limited</t>
  </si>
  <si>
    <t>TSMF</t>
  </si>
  <si>
    <t>Tri-Star Mutual Fund Limited</t>
  </si>
  <si>
    <t>FANM</t>
  </si>
  <si>
    <t>First Al-Noor Modaraba</t>
  </si>
  <si>
    <t>ARM</t>
  </si>
  <si>
    <t>Allied Rental Modaraba</t>
  </si>
  <si>
    <t>ARMR4</t>
  </si>
  <si>
    <t>Allied Rental(R)</t>
  </si>
  <si>
    <t>BFMOD</t>
  </si>
  <si>
    <t>B.F. Modaraba</t>
  </si>
  <si>
    <t>BRR</t>
  </si>
  <si>
    <t>B.R.R. Guardian Modaraba</t>
  </si>
  <si>
    <t>FCONM</t>
  </si>
  <si>
    <t>First Constellation Modaraba</t>
  </si>
  <si>
    <t>FIM</t>
  </si>
  <si>
    <t>First Investec Modaraba</t>
  </si>
  <si>
    <t>FECM</t>
  </si>
  <si>
    <t>First Elite Capital Modaraba</t>
  </si>
  <si>
    <t>FEM</t>
  </si>
  <si>
    <t>First Equity Modaraba</t>
  </si>
  <si>
    <t>CSM</t>
  </si>
  <si>
    <t>Crescent Standard Modaraba</t>
  </si>
  <si>
    <t>FFLM</t>
  </si>
  <si>
    <t>First Fidelity Leasing Modaraba</t>
  </si>
  <si>
    <t>ORIXM</t>
  </si>
  <si>
    <t>Orix Modaraba</t>
  </si>
  <si>
    <t>FHAM</t>
  </si>
  <si>
    <t>First Habib Modaraba</t>
  </si>
  <si>
    <t>HMM</t>
  </si>
  <si>
    <t>Habib Metro Mod</t>
  </si>
  <si>
    <t>FTMM</t>
  </si>
  <si>
    <t>First Treet Manufacturing Modaraba</t>
  </si>
  <si>
    <t>FIBLM</t>
  </si>
  <si>
    <t>First IBL Modaraba</t>
  </si>
  <si>
    <t>FIMM</t>
  </si>
  <si>
    <t>First Imrooz Modaraba</t>
  </si>
  <si>
    <t>PIM</t>
  </si>
  <si>
    <t>Popular Islamic Modaraba</t>
  </si>
  <si>
    <t>KASBM</t>
  </si>
  <si>
    <t>KASB Modaraba</t>
  </si>
  <si>
    <t>MODAM</t>
  </si>
  <si>
    <t>Modaraba Al-Mali</t>
  </si>
  <si>
    <t>ORM</t>
  </si>
  <si>
    <t>Orient Rental Mod</t>
  </si>
  <si>
    <t>FNBM</t>
  </si>
  <si>
    <t>First National Bank Modaraba</t>
  </si>
  <si>
    <t>PAKMI</t>
  </si>
  <si>
    <t>First Pak Modaraba</t>
  </si>
  <si>
    <t>FPRM</t>
  </si>
  <si>
    <t>First Paramount Modaraba</t>
  </si>
  <si>
    <t>PMI</t>
  </si>
  <si>
    <t>First Prudential Modaraba</t>
  </si>
  <si>
    <t>FPJM</t>
  </si>
  <si>
    <t>First Punjab Modaraba</t>
  </si>
  <si>
    <t>FTSM</t>
  </si>
  <si>
    <t>First Tri-Star Modaraba</t>
  </si>
  <si>
    <t>TRSM</t>
  </si>
  <si>
    <t>Trust Modaraba</t>
  </si>
  <si>
    <t>FUDLM</t>
  </si>
  <si>
    <t>First UDL Modaraba</t>
  </si>
  <si>
    <t>UCAPM</t>
  </si>
  <si>
    <t>Unicap Modaraba</t>
  </si>
  <si>
    <t>CPAL</t>
  </si>
  <si>
    <t>Capital Assets Leasing Corporation Limited</t>
  </si>
  <si>
    <t>LEASING COMPANIES</t>
  </si>
  <si>
    <t>ENGL</t>
  </si>
  <si>
    <t>English Leasing Limited</t>
  </si>
  <si>
    <t>GRYL</t>
  </si>
  <si>
    <t>Grays Leasing Limited</t>
  </si>
  <si>
    <t>OLPL</t>
  </si>
  <si>
    <t>Orix Leasing Pakistan Limited</t>
  </si>
  <si>
    <t>PGLC</t>
  </si>
  <si>
    <t>Pak-Gulf Leasing Company Limited</t>
  </si>
  <si>
    <t>PICL</t>
  </si>
  <si>
    <t>Pakistan Industrial &amp; Commercial Leasing Ltd.</t>
  </si>
  <si>
    <t>SLL</t>
  </si>
  <si>
    <t>SME Leasing Limited</t>
  </si>
  <si>
    <t>SLCL</t>
  </si>
  <si>
    <t>Security Leasing Corporation Limited</t>
  </si>
  <si>
    <t>SPLC</t>
  </si>
  <si>
    <t>Saudi Pak Leasing Company Limited</t>
  </si>
  <si>
    <t>SLCPA</t>
  </si>
  <si>
    <t>Security Leasing Corp.(Pref) 9.1%</t>
  </si>
  <si>
    <t>AMSL</t>
  </si>
  <si>
    <t>Al-Mal Securities &amp; Services Limited</t>
  </si>
  <si>
    <t>INV. BANKS / INV. COS. / SECURITIES COS.</t>
  </si>
  <si>
    <t>MCBAH</t>
  </si>
  <si>
    <t>AHL</t>
  </si>
  <si>
    <t>AHCL</t>
  </si>
  <si>
    <t>Arif Habib Corporation Limited</t>
  </si>
  <si>
    <t>FERTILIZER</t>
  </si>
  <si>
    <t>ICIBL</t>
  </si>
  <si>
    <t>Invest Capital Investment Bank Limited</t>
  </si>
  <si>
    <t>FDIBL</t>
  </si>
  <si>
    <t>First Dawood Investment Bank Limited</t>
  </si>
  <si>
    <t>JSCL</t>
  </si>
  <si>
    <t>Jahangir Siddiqui &amp; Co. Ltd.</t>
  </si>
  <si>
    <t>BIPLS</t>
  </si>
  <si>
    <t>BIPL Securities Limited</t>
  </si>
  <si>
    <t>NEXT</t>
  </si>
  <si>
    <t>AMBL</t>
  </si>
  <si>
    <t>Apna Microfinance Bank Limited</t>
  </si>
  <si>
    <t>ESBL</t>
  </si>
  <si>
    <t>Escorts Investment Bank Limited</t>
  </si>
  <si>
    <t>FCEL</t>
  </si>
  <si>
    <t>First Capital Equities Limited</t>
  </si>
  <si>
    <t>PSX</t>
  </si>
  <si>
    <t>Pakistan Stock Exchange Limited</t>
  </si>
  <si>
    <t>FCSC</t>
  </si>
  <si>
    <t>First Capital Securities Corporation Limited</t>
  </si>
  <si>
    <t>FCIBL</t>
  </si>
  <si>
    <t>First Credit and Investment Bank Limited</t>
  </si>
  <si>
    <t>IGIBL</t>
  </si>
  <si>
    <t>IGI Investment Bank Limited</t>
  </si>
  <si>
    <t>EFGH</t>
  </si>
  <si>
    <t>EFG Hermes Pakistan Limited</t>
  </si>
  <si>
    <t>FNEL</t>
  </si>
  <si>
    <t>First National Equities Limited</t>
  </si>
  <si>
    <t>ITSL</t>
  </si>
  <si>
    <t>Investec Securities Limited</t>
  </si>
  <si>
    <t>JOVC</t>
  </si>
  <si>
    <t>Javed Omer Vohra &amp; Company Limited</t>
  </si>
  <si>
    <t>JSIL</t>
  </si>
  <si>
    <t>JS Investments Limited</t>
  </si>
  <si>
    <t>JSGCL</t>
  </si>
  <si>
    <t>JS Global Capital Limited</t>
  </si>
  <si>
    <t>786 Investment Limited</t>
  </si>
  <si>
    <t>DEL</t>
  </si>
  <si>
    <t>Dawood Equities Limited</t>
  </si>
  <si>
    <t>PASL</t>
  </si>
  <si>
    <t>Pervez Ahmed Securities Limited</t>
  </si>
  <si>
    <t>PDGH</t>
  </si>
  <si>
    <t>Prudential Discourt &amp; Guarantee House Ltd.</t>
  </si>
  <si>
    <t>PRIB</t>
  </si>
  <si>
    <t>Prudential Investment Bank Limited</t>
  </si>
  <si>
    <t>SIBL</t>
  </si>
  <si>
    <t>Security Investment Bank Limited</t>
  </si>
  <si>
    <t>TRIBL</t>
  </si>
  <si>
    <t>Trust Investment Bank Limited</t>
  </si>
  <si>
    <t>TSBL</t>
  </si>
  <si>
    <t>Trust Securities &amp; Brokerage Limited</t>
  </si>
  <si>
    <t>ABL</t>
  </si>
  <si>
    <t>SMBL</t>
  </si>
  <si>
    <t>SMBLCPSA</t>
  </si>
  <si>
    <t>Summit Bank Pref Class "A"</t>
  </si>
  <si>
    <t>SMBLCPSB</t>
  </si>
  <si>
    <t>Summit Bank Pref Class "B"</t>
  </si>
  <si>
    <t>AKBL</t>
  </si>
  <si>
    <t>BAFL</t>
  </si>
  <si>
    <t>BIPL</t>
  </si>
  <si>
    <t>BOK</t>
  </si>
  <si>
    <t>The Bank of Khyber</t>
  </si>
  <si>
    <t>BAHL</t>
  </si>
  <si>
    <t>Bank AL Habib Limited</t>
  </si>
  <si>
    <t>BOP</t>
  </si>
  <si>
    <t>The Bank of Punjab</t>
  </si>
  <si>
    <t>FABL</t>
  </si>
  <si>
    <t>HBL</t>
  </si>
  <si>
    <t>MEBL</t>
  </si>
  <si>
    <t>NBP</t>
  </si>
  <si>
    <t>National Bank of Pakistan</t>
  </si>
  <si>
    <t>HMB</t>
  </si>
  <si>
    <t>MCB</t>
  </si>
  <si>
    <t>JSBL</t>
  </si>
  <si>
    <t>JS Bank Limited</t>
  </si>
  <si>
    <t>SBL</t>
  </si>
  <si>
    <t>Samba Bank Limited</t>
  </si>
  <si>
    <t>SILK</t>
  </si>
  <si>
    <t>Silkbank Limited</t>
  </si>
  <si>
    <t>SILKR1</t>
  </si>
  <si>
    <t>Silkbank (R)</t>
  </si>
  <si>
    <t>SNBL</t>
  </si>
  <si>
    <t>Soneri Bank Limited</t>
  </si>
  <si>
    <t>SCBPL</t>
  </si>
  <si>
    <t>Standard Chartered Bank (Pak) Ltd</t>
  </si>
  <si>
    <t>UBL</t>
  </si>
  <si>
    <t>AICL</t>
  </si>
  <si>
    <t>INSURANCE</t>
  </si>
  <si>
    <t>IGIL</t>
  </si>
  <si>
    <t>IGI Life Insurance Limited</t>
  </si>
  <si>
    <t>ASIC</t>
  </si>
  <si>
    <t>Asia Insurance Company Limited</t>
  </si>
  <si>
    <t>AGIC</t>
  </si>
  <si>
    <t>Askari General Insurance Company Limited</t>
  </si>
  <si>
    <t>BEEM</t>
  </si>
  <si>
    <t>Beema-Pakistan Company Limited</t>
  </si>
  <si>
    <t>BIIC</t>
  </si>
  <si>
    <t>Business &amp; Industrial Insurance Company Ltd.</t>
  </si>
  <si>
    <t>CYAN</t>
  </si>
  <si>
    <t>Cyan Limited</t>
  </si>
  <si>
    <t>CENI</t>
  </si>
  <si>
    <t>Century Insurance Company Limited</t>
  </si>
  <si>
    <t>JLICL</t>
  </si>
  <si>
    <t>Jubilee Life Insurance Company Limited</t>
  </si>
  <si>
    <t>CSIL</t>
  </si>
  <si>
    <t>Crescent Star Insurance Limited</t>
  </si>
  <si>
    <t>CSILR2</t>
  </si>
  <si>
    <t>Crescent Star(R)</t>
  </si>
  <si>
    <t>EFUG</t>
  </si>
  <si>
    <t>EFU General Insurance Limited</t>
  </si>
  <si>
    <t>EFUL</t>
  </si>
  <si>
    <t>EFU Life Assurance Limited</t>
  </si>
  <si>
    <t>EWIC</t>
  </si>
  <si>
    <t>East West Insurance Company Limited</t>
  </si>
  <si>
    <t>HICL</t>
  </si>
  <si>
    <t>Habib Insurance Company Limited</t>
  </si>
  <si>
    <t>IGIIL</t>
  </si>
  <si>
    <t>IGI Insurance Limited</t>
  </si>
  <si>
    <t>EWLA</t>
  </si>
  <si>
    <t>East West Life Assurance Company Limited</t>
  </si>
  <si>
    <t>ATIL</t>
  </si>
  <si>
    <t>Atlas Insurance Limited</t>
  </si>
  <si>
    <t>JGICL</t>
  </si>
  <si>
    <t>Jubilee General Insurance Company Limited</t>
  </si>
  <si>
    <t>PIL</t>
  </si>
  <si>
    <t>PICIC Insurance Limited</t>
  </si>
  <si>
    <t>PKGI</t>
  </si>
  <si>
    <t>The Pakistan General Insurance Company Limited</t>
  </si>
  <si>
    <t>PAKRI</t>
  </si>
  <si>
    <t>PINL</t>
  </si>
  <si>
    <t>Premier Insurance Limited</t>
  </si>
  <si>
    <t>PRIC</t>
  </si>
  <si>
    <t>Progressive Insurance Company Limited</t>
  </si>
  <si>
    <t>HCL</t>
  </si>
  <si>
    <t>Hallmark Company Limited</t>
  </si>
  <si>
    <t>RICL</t>
  </si>
  <si>
    <t>Reliance Insurance Company Limited</t>
  </si>
  <si>
    <t>SHNI</t>
  </si>
  <si>
    <t>Shaheen Insurance Company Limited</t>
  </si>
  <si>
    <t>SSIC</t>
  </si>
  <si>
    <t>Silver Star Insurance Company Limited</t>
  </si>
  <si>
    <t>TPLI</t>
  </si>
  <si>
    <t>TPL Insurance Limited</t>
  </si>
  <si>
    <t>SICL</t>
  </si>
  <si>
    <t>Standard Insurance Company Limited</t>
  </si>
  <si>
    <t>UNIC</t>
  </si>
  <si>
    <t>The United Insurance Company of Pakistan Limited</t>
  </si>
  <si>
    <t>UVIC</t>
  </si>
  <si>
    <t>The Universal Insurance Company Limited</t>
  </si>
  <si>
    <t>ADTM</t>
  </si>
  <si>
    <t>Adil Textile Mills Limited</t>
  </si>
  <si>
    <t>TEXTILE SPINNING</t>
  </si>
  <si>
    <t>AZTM</t>
  </si>
  <si>
    <t>Al-Azhar Textile Mills Limited</t>
  </si>
  <si>
    <t>AATM</t>
  </si>
  <si>
    <t>Ali Asghar Textile Mills Limited</t>
  </si>
  <si>
    <t>AMTEX</t>
  </si>
  <si>
    <t>Amtex Limited</t>
  </si>
  <si>
    <t>AWTX</t>
  </si>
  <si>
    <t>Allawasaya Textile &amp; Finishing Mills Limited</t>
  </si>
  <si>
    <t>AQTM</t>
  </si>
  <si>
    <t>Al-Qaim Textile Mills Limited</t>
  </si>
  <si>
    <t>ANNT</t>
  </si>
  <si>
    <t>Annoor Textile Mills Limited</t>
  </si>
  <si>
    <t>APOT</t>
  </si>
  <si>
    <t>Apollo Textile Mills Limited</t>
  </si>
  <si>
    <t>ASTM</t>
  </si>
  <si>
    <t>Asim Textile Mills Limited</t>
  </si>
  <si>
    <t>AYTM</t>
  </si>
  <si>
    <t>Ayesha Textile Mills Limited</t>
  </si>
  <si>
    <t>AZMT</t>
  </si>
  <si>
    <t>Azmat Textile Mills Limited</t>
  </si>
  <si>
    <t>BCML</t>
  </si>
  <si>
    <t>Babri Cotton Mills Limited</t>
  </si>
  <si>
    <t>BILF</t>
  </si>
  <si>
    <t>Bilal Fibres Limited</t>
  </si>
  <si>
    <t>BROT</t>
  </si>
  <si>
    <t>Brothers Textile Mills Limited</t>
  </si>
  <si>
    <t>CWSM</t>
  </si>
  <si>
    <t>Chakwal Spinning Mills Limited</t>
  </si>
  <si>
    <t>HIRAT</t>
  </si>
  <si>
    <t>Hira Textile Mills Limited</t>
  </si>
  <si>
    <t>CFL</t>
  </si>
  <si>
    <t>Crescent Fibres Limited</t>
  </si>
  <si>
    <t>DSML</t>
  </si>
  <si>
    <t>Dar-es-Salaam Textile Mills Limited</t>
  </si>
  <si>
    <t>DATM</t>
  </si>
  <si>
    <t>Data Textiles Limited</t>
  </si>
  <si>
    <t>DFSM</t>
  </si>
  <si>
    <t>Dewan Farooque Spinning Mills Limited</t>
  </si>
  <si>
    <t>DKTM</t>
  </si>
  <si>
    <t>Dewan Khalid Textile Mills Limited</t>
  </si>
  <si>
    <t>DMTM</t>
  </si>
  <si>
    <t>Dewan Mushtaq Textile Mills Limited</t>
  </si>
  <si>
    <t>DWTM</t>
  </si>
  <si>
    <t>Dewan Textile Mills Limited</t>
  </si>
  <si>
    <t>DINT</t>
  </si>
  <si>
    <t>Din Textile Mills Limited</t>
  </si>
  <si>
    <t>DMTX</t>
  </si>
  <si>
    <t>D.M. Textile Mills Limited</t>
  </si>
  <si>
    <t>DSIL</t>
  </si>
  <si>
    <t>D.S. Industries Limited</t>
  </si>
  <si>
    <t>ELCM</t>
  </si>
  <si>
    <t>Elahi Cotton Mills Limited</t>
  </si>
  <si>
    <t>ELSM</t>
  </si>
  <si>
    <t>Ellcot Spinning Mills Limited</t>
  </si>
  <si>
    <t>FAEL</t>
  </si>
  <si>
    <t>Fatima Enterprises Limited</t>
  </si>
  <si>
    <t>FZCM</t>
  </si>
  <si>
    <t>Fazal Cloth Mills Limited</t>
  </si>
  <si>
    <t>GADT</t>
  </si>
  <si>
    <t>Gadoon Textile Mills Limited</t>
  </si>
  <si>
    <t>GLAT</t>
  </si>
  <si>
    <t>Glamour Textile Mills Limited</t>
  </si>
  <si>
    <t>GLOT</t>
  </si>
  <si>
    <t>Globe Textile Mills Limited</t>
  </si>
  <si>
    <t>GOEM</t>
  </si>
  <si>
    <t>Globe Textile Mills (OE) Limited</t>
  </si>
  <si>
    <t>GUSM</t>
  </si>
  <si>
    <t>Gulistan Spinning Mills Limited</t>
  </si>
  <si>
    <t>GUTM</t>
  </si>
  <si>
    <t>Gulistan Textile Mills Limited</t>
  </si>
  <si>
    <t>GSPM</t>
  </si>
  <si>
    <t>Gulshan Spinning Mills Limited</t>
  </si>
  <si>
    <t>HMIM</t>
  </si>
  <si>
    <t>Haji Mohammad Ismail Mills Limited</t>
  </si>
  <si>
    <t>HAJT</t>
  </si>
  <si>
    <t>Hajra Textile Mills Limited</t>
  </si>
  <si>
    <t>IDSM</t>
  </si>
  <si>
    <t>Ideal Spinning Mills Limited</t>
  </si>
  <si>
    <t>IDRT</t>
  </si>
  <si>
    <t>Idrees Textile Mills Limited</t>
  </si>
  <si>
    <t>IDYM</t>
  </si>
  <si>
    <t>Indus Dyeing &amp; Manufacturing Co. Limited</t>
  </si>
  <si>
    <t>ISHT</t>
  </si>
  <si>
    <t>Ishtiaq Textile Mills Limited</t>
  </si>
  <si>
    <t>ILTM</t>
  </si>
  <si>
    <t>Island Textile Mills Limited</t>
  </si>
  <si>
    <t>JATM</t>
  </si>
  <si>
    <t>J.A. Textile Mills Limited</t>
  </si>
  <si>
    <t>JKSM</t>
  </si>
  <si>
    <t>J.K. Spinning Mills Limited</t>
  </si>
  <si>
    <t>JDMT</t>
  </si>
  <si>
    <t>Janana De Malucho Textile Mills Limited</t>
  </si>
  <si>
    <t>KACM</t>
  </si>
  <si>
    <t>Karim Cotton Mills Limited</t>
  </si>
  <si>
    <t>KSTM</t>
  </si>
  <si>
    <t>Khalid Siraj Textile Mills Limited</t>
  </si>
  <si>
    <t>KHSM</t>
  </si>
  <si>
    <t>Khurshid Spinning Mills Limited</t>
  </si>
  <si>
    <t>KOHTM</t>
  </si>
  <si>
    <t>Kohat Textile Mills Limited</t>
  </si>
  <si>
    <t>KOSM</t>
  </si>
  <si>
    <t>Kohinoor Spinning Mills Limited</t>
  </si>
  <si>
    <t>LMSM</t>
  </si>
  <si>
    <t>Landmark Spinning Industries Limited</t>
  </si>
  <si>
    <t>MQTM</t>
  </si>
  <si>
    <t>Maqbool Textile Mills Limited</t>
  </si>
  <si>
    <t>MDTM</t>
  </si>
  <si>
    <t>Mehr Dastgir Textile Mills Limited</t>
  </si>
  <si>
    <t>MUKT</t>
  </si>
  <si>
    <t>Mukhtar Textile Mills Limited</t>
  </si>
  <si>
    <t>NPSM</t>
  </si>
  <si>
    <t>N.P. Spinning Mills Limited</t>
  </si>
  <si>
    <t>NATM</t>
  </si>
  <si>
    <t>Nadeem Textile Mills Limited</t>
  </si>
  <si>
    <t>NAGC</t>
  </si>
  <si>
    <t>Nagina Cotton Mills Limited</t>
  </si>
  <si>
    <t>NCML</t>
  </si>
  <si>
    <t>Nazir Cotton Mills Limited</t>
  </si>
  <si>
    <t>OLSM</t>
  </si>
  <si>
    <t>Olympia Spinning &amp; Weaving Mills Limited</t>
  </si>
  <si>
    <t>PCML</t>
  </si>
  <si>
    <t>Punjab Cotton Mills Limited</t>
  </si>
  <si>
    <t>TEXTILE WEAVING</t>
  </si>
  <si>
    <t>PRET</t>
  </si>
  <si>
    <t>Premium Textile Mills Limited</t>
  </si>
  <si>
    <t>RAVT</t>
  </si>
  <si>
    <t>Ravi Textile Mills Limited</t>
  </si>
  <si>
    <t>RCML</t>
  </si>
  <si>
    <t>Reliance Cotton Spinning Mills Limited</t>
  </si>
  <si>
    <t>RUBY</t>
  </si>
  <si>
    <t>Ruby Textile Mills Limited</t>
  </si>
  <si>
    <t>SAIF</t>
  </si>
  <si>
    <t>Saif Textile Mills Limited</t>
  </si>
  <si>
    <t>SJTM</t>
  </si>
  <si>
    <t>Sajjad Textile Mills Limited</t>
  </si>
  <si>
    <t>SALT</t>
  </si>
  <si>
    <t>Salfi Textile Mills Limited</t>
  </si>
  <si>
    <t>SLYT</t>
  </si>
  <si>
    <t>Sally Textile Mills Limited</t>
  </si>
  <si>
    <t>SANE</t>
  </si>
  <si>
    <t>Salman Noman Enterprises Limited</t>
  </si>
  <si>
    <t>SNAI</t>
  </si>
  <si>
    <t>Sana Industries Limited</t>
  </si>
  <si>
    <t>SRSM</t>
  </si>
  <si>
    <t>Sargodha Spinning Mills Limited</t>
  </si>
  <si>
    <t>SSML</t>
  </si>
  <si>
    <t>Saritow Spinning Mills Limited</t>
  </si>
  <si>
    <t>SERT</t>
  </si>
  <si>
    <t>Service Industries Textiles Limited</t>
  </si>
  <si>
    <t>SHDT</t>
  </si>
  <si>
    <t>Shadab Textile Mills Limited</t>
  </si>
  <si>
    <t>SHCM</t>
  </si>
  <si>
    <t>Shadman Cotton Mills Limited</t>
  </si>
  <si>
    <t>SZTM</t>
  </si>
  <si>
    <t>Shahzad Textile Mills Limited</t>
  </si>
  <si>
    <t>SUTM</t>
  </si>
  <si>
    <t>Sunrays Textile Mills Limited</t>
  </si>
  <si>
    <t>SUCM</t>
  </si>
  <si>
    <t>Sunshine Cotton Mills Limited</t>
  </si>
  <si>
    <t>UNITY</t>
  </si>
  <si>
    <t>Unity Foods Limited</t>
  </si>
  <si>
    <t>TATM</t>
  </si>
  <si>
    <t>Tata Textile Mills Limited</t>
  </si>
  <si>
    <t>ASHT</t>
  </si>
  <si>
    <t>Ashfaq Textile Mills Limited</t>
  </si>
  <si>
    <t>HKKT</t>
  </si>
  <si>
    <t>Hakkim Textile Mills Limited</t>
  </si>
  <si>
    <t>ICCT</t>
  </si>
  <si>
    <t>ICC Textiles Limited</t>
  </si>
  <si>
    <t>MOHE</t>
  </si>
  <si>
    <t>Mohib Exports Limited</t>
  </si>
  <si>
    <t>FML</t>
  </si>
  <si>
    <t>Feroze1888 Mills Limited</t>
  </si>
  <si>
    <t>PRWM</t>
  </si>
  <si>
    <t>Prosperity Weaving Mills Limited</t>
  </si>
  <si>
    <t>SDOT</t>
  </si>
  <si>
    <t>Sadoon Textile Industries Limited</t>
  </si>
  <si>
    <t>SDIL</t>
  </si>
  <si>
    <t>Saleem Denim Industries Limited</t>
  </si>
  <si>
    <t>SMTM</t>
  </si>
  <si>
    <t>Samin Textiles Limited</t>
  </si>
  <si>
    <t>SERF</t>
  </si>
  <si>
    <t>Service Fabrics Limited</t>
  </si>
  <si>
    <t>STJT</t>
  </si>
  <si>
    <t>Shahtaj Textile Limited</t>
  </si>
  <si>
    <t>YOUW</t>
  </si>
  <si>
    <t>Yousaf Weaving Mills Limited</t>
  </si>
  <si>
    <t>ZTL</t>
  </si>
  <si>
    <t>Zephyr Textiles Limited</t>
  </si>
  <si>
    <t>AHTM</t>
  </si>
  <si>
    <t>Ahmad Hassan Textile Mills Limited</t>
  </si>
  <si>
    <t>TEXTILE COMPOSITE</t>
  </si>
  <si>
    <t>ADMM</t>
  </si>
  <si>
    <t>Artistic Denim Mills Limited</t>
  </si>
  <si>
    <t>ARUJ</t>
  </si>
  <si>
    <t>Aruj Industries Limited</t>
  </si>
  <si>
    <t>BHAT</t>
  </si>
  <si>
    <t>Bhanero Textile Mills Limited</t>
  </si>
  <si>
    <t>CHBL</t>
  </si>
  <si>
    <t>Chenab Limited</t>
  </si>
  <si>
    <t>CLCPS</t>
  </si>
  <si>
    <t>Chenab Limited Preference Shares</t>
  </si>
  <si>
    <t>COST</t>
  </si>
  <si>
    <t>(Colony) Sarhad Textile Mills Limited</t>
  </si>
  <si>
    <t>COTT</t>
  </si>
  <si>
    <t>(Colony) Thal Textile Mills Limited</t>
  </si>
  <si>
    <t>CRTM</t>
  </si>
  <si>
    <t>The Crescent Textile Mills Limited</t>
  </si>
  <si>
    <t>NCL</t>
  </si>
  <si>
    <t>DLL</t>
  </si>
  <si>
    <t>Dawood Lawrencepur Limited</t>
  </si>
  <si>
    <t>REWM</t>
  </si>
  <si>
    <t>Reliance Weaving Mills Limited</t>
  </si>
  <si>
    <t>FSWL</t>
  </si>
  <si>
    <t>Fateh Sports Wear Limited</t>
  </si>
  <si>
    <t>FTHM</t>
  </si>
  <si>
    <t>Fateh Textile Mills Limited</t>
  </si>
  <si>
    <t>GFIL</t>
  </si>
  <si>
    <t>Ghazi Fabrics International Limited</t>
  </si>
  <si>
    <t>GATM</t>
  </si>
  <si>
    <t>HAFL</t>
  </si>
  <si>
    <t>Hafiz Limited</t>
  </si>
  <si>
    <t>HAEL</t>
  </si>
  <si>
    <t>Hala Enterprises Limited</t>
  </si>
  <si>
    <t>HATM</t>
  </si>
  <si>
    <t>Hamid Textile Mills Limited</t>
  </si>
  <si>
    <t>HUSI</t>
  </si>
  <si>
    <t>Husein Industries Limited</t>
  </si>
  <si>
    <t>INKL</t>
  </si>
  <si>
    <t>International Knitwear Limited</t>
  </si>
  <si>
    <t>ISTM</t>
  </si>
  <si>
    <t>Ishaq Textile Mills Limited</t>
  </si>
  <si>
    <t>JUBS</t>
  </si>
  <si>
    <t>Jubilee Spinning &amp; Weaving Mills Ltd.</t>
  </si>
  <si>
    <t>KAKL</t>
  </si>
  <si>
    <t>Kaiser Arts &amp; Krafts Limited</t>
  </si>
  <si>
    <t>KHYT</t>
  </si>
  <si>
    <t>Khyber Textile Mills Limited</t>
  </si>
  <si>
    <t>KML</t>
  </si>
  <si>
    <t>Kohinoor Mills Limited</t>
  </si>
  <si>
    <t>KOIL</t>
  </si>
  <si>
    <t>Kohinoor Industries Limited</t>
  </si>
  <si>
    <t>BTL</t>
  </si>
  <si>
    <t>Blessed Textiles Limited</t>
  </si>
  <si>
    <t>KTML</t>
  </si>
  <si>
    <t>ANL</t>
  </si>
  <si>
    <t>Azgard Nine Limited</t>
  </si>
  <si>
    <t>MEHT</t>
  </si>
  <si>
    <t>Mahmood Textile Mills Limited</t>
  </si>
  <si>
    <t>ANLPS</t>
  </si>
  <si>
    <t>Azgard Nine (Preference) 8.95%</t>
  </si>
  <si>
    <t>ANLNV</t>
  </si>
  <si>
    <t>Azgard Nine Non-Voting Ordinary Shares</t>
  </si>
  <si>
    <t>MTIL</t>
  </si>
  <si>
    <t>Mian Textile Industries Limited</t>
  </si>
  <si>
    <t>MFTM</t>
  </si>
  <si>
    <t>Mohammad Farooq Textile Mills Limited</t>
  </si>
  <si>
    <t>MUBT</t>
  </si>
  <si>
    <t>Mubarak Textile Mills Limited</t>
  </si>
  <si>
    <t>NINA</t>
  </si>
  <si>
    <t>Nina Industries Limited</t>
  </si>
  <si>
    <t>NML</t>
  </si>
  <si>
    <t>REDCO</t>
  </si>
  <si>
    <t>Redco Textiles Limited</t>
  </si>
  <si>
    <t>SFAT</t>
  </si>
  <si>
    <t>Safa Textiles Limited</t>
  </si>
  <si>
    <t>SFL</t>
  </si>
  <si>
    <t>Sapphire Fibres Limited</t>
  </si>
  <si>
    <t>SCHT</t>
  </si>
  <si>
    <t>Schon Textiles Limited</t>
  </si>
  <si>
    <t>SFLL</t>
  </si>
  <si>
    <t>SFL Limited</t>
  </si>
  <si>
    <t>STML</t>
  </si>
  <si>
    <t>Shams Textile Mills Limited</t>
  </si>
  <si>
    <t>SURC</t>
  </si>
  <si>
    <t>Suraj Cotton Mills Limited</t>
  </si>
  <si>
    <t>TAJT</t>
  </si>
  <si>
    <t>Taj Textile Mills Limited</t>
  </si>
  <si>
    <t>TOWL</t>
  </si>
  <si>
    <t>Towellers Limited</t>
  </si>
  <si>
    <t>USMT</t>
  </si>
  <si>
    <t>Usman Textile Mills Limited</t>
  </si>
  <si>
    <t>ZAHID</t>
  </si>
  <si>
    <t>Zahidjee Textile Mills Limited</t>
  </si>
  <si>
    <t>ZHCM</t>
  </si>
  <si>
    <t>Zahur Cotton Mills Limited</t>
  </si>
  <si>
    <t>FASM</t>
  </si>
  <si>
    <t>Faisal Spinning Mills Limited</t>
  </si>
  <si>
    <t>MSOT</t>
  </si>
  <si>
    <t>Masood Textile Mills Limited</t>
  </si>
  <si>
    <t>MSOTPS</t>
  </si>
  <si>
    <t>Masood Textile Preference</t>
  </si>
  <si>
    <t>PASM</t>
  </si>
  <si>
    <t>Paramount Spinning Mills Limited</t>
  </si>
  <si>
    <t>QUET</t>
  </si>
  <si>
    <t>Quetta Textile Mills Limited</t>
  </si>
  <si>
    <t>SAPT</t>
  </si>
  <si>
    <t>Sapphire Textile Mills Limited</t>
  </si>
  <si>
    <t>BNWM</t>
  </si>
  <si>
    <t>Bannu Woollen Mills Limited</t>
  </si>
  <si>
    <t>WOOLLEN</t>
  </si>
  <si>
    <t>MOON</t>
  </si>
  <si>
    <t>Moonlite (Pak) Limited</t>
  </si>
  <si>
    <t>AGL</t>
  </si>
  <si>
    <t>Agritech Limited</t>
  </si>
  <si>
    <t>CHEMICAL</t>
  </si>
  <si>
    <t>AGLNCPS</t>
  </si>
  <si>
    <t>Agritech Non-Voting Pref Class 'A"</t>
  </si>
  <si>
    <t>AASM</t>
  </si>
  <si>
    <t>Al-Abid Silk Mills Limited</t>
  </si>
  <si>
    <t>SYNTHETIC &amp; RAYON</t>
  </si>
  <si>
    <t>DSFL</t>
  </si>
  <si>
    <t>Dewan Salman Fibre Limited</t>
  </si>
  <si>
    <t>GATI</t>
  </si>
  <si>
    <t>Gatron (Industries) Limited</t>
  </si>
  <si>
    <t>IBFL</t>
  </si>
  <si>
    <t>Ibrahim Fibres Limited</t>
  </si>
  <si>
    <t>NAFL</t>
  </si>
  <si>
    <t>National Fibres Limited</t>
  </si>
  <si>
    <t>NSRM</t>
  </si>
  <si>
    <t>The National Silk &amp; Rayon Mills Limited</t>
  </si>
  <si>
    <t>NORS</t>
  </si>
  <si>
    <t>Noor Silk Mills Limited</t>
  </si>
  <si>
    <t>PSYL</t>
  </si>
  <si>
    <t>Pakistan Synthetics Limited</t>
  </si>
  <si>
    <t>RUPL</t>
  </si>
  <si>
    <t>Rupali Polyester Limited</t>
  </si>
  <si>
    <t>SGABL</t>
  </si>
  <si>
    <t>SG.Allied Businsses Limited</t>
  </si>
  <si>
    <t>TRPOL</t>
  </si>
  <si>
    <t>Tri-Star Polyester Limited</t>
  </si>
  <si>
    <t>CJPL</t>
  </si>
  <si>
    <t>Crescent Jute Products Limited</t>
  </si>
  <si>
    <t>JUTE</t>
  </si>
  <si>
    <t>SUHJ</t>
  </si>
  <si>
    <t>Suhail Jute Mills Limited</t>
  </si>
  <si>
    <t>THALL</t>
  </si>
  <si>
    <t>Thal Limited</t>
  </si>
  <si>
    <t>AUTOMOBILE PARTS &amp; ACCESSORIES</t>
  </si>
  <si>
    <t>ADAMS</t>
  </si>
  <si>
    <t>Adam Sugar Mills Limited</t>
  </si>
  <si>
    <t>SUGAR &amp; ALLIED INDUSTRIES</t>
  </si>
  <si>
    <t>AABS</t>
  </si>
  <si>
    <t>Al-Abbas Sugar Mills Limited</t>
  </si>
  <si>
    <t>AGSML</t>
  </si>
  <si>
    <t>Abdullah Shah Ghazi Sugar Mills Limited</t>
  </si>
  <si>
    <t>ALNRS</t>
  </si>
  <si>
    <t>Al-Noor Sugar Mills Limited</t>
  </si>
  <si>
    <t>ANSM</t>
  </si>
  <si>
    <t>Ansari Sugar Mills Limited</t>
  </si>
  <si>
    <t>BAFS</t>
  </si>
  <si>
    <t>Baba Farid Sugar Mills Limited</t>
  </si>
  <si>
    <t>SLSO</t>
  </si>
  <si>
    <t>Saleem Sugar Mills Limited</t>
  </si>
  <si>
    <t>SLSOPVI</t>
  </si>
  <si>
    <t>Saleem Sugar Mills Ltd. (P) 6%</t>
  </si>
  <si>
    <t>SLSOPP</t>
  </si>
  <si>
    <t>Saleem Suger Mills Limited (Pp)</t>
  </si>
  <si>
    <t>CHAS</t>
  </si>
  <si>
    <t>Chashma Sugar Mills Limited</t>
  </si>
  <si>
    <t>IMSL</t>
  </si>
  <si>
    <t>Imperial Sugar Limited</t>
  </si>
  <si>
    <t>CCM</t>
  </si>
  <si>
    <t>Crescent Cotton Mills Limited</t>
  </si>
  <si>
    <t>DWSM</t>
  </si>
  <si>
    <t>Dewan Sugar Mills Limited</t>
  </si>
  <si>
    <t>EFOODS</t>
  </si>
  <si>
    <t>Engro Foods Limited</t>
  </si>
  <si>
    <t>FOOD &amp; PERSONAL CARE PRODUCTS</t>
  </si>
  <si>
    <t>FRSM</t>
  </si>
  <si>
    <t>Faran Sugar Mills Limited</t>
  </si>
  <si>
    <t>HABSM</t>
  </si>
  <si>
    <t>Habib Sugar Mills Limited</t>
  </si>
  <si>
    <t>HAL</t>
  </si>
  <si>
    <t>Habib-ADM Limited</t>
  </si>
  <si>
    <t>HWQS</t>
  </si>
  <si>
    <t>Haseeb Waqas Sugar Mills Limited</t>
  </si>
  <si>
    <t>HSM</t>
  </si>
  <si>
    <t>Husein Sugar Mills Limited</t>
  </si>
  <si>
    <t>JDWS</t>
  </si>
  <si>
    <t>JDW Sugar Mills Limited</t>
  </si>
  <si>
    <t>KPUS</t>
  </si>
  <si>
    <t>Khairpur Sugar Mills Limited</t>
  </si>
  <si>
    <t>JSML</t>
  </si>
  <si>
    <t>Jauharabad Sugar Mills Limited</t>
  </si>
  <si>
    <t>MRNS</t>
  </si>
  <si>
    <t>Mehran Sugar Mills Limited</t>
  </si>
  <si>
    <t>MIRKS</t>
  </si>
  <si>
    <t>Mirpurkhas Sugar Mills Limited</t>
  </si>
  <si>
    <t>MZSM</t>
  </si>
  <si>
    <t>Mirza Sugar Mills Limited</t>
  </si>
  <si>
    <t>NONS</t>
  </si>
  <si>
    <t>Noon Sugar Mills Limited</t>
  </si>
  <si>
    <t>PNGRS</t>
  </si>
  <si>
    <t>Pangrio Sugar Mills Limited</t>
  </si>
  <si>
    <t>PMRS</t>
  </si>
  <si>
    <t>The Premier Sugar Mills &amp; Distillery Company Limited</t>
  </si>
  <si>
    <t>SKRS</t>
  </si>
  <si>
    <t>Sakrand Sugar Mills Limited</t>
  </si>
  <si>
    <t>SANSM</t>
  </si>
  <si>
    <t>Sanghar Sugar Mills Limited</t>
  </si>
  <si>
    <t>SHJS</t>
  </si>
  <si>
    <t>Shahtaj Sugar Mills Limited</t>
  </si>
  <si>
    <t>SHSML</t>
  </si>
  <si>
    <t>Shahmurad Sugar Mills Limited</t>
  </si>
  <si>
    <t>SML</t>
  </si>
  <si>
    <t>Shakarganj Limited</t>
  </si>
  <si>
    <t>SASML</t>
  </si>
  <si>
    <t>Sindh Abadgar's Sugar Mills Limited</t>
  </si>
  <si>
    <t>TSML</t>
  </si>
  <si>
    <t>Tandlianwala Sugar Mills Limited</t>
  </si>
  <si>
    <t>TICL</t>
  </si>
  <si>
    <t>The Thal Industries Corporation Limited</t>
  </si>
  <si>
    <t>ACPL</t>
  </si>
  <si>
    <t>CEMENT</t>
  </si>
  <si>
    <t>BWCL</t>
  </si>
  <si>
    <t>Bestway Cement Limited</t>
  </si>
  <si>
    <t>CHCC</t>
  </si>
  <si>
    <t>DBCI</t>
  </si>
  <si>
    <t>Dadabhoy Cement Industries Limited</t>
  </si>
  <si>
    <t>DNCC</t>
  </si>
  <si>
    <t>Dandot Cement Company Limited</t>
  </si>
  <si>
    <t>DGKC</t>
  </si>
  <si>
    <t>AKZO</t>
  </si>
  <si>
    <t>Akzo Nobel Pakistan Limited</t>
  </si>
  <si>
    <t>POWER</t>
  </si>
  <si>
    <t>Power Cement Limited</t>
  </si>
  <si>
    <t>FCCL</t>
  </si>
  <si>
    <t>FECTC</t>
  </si>
  <si>
    <t>Fecto Cement Limited</t>
  </si>
  <si>
    <t>FLYNG</t>
  </si>
  <si>
    <t>Flying Cement Company Limited</t>
  </si>
  <si>
    <t>GWLC</t>
  </si>
  <si>
    <t>Gharibwal Cement Limited</t>
  </si>
  <si>
    <t>JVDC</t>
  </si>
  <si>
    <t>Javedan Corporation Limited</t>
  </si>
  <si>
    <t>JVDCPS</t>
  </si>
  <si>
    <t>Javedan Corporation Preference</t>
  </si>
  <si>
    <t>KOHC</t>
  </si>
  <si>
    <t>LUCK</t>
  </si>
  <si>
    <t>MLCF</t>
  </si>
  <si>
    <t>DCL</t>
  </si>
  <si>
    <t>Dewan Cement Limited</t>
  </si>
  <si>
    <t>PIOC</t>
  </si>
  <si>
    <t>SMCPL</t>
  </si>
  <si>
    <t>Safe Mix Concrete Limited (Formerly Safe Mix Concrete Products Ltd.)</t>
  </si>
  <si>
    <t>THCCL</t>
  </si>
  <si>
    <t>ZELP</t>
  </si>
  <si>
    <t>Zeal Pak Cement Factory Limited</t>
  </si>
  <si>
    <t>KHTC</t>
  </si>
  <si>
    <t>Khyber Tobacco Company Limited</t>
  </si>
  <si>
    <t>TOBACCO</t>
  </si>
  <si>
    <t>PMPK</t>
  </si>
  <si>
    <t>Philip Morris (Pakistan) Limited</t>
  </si>
  <si>
    <t>PAKT</t>
  </si>
  <si>
    <t>Pakistan Tobacco Company Limited</t>
  </si>
  <si>
    <t>ATRL</t>
  </si>
  <si>
    <t>REFINERY</t>
  </si>
  <si>
    <t>BYCO</t>
  </si>
  <si>
    <t>Byco Petroleum Pakistan Limited</t>
  </si>
  <si>
    <t>NRL</t>
  </si>
  <si>
    <t>PRL</t>
  </si>
  <si>
    <t>Pakistan Refinery Limited</t>
  </si>
  <si>
    <t>ALTN</t>
  </si>
  <si>
    <t>POWER GENERATION &amp; DISTRIBUTION</t>
  </si>
  <si>
    <t>EPQL</t>
  </si>
  <si>
    <t>Engro Powergen Qadirpur Limited</t>
  </si>
  <si>
    <t>GENP</t>
  </si>
  <si>
    <t>Genertech Pakistan Limited</t>
  </si>
  <si>
    <t>AEL</t>
  </si>
  <si>
    <t>Arshad Energy Limited</t>
  </si>
  <si>
    <t>JPGL</t>
  </si>
  <si>
    <t>Japan Power Generation Limited</t>
  </si>
  <si>
    <t>HUBC</t>
  </si>
  <si>
    <t>KEL</t>
  </si>
  <si>
    <t>KOHE</t>
  </si>
  <si>
    <t>Kohinoor Energy Limited</t>
  </si>
  <si>
    <t>KOHP</t>
  </si>
  <si>
    <t>Kohinoor Power Company Limited</t>
  </si>
  <si>
    <t>LPL</t>
  </si>
  <si>
    <t>KAPCO</t>
  </si>
  <si>
    <t>NCPL</t>
  </si>
  <si>
    <t>Nishat Chunian Power Limited</t>
  </si>
  <si>
    <t>NPL</t>
  </si>
  <si>
    <t>PKGP</t>
  </si>
  <si>
    <t>SPWL</t>
  </si>
  <si>
    <t>Saif Power Limited</t>
  </si>
  <si>
    <t>SGPL</t>
  </si>
  <si>
    <t>S.G. Power Limited</t>
  </si>
  <si>
    <t>SEL</t>
  </si>
  <si>
    <t>Sitara Energy Limited</t>
  </si>
  <si>
    <t>SEPCO</t>
  </si>
  <si>
    <t>Southern Electric Power Company Limited</t>
  </si>
  <si>
    <t>TSPL</t>
  </si>
  <si>
    <t>Tri-Star Power Limited</t>
  </si>
  <si>
    <t>APL</t>
  </si>
  <si>
    <t>OIL &amp; GAS MARKETING COMPANIES</t>
  </si>
  <si>
    <t>PSO</t>
  </si>
  <si>
    <t>BPL</t>
  </si>
  <si>
    <t>Burshane LPG (Pakistan) Limited</t>
  </si>
  <si>
    <t>SHEL</t>
  </si>
  <si>
    <t>SSGC</t>
  </si>
  <si>
    <t>SNGP</t>
  </si>
  <si>
    <t>HASCOL</t>
  </si>
  <si>
    <t>HTL</t>
  </si>
  <si>
    <t>MARI</t>
  </si>
  <si>
    <t>OIL &amp; GAS EXPLORATION COMPANIES</t>
  </si>
  <si>
    <t>OGDC</t>
  </si>
  <si>
    <t>POL</t>
  </si>
  <si>
    <t>PPL</t>
  </si>
  <si>
    <t>ADOS</t>
  </si>
  <si>
    <t>Ados Pakistan Limited</t>
  </si>
  <si>
    <t>ASL</t>
  </si>
  <si>
    <t>Aisha Steel Mills Limited</t>
  </si>
  <si>
    <t>ASLPS</t>
  </si>
  <si>
    <t>Aisha Steel Convertible Pref Shares</t>
  </si>
  <si>
    <t>ASLCPS</t>
  </si>
  <si>
    <t>Aisha Steel Convt Pref Right</t>
  </si>
  <si>
    <t>ASTL</t>
  </si>
  <si>
    <t>Amreli Steels Limited</t>
  </si>
  <si>
    <t>BCL</t>
  </si>
  <si>
    <t>Bolan Castings Limited</t>
  </si>
  <si>
    <t>DADX</t>
  </si>
  <si>
    <t>Dadex Eternit Limited</t>
  </si>
  <si>
    <t>DSL</t>
  </si>
  <si>
    <t>Dost Steels Limited</t>
  </si>
  <si>
    <t>CSAP</t>
  </si>
  <si>
    <t>DKL</t>
  </si>
  <si>
    <t>Drekkar Kingsway Limited</t>
  </si>
  <si>
    <t>HSPI</t>
  </si>
  <si>
    <t>Huffaz Seamless Pipe Industries Limited</t>
  </si>
  <si>
    <t>INIL</t>
  </si>
  <si>
    <t>ISL</t>
  </si>
  <si>
    <t>ITTEFAQ</t>
  </si>
  <si>
    <t>KSBP</t>
  </si>
  <si>
    <t>KSB Pumps Company Limited</t>
  </si>
  <si>
    <t>MUGHAL</t>
  </si>
  <si>
    <t>Mughal Iron &amp; Steel Industries Limited</t>
  </si>
  <si>
    <t>MSCL</t>
  </si>
  <si>
    <t>Metropolitan Steel Corporation Limited</t>
  </si>
  <si>
    <t>PECO</t>
  </si>
  <si>
    <t>Pakistan Engineering Company Limited</t>
  </si>
  <si>
    <t>QUSW</t>
  </si>
  <si>
    <t>Quality Steel Works Limited</t>
  </si>
  <si>
    <t>AGTL</t>
  </si>
  <si>
    <t>Al-Ghazi Tractors Limited</t>
  </si>
  <si>
    <t>ATLH</t>
  </si>
  <si>
    <t>Atlas Honda Limited</t>
  </si>
  <si>
    <t>DFML</t>
  </si>
  <si>
    <t>Dewan Farooque Motors Limited</t>
  </si>
  <si>
    <t>GAIL</t>
  </si>
  <si>
    <t>Ghani Automobile Industries Limited</t>
  </si>
  <si>
    <t>GHNI</t>
  </si>
  <si>
    <t>Ghandhara Industries Limited</t>
  </si>
  <si>
    <t>GHNL</t>
  </si>
  <si>
    <t>HINO</t>
  </si>
  <si>
    <t>Hinopak Motors Limited</t>
  </si>
  <si>
    <t>HCAR</t>
  </si>
  <si>
    <t>INDU</t>
  </si>
  <si>
    <t>MTL</t>
  </si>
  <si>
    <t>Millat Tractors Limited</t>
  </si>
  <si>
    <t>PSMC</t>
  </si>
  <si>
    <t>SAZEW</t>
  </si>
  <si>
    <t>AGIL</t>
  </si>
  <si>
    <t>Agriauto Industries Limited</t>
  </si>
  <si>
    <t>DWAE</t>
  </si>
  <si>
    <t>Dewan Automotive Engineering Limited</t>
  </si>
  <si>
    <t>ATBA</t>
  </si>
  <si>
    <t>Atlas Battery Limited</t>
  </si>
  <si>
    <t>BWHL</t>
  </si>
  <si>
    <t>BELA</t>
  </si>
  <si>
    <t>Bela Automotives Limited</t>
  </si>
  <si>
    <t>EXIDE</t>
  </si>
  <si>
    <t>Exide Pakistan Limited</t>
  </si>
  <si>
    <t>GTYR</t>
  </si>
  <si>
    <t>The General Tyre &amp; Rubber Company of Pakistan Limited</t>
  </si>
  <si>
    <t>LOADS</t>
  </si>
  <si>
    <t>Loads Limited</t>
  </si>
  <si>
    <t>TREI</t>
  </si>
  <si>
    <t>Transmission Engineering Industries Limited</t>
  </si>
  <si>
    <t>CECL</t>
  </si>
  <si>
    <t>The Climax Engineering Company Limited</t>
  </si>
  <si>
    <t>CABLE &amp; ELECTRICAL GOODS</t>
  </si>
  <si>
    <t>JOPP</t>
  </si>
  <si>
    <t>Johnson &amp; Phillips (Pakistan) Limited</t>
  </si>
  <si>
    <t>PCAL</t>
  </si>
  <si>
    <t>Pakistan Cables Limited</t>
  </si>
  <si>
    <t>PAEL</t>
  </si>
  <si>
    <t>PELPS</t>
  </si>
  <si>
    <t>Pak Elektron Preference</t>
  </si>
  <si>
    <t>TPL</t>
  </si>
  <si>
    <t>TPL Corp Limited</t>
  </si>
  <si>
    <t>AVN</t>
  </si>
  <si>
    <t>TECHNOLOGY &amp; COMMUNICATION</t>
  </si>
  <si>
    <t>SING</t>
  </si>
  <si>
    <t>Singer Pakistan Limited</t>
  </si>
  <si>
    <t>SIEM</t>
  </si>
  <si>
    <t>Siemens (Pakistan) Engineering Company Ltd.</t>
  </si>
  <si>
    <t>SPEL</t>
  </si>
  <si>
    <t>Synthetic Products Enterprises Limited</t>
  </si>
  <si>
    <t>MISCELLANEOUS</t>
  </si>
  <si>
    <t>PNSC</t>
  </si>
  <si>
    <t>Pakistan National Shipping Corporation Limited</t>
  </si>
  <si>
    <t>TRANSPORT</t>
  </si>
  <si>
    <t>PIBTL</t>
  </si>
  <si>
    <t>Pakistan International Bulk Terminal Limited</t>
  </si>
  <si>
    <t>PICT</t>
  </si>
  <si>
    <t>Pakistan International Container Terminal Limited</t>
  </si>
  <si>
    <t>PIAA</t>
  </si>
  <si>
    <t>Pakistan International Airlines Corporation Limited</t>
  </si>
  <si>
    <t>PIAB</t>
  </si>
  <si>
    <t>HUMNL</t>
  </si>
  <si>
    <t>NETSOL</t>
  </si>
  <si>
    <t>NetSol Technologies Limited</t>
  </si>
  <si>
    <t>PAKD</t>
  </si>
  <si>
    <t>Pak Datacom Limited</t>
  </si>
  <si>
    <t>MDTL</t>
  </si>
  <si>
    <t>Media Times Limited</t>
  </si>
  <si>
    <t>SYS</t>
  </si>
  <si>
    <t>PTC</t>
  </si>
  <si>
    <t>Pakistan Telecommunication Company Ltd</t>
  </si>
  <si>
    <t>TRG</t>
  </si>
  <si>
    <t>TRG Pakistan Limited</t>
  </si>
  <si>
    <t>TELE</t>
  </si>
  <si>
    <t>Telecard Limited</t>
  </si>
  <si>
    <t>WTL</t>
  </si>
  <si>
    <t>Worldcall Telecom Limited</t>
  </si>
  <si>
    <t>DAWH</t>
  </si>
  <si>
    <t>ENGRO</t>
  </si>
  <si>
    <t>EFERT</t>
  </si>
  <si>
    <t>FFBL</t>
  </si>
  <si>
    <t>Fauji Fertilizer Bin Qasim Limited</t>
  </si>
  <si>
    <t>FFC</t>
  </si>
  <si>
    <t>ABOT</t>
  </si>
  <si>
    <t>Abbott Laboratories (Pakistan) Limited</t>
  </si>
  <si>
    <t>PHARMACEUTICALS</t>
  </si>
  <si>
    <t>FEROZ</t>
  </si>
  <si>
    <t>GLAXO</t>
  </si>
  <si>
    <t>GlaxoSmithKline Pakistan Limited</t>
  </si>
  <si>
    <t>GSKCH</t>
  </si>
  <si>
    <t>GlaxoSmithKline Consumer Healthcare Pakistan Limited</t>
  </si>
  <si>
    <t>HINOON</t>
  </si>
  <si>
    <t>Highnoon Laboratories Limited</t>
  </si>
  <si>
    <t>SAPL</t>
  </si>
  <si>
    <t>Sanofi-Aventis Pakistan Limited</t>
  </si>
  <si>
    <t>OTSU</t>
  </si>
  <si>
    <t>Otsuka Pakistan Limited</t>
  </si>
  <si>
    <t>SEARL</t>
  </si>
  <si>
    <t>WYETH</t>
  </si>
  <si>
    <t>Wyeth Pakistan Limited</t>
  </si>
  <si>
    <t>BAPL</t>
  </si>
  <si>
    <t>Bawany Air Products Limited</t>
  </si>
  <si>
    <t>BIFO</t>
  </si>
  <si>
    <t>Biafo Industries Limited</t>
  </si>
  <si>
    <t>BERG</t>
  </si>
  <si>
    <t>Berger Paints Pakistan Limited</t>
  </si>
  <si>
    <t>BUXL</t>
  </si>
  <si>
    <t>Buxly Paints Limited</t>
  </si>
  <si>
    <t>ARPL</t>
  </si>
  <si>
    <t>COLG</t>
  </si>
  <si>
    <t>Colgate-Palmolive (Pakistan) Limited</t>
  </si>
  <si>
    <t>CTM</t>
  </si>
  <si>
    <t>Colony Textile Mills Limited</t>
  </si>
  <si>
    <t>DOL</t>
  </si>
  <si>
    <t>Descon Oxychem Limited</t>
  </si>
  <si>
    <t>DOLCPS</t>
  </si>
  <si>
    <t>Descon Oxychem Limited (12%Non-Voting Preference Shares)</t>
  </si>
  <si>
    <t>DAAG</t>
  </si>
  <si>
    <t>Data Agro Limited</t>
  </si>
  <si>
    <t>DYNO</t>
  </si>
  <si>
    <t>Dynea Pakistan Limited</t>
  </si>
  <si>
    <t>EPCL</t>
  </si>
  <si>
    <t>Engro Polymer &amp; Chemicals Limited</t>
  </si>
  <si>
    <t>FATIMA</t>
  </si>
  <si>
    <t>GGL</t>
  </si>
  <si>
    <t>Ghani Gases Limited</t>
  </si>
  <si>
    <t>ICI</t>
  </si>
  <si>
    <t>ICI Pakistan Limited</t>
  </si>
  <si>
    <t>ICL</t>
  </si>
  <si>
    <t>Ittehad Chemicals Limted</t>
  </si>
  <si>
    <t>LPGL</t>
  </si>
  <si>
    <t>Leiner Pak Gelatine Limited</t>
  </si>
  <si>
    <t>PGCL</t>
  </si>
  <si>
    <t>Pakistan Gum &amp; Chemicals Limited</t>
  </si>
  <si>
    <t>LOTCHEM</t>
  </si>
  <si>
    <t>Lotte Chemical Pakistan Limited</t>
  </si>
  <si>
    <t>PPVC</t>
  </si>
  <si>
    <t>Pakistan PVC Limited</t>
  </si>
  <si>
    <t>NICL</t>
  </si>
  <si>
    <t>Nimir Industrial Chemicals Limited</t>
  </si>
  <si>
    <t>LINDE</t>
  </si>
  <si>
    <t>Linde Pakistan Limited</t>
  </si>
  <si>
    <t>NRSL</t>
  </si>
  <si>
    <t>Nimir Resins Limited</t>
  </si>
  <si>
    <t>SARC</t>
  </si>
  <si>
    <t>Sardar Chemical Industries Limited</t>
  </si>
  <si>
    <t>SHCI</t>
  </si>
  <si>
    <t>Shaffi Chemical Industries Limited</t>
  </si>
  <si>
    <t>SITC</t>
  </si>
  <si>
    <t>Sitara Chemical Industries Limited</t>
  </si>
  <si>
    <t>SPL</t>
  </si>
  <si>
    <t>Sitara Peroxide Limited</t>
  </si>
  <si>
    <t>WAHN</t>
  </si>
  <si>
    <t>Wah Noble Chemicals Limited</t>
  </si>
  <si>
    <t>ABSON</t>
  </si>
  <si>
    <t>Abson Industries Limited</t>
  </si>
  <si>
    <t>PAPER &amp; BOARD</t>
  </si>
  <si>
    <t>BPBL</t>
  </si>
  <si>
    <t>Balochistan Particle Board Limited</t>
  </si>
  <si>
    <t>CEPB</t>
  </si>
  <si>
    <t>Century Paper &amp; Board Mills Limited</t>
  </si>
  <si>
    <t>CPPL</t>
  </si>
  <si>
    <t>DBSL</t>
  </si>
  <si>
    <t>Dadabhoy Sack Limited</t>
  </si>
  <si>
    <t>MERIT</t>
  </si>
  <si>
    <t>Merit Packaging Limited</t>
  </si>
  <si>
    <t>PKGS</t>
  </si>
  <si>
    <t>Packages Limited</t>
  </si>
  <si>
    <t>PPP</t>
  </si>
  <si>
    <t>Pakistan Paper Products Limited</t>
  </si>
  <si>
    <t>RPL</t>
  </si>
  <si>
    <t>Roshan Packages Limited</t>
  </si>
  <si>
    <t>SEPL</t>
  </si>
  <si>
    <t>Security Papers Limited</t>
  </si>
  <si>
    <t>EXTR</t>
  </si>
  <si>
    <t>Extraction (Pakistan) Limited</t>
  </si>
  <si>
    <t>VANASPATI &amp; ALLIED INDUSTRIES</t>
  </si>
  <si>
    <t>MOIL</t>
  </si>
  <si>
    <t>Morafco Industries Limited</t>
  </si>
  <si>
    <t>POML</t>
  </si>
  <si>
    <t>Punjab Oil Mills Limited</t>
  </si>
  <si>
    <t>SSOM</t>
  </si>
  <si>
    <t>S.S.Oil Mills Limited</t>
  </si>
  <si>
    <t>SURAJ</t>
  </si>
  <si>
    <t>Suraj Ghee Industries Limited</t>
  </si>
  <si>
    <t>BATA</t>
  </si>
  <si>
    <t>Bata Pakistan Limited</t>
  </si>
  <si>
    <t>LEATHER &amp; TANNERIES</t>
  </si>
  <si>
    <t>FIL</t>
  </si>
  <si>
    <t>Fateh Industries Limited</t>
  </si>
  <si>
    <t>LEUL</t>
  </si>
  <si>
    <t>Leather Up Limited</t>
  </si>
  <si>
    <t>PAKL</t>
  </si>
  <si>
    <t>Pak Leather Crafts Limited</t>
  </si>
  <si>
    <t>SRVI</t>
  </si>
  <si>
    <t>ASC</t>
  </si>
  <si>
    <t>CLOV</t>
  </si>
  <si>
    <t>Clover Pakistan Limited</t>
  </si>
  <si>
    <t>GLPL</t>
  </si>
  <si>
    <t>Gillette Pakistan Limited</t>
  </si>
  <si>
    <t>GIL</t>
  </si>
  <si>
    <t>Good Luck Industries Ltd.</t>
  </si>
  <si>
    <t>IBLHL</t>
  </si>
  <si>
    <t>IBL HealthCare Limited</t>
  </si>
  <si>
    <t>MACTER</t>
  </si>
  <si>
    <t>Macter International Limited</t>
  </si>
  <si>
    <t>ISIL</t>
  </si>
  <si>
    <t>Ismail Industries Limited</t>
  </si>
  <si>
    <t>NESTLE</t>
  </si>
  <si>
    <t>Nestle Pakistan Limited</t>
  </si>
  <si>
    <t>MFFL</t>
  </si>
  <si>
    <t>Mitchell's Fruit Farms Limited</t>
  </si>
  <si>
    <t>MUREB</t>
  </si>
  <si>
    <t>Murree Brewery Company Limited</t>
  </si>
  <si>
    <t>NATF</t>
  </si>
  <si>
    <t>National Foods Limited</t>
  </si>
  <si>
    <t>FFL</t>
  </si>
  <si>
    <t>Fauji Foods Limited</t>
  </si>
  <si>
    <t>FFLNV</t>
  </si>
  <si>
    <t>Fauji Foods Non Voting</t>
  </si>
  <si>
    <t>QUICE</t>
  </si>
  <si>
    <t>Quice Food Industries Limited</t>
  </si>
  <si>
    <t>UPFL</t>
  </si>
  <si>
    <t>Unilever Pakistan Foods Limited</t>
  </si>
  <si>
    <t>RMPL</t>
  </si>
  <si>
    <t>Rafhan Maize Products Company Limited</t>
  </si>
  <si>
    <t>NMFL</t>
  </si>
  <si>
    <t>Nirala MSR Foods Limited</t>
  </si>
  <si>
    <t>SHEZ</t>
  </si>
  <si>
    <t>SCL</t>
  </si>
  <si>
    <t>Shield Corporation Limited</t>
  </si>
  <si>
    <t>TREET</t>
  </si>
  <si>
    <t>Treet Corporation Limited</t>
  </si>
  <si>
    <t>TCLTC</t>
  </si>
  <si>
    <t>Treet Corporation (Ptc)</t>
  </si>
  <si>
    <t>ZIL</t>
  </si>
  <si>
    <t>ZIL Limited</t>
  </si>
  <si>
    <t>BGL</t>
  </si>
  <si>
    <t>Balochistan Glass Limited</t>
  </si>
  <si>
    <t>GLASS &amp; CERAMICS</t>
  </si>
  <si>
    <t>EMCO</t>
  </si>
  <si>
    <t>Emco Industries Limited</t>
  </si>
  <si>
    <t>FRCL</t>
  </si>
  <si>
    <t>Frontier Ceramics Limited</t>
  </si>
  <si>
    <t>GHGL</t>
  </si>
  <si>
    <t>Ghani Glass Limited</t>
  </si>
  <si>
    <t>GGGL</t>
  </si>
  <si>
    <t>Ghani Global Glass Limited</t>
  </si>
  <si>
    <t>GVGL</t>
  </si>
  <si>
    <t>Ghani Value Glass Limited</t>
  </si>
  <si>
    <t>KCL</t>
  </si>
  <si>
    <t>Karam Ceramics Limited</t>
  </si>
  <si>
    <t>TGL</t>
  </si>
  <si>
    <t>Tariq Glass Industries Limited</t>
  </si>
  <si>
    <t>REGAL</t>
  </si>
  <si>
    <t>Regal Ceramics Limited</t>
  </si>
  <si>
    <t>STCL</t>
  </si>
  <si>
    <t>Shabbir Tiles &amp; Ceramics Limited</t>
  </si>
  <si>
    <t>GAMON</t>
  </si>
  <si>
    <t>Gammon Pakistan Limited</t>
  </si>
  <si>
    <t>AKGL</t>
  </si>
  <si>
    <t>Al-Khair Gadoon Limited</t>
  </si>
  <si>
    <t>HADC</t>
  </si>
  <si>
    <t>Haydari Construction Company Limited</t>
  </si>
  <si>
    <t>ARPAK</t>
  </si>
  <si>
    <t>Arpak International Investments Ltd.</t>
  </si>
  <si>
    <t>MACFL</t>
  </si>
  <si>
    <t>MACPAC Films Limited</t>
  </si>
  <si>
    <t>DIIL</t>
  </si>
  <si>
    <t>Diamond Industries Limited</t>
  </si>
  <si>
    <t>ECOP</t>
  </si>
  <si>
    <t>DCTL</t>
  </si>
  <si>
    <t>Dadabhoy Construction Technology Limited</t>
  </si>
  <si>
    <t>GOC</t>
  </si>
  <si>
    <t>GOC (Pak) Limited.</t>
  </si>
  <si>
    <t>HACC</t>
  </si>
  <si>
    <t>Hashimi Can Company Limited</t>
  </si>
  <si>
    <t>MWMP</t>
  </si>
  <si>
    <t>Mandviwala Mauser Plastic Industries Limited</t>
  </si>
  <si>
    <t>PACE</t>
  </si>
  <si>
    <t>Pace (Pakistan) Limited</t>
  </si>
  <si>
    <t>PHDL</t>
  </si>
  <si>
    <t>Pakistan Hotels Developers Limited</t>
  </si>
  <si>
    <t>PSEL</t>
  </si>
  <si>
    <t>Pakistan Services Limited</t>
  </si>
  <si>
    <t>AKDCL</t>
  </si>
  <si>
    <t>AKD Capital Limited</t>
  </si>
  <si>
    <t>SHFA</t>
  </si>
  <si>
    <t>Shifa International Hospitals Limited</t>
  </si>
  <si>
    <t>STPL</t>
  </si>
  <si>
    <t>Siddiqsons Tin Plate Limited</t>
  </si>
  <si>
    <t>TPLPL</t>
  </si>
  <si>
    <t>TPL Properties Limited</t>
  </si>
  <si>
    <t>TRIPF</t>
  </si>
  <si>
    <t>Tri-Pack Films Limited</t>
  </si>
  <si>
    <t>UBDL</t>
  </si>
  <si>
    <t>United Brands Limited</t>
  </si>
  <si>
    <t>UDPL</t>
  </si>
  <si>
    <t>United Distributors Pakistan Limited</t>
  </si>
  <si>
    <t>MCB-CMAR</t>
  </si>
  <si>
    <t>FUTURE CONTRACTS</t>
  </si>
  <si>
    <t>MCB-CMAY</t>
  </si>
  <si>
    <t>MCB-CAPR</t>
  </si>
  <si>
    <t>NCL-OCTB</t>
  </si>
  <si>
    <t>Nishat (Chunian) Limited.</t>
  </si>
  <si>
    <t>AWWAL</t>
  </si>
  <si>
    <t>Awwal Modaraba</t>
  </si>
  <si>
    <t>DCR</t>
  </si>
  <si>
    <t>Dolmen City REIT</t>
  </si>
  <si>
    <t>REAL ESTATE INVESTMENT TRUST</t>
  </si>
  <si>
    <t>K-Electric Limited (Par Value: Rs 3.5)</t>
  </si>
  <si>
    <t>Hum Network Limited (Par Value: Re 1)</t>
  </si>
  <si>
    <t>-Relating to capital gains</t>
  </si>
  <si>
    <t>-Excluding capital gains</t>
  </si>
  <si>
    <t>Issue of 38,728,225 (2016: 42,550,240) units and 15,804,371</t>
  </si>
  <si>
    <t>Distributions during the period</t>
  </si>
  <si>
    <t xml:space="preserve">Net assets as at the end of the period </t>
  </si>
  <si>
    <t>Net Assets value per unit as at beginning of the period</t>
  </si>
  <si>
    <t>Net Assets value per unit as at end of the period</t>
  </si>
  <si>
    <t>Undistributed income brought forward comprises of:</t>
  </si>
  <si>
    <t>- Realised Gain</t>
  </si>
  <si>
    <t>- Unrealised Gain</t>
  </si>
  <si>
    <t xml:space="preserve">Net element of income / (loss) and capital (losses) / gain included in the </t>
  </si>
  <si>
    <t xml:space="preserve">   prices of units issued less those in units redeemed</t>
  </si>
  <si>
    <t>Interim distributions during the period</t>
  </si>
  <si>
    <t xml:space="preserve"> - Cash Distribution</t>
  </si>
  <si>
    <t xml:space="preserve">Undistributed income carried forward </t>
  </si>
  <si>
    <t>Undistributed income carried forward comprises of:</t>
  </si>
  <si>
    <t xml:space="preserve">   as available for sale</t>
  </si>
  <si>
    <t>Issue of 38,728,225 units during the current period (2016: 42,550,240) representing:</t>
  </si>
  <si>
    <t>- Capital value (at net asset value per unit at the beginning of the period)</t>
  </si>
  <si>
    <t>- Element of loss</t>
  </si>
  <si>
    <t>Redemption of 42,503,625 units during the current period (2016: 36,679,734) representing:</t>
  </si>
  <si>
    <t>Government securities - at fair value through profit or loss - held for trading</t>
  </si>
  <si>
    <t>Market value as percentage of net assets</t>
  </si>
  <si>
    <t>Market value as percentage of total investments</t>
  </si>
  <si>
    <t>Purchases during the year</t>
  </si>
  <si>
    <t>Cost</t>
  </si>
  <si>
    <t>Market
 value</t>
  </si>
  <si>
    <t>Appreciation / (diminution)</t>
  </si>
  <si>
    <t>------------------------------------------------------Rupees in '000'------------------------------------------------------</t>
  </si>
  <si>
    <t>3 Months</t>
  </si>
  <si>
    <t>Unit Holder's Fund</t>
  </si>
  <si>
    <t>Associated companies / undertakings</t>
  </si>
  <si>
    <t>Issued for cash / conversion in transferred in</t>
  </si>
  <si>
    <t>Redeemed / conversion out / transfer out</t>
  </si>
  <si>
    <t>Issued for cash / conversion in / transferred in</t>
  </si>
  <si>
    <t>--------------------------------------- (Units) ---------------------------------------</t>
  </si>
  <si>
    <t>As at
December
31, 2017</t>
  </si>
  <si>
    <t>Amount outstanding as at December 31, 2017</t>
  </si>
  <si>
    <t>MCB-Arif Habib Savings and Investment Limited-Management Company</t>
  </si>
  <si>
    <t>------------------------------------------------ (Rupees in  '000) ------------------------------------------------</t>
  </si>
  <si>
    <t>Profit receivable on bank balances</t>
  </si>
  <si>
    <t>Provision for Sindh Workers' Welfare Fund</t>
  </si>
  <si>
    <t>Nishat Power Limited Employees Provident Fund Trust -</t>
  </si>
  <si>
    <t xml:space="preserve">   Retirement benefit scheme of group company</t>
  </si>
  <si>
    <t>Adamjee Insurance Company Limited Employees Gratuity Fund</t>
  </si>
  <si>
    <t>Adamjee Life Assurance Company Limited.-NUIL</t>
  </si>
  <si>
    <t>Adamjee Life Assurance Company Limited - ISF</t>
  </si>
  <si>
    <t>Sales load payable including related taxes</t>
  </si>
  <si>
    <t>Payable against marketing and selling expenses</t>
  </si>
  <si>
    <t xml:space="preserve">Adamjee Insurance Company Limited Employees Provident Fund Trust </t>
  </si>
  <si>
    <t xml:space="preserve">D.G. Khan Cement Company Limited Employees Provident Fund Trust  </t>
  </si>
  <si>
    <t>Adamjee Life Assurance Company Limited -ISF II</t>
  </si>
  <si>
    <t>Nishat Mills Employees Provident Fund Trust</t>
  </si>
  <si>
    <t xml:space="preserve">Mandate Under Discretionary Portfolio Services </t>
  </si>
  <si>
    <t>Associated Companies</t>
  </si>
  <si>
    <t>Automobile Assembler</t>
  </si>
  <si>
    <t>(Loss) / income for the period</t>
  </si>
  <si>
    <t>Accounting (loss) / income available for distribution:</t>
  </si>
  <si>
    <t>---------------------------------- No. of shares ----------------------------------</t>
  </si>
  <si>
    <t>---------------- Rupees in '000 ----------------</t>
  </si>
  <si>
    <t>------------------------- % -------------------------</t>
  </si>
  <si>
    <t>Sold / matured during the year</t>
  </si>
  <si>
    <t>Total comprehensive (loss) / income for the period</t>
  </si>
  <si>
    <t>Advances, deposits and receivables</t>
  </si>
  <si>
    <t xml:space="preserve">Payable against allocated expense </t>
  </si>
  <si>
    <t>Q 16</t>
  </si>
  <si>
    <t>Directors and executives of the Management Company</t>
  </si>
  <si>
    <t>Legal and professional charges</t>
  </si>
  <si>
    <t>Other income</t>
  </si>
  <si>
    <t>- Unrealised (Loss) / Gain</t>
  </si>
  <si>
    <t>- Income / (Loss) already paid / shared on units redeemed</t>
  </si>
  <si>
    <t>- Adjustment on units as element of income</t>
  </si>
  <si>
    <t>Advances, deposits and other receivables</t>
  </si>
  <si>
    <t>Remuneration of the Management Company</t>
  </si>
  <si>
    <t>Remuneration of the Trustee</t>
  </si>
  <si>
    <t>-Relating to capital gains / (losses)</t>
  </si>
  <si>
    <t>-Excluding capital gains / (losses)</t>
  </si>
  <si>
    <t>Net unrealised (diminution) / appreciation on re-measurement on investments classified</t>
  </si>
  <si>
    <t>Distribution for the period</t>
  </si>
  <si>
    <t>Six months period ended December 31,</t>
  </si>
  <si>
    <t>-------------------------------------------------(Rupees in '000)-------------------------------------------------</t>
  </si>
  <si>
    <t>Capital Value</t>
  </si>
  <si>
    <t>Undistributed income</t>
  </si>
  <si>
    <t>- Amount paid out of element of income</t>
  </si>
  <si>
    <t xml:space="preserve">      - Relating to 'Other comprehensive income for the period'</t>
  </si>
  <si>
    <t>(Rupees)</t>
  </si>
  <si>
    <t>Cl</t>
  </si>
  <si>
    <t>in prices of units issued less those in units redeemed - net</t>
  </si>
  <si>
    <t>Net element of income / loss and capital gains / losses included</t>
  </si>
  <si>
    <t>dist element</t>
  </si>
  <si>
    <t>AFS surplus</t>
  </si>
  <si>
    <t>Units</t>
  </si>
  <si>
    <t>Nav</t>
  </si>
  <si>
    <t>Capital value</t>
  </si>
  <si>
    <t>Issued</t>
  </si>
  <si>
    <t>Redeemed</t>
  </si>
  <si>
    <t>Op un</t>
  </si>
  <si>
    <t>Prof YE 17</t>
  </si>
  <si>
    <t>Distrib</t>
  </si>
  <si>
    <t>June 17 AFS</t>
  </si>
  <si>
    <t>June 16 AFS</t>
  </si>
  <si>
    <t>Dividend and profit receivables</t>
  </si>
  <si>
    <t>Profit on balances with banks</t>
  </si>
  <si>
    <t>Accounting income available for distribution:</t>
  </si>
  <si>
    <t xml:space="preserve">      - Relating to 'Net income for the period after taxation'</t>
  </si>
  <si>
    <t>Title to the assets of the Fund is held in the name of Central Depository Company of Pakistan Limited (CDC) as the Trustee of the Fund. The duration of the Fund is perpetual. However, SECP or the Management Company may wind it up on the occurrence of certain events as specified in the offering document of the Fund.</t>
  </si>
  <si>
    <t>Federal Excise Duty payable on management remuneration</t>
  </si>
  <si>
    <t>Unclaimed dividends</t>
  </si>
  <si>
    <t>Printing and related charges payable</t>
  </si>
  <si>
    <t>Withholding tax payable</t>
  </si>
  <si>
    <t>The details of transactions carried out by the Fund with connected persons / related parties and balances with them at the period end, other than those which have been disclosed elsewhere in these financial statements, are as follows:</t>
  </si>
  <si>
    <t>Fair value of listed equity securities is determined on the basis of closing market prices quoted on the stock exchange.</t>
  </si>
  <si>
    <t>Fair value of future contracts are determined on the basis of closing market prices quoted on the stock exchange.</t>
  </si>
  <si>
    <t>- Unrealised (Loss)</t>
  </si>
  <si>
    <t>Sold during the period</t>
  </si>
  <si>
    <t>Issue of 38,728,225 units (2016: 42,550,240 units):</t>
  </si>
  <si>
    <t>Redemption of 42,503,625 units (2016: 36,679,734 units):</t>
  </si>
  <si>
    <t>Net (loss) / income for the period less distribution</t>
  </si>
  <si>
    <t>Net assets value per unit as at beginning of the period</t>
  </si>
  <si>
    <t>Net assets value per unit as at end of the period</t>
  </si>
  <si>
    <t>SECP vide a circular no.40 SCD/PRDD/ Circular/361/2016 dated December 30, 2016, allowed the Asset Management Companies to charge selling and marketing expenses to open end equity, asset allocation and index funds, initially for three years (from January 1, 2017 till December 31, 2019). Maximum cap of selling and marketing expenses shall be 0.4% per annum of net assets of the fund or actual expenses whichever is lower. Accordingly, such expenses have been charged at the rate of 0.4% of net assets of the Fund, being lower than the actual expenses incurred.</t>
  </si>
  <si>
    <t>D G Khan Cement Company Limited **</t>
  </si>
  <si>
    <t>MCB Bank Limited **</t>
  </si>
  <si>
    <t>Aisha Steel Limited **</t>
  </si>
  <si>
    <t>Mughal Iron and Steel Industries **</t>
  </si>
  <si>
    <t>Adamjee Insurance Company Limited **</t>
  </si>
  <si>
    <t>Arif Habib Limited **</t>
  </si>
  <si>
    <t>Synthetic Products Enterprises Limited **</t>
  </si>
  <si>
    <t>Sui Northern Gas Pipelines Limited **</t>
  </si>
  <si>
    <t>Sui Southern Gas Company Limited **</t>
  </si>
  <si>
    <t>Hub Power Company Limited *</t>
  </si>
  <si>
    <t>Nishat Chunian Limited **</t>
  </si>
  <si>
    <t>Nishat Mills Limited **</t>
  </si>
  <si>
    <t>Oil &amp; Gas Development Company Limited *</t>
  </si>
  <si>
    <t>Engro Fertilizer Limited</t>
  </si>
  <si>
    <t>Brokerage expense*</t>
  </si>
  <si>
    <t>Mine</t>
  </si>
  <si>
    <t>Unrealised (losses) / gains on AFS investments</t>
  </si>
  <si>
    <t>- Element of income</t>
  </si>
  <si>
    <t>Redemption payable change</t>
  </si>
  <si>
    <t>December 31, 2018</t>
  </si>
  <si>
    <t>2018</t>
  </si>
  <si>
    <t>FOR THE HALF YEAR ENDED DECEMBER 31, 2018</t>
  </si>
  <si>
    <t>As at July 01,
2018</t>
  </si>
  <si>
    <t>As at December 31, 2018</t>
  </si>
  <si>
    <t>Market value as at December 31, 2018</t>
  </si>
  <si>
    <t>Total as at December 31, 2018</t>
  </si>
  <si>
    <t>Total as at June 30, 2018</t>
  </si>
  <si>
    <t>As at July 01, 2018</t>
  </si>
  <si>
    <t>Balance as at December 31, 2018</t>
  </si>
  <si>
    <t>As at
December
31, 2018</t>
  </si>
  <si>
    <t>Amount outstanding as at December 31, 2018</t>
  </si>
  <si>
    <t>For the Half-Year ended December 31, 2017</t>
  </si>
  <si>
    <t>010100100103</t>
  </si>
  <si>
    <t>Bank Balances - Silk Bank Limited - Main Branch</t>
  </si>
  <si>
    <t>010601100089</t>
  </si>
  <si>
    <t>Profit Receivable - Habib Bank Limited Kse Branch</t>
  </si>
  <si>
    <t>010601100098</t>
  </si>
  <si>
    <t>Profit Receivable - Silk Bank Limited - Main Branch</t>
  </si>
  <si>
    <t>010700700008</t>
  </si>
  <si>
    <t>Prepayment Of Legal Charges</t>
  </si>
  <si>
    <t>011500100001</t>
  </si>
  <si>
    <t>Other Receivable Against Collection Account -Mcb</t>
  </si>
  <si>
    <t>011500100002</t>
  </si>
  <si>
    <t>Other Receivable Against Collection Account- Faysal Bank</t>
  </si>
  <si>
    <t>Capital</t>
  </si>
  <si>
    <t>020400700001</t>
  </si>
  <si>
    <t>Capital Gains/(Losses)-FVOCI</t>
  </si>
  <si>
    <t>Liability</t>
  </si>
  <si>
    <t>Income</t>
  </si>
  <si>
    <t>040200100096</t>
  </si>
  <si>
    <t>Profit On - National Bank Of Pakistan - Main Branch</t>
  </si>
  <si>
    <t>040200100099</t>
  </si>
  <si>
    <t>Profit On - Silk Bank Limited - Main Branch</t>
  </si>
  <si>
    <t>050100100003</t>
  </si>
  <si>
    <t>FED EXPENSE ON MGM FEE</t>
  </si>
  <si>
    <t>051000100031</t>
  </si>
  <si>
    <t>Bank Charges - Silk Bank Limited</t>
  </si>
  <si>
    <t>saving</t>
  </si>
  <si>
    <t>Current</t>
  </si>
  <si>
    <t>Milat Tractors</t>
  </si>
  <si>
    <t>National Bank Of Pakistan</t>
  </si>
  <si>
    <t>Bank Of Punjab</t>
  </si>
  <si>
    <t>Fatima Fertilizer</t>
  </si>
  <si>
    <t>AGP Limited</t>
  </si>
  <si>
    <t>Altem Energy Limited</t>
  </si>
  <si>
    <t>Pakgen Power Limited*</t>
  </si>
  <si>
    <t>Al-Shaheer Corporation</t>
  </si>
  <si>
    <t>Food &amp; Personal Care products</t>
  </si>
  <si>
    <t>Other Receivable</t>
  </si>
  <si>
    <t>June 30,</t>
  </si>
  <si>
    <t xml:space="preserve"> </t>
  </si>
  <si>
    <t>Financial assets which are tradable in an open market are revalued at the market prices prevailing on the statement of assets and liabilities date. The estimated fair value of all other financial assets and financial liabilities is considered not significantly different from book value.</t>
  </si>
  <si>
    <t>The following table shows financial instruments recognized at fair value, analyzed between those whose fair value is based on:</t>
  </si>
  <si>
    <t>Level 1:</t>
  </si>
  <si>
    <t>quoted prices in active markets for identical assets or liabilities;</t>
  </si>
  <si>
    <t>Level 2:</t>
  </si>
  <si>
    <t>those involving inputs other than quoted prices included in Level 1 that are observable for the asset or liability, either directly (as prices) or indirectly (derived from prices); and</t>
  </si>
  <si>
    <t>Level 3:</t>
  </si>
  <si>
    <t>those with inputs for the asset or liability that are not based on observable market data (unobservable inputs).</t>
  </si>
  <si>
    <t>------------------------------------- (Rupees) in '000-------------------------------------</t>
  </si>
  <si>
    <t>MM</t>
  </si>
  <si>
    <t>Silk Bank Limited</t>
  </si>
  <si>
    <t>Sept Qtr 2018</t>
  </si>
  <si>
    <t>Sept Qtr 2017</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</si>
  <si>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</si>
  <si>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Key Management Personnel</t>
  </si>
  <si>
    <t>------- (Rupees in '000) -------</t>
  </si>
  <si>
    <t>Payable to MCB-Arif Habib Savings and Investments Limited -</t>
  </si>
  <si>
    <t>Trustee</t>
  </si>
  <si>
    <t xml:space="preserve">Payable to Central Depository Company of Pakistan Limited - </t>
  </si>
  <si>
    <t>Unit holders’ fund (as per statement attached)</t>
  </si>
  <si>
    <t>Contingencies and Commitments</t>
  </si>
  <si>
    <t>----- (Number of units) -----</t>
  </si>
  <si>
    <t>----------- (Rupees) -----------</t>
  </si>
  <si>
    <t>------------------ (Rupees in '000) ------------------</t>
  </si>
  <si>
    <t>Income from Government securities</t>
  </si>
  <si>
    <t>classified as at fair value through profit or loss - net</t>
  </si>
  <si>
    <t>For MCB-Arif Habib Savings and Investments Limited</t>
  </si>
  <si>
    <t>Chief Executive Officer</t>
  </si>
  <si>
    <t>____________________</t>
  </si>
  <si>
    <t>Director</t>
  </si>
  <si>
    <t>_________</t>
  </si>
  <si>
    <t xml:space="preserve"> Chief Financial Officer</t>
  </si>
  <si>
    <t>---- (Rupees in '000) ----</t>
  </si>
  <si>
    <t>Amount received on issuance of units</t>
  </si>
  <si>
    <t>Amount paid on redemption of units</t>
  </si>
  <si>
    <t>Net increase / (decrease) in cash and cash equivalents</t>
  </si>
  <si>
    <t>during the period</t>
  </si>
  <si>
    <t>Adjustments for non cash and other items:</t>
  </si>
  <si>
    <t>Undistributed income / (loss)</t>
  </si>
  <si>
    <t>Unrealised appreciation on available for sale investments</t>
  </si>
  <si>
    <t>- Capital value (at net asset value per unit at the</t>
  </si>
  <si>
    <t>- Realised</t>
  </si>
  <si>
    <t>- Unrealised</t>
  </si>
  <si>
    <t>- Relating to capital gains</t>
  </si>
  <si>
    <t>MCB Pakistan Stock Market Fund (the Fund) was established under a Trust Deed executed between Arif Habib Investments Limited (now MCB-Arif Habib Savings and Investments Limited) as "Management Company" and Central Depository Company of Pakistan Limited (CDC) as Trustee. The Trust Deed was executed on October 23, 2001 and was approved by the Securities and Exchange Commission of Pakistan (SECP) on February 28, 2002 in accordance with the Asset Management Companies Rules, 1995 (AMC Rules) repealed by Non-Banking Finance Companies (Establishment and Regulation) Rules, 2003 (NBFC Rules).</t>
  </si>
  <si>
    <t>1.</t>
  </si>
  <si>
    <t>2.</t>
  </si>
  <si>
    <t>June 30, 2018 (Audited)</t>
  </si>
  <si>
    <t>4.</t>
  </si>
  <si>
    <t>June</t>
  </si>
  <si>
    <t>In current accounts</t>
  </si>
  <si>
    <t>In savings accounts</t>
  </si>
  <si>
    <t>5.</t>
  </si>
  <si>
    <t>Shares of listed companies - fully paid ordinary shares of Rs.10 each unless stated otherwise</t>
  </si>
  <si>
    <t>Automobile assembler</t>
  </si>
  <si>
    <t>Re-classified under IFRS 9 (see note 3.1)</t>
  </si>
  <si>
    <t>Purchased during the period</t>
  </si>
  <si>
    <t>Bonus / Right Issue during the period</t>
  </si>
  <si>
    <t>Unrealised (loss) / gain</t>
  </si>
  <si>
    <t>Market value as a % of net assets of the Fund</t>
  </si>
  <si>
    <t>% of paid-up capital of the investee company</t>
  </si>
  <si>
    <t>---------------- (Rupees in '000) ----------------</t>
  </si>
  <si>
    <t>Chemical</t>
  </si>
  <si>
    <t xml:space="preserve">Oil and gas exploration companies </t>
  </si>
  <si>
    <t xml:space="preserve">Power generation and distribution </t>
  </si>
  <si>
    <t xml:space="preserve">Technology and communication </t>
  </si>
  <si>
    <t>Total as at December 31, 2018 (Un-Audited)</t>
  </si>
  <si>
    <t>----- (Number of shares) -----</t>
  </si>
  <si>
    <t>----- (Rupees in '000) -----</t>
  </si>
  <si>
    <t>Listed equity securities - at fair value through profit or loss</t>
  </si>
  <si>
    <t>Balances as at December 31, 2018</t>
  </si>
  <si>
    <t>Appreciation / (diminuton)</t>
  </si>
  <si>
    <t>------------------ (%) ------------------</t>
  </si>
  <si>
    <t>------------------ No. of shares ------------------</t>
  </si>
  <si>
    <t xml:space="preserve">Food and personal care products </t>
  </si>
  <si>
    <t>6.</t>
  </si>
  <si>
    <t>7.</t>
  </si>
  <si>
    <t>8.</t>
  </si>
  <si>
    <t>10.</t>
  </si>
  <si>
    <t>--------------------- (Rupees in '000) ---------------------</t>
  </si>
  <si>
    <t>--------------------- (Number of units) ---------------------</t>
  </si>
  <si>
    <t xml:space="preserve">   - Management Company</t>
  </si>
  <si>
    <t xml:space="preserve">Mandate under discretionary portfolio services </t>
  </si>
  <si>
    <t>Group / associated companies</t>
  </si>
  <si>
    <t>Transactions during the period:</t>
  </si>
  <si>
    <t>------ (Rupees in '000) ------</t>
  </si>
  <si>
    <t>MCB - Arif Habib Savings and Investments Limited - Management Company</t>
  </si>
  <si>
    <t>Central Depository Company of Pakistan Limited - Trustee</t>
  </si>
  <si>
    <t>Remuneration of the Trustee (including indirect taxes)</t>
  </si>
  <si>
    <t>Central Depository Service charges</t>
  </si>
  <si>
    <t>Arif Habib Capital Limited - Brokerage House</t>
  </si>
  <si>
    <t>Balances outstanding at period end:</t>
  </si>
  <si>
    <t>Sindh sales tax payable on remuneration</t>
  </si>
  <si>
    <t>Arif Habib Limited - Brokerage House</t>
  </si>
  <si>
    <t>13.</t>
  </si>
  <si>
    <t>12.</t>
  </si>
  <si>
    <t>TOTAL EXPENSE RATIO</t>
  </si>
  <si>
    <t>---------- (Rupees in '000) -----------</t>
  </si>
  <si>
    <t xml:space="preserve">Sindh Sales Tax on remuneration </t>
  </si>
  <si>
    <t xml:space="preserve">Annual fee of the Securities and </t>
  </si>
  <si>
    <t>brought forward comprising of:</t>
  </si>
  <si>
    <t xml:space="preserve">Undistributed income </t>
  </si>
  <si>
    <t>--------------------------------------------------------- (Rupees in '000) ---------------------------------------------------------</t>
  </si>
  <si>
    <t>Chief Financial Officer</t>
  </si>
  <si>
    <t>Dividend payable</t>
  </si>
  <si>
    <t>Federal Excise Duty payable on sales load</t>
  </si>
  <si>
    <t>Brokerage payable *</t>
  </si>
  <si>
    <t>--------------------------------- (Rupees in '000) ---------------------------------</t>
  </si>
  <si>
    <t xml:space="preserve">The Hub Power Company Limited </t>
  </si>
  <si>
    <t>Sold / matured during the period</t>
  </si>
  <si>
    <t>Market Value</t>
  </si>
  <si>
    <t>Market Treasury Bills - 3 months</t>
  </si>
  <si>
    <t>The Fund has not disclosed the fair values of other financial assets and financial liabilities, as these are either short term in nature or repriced periodically. Therefore, their carrying amounts are a reasonable approximation of their fair values.</t>
  </si>
  <si>
    <t>(Loss) / gain on sale of investments - net</t>
  </si>
  <si>
    <t>Income from government securities</t>
  </si>
  <si>
    <t xml:space="preserve">Unrealised (diminution) / appreciation on re-measurement of investments </t>
  </si>
  <si>
    <t>classified as 'financial assets at fair value through profit or loss' - net</t>
  </si>
  <si>
    <t>Allocation of net income for the period:</t>
  </si>
  <si>
    <t>Income already paid on units redeemed</t>
  </si>
  <si>
    <t xml:space="preserve">   Accounting income available for distribution</t>
  </si>
  <si>
    <t xml:space="preserve">          - Relating to capital gains</t>
  </si>
  <si>
    <t xml:space="preserve">          - Excluding capital gains</t>
  </si>
  <si>
    <t>Remuneration of the Management Company including indirect taxes</t>
  </si>
  <si>
    <t>Marketing and Selling expense</t>
  </si>
  <si>
    <t>Allocated Expenses</t>
  </si>
  <si>
    <t>030100200003</t>
  </si>
  <si>
    <t>Back-End Load Payable</t>
  </si>
  <si>
    <t>In Thousands</t>
  </si>
  <si>
    <t>March 31, 2019 (Un-Audited)</t>
  </si>
  <si>
    <t>During the period ended March 31, 2019, there were no transfers between level 1 and level 2 fair value measurements, and no transfer into and out of level 3 fair value measurements.</t>
  </si>
  <si>
    <t>As at March 31, 2019 and June 30, 2018, the Fund held the following instruments measured at fair values:</t>
  </si>
  <si>
    <t>The disclosures made in this condensed interim financial information have, however, been limited based on the requirements of the International Accounting Standard 34: 'Interim Financial Reporting'. This condensed interim financial information is unaudited.</t>
  </si>
  <si>
    <t>Government securities</t>
  </si>
  <si>
    <t>Maturity date</t>
  </si>
  <si>
    <t>The Fund's income is exempt from income tax as per clause (99) of part I of the Second Schedule to the Income Tax Ordinance, 2001 subject to the condition that not less than 90% of the accounting income available for distribution for the year as reduced by capital gains whether realized or unrealized is distributed amongst the unit holders by way of cash dividend. Furthermore, as per regulation 63 of the Non-Banking Finance Companies and Notified Entities Regulation, 2008, the Fund is required to distribute 90% of the net accounting income available for distribution other than capital gains to the unit holders in cash. The Fund is also exempt from the provision of Section 113 (minimum tax) under clause 11A of Part IV of the Second Schedule to the Income Tax Ordinance, 2001. The management intends to distribute the income to be earned by the Fund during the year ending June 30, 2019 to the unit holders in cash in the manner as explained above. Accordingly, no provision for taxation has been made in these condensed interim financial statements.</t>
  </si>
  <si>
    <t>11.</t>
  </si>
  <si>
    <t>MCBDCFIF</t>
  </si>
  <si>
    <t>MCB DCF INCOME FUND</t>
  </si>
  <si>
    <t>CASH DIVIDEND - CASH DIVIDEND</t>
  </si>
  <si>
    <t>Opening Balance</t>
  </si>
  <si>
    <t xml:space="preserve">NIB BANK LIMITED </t>
  </si>
  <si>
    <t>Closing Balance</t>
  </si>
  <si>
    <t>GROWTH - GROWTH</t>
  </si>
  <si>
    <t>MCB-ARIF HABIB SAVINGS AND INVESTMENTS LIMITED</t>
  </si>
  <si>
    <t>ASGHARI BEG MEMORIAL TRUST</t>
  </si>
  <si>
    <t>ADAMJEE LIFE ASSURANCE CO. LTD. CONVENTIONAL BUSINESS</t>
  </si>
  <si>
    <t>MCB EMPLOYEES PROVIDENT FUND (PAK STAFF)</t>
  </si>
  <si>
    <t>Dividend</t>
  </si>
  <si>
    <t>MCB EMPLOYEES PENSION FUND</t>
  </si>
  <si>
    <t>Conversion In</t>
  </si>
  <si>
    <t>Conversion Out</t>
  </si>
  <si>
    <t>Invest</t>
  </si>
  <si>
    <t>ADAMJEE INSURANCE CO. LTD.</t>
  </si>
  <si>
    <t xml:space="preserve">MCB BANK LIMITED </t>
  </si>
  <si>
    <t xml:space="preserve">ARIF HABIB BANK LTD. </t>
  </si>
  <si>
    <t xml:space="preserve">ARIF HABIB INVESTMENT MANAGEMENT LTD. </t>
  </si>
  <si>
    <t xml:space="preserve">ARIF HABIB LIMITED </t>
  </si>
  <si>
    <t>ARIF HABIB CORPORATION LIMITED</t>
  </si>
  <si>
    <t xml:space="preserve">D.G. KHAN CEMENT COMPANY LTD EMPLOYEES PROVIDENT FUND TRUST </t>
  </si>
  <si>
    <t xml:space="preserve">MCB AMC STAFF PROVIDENT FUND </t>
  </si>
  <si>
    <t>ADAMJEE LIFE ASSURANCE CO. LTD.-NUIL FUND</t>
  </si>
  <si>
    <t>ADAMJEE INSURANCE CO. LTD. EMPLOYEES GRATUITY FUND</t>
  </si>
  <si>
    <t xml:space="preserve">ADAMJEE INSURANCE CO LIMITED EMPLOYEES PROVIDENT FUND </t>
  </si>
  <si>
    <t xml:space="preserve">PAKISTAN MERCANTILE EXCHANGE LIMITED </t>
  </si>
  <si>
    <t>ADAMJEE LIFE ASSURANCE CO. LTD. (IMF)</t>
  </si>
  <si>
    <t>ADAMJEE INSURANCE CO. LTD-INVESTMENT DEPARTMENT</t>
  </si>
  <si>
    <t>ADAMJEE LIFE ASSURANCE CO.LTD.(ISF)</t>
  </si>
  <si>
    <t xml:space="preserve">FATIMA FERTILIZER CO. LTD. - PROVIDENT FUND TRUST </t>
  </si>
  <si>
    <t>MCB EMPLOYEES SECURITY SYSTEM AND SERVICES PVT.LTD</t>
  </si>
  <si>
    <t>NISHAT POWER LIMITED EMPLOYEES PROVIDENT FUND TRUST</t>
  </si>
  <si>
    <t>ADAMJEE LIFE ASSURANCE COMPANY LIMITED-EMPLOYEES GRATUITY FUND</t>
  </si>
  <si>
    <t>ADAMJEE INSURANCE CO.LTD. EMPLOYEES GRATUITY FUND</t>
  </si>
  <si>
    <t>ADAMJEE INSURANCE CO.LTD EMPLOYEES PROVIDENT FUND</t>
  </si>
  <si>
    <t>INCOME - INCOME</t>
  </si>
  <si>
    <t xml:space="preserve">MCB EMPLOYEES FOUNDATION </t>
  </si>
  <si>
    <t>MCBDSF</t>
  </si>
  <si>
    <t>MCB DYNAMIC STOCK FUND</t>
  </si>
  <si>
    <t>NISHAT MILLS LIMITED EMPLOYEES PROVIDENT FUND TRUST</t>
  </si>
  <si>
    <t>MCBPAAF</t>
  </si>
  <si>
    <t>MCB PAKISTAN ASSET ALLOCATION FUND</t>
  </si>
  <si>
    <t>SECURITY GENERAL INSURANCE COMPANY LTD</t>
  </si>
  <si>
    <t>Redemption</t>
  </si>
  <si>
    <t>MCBCMO</t>
  </si>
  <si>
    <t>MCB CASH MANAGEMENT OPTIMIZER</t>
  </si>
  <si>
    <t xml:space="preserve">PAKISTAN MERCANTILE EXCHANGE LTD. </t>
  </si>
  <si>
    <t>MCB FINANCIAL SEVICES LIMITED</t>
  </si>
  <si>
    <t>NISHAT MILLS LIMITED</t>
  </si>
  <si>
    <t>D.G. KHAN CEMENT COMPANY LTD</t>
  </si>
  <si>
    <t>NISHAT PAPER PRODUCTS CO. LTD.</t>
  </si>
  <si>
    <t>SECURITY GENERAL INSURANCE CO. LTD. EMPLOYEES PROVIDENT FUND TRUST</t>
  </si>
  <si>
    <t>ALHIIF</t>
  </si>
  <si>
    <t>ALHAMRA ISLAMIC INCOME FUND</t>
  </si>
  <si>
    <t>ADAMJEE LIFE ASSURANCE CO. LTD. AMAANAT FUND</t>
  </si>
  <si>
    <t>PAKARAB FERTILIZERS LTD. PROVIDENT FUND TRUST</t>
  </si>
  <si>
    <t>ADAMJEE LIFE ASSURANCE CO. LTD -MAZAAF</t>
  </si>
  <si>
    <t>ALHAMRA ISLAMIC ACTIVE ALLOCATION FUND PLAN I</t>
  </si>
  <si>
    <t>ALHAMRA ISLAMIC ACTIVE ALLOCATION PLAN II</t>
  </si>
  <si>
    <t>ADAMJEE LIFE ASSURANCE COMPANY LIMITED - TAMEEN</t>
  </si>
  <si>
    <t>MCBSMF1</t>
  </si>
  <si>
    <t>MCB SARMAYA MEHFOOZ FUND</t>
  </si>
  <si>
    <t>UNIT-A - GROWTH</t>
  </si>
  <si>
    <t>MCBPSM</t>
  </si>
  <si>
    <t xml:space="preserve">ARIF HABIB INVESTMENT MANAGEMENT EMPLOYE PROV.FUND </t>
  </si>
  <si>
    <t xml:space="preserve">ADAMJEE ENTERPRISES STAFF PROVIDENT FUND </t>
  </si>
  <si>
    <t xml:space="preserve">LADY DUFFERIN HOSPITAL </t>
  </si>
  <si>
    <t xml:space="preserve">THE CRESCENT TEXTILE MILLS LTD. EMPLOYEES PROVIDENT FUND TRUST </t>
  </si>
  <si>
    <t>TRUSTEES D.G.KHAN CEMENT CO. LTD. EMPLOYEES PROVIDENT FUND</t>
  </si>
  <si>
    <t>TRUSTEES D.G.KHAN CEMENT CO.LTD.EMP. P.F</t>
  </si>
  <si>
    <t>PAKISTAN INCOME FUND</t>
  </si>
  <si>
    <t xml:space="preserve">ARIF HABIB INVESTMENT MANAGEMENT LIMITED </t>
  </si>
  <si>
    <t xml:space="preserve">PAK ARAB FERTILIZERS LTD. </t>
  </si>
  <si>
    <t xml:space="preserve">ADAMJEE INSURANCE CO. LTD., EMPLOYEES PROVIDENT FUND </t>
  </si>
  <si>
    <t>ARIF HABIB INVEST. MANAGEMENT EMPL. STOCK BENEFICIAL OWNERSHIP TRUST</t>
  </si>
  <si>
    <t xml:space="preserve">NIB BANK LTD. </t>
  </si>
  <si>
    <t>PCMF</t>
  </si>
  <si>
    <t>PAKISTAN CAPITAL MARKET FUND</t>
  </si>
  <si>
    <t xml:space="preserve">TRUSTEES ARIF HABIB INV&amp; MNG.LTD.EMP.P.F </t>
  </si>
  <si>
    <t xml:space="preserve">MCB BANK LTD. </t>
  </si>
  <si>
    <t>PPF</t>
  </si>
  <si>
    <t>PAKISTAN PREMIER FUND</t>
  </si>
  <si>
    <t xml:space="preserve">ARIF HABIB CORPORATION LIMITED </t>
  </si>
  <si>
    <t xml:space="preserve">ARIF HABIB INVESTMENT MANAGEMENT LTD. EMPLOYEE'S STOCK BENEFICIAL OWNERSHIP TRUST </t>
  </si>
  <si>
    <t xml:space="preserve">ARIF HABIB INVESTMENT MANAGEMENT EMPLOYEE'S PROVIDENT FUND </t>
  </si>
  <si>
    <t xml:space="preserve">ARIF HABIB INVESTMENTS LTD. </t>
  </si>
  <si>
    <t>UNIT-B - GROWTH</t>
  </si>
  <si>
    <t>ALHISF</t>
  </si>
  <si>
    <t>ALHAMRA ISLAMIC STOCK FUND</t>
  </si>
  <si>
    <t xml:space="preserve">ARIF HABIB INVESTMENTS LIMITED </t>
  </si>
  <si>
    <t xml:space="preserve">NISHAT MILLS LTD. </t>
  </si>
  <si>
    <t xml:space="preserve">NISHAT MILLS LIMITED </t>
  </si>
  <si>
    <t xml:space="preserve">ADAMJEE INSURANCE COMPANY LIMITED </t>
  </si>
  <si>
    <t>PIEF</t>
  </si>
  <si>
    <t>PAKISTAN INCOME ENHANCEMENT FUND</t>
  </si>
  <si>
    <t xml:space="preserve">ADAMJEE INSURANCE CO. LTD. EMPLOYEES' PROVIDENT FUND </t>
  </si>
  <si>
    <t xml:space="preserve">ARIF HABIB INVESTMENT LTD </t>
  </si>
  <si>
    <t>FATIMA FERT LIMITED MANAGEMENT STAFF GRATUITY FUND</t>
  </si>
  <si>
    <t>ALHAA</t>
  </si>
  <si>
    <t>ALHAMRA ISLAMIC ASSET ALLOCATION FUND</t>
  </si>
  <si>
    <t>D.G KHAN CEMENT COMPANY LTD. EMPLOYEES PROVIDENT FUND TRUST</t>
  </si>
  <si>
    <t>UNIT-C - GROWTH</t>
  </si>
  <si>
    <t>MCBPSF</t>
  </si>
  <si>
    <t>MCB PAKISTAN SOVEREIGN FUND</t>
  </si>
  <si>
    <t xml:space="preserve">ARIF HABIB INVESTMENT MANAGEMENT LTD. EMPLOYEES PROVIDENT FUND </t>
  </si>
  <si>
    <t xml:space="preserve">ADAMJEE INSURANCE CO. LTD. EMPLOYEES PROVIDENT FUND </t>
  </si>
  <si>
    <t>MSF-12/12</t>
  </si>
  <si>
    <t>METROBANK-PAKISTAN SOVEREIGN FUND - 12/12</t>
  </si>
  <si>
    <t xml:space="preserve">METROBANK - PAKISTAN SOVEREIGN FUND-MSF PERPETUAL </t>
  </si>
  <si>
    <t xml:space="preserve">CDC-TRUSTEE METROBANK PAKISTAN SOVEREIGN FUND </t>
  </si>
  <si>
    <t>MSF-12/07</t>
  </si>
  <si>
    <t>METROBANK-PAKISTAN SOVEREIGN FUND - 12/07</t>
  </si>
  <si>
    <t>MSF-12/05</t>
  </si>
  <si>
    <t>METROBANK-PAKISTAN SOVEREIGN FUND - 12/05</t>
  </si>
  <si>
    <t>MSF-12/03</t>
  </si>
  <si>
    <t>METROBANK-PAKISTAN SOVEREIGN FUND - 12/03</t>
  </si>
  <si>
    <t>AHDJPF</t>
  </si>
  <si>
    <t>AH DOW JONES SAFE PAKISTAN TITANS 15 INDEX FUND</t>
  </si>
  <si>
    <t>PCF</t>
  </si>
  <si>
    <t>PAKISTAN CASH MANAGEMENT FUND</t>
  </si>
  <si>
    <t xml:space="preserve">ARIF HABIB INVESTMENT LTD. </t>
  </si>
  <si>
    <t xml:space="preserve">MCB ASSET MANAGEMENT CO. LTD. STAFF PROVIDENT FUND. </t>
  </si>
  <si>
    <t>ARIF HABIB DOLMEN REIT MANAGEMENT LIMITED</t>
  </si>
  <si>
    <t xml:space="preserve">ARIF HABIB REAL ESTATE SERVICES (PVT.) LTD. </t>
  </si>
  <si>
    <t xml:space="preserve">NISHAT (CHUNIAN) LIMITED EMPLOYEES PROVIDENT FUND TRUST </t>
  </si>
  <si>
    <t xml:space="preserve">FATIMA FERTILIZER COMPANY LIMITED </t>
  </si>
  <si>
    <t>ARIF HABIB CONSULTANCY (PVT) LTD</t>
  </si>
  <si>
    <t>PCPF-1</t>
  </si>
  <si>
    <t>PAKISTAN CAPITAL PROTECTED FUND - 1</t>
  </si>
  <si>
    <t xml:space="preserve">ARIF HABIB INVESTMENT MANAGEMENT EMPLOYEES PROVIDENT FUND </t>
  </si>
  <si>
    <t>PCPF-FIS</t>
  </si>
  <si>
    <t>PAKISTAN CAPITAL PROTECTED FUND - FIXED INCOME SECURITIES</t>
  </si>
  <si>
    <t>PSRMF</t>
  </si>
  <si>
    <t>PAKISTAN SARMAYA MEHFOOZ FUND</t>
  </si>
  <si>
    <t>ALHIAAP1</t>
  </si>
  <si>
    <t>ALHAMRA ISLAMIC ACTIVE ALLOCATION PLAN I</t>
  </si>
  <si>
    <t>ALHIAAPII</t>
  </si>
  <si>
    <t>ALHDDF</t>
  </si>
  <si>
    <t>ALHAMRA DAILY DIVIDEND FUND</t>
  </si>
  <si>
    <t>current SSt on BE</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</si>
  <si>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</si>
  <si>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Total Income</t>
  </si>
  <si>
    <t>September 30,</t>
  </si>
  <si>
    <t>September</t>
  </si>
  <si>
    <t>Bank balance</t>
  </si>
  <si>
    <t>Synthetic Products Limited</t>
  </si>
  <si>
    <t>Printing and related charges</t>
  </si>
  <si>
    <t>030900100012</t>
  </si>
  <si>
    <t>Dividend Payable - Div  Ac # 9 Final 2010 Summit Bank</t>
  </si>
  <si>
    <t>040200100088</t>
  </si>
  <si>
    <t>Profit On Habib Bank Limited Kse Branch</t>
  </si>
  <si>
    <t>Cable &amp; Electrical Goods</t>
  </si>
  <si>
    <t>Glass &amp; Ceramics</t>
  </si>
  <si>
    <t>Leather &amp; Tanneries</t>
  </si>
  <si>
    <t>Oil And Gas Marketing Companies</t>
  </si>
  <si>
    <t>Shell (Pakistan) Limited</t>
  </si>
  <si>
    <t>Hub Power Company Limited</t>
  </si>
  <si>
    <t>Interloop Limited</t>
  </si>
  <si>
    <t>These carry profits at the rates ranging from 10.5% to 14.4% (June 30, 2019: 10% to 13%) per annum and include Rs.10.851 (June 30, 2019: Rs.14.9) million and Rs. 2.386 million (June 30, 2019: 3.58) maintained with MCB Bank Limited and Silk Bank Limited, a related party which carries profit at the rate of 11.25% (June 30, 2019: 10.25%) and  14.2% per annum (June 30, 2019: 13%).</t>
  </si>
  <si>
    <t>There were no contingencies and commitments outstanding as at the September 30, 2019 and June 30, 2019.</t>
  </si>
  <si>
    <t>Sale of 1,221,600(2018: Nil) shares</t>
  </si>
  <si>
    <t>Sale of Nil (2018: 350,000) shares</t>
  </si>
  <si>
    <t>Purchase of Nil (2018: 4,548,500) shares</t>
  </si>
  <si>
    <t>Sale of Nil (2018: 809,500) shares</t>
  </si>
  <si>
    <t>Net loss for the period</t>
  </si>
  <si>
    <t>- Excluding to capital gains</t>
  </si>
  <si>
    <t>Cash and cash equivalents at the begining of the period</t>
  </si>
  <si>
    <t>Engineering</t>
  </si>
  <si>
    <t>Fertilizer</t>
  </si>
  <si>
    <t>TAXATION</t>
  </si>
  <si>
    <t>9.</t>
  </si>
  <si>
    <t>TRANSACTIONS WITH RELATED PARTIES/ CONNECTED PERSONS</t>
  </si>
  <si>
    <t>Marketing And Selling expenses</t>
  </si>
  <si>
    <t>The Pakistan Credit Rating Agency (PACRA) has assigned Management quality rating of "AM2++" dated April 08, 2019 to the Management Company.</t>
  </si>
  <si>
    <t>Statement of compliance</t>
  </si>
  <si>
    <t xml:space="preserve">This condensed interim financial statements have been prepared in accordance with the accounting and reporting standards as applicable in Pakistan which comprises of:
</t>
  </si>
  <si>
    <t>International Accounting Standard (IAS) 34, Interim Financial Reporting, issued by  the International Accounting Standards Board (IASB) as notified under the Companies Act, 2017 (the Act);</t>
  </si>
  <si>
    <t>Provisions of and directives issued under the Companies Act, 2017 along with part VIIIA of the repealed Companies Ordinance, 1984; and</t>
  </si>
  <si>
    <t>The NBFC rules, the Non-Banking Finance Companies, Notified Entities Regulations, 2008 (the NBFC Regulations) and the requirements of Trust Deed.</t>
  </si>
  <si>
    <t>2.1.2</t>
  </si>
  <si>
    <t>2.1.3</t>
  </si>
  <si>
    <t>2.1.4</t>
  </si>
  <si>
    <t>2.1.5</t>
  </si>
  <si>
    <t xml:space="preserve">In compliance with schedule V of the NBFC Regulations the Directors of the Management Company, hereby declare that this condensed interim financial statement give a true and fair view of the Fund.
 </t>
  </si>
  <si>
    <t>Basis of Measurement</t>
  </si>
  <si>
    <t>This condensed interim financial information have been prepared on the basis of historical cost convention except that investments have been included at fair value.</t>
  </si>
  <si>
    <t>Functional and presentation currency</t>
  </si>
  <si>
    <t>This condensed interim financial information is presented in Pak Rupees which is the functional and presentation currency of the Fund.</t>
  </si>
  <si>
    <t>3.</t>
  </si>
  <si>
    <t>SIGNIFICANT ACCOUNTING POLICIES</t>
  </si>
  <si>
    <r>
      <t>Amendments to certain existing standards and interpretations on approved accounting standards effective during the period were not relevant and does not have any significant impact on the Fund’s operations or a change in accounting policies of the Fund, therefore, have not been detailed in these condensed interim financial statements.</t>
    </r>
    <r>
      <rPr>
        <sz val="11"/>
        <color rgb="FF000000"/>
        <rFont val="Calibri"/>
        <family val="2"/>
      </rPr>
      <t xml:space="preserve"> </t>
    </r>
  </si>
  <si>
    <t>Estimates and Judgements</t>
  </si>
  <si>
    <t xml:space="preserve">Financial Risk Management </t>
  </si>
  <si>
    <t>2.1.1</t>
  </si>
  <si>
    <t>There is no change in the status of Federal Excise Duty as reported in the annual financial statements of the Fund for the year ended June 30, 2019. Had the said provision for FED not been recorded in the condensed interim financial information of the Fund, the net asset value of the Fund as at September 30, 2019 would have been higher by Re. 0.5284 per unit (June 30, 2019: Re. 0.45 per unit).</t>
  </si>
  <si>
    <t xml:space="preserve">Payable to Central Depository of Pakistan - Trustee </t>
  </si>
  <si>
    <t>Payable to Securities and Exchange Commission of Pakistan (SECP)</t>
  </si>
  <si>
    <t>14.</t>
  </si>
  <si>
    <t>SECP, vide SRO no. 639 (I)/2019 dated June 20, 2019 enhanced the Total Expense Ratio from 4% to 4.5%. The total expense ratio of the Fund from July 1, 2019 to September 30, 2019 is 0.85% (September 30, 2018: 0.82 %) and this includes 0.08% (September 30, 2018: 0.09%) representing government levy, Sindh Worker's Welfare Fund, SECP fee etc. This ratio is within the maximum limit of 4.5% prescribed under the NBFC Regulations for a collective investment scheme categorized as equity scheme.</t>
  </si>
  <si>
    <t>16.</t>
  </si>
  <si>
    <t>Related parties / connected persons of the Fund include the Management Company, other collective investment schemes managed by the Management Company, MCB Bank Limited being the holding company of the Management Company, the Trustee, directors and key management personnel, other associated undertakings and unit holders holding more than 10% units of the Fund.</t>
  </si>
  <si>
    <t>Remuneration payable to the Management Company and the Trustee is determined in accordance with the provision of the NBFC Regulations 2008 and Constitutive documents of the Fund.</t>
  </si>
  <si>
    <t>The transactions with connected persons / related parties are in the normal course of business and are carried out on agreed terms at contracted rates.</t>
  </si>
  <si>
    <t>Details of transactions and balances at period end with related parties / connected persons, other than those which have been disclosed elsewhere in these financial statements, are as follows:</t>
  </si>
  <si>
    <t>*  The amount disclosed represents the amount of brokerage paid to connected persons and not the purchase or sale value of securities transacted through them. The purchase or sale value has not been treated as transactions with connected persons as the ultimate counter parties are not connected persons.</t>
  </si>
  <si>
    <t>18.</t>
  </si>
  <si>
    <t>Figures have been rounded off to the nearest thousand rupees, unless otherwise specified.</t>
  </si>
  <si>
    <t>SECP, vide SRO no. 685 (I)/2019 dated June 28, 2019, revised the rate of annual fee at 0.02% (2018: 0.095%) of net assets on all categories of Collective Investment Schemes which is effective from July 01, 2019.</t>
  </si>
  <si>
    <t>Sales tax on remuneration payable</t>
  </si>
  <si>
    <t>NASIM BEG</t>
  </si>
  <si>
    <t>SYED SAVAIL MEEKAL HUSSAIN</t>
  </si>
  <si>
    <t>AHMED JAHANGIR</t>
  </si>
  <si>
    <t>HYUNDAI NISHAT MOTOR PRIVATE LIMITED EMPLOYEES PROVIDENT FUND</t>
  </si>
  <si>
    <t>RAZA MANSHA</t>
  </si>
  <si>
    <t xml:space="preserve">NASIM BEG </t>
  </si>
  <si>
    <t xml:space="preserve">MIRZA QAMAR BEG </t>
  </si>
  <si>
    <t xml:space="preserve">ABDUS SAMAD </t>
  </si>
  <si>
    <t>SERVICE SALES CORPORATION PROVIDENT FUND TRUST</t>
  </si>
  <si>
    <t>CITY SCHOOLS PROVIDENT FUND TRUST</t>
  </si>
  <si>
    <t>S&amp;P GLOBAL PAKISTAN (PRIVATE) LIMITED EMPLOYEES PROVIDENT FUND</t>
  </si>
  <si>
    <t>ALI GOHAR &amp; CO (PVT.) LIMITED STAFF PROVIDENT FUND</t>
  </si>
  <si>
    <t>ISPI CORPORATION (PVT) LTD.</t>
  </si>
  <si>
    <t>GREENSTAR SOCIAL MARKETING PAKISTAN(G) LTD.</t>
  </si>
  <si>
    <t>THE NAGHAT RASHEED TRUST</t>
  </si>
  <si>
    <t>JAFFER BROS. (PVT) LIMITED &amp; ASSOCIATED COMPANIES STAFF PROVIDENT FUND</t>
  </si>
  <si>
    <t>ACE EMPLOYEES PROVIDENT FUND TRUST</t>
  </si>
  <si>
    <t>NATIONAL MANAGEMENT FOUNDATION</t>
  </si>
  <si>
    <t>MUJEEB AHMED</t>
  </si>
  <si>
    <t>MUHAMMAD FAROOQ KHAN</t>
  </si>
  <si>
    <t>RUBEENA FAHIM AHMAD</t>
  </si>
  <si>
    <t>PAK AMERICAN FERTILIZERS LIMITED EMPLOYEES PROVIDENT FUND</t>
  </si>
  <si>
    <t>NIMIR RESINS LIMITED EMPLOYEES GRATUITY FUND</t>
  </si>
  <si>
    <t>AITCHISON COLLEGE LAHORE</t>
  </si>
  <si>
    <t>IGI LIFE INSURANCE LIMITED</t>
  </si>
  <si>
    <t>KASHIF RIAZ</t>
  </si>
  <si>
    <t>NARGIS ISPHANI</t>
  </si>
  <si>
    <t>TRUST FOR VACCINES AND IMMUNIZATION</t>
  </si>
  <si>
    <t>BAI VIRBAIJI SOPARIVALA PARSI HIGH SCHOOL</t>
  </si>
  <si>
    <t>JADEED FEEDS INDUSTRIES PRIVATE LIMITED EMPLOYEES PROVIDENT FUND</t>
  </si>
  <si>
    <t>FEROZE 1888 MILLS LIMITED EPF TRUST</t>
  </si>
  <si>
    <t>FARIDA REHMAN</t>
  </si>
  <si>
    <t xml:space="preserve">ALI GOHAR &amp; CO (PVT) LTD. STAFF PROVIDENT FUND </t>
  </si>
  <si>
    <t>CHEVRON PAKISTAN LUBRICANTS (PVT) LTD. EMPLOYEES PROVIDENT FUND</t>
  </si>
  <si>
    <t xml:space="preserve">ALI GOHAR &amp; CO. (PVT) LTD., STAFF PROVIDENT FUND </t>
  </si>
  <si>
    <t>MUHAMMAD ASIF MEHDI RIZVI</t>
  </si>
  <si>
    <t>M. ASIF MEHDI RIZVI</t>
  </si>
  <si>
    <t>MURTAZA AKHTAR</t>
  </si>
  <si>
    <t>SAAD AHMED</t>
  </si>
  <si>
    <t>MUHAMMAD SAQIB SALEEM</t>
  </si>
  <si>
    <t>SHABBIR HUSSAIN</t>
  </si>
  <si>
    <t>KHURRUM BASHIR</t>
  </si>
  <si>
    <t>MOIZ ALI</t>
  </si>
  <si>
    <t>JUNAID QAMAR</t>
  </si>
  <si>
    <t>MUHAMMAD FAHEEM RAZA</t>
  </si>
  <si>
    <t>MONIS USMAN</t>
  </si>
  <si>
    <t>SYED ABID ALI SHAH</t>
  </si>
  <si>
    <t>SHAHID MEHMOOD</t>
  </si>
  <si>
    <t>MUHAMMAD ASIM</t>
  </si>
  <si>
    <t>ASAD ALI ALAVI</t>
  </si>
  <si>
    <t>MOHAMMAD AITAZAZ FAROOQUI</t>
  </si>
  <si>
    <t>ADNAN FAROOQ</t>
  </si>
  <si>
    <t>M. ASIF MEDHI RIZVI</t>
  </si>
  <si>
    <t>Unit holders holding 10% or more</t>
  </si>
  <si>
    <t>Nasim beg</t>
  </si>
  <si>
    <t>Asghari Beg Memorial Trust</t>
  </si>
  <si>
    <t>Syed Savail Meekal Hussain</t>
  </si>
  <si>
    <t>CDC-Trustee-Punjab Pension Fund Trust</t>
  </si>
  <si>
    <t>15.</t>
  </si>
  <si>
    <t xml:space="preserve">Payable to MCB-Arif Habib Savings and Investments Limited – Management Company </t>
  </si>
  <si>
    <t>Expenses allocated by the Management Company</t>
  </si>
  <si>
    <t>Selling and Marketing expenses</t>
  </si>
  <si>
    <t>Sales load payable</t>
  </si>
  <si>
    <t>Uptil June 19, 2019 in accordance with Regulation 60 of the NBFC Regulations, the Management Company was entitled to charge expenses related to registrar services, accounting, operations and valuation services, related to a Collective Investment Scheme (CIS) at the rate of 0.1% of the average annual net assets of the scheme or actual whichever is less. SECP vide SRO 639(I)/2019 dated June 20, 2019 has removed the maximum cap of 0.1%. Accordingly, the Management Company can now charge actual expenses related to registrar services, accounting, operations and valuation services to the CIS.</t>
  </si>
  <si>
    <t>SECP vide SRO 639(I)/2019 dated June 20, 2019 has allowed the Asset Management Companies to charge selling and marketing expenses to all categories of open-end mutual funds (except fund of funds). Furthermore, maximum cap of selling and marketing expense of 0.4% per annum has also been removed. Accordingly, such expenses have been charged to the Fund being lower than actual expenses incurred.</t>
  </si>
  <si>
    <t>This condensed interim financial information does not include all the information and disclosures required for full annual financial statements and should be read in conjunction with the financial statements for the year ended 30 June 2019.</t>
  </si>
  <si>
    <t>The comparative in the statement of assets and liabilities presented in the condensed interim financial information as at 30 September 2018 have been extracted from the audited financial statements of the Fund for the year ended 30 June 2019,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2018.</t>
  </si>
  <si>
    <t>Name Of Security</t>
  </si>
  <si>
    <t xml:space="preserve">        of the Management Company</t>
  </si>
  <si>
    <t xml:space="preserve">        Exchange Commission of Pakistan</t>
  </si>
  <si>
    <t>LOSS PER UNIT</t>
  </si>
  <si>
    <t>Loss per unit based on cumulative weighted average units for the period has not been disclosed as in the opinion of the Management Company, the determination of the same is not practicable</t>
  </si>
  <si>
    <t>2020</t>
  </si>
  <si>
    <t>30, 2020</t>
  </si>
  <si>
    <t>As at July 01, 2020</t>
  </si>
  <si>
    <t>There is no change in the status of the SWWF as reported in the annual financial statements of the Fund for the year ended June 30, 2019. Had the provision for SWWF not been recorded in the condensed interim financial information of the Fund, the net asset value of the Fund as at September 30, 2019 would have been higher by Re. 0.5583 per unit (June 30, 2019 Re. 0.5583 per unit).</t>
  </si>
  <si>
    <t>As at
September
30, 2020</t>
  </si>
  <si>
    <t>Adamjee Insurance Co. Limited</t>
  </si>
  <si>
    <t>010100100015</t>
  </si>
  <si>
    <t>BANK BALANCES - HABIB METRO BANK - MAIN BRANCH</t>
  </si>
  <si>
    <t>010100100094</t>
  </si>
  <si>
    <t>Bank Balances - Silk Bank Limited - Emaan Islamic Bank- Clifton Branch</t>
  </si>
  <si>
    <t>010100100122</t>
  </si>
  <si>
    <t>BANK BALANCES - ALLIED BANK LIMITED FX Current A/C</t>
  </si>
  <si>
    <t>010602200001</t>
  </si>
  <si>
    <t>RECEIVABLE FROM NCCPL AMOUNT DEPOSITED AGAINST EXPOSURE MARGIN</t>
  </si>
  <si>
    <t>040300100001</t>
  </si>
  <si>
    <t>INCOME ON NCCPL DEPOSIT AGAINST EXPOSURE MARGIN</t>
  </si>
  <si>
    <t>050500100001</t>
  </si>
  <si>
    <t>TAXATIONWORKERS WELFARE FUND (WWF)</t>
  </si>
  <si>
    <t>The accounting policies adopted for the preparation of these condensed interim financial statements are the same as those applied in the preparation of the annual published financial statements of the Fund for the period ended June 30, 2020.</t>
  </si>
  <si>
    <t>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2020.</t>
  </si>
  <si>
    <t>The Fund's financial risk management objectives and policies are consistent with that disclosed in the financial statements as at and for the year ended 30 June 2020.</t>
  </si>
  <si>
    <t>These include a balance of Rs.0.038 (June 30, 2020: Rs.3.309) million maintained with MCB Bank Limited, a related party.</t>
  </si>
  <si>
    <t>These carry profit at the rates ranging between 5.5% to 7.83% (2019: 11.25% to 14.4 %) per annum. It includes bank balance of Rs.0.043 million (2019: Rs 10.81 million) maintained with MCB Bank Limited (a related party) which carries profit at the rate of 5.5% (2019: 11.25 %) per annum and Rs. 2.386 million (2019: Rs.2.386 million) maintained with Silk bank Limited (a related party) which carries profit at the rate of 14.2% (2019: 14.2 %) per annum.</t>
  </si>
  <si>
    <t>Market Treasury Bills - 6 months</t>
  </si>
  <si>
    <t>Aisha Steel Limited</t>
  </si>
  <si>
    <t>Indus Motors Company Limited</t>
  </si>
  <si>
    <t>Murree Brewery Company</t>
  </si>
  <si>
    <t>Shifa International Hospitals</t>
  </si>
  <si>
    <t>Tri-Pak Films</t>
  </si>
  <si>
    <t>Paper And Board</t>
  </si>
  <si>
    <t>Glaxosmithkline Pakistan</t>
  </si>
  <si>
    <t>Refinery</t>
  </si>
  <si>
    <t>Transport</t>
  </si>
  <si>
    <t>NOTES TO THE FINANCIAL STATEMENTS</t>
  </si>
  <si>
    <t>1.1</t>
  </si>
  <si>
    <t>1.2</t>
  </si>
  <si>
    <t>Pursuant to the merger of MCB Asset Management Company Limited with and into Arif Habib Investments Limited (AHIL), the name of AHIL has been changed to MCB-Arif Habib Savings and Investments Limited.</t>
  </si>
  <si>
    <t>1.3</t>
  </si>
  <si>
    <t>1.4</t>
  </si>
  <si>
    <t>1.5</t>
  </si>
  <si>
    <t>STATEMENT OF COMPLIANCE</t>
  </si>
  <si>
    <t>Sep 30,</t>
  </si>
  <si>
    <t>Payable to legal advisor</t>
  </si>
  <si>
    <t>Provision for Sindh Workers' Welfare Fund (SWWF)</t>
  </si>
  <si>
    <t>Federal Excise Duty on remuneration to the Management Company</t>
  </si>
  <si>
    <t xml:space="preserve">CASH AND CASH EQUIVALENTS </t>
  </si>
  <si>
    <t>TRANSACTIONS AND BALANCES OUTSTANDING WITH CONNECTED PERSONS / OTHER RELATED PARTIES</t>
  </si>
  <si>
    <t>Related parties / connected persons of the Fund include the Management Company, other collective investment schemes managed by the Management Company, MCB Bank Limited being the Holding Company of the Management Company, the Trustee, directors, key management personnel and other associated undertakings and connected persons. Connected persons also include any person beneficially owing directly or indirectly 10% or more of the units in the issue / net assets of the Fund.</t>
  </si>
  <si>
    <t>TRANSACTIONS WITH RELATED PARTIES /  CONNECTED PERSONS</t>
  </si>
  <si>
    <t>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t>
  </si>
  <si>
    <t>Remuneration payable to the Management Company is determined in accordance with the provision of the NBFC Regulations and constitutive documents of the Fund respectively.</t>
  </si>
  <si>
    <t>Details of transactions and balances at year end with related parties / connected persons, other than those which have been disclosed elsewhere in these financial statements, are as follows:</t>
  </si>
  <si>
    <t xml:space="preserve">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 </t>
  </si>
  <si>
    <t>Remuneration payable to the Management Company and the Trustee is determined in accordance with the provision of the NBFC Regulations and constitutive documents of the Fund respectively.</t>
  </si>
  <si>
    <t>These financial statements were authorised for issue on ______________________ by the Board of Directors of the Management Company.</t>
  </si>
  <si>
    <t>Net Income for the period after taxation</t>
  </si>
  <si>
    <t>Total Expense Ratio of the Fund is 5.79% as on September 30, 2020 (2019 is 3.22%) and this includes 1.47% (2019: 0.34%) representing Government Levy, Sindh Workers' Welfare Fund (SWWF) and SECP fee. This ratio is within the maximum limit of 4.5% capped as per S.R.O 639 (I)/2019 dated June 20, 2019 issued by SECP, in connection with NBFC Regulations 60(5) for a collective investment scheme categorised as an equity scheme.</t>
  </si>
  <si>
    <t>168,3260,53</t>
  </si>
  <si>
    <t>5063,31</t>
  </si>
  <si>
    <t xml:space="preserve">HASAN MANSHA </t>
  </si>
  <si>
    <t>ADAMJEE LIFE ASSURANCE CO. LTD.</t>
  </si>
  <si>
    <t>ADAMJEE LIFE ASSURANCE CO LTD ISF II</t>
  </si>
  <si>
    <t>2,6991,23</t>
  </si>
  <si>
    <t>42,5085,15</t>
  </si>
  <si>
    <t>420,1950,46</t>
  </si>
  <si>
    <t>2,1721,37</t>
  </si>
  <si>
    <t>551,4836,42</t>
  </si>
  <si>
    <t>84,1341,46</t>
  </si>
  <si>
    <t>57,74</t>
  </si>
  <si>
    <t>2,69</t>
  </si>
  <si>
    <t>10,4847,85</t>
  </si>
  <si>
    <t>455,4820,13</t>
  </si>
  <si>
    <t>26,9512,26</t>
  </si>
  <si>
    <t>53,8938,61</t>
  </si>
  <si>
    <t>5700,73</t>
  </si>
  <si>
    <t>SAYYED ENGINEERS LIMITED</t>
  </si>
  <si>
    <t>2,2371,80</t>
  </si>
  <si>
    <t>540,6203,10</t>
  </si>
  <si>
    <t>538,4288,75</t>
  </si>
  <si>
    <t>HASSAN MANSHA</t>
  </si>
  <si>
    <t>530,4277,59</t>
  </si>
  <si>
    <t>UMER MANSHA</t>
  </si>
  <si>
    <t>ITMINDS LIMITED</t>
  </si>
  <si>
    <t>322,6298,78</t>
  </si>
  <si>
    <t>166,0717,61</t>
  </si>
  <si>
    <t>15,1294,17</t>
  </si>
  <si>
    <t>5,0152,42</t>
  </si>
  <si>
    <t>ADAMJEE LIFE ASSURANCE COMPANY LIMITED-PTF</t>
  </si>
  <si>
    <t>ARIF HABIB SECURITIES LIMITED EMPLOYEES PROVIDENT FUND TRUST</t>
  </si>
  <si>
    <t>MCB ISLAMIC BANK LIMITED</t>
  </si>
  <si>
    <t>8,7465,56</t>
  </si>
  <si>
    <t>1171,81</t>
  </si>
  <si>
    <t>2,4074,63</t>
  </si>
  <si>
    <t>6717,89</t>
  </si>
  <si>
    <t>7438,77</t>
  </si>
  <si>
    <t>130,0671,60</t>
  </si>
  <si>
    <t>18,2193,92</t>
  </si>
  <si>
    <t>320,2277,27</t>
  </si>
  <si>
    <t>3,172,6360,25</t>
  </si>
  <si>
    <t>2,2606,75</t>
  </si>
  <si>
    <t>4,4782,02</t>
  </si>
  <si>
    <t xml:space="preserve">PAKISTAN CABLES LTD. EMPLOYEES PROVIDENT FUND </t>
  </si>
  <si>
    <t>300,3412,47</t>
  </si>
  <si>
    <t>5,2598,16</t>
  </si>
  <si>
    <t>481,24</t>
  </si>
  <si>
    <t>8,4694,51</t>
  </si>
  <si>
    <t>2,8231,51</t>
  </si>
  <si>
    <t>4,6557,22</t>
  </si>
  <si>
    <t>3,1615,98</t>
  </si>
  <si>
    <t>1,1525,29</t>
  </si>
  <si>
    <t>90,0378,54</t>
  </si>
  <si>
    <t>946,6863,69</t>
  </si>
  <si>
    <t>228,8579,24</t>
  </si>
  <si>
    <t>277,7888,25</t>
  </si>
  <si>
    <t>2,5227,68</t>
  </si>
  <si>
    <t>7,8610,54</t>
  </si>
  <si>
    <t>40,5457,80</t>
  </si>
  <si>
    <t>135,5350,27</t>
  </si>
  <si>
    <t>3,80</t>
  </si>
  <si>
    <t>5,3400,02</t>
  </si>
  <si>
    <t>CDC SHARE REGISTRAR SERVICES LIMITED</t>
  </si>
  <si>
    <t>2,2284,91</t>
  </si>
  <si>
    <t>ALHIMMF</t>
  </si>
  <si>
    <t>ALHAMRA ISLAMIC MONEY MARKET FUND</t>
  </si>
  <si>
    <t>52,5412,96</t>
  </si>
  <si>
    <t>3,1249,06</t>
  </si>
  <si>
    <t>71,7225,75</t>
  </si>
  <si>
    <t>7,2676,01</t>
  </si>
  <si>
    <t>2,7767,54</t>
  </si>
  <si>
    <t>5,4220,21</t>
  </si>
  <si>
    <t>6,9447,94</t>
  </si>
  <si>
    <t>GETZ PHARMA PAKISTAN PRIVATE LIMITED EMPLOYEES PROVIDENT FUND</t>
  </si>
  <si>
    <t xml:space="preserve">ZIAD BASHIR </t>
  </si>
  <si>
    <t xml:space="preserve">MOHAMMAD ZAKI BASHIR </t>
  </si>
  <si>
    <t xml:space="preserve">ZAIN BASHIR </t>
  </si>
  <si>
    <t>MOHOMED BASHIR</t>
  </si>
  <si>
    <t xml:space="preserve">PARVEEN BASHIR </t>
  </si>
  <si>
    <t>GUL AHMED TEXTILE MILLS LIMITED EMPLOYEES PROVIDENT FUND TRUST</t>
  </si>
  <si>
    <t>1,78</t>
  </si>
  <si>
    <t>1,1000,00</t>
  </si>
  <si>
    <t>30,3643,41</t>
  </si>
  <si>
    <t>2,8284,85</t>
  </si>
  <si>
    <t>THE CRESCENT TEXTILE MILLS LIMITED EMPLOYEES PROVIDENT FUND</t>
  </si>
  <si>
    <t>47,9941,21</t>
  </si>
  <si>
    <t>97,9632,97</t>
  </si>
  <si>
    <t>315,2558,94</t>
  </si>
  <si>
    <t>315,5945,87</t>
  </si>
  <si>
    <t>363,7008,95</t>
  </si>
  <si>
    <t>139,3654,18</t>
  </si>
  <si>
    <t>53,6714,08</t>
  </si>
  <si>
    <t>16,2305,71</t>
  </si>
  <si>
    <t>4,8539,06</t>
  </si>
  <si>
    <t>23,6566,64</t>
  </si>
  <si>
    <t>370,6964,85</t>
  </si>
  <si>
    <t>13,4852,19</t>
  </si>
  <si>
    <t>17,3353,41</t>
  </si>
  <si>
    <t>25,6359,86</t>
  </si>
  <si>
    <t>4,1092,89</t>
  </si>
  <si>
    <t>202,9072,42</t>
  </si>
  <si>
    <t>1,5585,89</t>
  </si>
  <si>
    <t>7,0291,78</t>
  </si>
  <si>
    <t>16,4448,78</t>
  </si>
  <si>
    <t>55,6005,58</t>
  </si>
  <si>
    <t>1,7332,17</t>
  </si>
  <si>
    <t>3,0266,19</t>
  </si>
  <si>
    <t>35,0480,43</t>
  </si>
  <si>
    <t>26,2907,90</t>
  </si>
  <si>
    <t>23,6605,49</t>
  </si>
  <si>
    <t>7,6814,43</t>
  </si>
  <si>
    <t>10,8249,66</t>
  </si>
  <si>
    <t>37,2381,81</t>
  </si>
  <si>
    <t>opening</t>
  </si>
  <si>
    <t>issuance</t>
  </si>
  <si>
    <t>redemption</t>
  </si>
  <si>
    <t>closing</t>
  </si>
  <si>
    <t>108,8630,67</t>
  </si>
  <si>
    <t>43,6027,33</t>
  </si>
  <si>
    <t>47,0983,86</t>
  </si>
  <si>
    <t>16,2109,71</t>
  </si>
  <si>
    <t>13,9087,61</t>
  </si>
  <si>
    <t>7,7766,49</t>
  </si>
  <si>
    <t>1,5481,90</t>
  </si>
  <si>
    <t>50,8264,71</t>
  </si>
  <si>
    <t>7,5131,29</t>
  </si>
  <si>
    <t>110,39</t>
  </si>
  <si>
    <t>6,9300,78</t>
  </si>
  <si>
    <t>6169,03</t>
  </si>
  <si>
    <t>18,0715,45</t>
  </si>
  <si>
    <t>43,2875,39</t>
  </si>
  <si>
    <t>36,6177,39</t>
  </si>
  <si>
    <t>37,9256,39</t>
  </si>
  <si>
    <t>17,2858,55</t>
  </si>
  <si>
    <t>2,3730,09</t>
  </si>
  <si>
    <t>6,9391,58</t>
  </si>
  <si>
    <t>6192,76</t>
  </si>
  <si>
    <t>4,31</t>
  </si>
  <si>
    <t>6,3994,97</t>
  </si>
  <si>
    <t>3,1905,10</t>
  </si>
  <si>
    <t>8,9341,49</t>
  </si>
  <si>
    <t>2,8267,22</t>
  </si>
  <si>
    <t>5887,58</t>
  </si>
  <si>
    <t>2,08</t>
  </si>
  <si>
    <t>SYED SOHAIL AHMED</t>
  </si>
  <si>
    <t>2898,11</t>
  </si>
  <si>
    <t>7,7294,85</t>
  </si>
  <si>
    <t>8,5332,47</t>
  </si>
  <si>
    <t>500,10</t>
  </si>
  <si>
    <t>4077,42</t>
  </si>
  <si>
    <t>5,0295,24</t>
  </si>
  <si>
    <t>SYED MOHAMMAD USAMA IQBAL</t>
  </si>
  <si>
    <t>1176,34</t>
  </si>
  <si>
    <t>906,25</t>
  </si>
  <si>
    <t>OPEN</t>
  </si>
  <si>
    <t>ISSUANCE</t>
  </si>
  <si>
    <t>REDEMPTION</t>
  </si>
  <si>
    <t>CLOSING</t>
  </si>
  <si>
    <t>6593,20</t>
  </si>
  <si>
    <t>1,8422,19</t>
  </si>
  <si>
    <t>2626,16</t>
  </si>
  <si>
    <t>3,8101,29</t>
  </si>
  <si>
    <t>MUHAMMAD FAROOQ HAIDER</t>
  </si>
  <si>
    <t>608,55</t>
  </si>
  <si>
    <t>10,00</t>
  </si>
  <si>
    <t>7,3122,46</t>
  </si>
  <si>
    <t>3572,51</t>
  </si>
  <si>
    <t>4,7197,08</t>
  </si>
  <si>
    <t>1950,43</t>
  </si>
  <si>
    <t>580,53</t>
  </si>
  <si>
    <t>2,2229,03</t>
  </si>
  <si>
    <t>5,1488,06</t>
  </si>
  <si>
    <t>2,4326,49</t>
  </si>
  <si>
    <t>1,7534,58</t>
  </si>
  <si>
    <t>1,1516,28</t>
  </si>
  <si>
    <t>584,94</t>
  </si>
  <si>
    <t>5,1874,27</t>
  </si>
  <si>
    <t>7333,21</t>
  </si>
  <si>
    <t>1535,09</t>
  </si>
  <si>
    <t>1701,06</t>
  </si>
  <si>
    <t>401,05</t>
  </si>
  <si>
    <t>1,4031,63</t>
  </si>
  <si>
    <t>24,41</t>
  </si>
  <si>
    <t>1,8575,37</t>
  </si>
  <si>
    <t>3002,00</t>
  </si>
  <si>
    <t>613,87</t>
  </si>
  <si>
    <t>2836,85</t>
  </si>
  <si>
    <t>3,39</t>
  </si>
  <si>
    <t>Quarter ended September 30, 2020</t>
  </si>
  <si>
    <t>This condensed interim financial statements have been prepared in accordance with the accounting and reporting standards as applicable in Pakistan which comprises of:</t>
  </si>
  <si>
    <t>International Accounting Standard (IAS) 34, Interim Financial Reporting, issued by  the International Accounting Standards Board (IASB) as notified under the Companies Act, 2017 (the Act);</t>
  </si>
  <si>
    <t xml:space="preserve">Provisions of and directives issued under the Companies Act, 2017 along with part VIIIA of the repealed Companies Ordinance, 1984; and  </t>
  </si>
  <si>
    <t>Non-Banking Finance Companies (Establishment and Regulations) Rules, 2003 (The NBFC Rules), Non-Banking Finance Companies and Notified Entities Regulations, 2008 (The NBFC Regulations) and requirement of the Trust Deed.</t>
  </si>
  <si>
    <t>In compliance with schedule V of the NBFC Regulations the Directors of the Management Company, hereby declare that this condensed interim financial statement give a true and fair view of the Fund.</t>
  </si>
  <si>
    <t xml:space="preserve">Amendments to certain existing standards and interpretations on approved accounting standards effective during the period were not relevant and does not have any significant impact on the Fund’s operations or a change in accounting policies of the Fund, therefore, have not been detailed in these condensed interim financial statements. </t>
  </si>
  <si>
    <t>2.2</t>
  </si>
  <si>
    <t>2.3</t>
  </si>
  <si>
    <t>3.1</t>
  </si>
  <si>
    <t>3.2</t>
  </si>
  <si>
    <t>In view of the above, the Fund has discontinued making further provision in respect of FED on remuneration of the Management Company with effect from July 01, 2016. However, as a matter of abundant caution, the provision for FED made prior to this period has been maintained by the Fund which at September 30, 2020 aggregates to Rs.54.77 (2019: Rs.54.77) million. Had the provision for FED not been recorded in the financial statements of the Fund, the net assets value of the Fund as at Sep 30, 2020 would have been higher by Re.0.43 (2020: Re.0.48) per unit.</t>
  </si>
  <si>
    <t>For the quarter ended September 30, 2020 (Un-audited)</t>
  </si>
  <si>
    <r>
      <t>7.1.1</t>
    </r>
    <r>
      <rPr>
        <sz val="11"/>
        <rFont val="Arial"/>
        <family val="2"/>
      </rPr>
      <t xml:space="preserve"> Following shares have been pledged with National Clearing Company of Pakistan Limited (NCCPL) security against settlement of the Fund's trades in terms of Circular No. 11 dated October 23, 2007 issued by SECP:</t>
    </r>
  </si>
  <si>
    <t>Earnings/(Loss) per unit based on cumulative weighted average units for the period has not been disclosed as in the opinion of the Management Company, the determination of the same is not practicable.</t>
  </si>
  <si>
    <t>12.1</t>
  </si>
  <si>
    <t>12.2</t>
  </si>
  <si>
    <t>12.3</t>
  </si>
  <si>
    <t>Net loss for the period before taxation</t>
  </si>
  <si>
    <t xml:space="preserve">Unrealised appreciation / (diminuition) on re-measurement of investments </t>
  </si>
  <si>
    <t xml:space="preserve">(Increase) / Decrease in assets </t>
  </si>
  <si>
    <t>Increase / (Decrease) in liabilities</t>
  </si>
  <si>
    <t>The Fund's income is exempt from income tax as per clause (99) of part I of the Second Schedule to the Income Tax Ordinance, 2001 subject to the condition that not less than 90% of the accounting income available for distribution for the year as reduced by capital gains whether realised or unrealised is distributed amongst the unit holders by way of cash dividend. Furthermore, as per regulation 63 of the Non-Banking Finance Companies and Notified Entities Regulation, 2008, the Fund is required to distribute 90% of the net accounting income available for distribution other than capital gains to the unit holders in cash. The Fund is also exempt from the provision of Section 113 (minimum tax) under clause 11A of Part IV of the Second Schedule to the Income Tax Ordinance, 2001. The management intends to distribute at least 90% of income to be earned during the current year to the unit holders, therefore, no provision for taxation has been recorded in this condensed interim financial information.</t>
  </si>
  <si>
    <t>EARNING / (LOSS)  PER UNIT</t>
  </si>
  <si>
    <t xml:space="preserve">Corresponding figures have been reclassified and rearranged in these condensed interim financial statements, wherever </t>
  </si>
  <si>
    <t xml:space="preserve">necessary, for the purpose of better presentation. However, no significant or reclassifications were made in these condensed </t>
  </si>
  <si>
    <t>interim financial statements to report.</t>
  </si>
  <si>
    <t>Earning/ (Loss) per unit</t>
  </si>
  <si>
    <t>________________</t>
  </si>
  <si>
    <t xml:space="preserve">      Chief Executive Officer</t>
  </si>
  <si>
    <t>_____________</t>
  </si>
  <si>
    <t>______________</t>
  </si>
  <si>
    <t>AS AT SEPTEMBER 30, 2021</t>
  </si>
  <si>
    <t>FOR THE QUARTER ENDED SEPTEMBER 30, 2021</t>
  </si>
  <si>
    <t>2021</t>
  </si>
  <si>
    <t>Quarter ended September 30, 2021</t>
  </si>
  <si>
    <t>Distribution during the year</t>
  </si>
  <si>
    <t>Total as at June 30, 2021 (Audited)</t>
  </si>
  <si>
    <t>Total as at September 30, 2021 (Un-Audited)</t>
  </si>
  <si>
    <t>As at September 30, 2021</t>
  </si>
  <si>
    <t>As at July 01, 2021</t>
  </si>
  <si>
    <t>As at
September
30, 2021</t>
  </si>
  <si>
    <t>For the quarter ended September 30, 2021 (Un-audited)</t>
  </si>
  <si>
    <t>1,034,500 shares (2021: 1,034,500 shares)</t>
  </si>
  <si>
    <t>Un-Audited</t>
  </si>
  <si>
    <t>Number of units issued</t>
  </si>
  <si>
    <t>Amount received against issuance</t>
  </si>
  <si>
    <t>Portion of Capital</t>
  </si>
  <si>
    <t>Portion of Element</t>
  </si>
  <si>
    <t>Number of units redeemed</t>
  </si>
  <si>
    <t>Amount received against redemption</t>
  </si>
  <si>
    <t>F U N D   R E P O R T</t>
  </si>
  <si>
    <t>Amount</t>
  </si>
  <si>
    <t>Bank Balances - Bank Al Habib Limited - DIVIDEND - 1 - KSE BRANCH</t>
  </si>
  <si>
    <t>Bank Balances - Bank Al Habib Limited - DIVIDEND # 2 - KSE BRANCH</t>
  </si>
  <si>
    <t>BANK BALANCES - ALLIED BANK LIMITED - FX Current A/C</t>
  </si>
  <si>
    <t>PROFIT RECEIVABLE - BANK AL FALAH LIMITED  - KSE</t>
  </si>
  <si>
    <t>011400100001</t>
  </si>
  <si>
    <t>Advance Against Bookbuilding</t>
  </si>
  <si>
    <t>01190010001</t>
  </si>
  <si>
    <t>Recievable Against Bonus Shares Withheld</t>
  </si>
  <si>
    <t>050500100002</t>
  </si>
  <si>
    <t>Taxationworkers Welfare Fund (Wwf) - Reversal</t>
  </si>
  <si>
    <t>Market value as at September 30, 2021</t>
  </si>
  <si>
    <t>beginning of the period) at Rs.103.6294</t>
  </si>
  <si>
    <t>This condensed interim financial information does not include all the information and disclosures required for full annual financial statements and should be read in conjunction with the financial statements for the year ended 30 June 2021.</t>
  </si>
  <si>
    <t>The comparative in the statement of assets and liabilities presented in the condensed interim financial information as at 30 September 2021 have been extracted from the audited financial statements of the Fund for the year ended 30 June 2021,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2020.</t>
  </si>
  <si>
    <t>The accounting policies adopted for the preparation of these condensed interim financial statements are the same as those applied in the preparation of the annual published financial statements of the Fund for the period ended June 30, 2021.</t>
  </si>
  <si>
    <t xml:space="preserve">The Fund's financial risk management objectives and policies are consistent with that disclosed in the financial statements as at and for the year ended 30 June 2021.
</t>
  </si>
  <si>
    <t>There were no contingencies and commitments outstanding as at the June 30, 2021 and September 30, 2021.</t>
  </si>
  <si>
    <t xml:space="preserve">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2021.
</t>
  </si>
  <si>
    <t>The Management Company of the Fund has been licensed to act as an Asset Management Company under
the Non Baking Finance Companies (Establishment and Regulations) Rules 2003 through a certificate of
registration issued by the SECP. The registered office of the Management Company is located at 2nd Floor,
Adamjee House, I.I. Chundrigar Road, Karachi, Pakistan.</t>
  </si>
  <si>
    <t>The Pakistan Credit Rating Agency (PACRA) Limited has assigned Management quality rating of 'AM1' dated
October 06, 2020 to the Management Company.</t>
  </si>
  <si>
    <t>Aisha Steels Limited</t>
  </si>
  <si>
    <t>Un-Audited                           Quarter Ended</t>
  </si>
  <si>
    <t>010500200001</t>
  </si>
  <si>
    <t>RECEIVABLE AGAINST SALE OF MONEY MARKET INVESTMENTS</t>
  </si>
  <si>
    <t>030600100001</t>
  </si>
  <si>
    <t>PAYABLE AGAINST PURCHASE OF INV. MM</t>
  </si>
  <si>
    <t>These include a balance of Rs.9.805 (June 30, 2021: Rs.11.768) million maintained with MCB Bank Limited, a related party.</t>
  </si>
  <si>
    <t>Pak Suzuki Motors Company Limited</t>
  </si>
  <si>
    <t>Panther Tyres Limited</t>
  </si>
  <si>
    <t>Sitara Chemical Industries</t>
  </si>
  <si>
    <t>Bank AlFalah Limited</t>
  </si>
  <si>
    <t>AGHA STEEL IND. LTD</t>
  </si>
  <si>
    <t>Food &amp; Personal</t>
  </si>
  <si>
    <t>Al Shaheer Corporation</t>
  </si>
  <si>
    <t>The Organic Meat Company Limited</t>
  </si>
  <si>
    <t>Adamjee Insurance Comapny Limited</t>
  </si>
  <si>
    <t>Jubilee Life Insurance Company</t>
  </si>
  <si>
    <t>Inv.Banks/Inv.Com./S</t>
  </si>
  <si>
    <t>Service Global Footwear Limited</t>
  </si>
  <si>
    <t>Service Industries</t>
  </si>
  <si>
    <t>Pakistan Aluminium Beverage Cans Limited</t>
  </si>
  <si>
    <t>Oil &amp; Gas Development Company</t>
  </si>
  <si>
    <t>Abbott Laboratories (Pakistan)</t>
  </si>
  <si>
    <t>Glaxosmithkline Consumer</t>
  </si>
  <si>
    <t>Power Generation &amp; Distribution</t>
  </si>
  <si>
    <t>Technology &amp; Communications</t>
  </si>
  <si>
    <t>Pakistan Telecommunication</t>
  </si>
  <si>
    <t>Textile Composite</t>
  </si>
  <si>
    <t>Nishat (Chunian) Limited</t>
  </si>
  <si>
    <t>Pakistan International Bulk Terminal</t>
  </si>
  <si>
    <t>Redemption of 13,751,711 (2020: 20,769,080) units:</t>
  </si>
  <si>
    <t>Issuance of 14,628,438 (2020: 33,441,136) units:</t>
  </si>
  <si>
    <t>1,050,000 shares (2021: 4,389,000 shares)</t>
  </si>
  <si>
    <t>Nil shares (2021: 68,000 shares)</t>
  </si>
  <si>
    <t>1,312,925 shares (2021: 1,851,480 shares)</t>
  </si>
  <si>
    <t>5,705,000 shares (2021: 7,202,500 shares)</t>
  </si>
  <si>
    <t>1,669,000 shares (2021: 969,000 shares)</t>
  </si>
  <si>
    <t>480 shares (2021: 7,193,000 shares)</t>
  </si>
  <si>
    <t>Purchase of 800,000 (2020: 682,452) shares</t>
  </si>
  <si>
    <t>Sale of 799,155 (2020: 2,264,223) shares</t>
  </si>
  <si>
    <t>Purchase of Nil  (2020: Nil) shares</t>
  </si>
  <si>
    <t>Purchase of NiL (2020: 10,363,000) shares</t>
  </si>
  <si>
    <t>Sale of 3,339,000 (2020: Nil ) shares</t>
  </si>
  <si>
    <t>Sale of 68,000 (2020: Nil) shares</t>
  </si>
  <si>
    <t>Purchase of 648,285 (2020: 3,838,000) shares</t>
  </si>
  <si>
    <t>Sale of 1,186,840 (2020: 1,688,500) shares</t>
  </si>
  <si>
    <t>Sale of 1,497,500 (2020: 2,723,500) shares</t>
  </si>
  <si>
    <t>Purchase of Nil (2020: 7,200,000) shares</t>
  </si>
  <si>
    <t>Purchase of 700,000 (2020: Nil) shares</t>
  </si>
  <si>
    <t>Sale of Nil (2020: Nil) shares</t>
  </si>
  <si>
    <t>Purchase of Nil (2020: 32,500) shares</t>
  </si>
  <si>
    <t>Sale of Nil (2020: 32,500) shares</t>
  </si>
  <si>
    <t>Purchase of Nil (2020: Nil) shares</t>
  </si>
  <si>
    <t>Sale of 7,192,520 (2020: Nil) shares</t>
  </si>
  <si>
    <t>Purchase of 1,900,000 (2020: Nil) shares</t>
  </si>
  <si>
    <t>Purchase of 325,000 (2020: 1,531,000) shares</t>
  </si>
  <si>
    <t>Net assets before provision</t>
  </si>
  <si>
    <t>Nav per unit before provision</t>
  </si>
  <si>
    <t>Nav per unit after provision</t>
  </si>
  <si>
    <t>Decrease per unit</t>
  </si>
  <si>
    <t>FED Provision</t>
  </si>
  <si>
    <t xml:space="preserve">Unrealised  (diminuition)  / appreciation on re-measurement of investments </t>
  </si>
  <si>
    <t>Net (loss) / Income for the period after taxation</t>
  </si>
  <si>
    <t>Other comprehensive income for the period</t>
  </si>
  <si>
    <t>Total comprehensive (loss) / Income for the period</t>
  </si>
  <si>
    <t>Net (loss) / Income for the period before taxation</t>
  </si>
  <si>
    <t>Net cash generated from / (used in) operating activities</t>
  </si>
  <si>
    <t>Net cash generated from financing activities</t>
  </si>
  <si>
    <t>These carry profit at the rates ranging between 5.5% to 7.85% (June 2021: 5.5% to 7.83%) per annum. It includes bank balance of Rs.623.180 million (June 2021: Rs 207.336 million) maintained with MCB Bank Limited (a related party) which carries profit at the rate of 5.5% (June 2021: 5.5 %) per annum.</t>
  </si>
  <si>
    <t>* These have a face value of Rs. 5 per share</t>
  </si>
  <si>
    <t>Shabbir Tiles &amp; Ceramics Limited*</t>
  </si>
  <si>
    <t>** These have a face value of Rs. 3.5 per share</t>
  </si>
  <si>
    <t>K-Electric Limited**</t>
  </si>
  <si>
    <r>
      <rPr>
        <b/>
        <sz val="11"/>
        <rFont val="Arial"/>
        <family val="2"/>
      </rPr>
      <t>7.1.2</t>
    </r>
    <r>
      <rPr>
        <sz val="11"/>
        <rFont val="Arial"/>
        <family val="2"/>
      </rPr>
      <t xml:space="preserve"> As at September 30, 2021, the bonus shares of the Fund withheld by certain companies at the time of declaration of bonus shares amounted to Rs. 5.162 million.</t>
    </r>
  </si>
  <si>
    <t>325,000 shares (2021: Nil shares)</t>
  </si>
  <si>
    <t>1,900,000 shares (2021: Nil shares)</t>
  </si>
  <si>
    <t>IMPACT OF COIVD-19</t>
  </si>
  <si>
    <t>A novel strain of coronavirus (COVID-19) was classified as a pandemic by the World Health Organization on March 11, 2020, impacting countries globally. Measures taken to contain the spread of the virus, including lock-downs, travel bans, quarantines, social distancing, and closures of non-essential services and factories triggered significant disruptions to businesses worldwide and in Pakistan, resulting in an economic slowdown. During the lockdown that lasted from March to May 2020, the funds continued their activity, as the Pakistan Stock Exchange and the money markets continued trading. Management Company is of the view that while COVID-19 and its resulting containment measures have affected the economy, investors' confidence and adequate steps from the government and regulators have spearheaded recovery and subsequent events reflect that in due course, things would be normalised.</t>
  </si>
  <si>
    <t>Adamjee Life Assurance Company Limited - DGF</t>
  </si>
  <si>
    <t>Sindh Workers' Welfare Fund (SWWF)</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</si>
  <si>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</si>
  <si>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</si>
  <si>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</si>
  <si>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There is no change in the status of Federal Excise Duty as reported in the annual financial statements of the Fund for the year ended June 30, 2021. Had the said provision for FED not been recorded in the condensed interim financial information of the Fund, the net asset value of the Fund as at September 30, 2021 would have been higher by Re. 0.45 per unit (June 30, 2021: Re. 0.46 per unit).</t>
  </si>
  <si>
    <t>Fair value is the price that would be received to sell an asset or paid to transfer a liability in an orderly transaction between market participants at the measurement date. Consequently, differences can arise between carrying values and the fair value estimates.</t>
  </si>
  <si>
    <t>Financial assets which are tradable in an open market are revalued at the market prices prevailing on the statement of assets and liabilities date. The estimated fair value of all other financial assets and liabilities is considered not to be significantly different from the respective book values.</t>
  </si>
  <si>
    <t>Fair value hierarchy</t>
  </si>
  <si>
    <t>International Financial Reporting Standard 13, 'Fair Value Measurement' requires the Fund to classify assets using a fair value hierarchy that reflects the significance of the inputs used in making the measurements. The fair value hierarchy has the following levels:</t>
  </si>
  <si>
    <t>Level 1: quoted prices (unadjusted) in active markets for identical assets or liabilities;</t>
  </si>
  <si>
    <t>Level 2: inputs other than quoted prices included within level 1 that are observable for the asset or liability either directly (i.e. as prices) or indirectly (i.e. derived from prices); and</t>
  </si>
  <si>
    <t>Level 3: inputs for the asset or liability that are not based on observable market data (i.e. unobservable inputs).</t>
  </si>
  <si>
    <t>FAIR VALUE MEASUREMENTS</t>
  </si>
  <si>
    <t>The annexed notes 1 to 17 form an integral part of these interim financial statements.</t>
  </si>
  <si>
    <t>845 shares (2021: Nil shares)</t>
  </si>
  <si>
    <t xml:space="preserve">The annualized total expense ratio of the Fund based on the current period results is 4.32% (September 30, 2020: 5.79%) and this includes 0.32% (September 30, 2020: 1.47%) representing government levy, SECP fee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</si>
</sst>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8">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_(* #,##0_);_(* \(#,##0\);_(* &quot;-&quot;??_);_(@_)"/>
    <numFmt numFmtId="166" formatCode="#,##0.0_);\(#,##0.0\)"/>
    <numFmt numFmtId="167" formatCode="0.0"/>
    <numFmt numFmtId="168" formatCode="\ mmmm\ dd\,\ yyyy"/>
    <numFmt numFmtId="169" formatCode="_(* #,##0.00_);_(* \(#,##0.00\);_(* &quot;-&quot;_);_(@_)"/>
    <numFmt numFmtId="170" formatCode="_(* #,##0.0000_);_(* \(#,##0.0000\);_(* &quot;-&quot;??_);_(@_)"/>
    <numFmt numFmtId="171" formatCode="_(* #,##0.0_);_(* \(#,##0.0\);_(* &quot;-&quot;??_);_(@_)"/>
    <numFmt numFmtId="172" formatCode="#,##0.000_);\(#,##0.000\)"/>
    <numFmt numFmtId="173" formatCode="_(* #,##0.000_);_(* \(#,##0.000\);_(* &quot;-&quot;??_);_(@_)"/>
    <numFmt numFmtId="174" formatCode="_-* #,##0_-;\-* #,##0_-;_-* &quot;-&quot;??_-;_-@_-"/>
    <numFmt numFmtId="175" formatCode="#,##0_);\(#,##0\);&quot;-&quot;_);_(@_)"/>
    <numFmt numFmtId="176" formatCode="[$-409]d\-mmm\-yy;@"/>
    <numFmt numFmtId="177" formatCode="#,##0;_(* \(#,##0\);&quot;-&quot;;_(@_)"/>
    <numFmt numFmtId="178" formatCode="[$-F400]h:mm:ss\ AM/PM"/>
    <numFmt numFmtId="179" formatCode="#,##0_ "/>
    <numFmt numFmtId="180" formatCode="_ * #,##0.00_ ;_ * \-#,##0.00_ ;_ * &quot;-&quot;??_ ;_ @_ "/>
    <numFmt numFmtId="181" formatCode="_ * #,##0_ ;_ * \-#,##0_ ;_ * &quot;-&quot;??_ ;_ @_ "/>
    <numFmt numFmtId="182" formatCode="&quot;$&quot;\ #,##0.00;&quot;$&quot;\ \-#,##0.00"/>
    <numFmt numFmtId="183" formatCode="_(* #,##0.00000_);_(* \(#,##0.00000\);_(* &quot;-&quot;??_);_(@_)"/>
    <numFmt numFmtId="184" formatCode="_-* #,##0.00_-;\-* #,##0.00_-;_-* &quot;-&quot;??_-;_-@_-"/>
    <numFmt numFmtId="185" formatCode="_ * #,##0.0000_ ;_ * \-#,##0.0000_ ;_ * &quot;-&quot;??_ ;_ @_ "/>
    <numFmt numFmtId="186" formatCode="_([$€-2]* #,##0.00_);_([$€-2]* \(#,##0.00\);_([$€-2]* &quot;-&quot;??_)"/>
    <numFmt numFmtId="187" formatCode="[&gt;1]\ &quot;Pk of &quot;\ #;[=1]\ &quot;Each&quot;;\ 0.000\ &quot; km&quot;"/>
    <numFmt numFmtId="188" formatCode="&quot; $&quot;* #,##0.00_ ;"/>
    <numFmt numFmtId="189" formatCode="_ * #,##0.00_)&quot;F&quot;_ ;_ * \(#,##0.00\)&quot;F&quot;_ ;_ * &quot;-&quot;??_)&quot;F&quot;_ ;_ @_ "/>
    <numFmt numFmtId="190" formatCode="0.0%"/>
    <numFmt numFmtId="191" formatCode="_-* #,##0\ _P_t_s_-;\-* #,##0\ _P_t_s_-;_-* &quot;-&quot;\ _P_t_s_-;_-@_-"/>
    <numFmt numFmtId="192" formatCode="_-* #,##0.00\ _P_t_s_-;\-* #,##0.00\ _P_t_s_-;_-* &quot;-&quot;??\ _P_t_s_-;_-@_-"/>
    <numFmt numFmtId="193" formatCode="_(* #,##0.00_);_(* \(#,##0.00\);_(* \-??_);_(@_)"/>
    <numFmt numFmtId="194" formatCode="_-* #,##0\ &quot;F&quot;_-;\-* #,##0\ &quot;F&quot;_-;_-* &quot;-&quot;\ &quot;F&quot;_-;_-@_-"/>
    <numFmt numFmtId="195" formatCode="_-* #,##0.00\ &quot;F&quot;_-;\-* #,##0.00\ &quot;F&quot;_-;_-* &quot;-&quot;??\ &quot;F&quot;_-;_-@_-"/>
    <numFmt numFmtId="196" formatCode="&quot;$&quot;#,\);\(&quot;$&quot;#,\)"/>
    <numFmt numFmtId="197" formatCode="&quot;$&quot;#,;\(&quot;$&quot;#,\)"/>
    <numFmt numFmtId="198" formatCode="General_)"/>
    <numFmt numFmtId="199" formatCode="\I\n\t\i\a\l\ \c\a\p"/>
    <numFmt numFmtId="200" formatCode="\£\ #,##0_);[Red]\(\£\ #,##0\)"/>
    <numFmt numFmtId="201" formatCode="\¥\ #,##0_);[Red]\(\¥\ #,##0\)"/>
    <numFmt numFmtId="202" formatCode="\•\ \ @"/>
    <numFmt numFmtId="203" formatCode="\ \ _•\–\ \ \ \ @"/>
    <numFmt numFmtId="204" formatCode="&quot;$&quot;##,##0_);[Red]\(&quot;$&quot;#,##0\)"/>
    <numFmt numFmtId="205" formatCode="[$-409]dddd\,\ mmmm\ dd\,\ yyyy"/>
    <numFmt numFmtId="206" formatCode="_(* #,##0.00000000_);_(* \(#,##0.00000000\);_(* &quot;-&quot;??_);_(@_)"/>
    <numFmt numFmtId="207" formatCode="_-* #,##0_-;\-* #,##0_-;_-* &quot;-&quot;_-;_-@_-"/>
    <numFmt numFmtId="208" formatCode="#,##0.000"/>
    <numFmt numFmtId="209" formatCode="_-&quot;$&quot;* #,##0_-;\-&quot;$&quot;* #,##0_-;_-&quot;$&quot;* &quot;-&quot;_-;_-@_-"/>
    <numFmt numFmtId="210" formatCode="_-&quot;$&quot;* #,##0.00_-;\-&quot;$&quot;* #,##0.00_-;_-&quot;$&quot;* &quot;-&quot;??_-;_-@_-"/>
    <numFmt numFmtId="211" formatCode="#,##0;\-#,##0;&quot;-&quot;"/>
    <numFmt numFmtId="212" formatCode="\$#,;&quot;($&quot;#,\)"/>
    <numFmt numFmtId="213" formatCode="[&gt;1]&quot;Pk of  &quot;#;[=1]&quot;Each&quot;;0.000&quot;  km&quot;"/>
    <numFmt numFmtId="214" formatCode="mm/dd/yy"/>
    <numFmt numFmtId="215" formatCode="#,##0.00;[Red]\(#,##0.00\)"/>
    <numFmt numFmtId="216" formatCode="_ * #,##0_ ;_ * \-#,##0_ ;_ * &quot;-&quot;_ ;_ @_ "/>
    <numFmt numFmtId="217" formatCode="_(* #,##0.0_);_(* \(#,##0.0\);_(* &quot;-&quot;?_);@_)"/>
    <numFmt numFmtId="218" formatCode="&quot;Re.&quot;\ #,##0.00"/>
    <numFmt numFmtId="219" formatCode="0.0000"/>
    <numFmt numFmtId="220" formatCode="&quot;£ &quot;#,##0_);[Red]&quot;(£ &quot;#,##0\)"/>
    <numFmt numFmtId="221" formatCode="&quot;¥ &quot;#,##0_);[Red]&quot;(¥ &quot;#,##0\)"/>
    <numFmt numFmtId="222" formatCode="&quot;•  &quot;@"/>
    <numFmt numFmtId="223" formatCode="_(\$* #,##0.00_);_(\$* \(#,##0.00\);_(\$* \-??_);_(@_)"/>
    <numFmt numFmtId="224" formatCode="_•&quot;–    &quot;@"/>
    <numFmt numFmtId="225" formatCode="\$##,##0_);[Red]&quot;($&quot;#,##0\)"/>
    <numFmt numFmtId="226" formatCode="&quot;Intial cap&quot;"/>
    <numFmt numFmtId="227" formatCode="0.000%"/>
    <numFmt numFmtId="228" formatCode="#,##0_);\(#,##0\);_(* &quot;-&quot;??_);_(@_)"/>
    <numFmt numFmtId="229" formatCode="[$-409]d/mmm/yy;@"/>
    <numFmt numFmtId="230" formatCode="_(* #,##0.000_);_(* \(#,##0.000\);_(* \-??_);_(@_)"/>
    <numFmt numFmtId="231" formatCode="_([$€-2]* #,##0.00_);_([$€-2]* \(#,##0.00\);_([$€-2]* \-??_)"/>
    <numFmt numFmtId="232" formatCode="0.000_)"/>
    <numFmt numFmtId="233" formatCode="_([$€]* #,##0.00_);_([$€]* \(#,##0.00\);_([$€]* &quot;-&quot;??_);_(@_)"/>
    <numFmt numFmtId="234" formatCode="#,##0.00&quot; $&quot;;\-#,##0.00&quot; $&quot;"/>
    <numFmt numFmtId="235" formatCode="d\ mmm\ yy\ /\ h:mm"/>
    <numFmt numFmtId="236" formatCode="_(* #,##0_);_(* \(#,##0\);_(* &quot;-&quot;?_);@_)"/>
    <numFmt numFmtId="237" formatCode="#."/>
    <numFmt numFmtId="238" formatCode="#,##0.00;\-#,##0.00;&quot;-&quot;"/>
    <numFmt numFmtId="239" formatCode="#,##0.00%;\-#,##0.00%;&quot;- &quot;"/>
    <numFmt numFmtId="240" formatCode="#,##0.0;\-#,##0.0;&quot;-&quot;"/>
    <numFmt numFmtId="241" formatCode="#,##0.0000;\-#,##0.0000"/>
    <numFmt numFmtId="242" formatCode="#,##0.000000_);\(#,##0.000000\)"/>
    <numFmt numFmtId="243" formatCode="0%;\(0%\)"/>
    <numFmt numFmtId="244" formatCode="\ \ \ \ @"/>
    <numFmt numFmtId="245" formatCode="_-* #,##0.00_-;\-* #,##0.00_-;_-* \-??_-;_-@_-"/>
    <numFmt numFmtId="246" formatCode="#,##0.00&quot; $&quot;;[Red]\-#,##0.00&quot; $&quot;"/>
    <numFmt numFmtId="247" formatCode="_(* #,##0.0000_);_(* \(#,##0.0000\);_(* &quot;-&quot;_);_(@_)"/>
    <numFmt numFmtId="248" formatCode="_-* #,##0.0_-;\-* #,##0.0_-;_-* &quot;-&quot;??_-;_-@_-"/>
    <numFmt numFmtId="249" formatCode="0.0000_);\(0.0000\)"/>
    <numFmt numFmtId="250" formatCode="_-* #,##0.00\ _D_M_-;\-* #,##0.00\ _D_M_-;_-* &quot;-&quot;??\ _D_M_-;_-@_-"/>
    <numFmt numFmtId="251" formatCode="_-* #,##0\ _D_M_-;\-* #,##0\ _D_M_-;_-* &quot;-&quot;??\ _D_M_-;_-@_-"/>
    <numFmt numFmtId="252" formatCode="dd\-mmm\-yyyy"/>
    <numFmt numFmtId="253" formatCode="#,##0.0_);\-#,##0.0"/>
    <numFmt numFmtId="254" formatCode="_-* #,##0.00\ &quot;€&quot;_-;\-* #,##0.00\ &quot;€&quot;_-;_-* &quot;-&quot;??\ &quot;€&quot;_-;_-@_-"/>
    <numFmt numFmtId="255" formatCode="_(&quot;Rs.&quot;* #,##0.00_);_(&quot;Rs.&quot;* \(#,##0.00\);_(&quot;Rs.&quot;* &quot;-&quot;??_);_(@_)"/>
    <numFmt numFmtId="256" formatCode="_ &quot;\&quot;* #,##0_ ;_ &quot;\&quot;* \-#,##0_ ;_ &quot;\&quot;* &quot;-&quot;_ ;_ @_ "/>
    <numFmt numFmtId="257" formatCode="0.00_)"/>
    <numFmt numFmtId="258" formatCode="_-* #,##0.00\ _€_-;\-* #,##0.00\ _€_-;_-* &quot;-&quot;??\ _€_-;_-@_-"/>
    <numFmt numFmtId="259" formatCode="_ [$€]* #,##0.00_ ;_ [$€]* \-#,##0.00_ ;_ [$€]* &quot;-&quot;??_ ;_ @_ "/>
    <numFmt numFmtId="260" formatCode="#,##0_);\(#,##0\);_(* &quot;-&quot;?_);_(@_)"/>
    <numFmt numFmtId="261" formatCode="#,##0.0000_);\(#,##0.0000\);_(* &quot;-&quot;?_);_(@_)"/>
    <numFmt numFmtId="262" formatCode="#,##0.0_);\(#,##0.0\);_(* &quot;-&quot;??_);_(@_)"/>
    <numFmt numFmtId="263" formatCode="#,##0."/>
    <numFmt numFmtId="264" formatCode="[$-409]d\-mmm\-yyyy;@"/>
    <numFmt numFmtId="265" formatCode="&quot;$&quot;#,##0.00"/>
    <numFmt numFmtId="266" formatCode="d\-mmm\-yyyy"/>
    <numFmt numFmtId="267" formatCode="_(* #,##0.0000000_);_(* \(#,##0.0000000\);_(* &quot;-&quot;??_);_(@_)"/>
    <numFmt numFmtId="268" formatCode="#,##0.0000"/>
    <numFmt numFmtId="269" formatCode="#,##0.000_);\(#,##0.000\);_(* &quot;-&quot;?_);_(@_)"/>
    <numFmt numFmtId="270" formatCode="_ * #,##0.00_)_ _ ;_ * \(#,##0.00\)_ _ ;_ * &quot;-&quot;??_)_ _ ;_ @_ "/>
    <numFmt numFmtId="271" formatCode="0."/>
    <numFmt numFmtId="272" formatCode="#,##0.00000000000000000"/>
    <numFmt numFmtId="273" formatCode="#,##0.00_);\(#,##0.00\);_(* &quot;-&quot;?_);_(@_)"/>
    <numFmt numFmtId="274" formatCode="#,##0.00_ "/>
    <numFmt numFmtId="275" formatCode="0.00_ "/>
  </numFmts>
  <fonts count="28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9"/>
      <name val="Arial"/>
      <family val="2"/>
    </font>
    <font>
      <sz val="9"/>
      <name val="Arial"/>
      <family val="2"/>
    </font>
    <font>
      <sz val="10"/>
      <name val="Arial"/>
      <family val="2"/>
    </font>
    <font>
      <sz val="9"/>
      <color indexed="8"/>
      <name val="Arial"/>
      <family val="2"/>
    </font>
    <font>
      <sz val="9"/>
      <color indexed="10"/>
      <name val="Arial"/>
      <family val="2"/>
    </font>
    <font>
      <b/>
      <sz val="9"/>
      <color indexed="10"/>
      <name val="Arial"/>
      <family val="2"/>
    </font>
    <font>
      <b/>
      <sz val="9"/>
      <color indexed="8"/>
      <name val="Arial"/>
      <family val="2"/>
    </font>
    <font>
      <sz val="8"/>
      <name val="Arial"/>
      <family val="2"/>
    </font>
    <font>
      <sz val="12"/>
      <name val="Arial"/>
      <family val="2"/>
    </font>
    <font>
      <b/>
      <sz val="12"/>
      <name val="Arial"/>
      <family val="2"/>
    </font>
    <font>
      <sz val="10"/>
      <color indexed="8"/>
      <name val="Arial"/>
      <family val="2"/>
    </font>
    <font>
      <sz val="10"/>
      <name val="Tahoma"/>
      <family val="2"/>
    </font>
    <font>
      <sz val="7"/>
      <name val="Arial"/>
      <family val="2"/>
    </font>
    <font>
      <b/>
      <sz val="10"/>
      <name val="Arial"/>
      <family val="2"/>
    </font>
    <font>
      <b/>
      <sz val="8"/>
      <name val="Arial"/>
      <family val="2"/>
    </font>
    <font>
      <b/>
      <sz val="9"/>
      <color indexed="9"/>
      <name val="Arial"/>
      <family val="2"/>
    </font>
    <font>
      <sz val="8"/>
      <name val="Times New Roman"/>
      <family val="1"/>
    </font>
    <font>
      <sz val="8"/>
      <color indexed="8"/>
      <name val="Arial"/>
      <family val="2"/>
    </font>
    <font>
      <sz val="7.5"/>
      <name val="Arial"/>
      <family val="2"/>
    </font>
    <font>
      <sz val="8"/>
      <color indexed="10"/>
      <name val="Arial"/>
      <family val="2"/>
    </font>
    <font>
      <sz val="10"/>
      <color indexed="10"/>
      <name val="Arial"/>
      <family val="2"/>
    </font>
    <font>
      <sz val="8"/>
      <name val="Calibri"/>
      <family val="2"/>
    </font>
    <font>
      <b/>
      <sz val="14"/>
      <name val="Arial"/>
      <family val="2"/>
    </font>
    <font>
      <b/>
      <i/>
      <sz val="10"/>
      <name val="Arial"/>
      <family val="2"/>
    </font>
    <font>
      <sz val="8"/>
      <name val="Times New Roman"/>
      <family val="1"/>
    </font>
    <font>
      <sz val="9"/>
      <name val="Times New Roman"/>
      <family val="1"/>
    </font>
    <font>
      <b/>
      <sz val="7.5"/>
      <name val="Arial"/>
      <family val="2"/>
    </font>
    <font>
      <sz val="9"/>
      <color indexed="9"/>
      <name val="Arial"/>
      <family val="2"/>
    </font>
    <font>
      <sz val="8"/>
      <name val="Arial"/>
      <family val="2"/>
    </font>
    <font>
      <b/>
      <sz val="10"/>
      <name val="Trebuchet MS"/>
      <family val="2"/>
    </font>
    <font>
      <sz val="10"/>
      <name val="Trebuchet MS"/>
      <family val="2"/>
    </font>
    <font>
      <b/>
      <sz val="10"/>
      <color indexed="9"/>
      <name val="Trebuchet MS"/>
      <family val="2"/>
    </font>
    <font>
      <sz val="8"/>
      <name val="Verdana"/>
      <family val="2"/>
    </font>
    <font>
      <sz val="8"/>
      <color indexed="8"/>
      <name val="Arial"/>
      <family val="2"/>
    </font>
    <font>
      <b/>
      <sz val="7"/>
      <name val="Arial"/>
      <family val="2"/>
    </font>
    <font>
      <sz val="9"/>
      <color theme="1"/>
      <name val="Georgia"/>
      <family val="1"/>
    </font>
    <font>
      <sz val="9"/>
      <color rgb="FF000000"/>
      <name val="Georgia"/>
      <family val="1"/>
    </font>
    <font>
      <sz val="7"/>
      <color indexed="8"/>
      <name val="Arial"/>
      <family val="2"/>
    </font>
    <font>
      <sz val="8"/>
      <color theme="1"/>
      <name val="Arial"/>
      <family val="2"/>
    </font>
    <font>
      <b/>
      <sz val="9"/>
      <color theme="0"/>
      <name val="Georgia"/>
      <family val="1"/>
    </font>
    <font>
      <sz val="9"/>
      <name val="Georgia"/>
      <family val="1"/>
    </font>
    <font>
      <b/>
      <sz val="9"/>
      <name val="Georgia"/>
      <family val="1"/>
    </font>
    <font>
      <sz val="9"/>
      <color indexed="43"/>
      <name val="Arial"/>
      <family val="2"/>
    </font>
    <font>
      <sz val="7.5"/>
      <name val="Arial Narrow"/>
      <family val="2"/>
    </font>
    <font>
      <b/>
      <sz val="7.5"/>
      <name val="Arial Narrow"/>
      <family val="2"/>
    </font>
    <font>
      <sz val="7.5"/>
      <color indexed="43"/>
      <name val="Arial Narrow"/>
      <family val="2"/>
    </font>
    <font>
      <sz val="9"/>
      <color rgb="FF363636"/>
      <name val="Arial"/>
      <family val="2"/>
    </font>
    <font>
      <sz val="9"/>
      <color indexed="43"/>
      <name val="Georgia"/>
      <family val="1"/>
    </font>
    <font>
      <sz val="9"/>
      <color rgb="FF363636"/>
      <name val="Georgia"/>
      <family val="1"/>
    </font>
    <font>
      <b/>
      <sz val="9"/>
      <color indexed="10"/>
      <name val="Georgia"/>
      <family val="1"/>
    </font>
    <font>
      <sz val="9"/>
      <color indexed="10"/>
      <name val="Georgia"/>
      <family val="1"/>
    </font>
    <font>
      <b/>
      <sz val="9"/>
      <color theme="1"/>
      <name val="Georgia"/>
      <family val="1"/>
    </font>
    <font>
      <b/>
      <u/>
      <sz val="9"/>
      <color theme="1"/>
      <name val="Georgia"/>
      <family val="1"/>
    </font>
    <font>
      <sz val="7.5"/>
      <name val="Times New Roman"/>
      <family val="1"/>
    </font>
    <font>
      <sz val="12"/>
      <name val="Times New Roman"/>
      <family val="1"/>
    </font>
    <font>
      <sz val="10"/>
      <name val="Times New Roman"/>
      <family val="1"/>
    </font>
    <font>
      <sz val="11"/>
      <name val="Times New Roman"/>
      <family val="1"/>
    </font>
    <font>
      <b/>
      <sz val="11"/>
      <name val="Times New Roman"/>
      <family val="1"/>
    </font>
    <font>
      <sz val="10"/>
      <name val="CG Omeg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theme="1"/>
      <name val="Calibri"/>
      <family val="2"/>
      <scheme val="minor"/>
    </font>
    <font>
      <b/>
      <sz val="9"/>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lbertus Medium"/>
      <family val="2"/>
    </font>
    <font>
      <b/>
      <sz val="10"/>
      <name val="Times New Roman"/>
      <family val="1"/>
    </font>
    <font>
      <b/>
      <sz val="18"/>
      <color indexed="56"/>
      <name val="Cambria"/>
      <family val="2"/>
    </font>
    <font>
      <b/>
      <sz val="11"/>
      <color indexed="8"/>
      <name val="Calibri"/>
      <family val="2"/>
    </font>
    <font>
      <sz val="11"/>
      <color indexed="10"/>
      <name val="Calibri"/>
      <family val="2"/>
    </font>
    <font>
      <sz val="12"/>
      <name val="DTMLetterRegular"/>
    </font>
    <font>
      <sz val="10"/>
      <color indexed="8"/>
      <name val="MS Sans Serif"/>
      <family val="2"/>
    </font>
    <font>
      <b/>
      <sz val="12"/>
      <name val="Times New Roman"/>
      <family val="1"/>
    </font>
    <font>
      <b/>
      <sz val="12"/>
      <color indexed="8"/>
      <name val="Times New Roman"/>
      <family val="1"/>
    </font>
    <font>
      <sz val="10"/>
      <color indexed="0"/>
      <name val="MS Sans Serif"/>
      <family val="2"/>
    </font>
    <font>
      <sz val="12"/>
      <color indexed="9"/>
      <name val="Arial"/>
      <family val="2"/>
    </font>
    <font>
      <b/>
      <sz val="14"/>
      <name val="Tms Rmn"/>
    </font>
    <font>
      <sz val="12"/>
      <color indexed="8"/>
      <name val="Times New Roman"/>
      <family val="1"/>
    </font>
    <font>
      <sz val="12"/>
      <name val="Helv"/>
    </font>
    <font>
      <sz val="11"/>
      <color indexed="8"/>
      <name val="Times New Roman"/>
      <family val="1"/>
    </font>
    <font>
      <b/>
      <sz val="10"/>
      <color indexed="17"/>
      <name val="Arial"/>
      <family val="2"/>
    </font>
    <font>
      <sz val="12"/>
      <name val="Tms Rmn"/>
    </font>
    <font>
      <b/>
      <sz val="9"/>
      <color indexed="12"/>
      <name val="Arial"/>
      <family val="2"/>
    </font>
    <font>
      <sz val="10"/>
      <name val="MS Serif"/>
      <family val="1"/>
    </font>
    <font>
      <i/>
      <sz val="9"/>
      <color indexed="8"/>
      <name val="Arial"/>
      <family val="2"/>
    </font>
    <font>
      <sz val="10"/>
      <color indexed="16"/>
      <name val="MS Serif"/>
      <family val="1"/>
    </font>
    <font>
      <b/>
      <sz val="9"/>
      <color indexed="20"/>
      <name val="Arial"/>
      <family val="2"/>
    </font>
    <font>
      <sz val="8"/>
      <color indexed="18"/>
      <name val="Arial"/>
      <family val="2"/>
    </font>
    <font>
      <sz val="8"/>
      <name val="Helv"/>
    </font>
    <font>
      <b/>
      <sz val="8"/>
      <color indexed="8"/>
      <name val="Helv"/>
    </font>
    <font>
      <sz val="10"/>
      <name val="Helv"/>
      <charset val="204"/>
    </font>
    <font>
      <sz val="10"/>
      <name val="ＭＳ Ｐゴシック"/>
      <family val="3"/>
      <charset val="128"/>
    </font>
    <font>
      <sz val="10"/>
      <name val="MS Sans Serif"/>
      <family val="2"/>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6"/>
      <color indexed="13"/>
      <name val="Arial"/>
      <family val="2"/>
    </font>
    <font>
      <b/>
      <sz val="22"/>
      <color indexed="8"/>
      <name val="Times New Roman"/>
      <family val="1"/>
    </font>
    <font>
      <b/>
      <sz val="12"/>
      <color indexed="8"/>
      <name val="Barclays Serif"/>
      <family val="2"/>
    </font>
    <font>
      <b/>
      <sz val="8"/>
      <color indexed="24"/>
      <name val="Arial"/>
      <family val="2"/>
    </font>
    <font>
      <b/>
      <sz val="9"/>
      <color indexed="24"/>
      <name val="Arial"/>
      <family val="2"/>
    </font>
    <font>
      <b/>
      <sz val="11"/>
      <color indexed="24"/>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i/>
      <sz val="16"/>
      <name val="Arial"/>
      <family val="2"/>
    </font>
    <font>
      <sz val="12"/>
      <name val="Tms Rmn"/>
      <charset val="178"/>
    </font>
    <font>
      <b/>
      <sz val="14"/>
      <name val="Helv"/>
    </font>
    <font>
      <sz val="8"/>
      <name val="Helv"/>
      <charset val="178"/>
    </font>
    <font>
      <b/>
      <sz val="8"/>
      <color indexed="8"/>
      <name val="Helv"/>
      <charset val="178"/>
    </font>
    <font>
      <sz val="24"/>
      <color indexed="13"/>
      <name val="Helv"/>
    </font>
    <font>
      <i/>
      <sz val="10"/>
      <name val="CG Omega"/>
      <family val="2"/>
    </font>
    <font>
      <sz val="11"/>
      <name val="Tms Rmn"/>
    </font>
    <font>
      <sz val="9.85"/>
      <color indexed="8"/>
      <name val="Times New Roman"/>
      <family val="1"/>
    </font>
    <font>
      <sz val="12"/>
      <name val="Book Antiqua"/>
      <family val="1"/>
    </font>
    <font>
      <sz val="10"/>
      <name val="ＭＳ ゴシック"/>
      <family val="3"/>
      <charset val="128"/>
    </font>
    <font>
      <b/>
      <sz val="11"/>
      <name val="Book Antiqua"/>
      <family val="1"/>
    </font>
    <font>
      <b/>
      <sz val="18"/>
      <color indexed="8"/>
      <name val="Times New Roman"/>
      <family val="1"/>
    </font>
    <font>
      <b/>
      <u/>
      <sz val="8.0500000000000007"/>
      <color indexed="8"/>
      <name val="Times New Roman"/>
      <family val="1"/>
    </font>
    <font>
      <sz val="1"/>
      <color indexed="16"/>
      <name val="Courier"/>
      <family val="3"/>
    </font>
    <font>
      <u/>
      <sz val="10"/>
      <color indexed="36"/>
      <name val="Arial"/>
      <family val="2"/>
    </font>
    <font>
      <u/>
      <sz val="10"/>
      <color theme="10"/>
      <name val="Arial"/>
      <family val="2"/>
    </font>
    <font>
      <u/>
      <sz val="7"/>
      <color rgb="FF444444"/>
      <name val="Calibri"/>
      <family val="2"/>
      <scheme val="minor"/>
    </font>
    <font>
      <sz val="12"/>
      <color theme="1"/>
      <name val="Times New Roman"/>
      <family val="1"/>
    </font>
    <font>
      <sz val="10"/>
      <color theme="1"/>
      <name val="Tahoma"/>
      <family val="2"/>
    </font>
    <font>
      <b/>
      <sz val="18"/>
      <color theme="3"/>
      <name val="Cambria"/>
      <family val="2"/>
    </font>
    <font>
      <sz val="10"/>
      <name val="Courier"/>
      <family val="3"/>
    </font>
    <font>
      <sz val="10"/>
      <color indexed="12"/>
      <name val="Arial"/>
      <family val="2"/>
    </font>
    <font>
      <u/>
      <sz val="10"/>
      <color indexed="12"/>
      <name val="Arial"/>
      <family val="2"/>
    </font>
    <font>
      <u/>
      <sz val="7.5"/>
      <color indexed="12"/>
      <name val="Arial"/>
      <family val="2"/>
    </font>
    <font>
      <u/>
      <sz val="7.5"/>
      <color indexed="36"/>
      <name val="Arial"/>
      <family val="2"/>
    </font>
    <font>
      <sz val="10"/>
      <color indexed="14"/>
      <name val="Arial"/>
      <family val="2"/>
    </font>
    <font>
      <b/>
      <sz val="16"/>
      <name val="Abadi MT Condensed"/>
      <family val="2"/>
    </font>
    <font>
      <sz val="12"/>
      <color indexed="13"/>
      <name val="Helv"/>
    </font>
    <font>
      <b/>
      <sz val="12"/>
      <name val="Helv"/>
    </font>
    <font>
      <sz val="11"/>
      <color theme="1"/>
      <name val="Arial"/>
      <family val="2"/>
    </font>
    <font>
      <u/>
      <sz val="10"/>
      <color rgb="FF7A1818"/>
      <name val="Georgia"/>
      <family val="1"/>
    </font>
    <font>
      <sz val="10"/>
      <color theme="1"/>
      <name val="Arial Unicode MS"/>
      <family val="2"/>
    </font>
    <font>
      <sz val="10"/>
      <color theme="0"/>
      <name val="Calibri"/>
      <family val="2"/>
      <scheme val="minor"/>
    </font>
    <font>
      <sz val="12"/>
      <name val="¹ÙÅÁÃ¼"/>
    </font>
    <font>
      <sz val="10"/>
      <color rgb="FF9C0006"/>
      <name val="Calibri"/>
      <family val="2"/>
      <scheme val="minor"/>
    </font>
    <font>
      <b/>
      <sz val="10"/>
      <color rgb="FFFA7D00"/>
      <name val="Calibri"/>
      <family val="2"/>
      <scheme val="minor"/>
    </font>
    <font>
      <b/>
      <sz val="10"/>
      <color theme="0"/>
      <name val="Calibri"/>
      <family val="2"/>
      <scheme val="minor"/>
    </font>
    <font>
      <b/>
      <sz val="14.05"/>
      <color indexed="8"/>
      <name val="Times New Roman"/>
      <family val="1"/>
    </font>
    <font>
      <b/>
      <sz val="9.85"/>
      <color indexed="8"/>
      <name val="Times New Roman"/>
      <family val="1"/>
    </font>
    <font>
      <i/>
      <sz val="10"/>
      <color rgb="FF7F7F7F"/>
      <name val="Calibri"/>
      <family val="2"/>
      <scheme val="minor"/>
    </font>
    <font>
      <sz val="10"/>
      <color rgb="FF006100"/>
      <name val="Calibri"/>
      <family val="2"/>
      <scheme val="minor"/>
    </font>
    <font>
      <u/>
      <sz val="11"/>
      <color theme="10"/>
      <name val="Calibri"/>
      <family val="2"/>
    </font>
    <font>
      <u/>
      <sz val="9.5"/>
      <color indexed="12"/>
      <name val="Arial"/>
      <family val="2"/>
    </font>
    <font>
      <sz val="10"/>
      <color rgb="FF3F3F76"/>
      <name val="Calibri"/>
      <family val="2"/>
      <scheme val="minor"/>
    </font>
    <font>
      <sz val="10"/>
      <color rgb="FFFA7D00"/>
      <name val="Calibri"/>
      <family val="2"/>
      <scheme val="minor"/>
    </font>
    <font>
      <sz val="10"/>
      <color rgb="FF9C6500"/>
      <name val="Calibri"/>
      <family val="2"/>
      <scheme val="minor"/>
    </font>
    <font>
      <b/>
      <i/>
      <sz val="16"/>
      <name val="Helv"/>
    </font>
    <font>
      <sz val="9"/>
      <name val="Helv"/>
    </font>
    <font>
      <b/>
      <sz val="10"/>
      <color rgb="FF3F3F3F"/>
      <name val="Calibri"/>
      <family val="2"/>
      <scheme val="minor"/>
    </font>
    <font>
      <sz val="10"/>
      <name val="Helv"/>
      <family val="2"/>
    </font>
    <font>
      <b/>
      <sz val="10"/>
      <color theme="1"/>
      <name val="Calibri"/>
      <family val="2"/>
      <scheme val="minor"/>
    </font>
    <font>
      <sz val="10"/>
      <color rgb="FFFF0000"/>
      <name val="Calibri"/>
      <family val="2"/>
      <scheme val="minor"/>
    </font>
    <font>
      <u/>
      <sz val="10"/>
      <color theme="10"/>
      <name val="Arial Unicode MS"/>
      <family val="2"/>
    </font>
    <font>
      <sz val="7"/>
      <name val="Arial Narrow"/>
      <family val="2"/>
    </font>
    <font>
      <b/>
      <sz val="7"/>
      <name val="Arial Narrow"/>
      <family val="2"/>
    </font>
    <font>
      <sz val="10"/>
      <name val="Garamond"/>
      <family val="1"/>
    </font>
    <font>
      <b/>
      <sz val="14.25"/>
      <color indexed="8"/>
      <name val="Times New Roman"/>
      <family val="1"/>
    </font>
    <font>
      <u/>
      <sz val="9"/>
      <color theme="10"/>
      <name val="Arial"/>
      <family val="2"/>
    </font>
    <font>
      <u/>
      <sz val="12"/>
      <color indexed="12"/>
      <name val="Times New Roman"/>
      <family val="1"/>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24"/>
      <color indexed="13"/>
      <name val="SWISS"/>
      <family val="2"/>
    </font>
    <font>
      <sz val="11"/>
      <color indexed="10"/>
      <name val="Calibri"/>
      <family val="2"/>
      <charset val="238"/>
    </font>
    <font>
      <b/>
      <sz val="14"/>
      <name val="SWISS"/>
      <family val="2"/>
    </font>
    <font>
      <sz val="11"/>
      <color indexed="52"/>
      <name val="Calibri"/>
      <family val="2"/>
      <charset val="238"/>
    </font>
    <font>
      <sz val="11"/>
      <name val="ＭＳ Ｐゴシック"/>
      <family val="3"/>
      <charset val="128"/>
    </font>
    <font>
      <sz val="11"/>
      <color indexed="17"/>
      <name val="Calibri"/>
      <family val="2"/>
      <charset val="238"/>
    </font>
    <font>
      <b/>
      <sz val="11"/>
      <color indexed="63"/>
      <name val="Calibri"/>
      <family val="2"/>
      <charset val="238"/>
    </font>
    <font>
      <i/>
      <sz val="11"/>
      <color indexed="23"/>
      <name val="Calibri"/>
      <family val="2"/>
      <charset val="238"/>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sz val="11"/>
      <color indexed="8"/>
      <name val=" "/>
      <family val="1"/>
      <charset val="136"/>
    </font>
    <font>
      <sz val="9"/>
      <name val="Arial Narrow"/>
      <family val="2"/>
    </font>
    <font>
      <b/>
      <sz val="8"/>
      <name val="Arial Narrow"/>
      <family val="2"/>
    </font>
    <font>
      <sz val="8"/>
      <name val="Arial Narrow"/>
      <family val="2"/>
    </font>
    <font>
      <sz val="7"/>
      <color indexed="8"/>
      <name val="Arial Narrow"/>
      <family val="2"/>
    </font>
    <font>
      <sz val="10"/>
      <color theme="1"/>
      <name val="EYInterstate"/>
    </font>
    <font>
      <b/>
      <sz val="10"/>
      <color theme="1"/>
      <name val="EYInterstate"/>
    </font>
    <font>
      <sz val="10"/>
      <name val="Arial Narrow"/>
      <family val="2"/>
    </font>
    <font>
      <b/>
      <sz val="10"/>
      <name val="Arial Narrow"/>
      <family val="2"/>
    </font>
    <font>
      <sz val="10"/>
      <color indexed="43"/>
      <name val="Arial Narrow"/>
      <family val="2"/>
    </font>
    <font>
      <sz val="10"/>
      <color rgb="FF363636"/>
      <name val="Arial Narrow"/>
      <family val="2"/>
    </font>
    <font>
      <b/>
      <sz val="10"/>
      <color indexed="10"/>
      <name val="Arial"/>
      <family val="2"/>
    </font>
    <font>
      <b/>
      <sz val="10"/>
      <color rgb="FF000000"/>
      <name val="EYInterstate"/>
    </font>
    <font>
      <sz val="10"/>
      <color rgb="FF000000"/>
      <name val="Arial Narrow"/>
      <family val="2"/>
    </font>
    <font>
      <sz val="10"/>
      <color rgb="FF000000"/>
      <name val="Arialnarrow"/>
    </font>
    <font>
      <b/>
      <sz val="11"/>
      <name val="Arial"/>
      <family val="2"/>
    </font>
    <font>
      <sz val="9.9499999999999993"/>
      <color indexed="8"/>
      <name val="Verdana"/>
      <family val="2"/>
    </font>
    <font>
      <sz val="11"/>
      <name val="Arial"/>
      <family val="2"/>
    </font>
    <font>
      <sz val="12"/>
      <name val="times new romam"/>
    </font>
    <font>
      <b/>
      <sz val="11"/>
      <color theme="1"/>
      <name val="Arial"/>
      <family val="2"/>
    </font>
    <font>
      <sz val="12"/>
      <name val="Times New Roman "/>
    </font>
    <font>
      <sz val="11"/>
      <color indexed="8"/>
      <name val="Arial"/>
      <family val="2"/>
    </font>
    <font>
      <b/>
      <sz val="11"/>
      <color indexed="8"/>
      <name val="Arial"/>
      <family val="2"/>
    </font>
    <font>
      <sz val="11"/>
      <color indexed="10"/>
      <name val="Arial"/>
      <family val="2"/>
    </font>
    <font>
      <b/>
      <sz val="11"/>
      <color indexed="10"/>
      <name val="Arial"/>
      <family val="2"/>
    </font>
    <font>
      <sz val="11"/>
      <color indexed="43"/>
      <name val="Arial"/>
      <family val="2"/>
    </font>
    <font>
      <sz val="11"/>
      <color rgb="FF000000"/>
      <name val="Arial"/>
      <family val="2"/>
    </font>
    <font>
      <sz val="11"/>
      <color rgb="FF363636"/>
      <name val="Arial"/>
      <family val="2"/>
    </font>
    <font>
      <b/>
      <sz val="11"/>
      <name val="Arial Black"/>
      <family val="2"/>
    </font>
    <font>
      <u/>
      <sz val="10"/>
      <name val="Arial"/>
      <family val="2"/>
    </font>
    <font>
      <sz val="11"/>
      <color rgb="FF000000"/>
      <name val="Calibri"/>
      <family val="2"/>
    </font>
    <font>
      <b/>
      <sz val="10"/>
      <color rgb="FF000000"/>
      <name val="Courier New"/>
      <family val="3"/>
    </font>
    <font>
      <b/>
      <sz val="8"/>
      <color rgb="FF000000"/>
      <name val="Verdana"/>
      <family val="2"/>
    </font>
    <font>
      <b/>
      <sz val="8"/>
      <color rgb="FF000000"/>
      <name val="Arial"/>
      <family val="2"/>
    </font>
    <font>
      <b/>
      <sz val="8"/>
      <color rgb="FF000000"/>
      <name val="Courier New"/>
      <family val="3"/>
    </font>
    <font>
      <sz val="8"/>
      <color rgb="FF000000"/>
      <name val="Arial"/>
      <family val="2"/>
    </font>
    <font>
      <sz val="8"/>
      <color rgb="FF000000"/>
      <name val="Courier New"/>
      <family val="3"/>
    </font>
    <font>
      <b/>
      <sz val="10"/>
      <name val="Arial Black"/>
      <family val="2"/>
    </font>
    <font>
      <sz val="11"/>
      <color rgb="FF1F497D"/>
      <name val="Calibri"/>
      <family val="2"/>
    </font>
    <font>
      <b/>
      <sz val="11"/>
      <color theme="1"/>
      <name val="Arial Black"/>
      <family val="2"/>
    </font>
    <font>
      <b/>
      <sz val="10"/>
      <color theme="1"/>
      <name val="Arial"/>
      <family val="2"/>
    </font>
    <font>
      <sz val="10"/>
      <color theme="0"/>
      <name val="Arial"/>
      <family val="2"/>
    </font>
    <font>
      <sz val="11"/>
      <color rgb="FFFF0000"/>
      <name val="Arial"/>
      <family val="2"/>
    </font>
    <font>
      <b/>
      <sz val="12.5"/>
      <color theme="1"/>
      <name val="Calibri"/>
      <family val="2"/>
      <scheme val="minor"/>
    </font>
    <font>
      <sz val="9"/>
      <color indexed="81"/>
      <name val="Tahoma"/>
      <family val="2"/>
    </font>
    <font>
      <b/>
      <sz val="9"/>
      <color indexed="81"/>
      <name val="Tahoma"/>
      <family val="2"/>
    </font>
  </fonts>
  <fills count="106">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8"/>
        <bgColor indexed="64"/>
      </patternFill>
    </fill>
    <fill>
      <patternFill patternType="solid">
        <fgColor rgb="FFFFFF00"/>
        <bgColor indexed="64"/>
      </patternFill>
    </fill>
    <fill>
      <patternFill patternType="solid">
        <fgColor rgb="FF8000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002060"/>
        <bgColor indexed="64"/>
      </patternFill>
    </fill>
    <fill>
      <patternFill patternType="solid">
        <fgColor rgb="FFA32020"/>
        <bgColor indexed="64"/>
      </patternFill>
    </fill>
    <fill>
      <patternFill patternType="solid">
        <fgColor rgb="FF7A181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22"/>
        <bgColor indexed="31"/>
      </patternFill>
    </fill>
    <fill>
      <patternFill patternType="solid">
        <fgColor indexed="26"/>
        <bgColor indexed="64"/>
      </patternFill>
    </fill>
    <fill>
      <patternFill patternType="solid">
        <fgColor indexed="9"/>
        <bgColor indexed="64"/>
      </patternFill>
    </fill>
    <fill>
      <patternFill patternType="solid">
        <fgColor indexed="26"/>
        <bgColor indexed="9"/>
      </patternFill>
    </fill>
    <fill>
      <patternFill patternType="solid">
        <fgColor indexed="13"/>
      </patternFill>
    </fill>
    <fill>
      <patternFill patternType="solid">
        <fgColor indexed="17"/>
      </patternFill>
    </fill>
    <fill>
      <patternFill patternType="solid">
        <fgColor indexed="12"/>
      </patternFill>
    </fill>
    <fill>
      <patternFill patternType="solid">
        <fgColor indexed="44"/>
        <bgColor indexed="64"/>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12"/>
        <bgColor indexed="12"/>
      </patternFill>
    </fill>
    <fill>
      <patternFill patternType="solid">
        <fgColor indexed="13"/>
        <bgColor indexed="13"/>
      </patternFill>
    </fill>
    <fill>
      <patternFill patternType="solid">
        <fgColor rgb="FF00B0F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4F4F4"/>
        <bgColor indexed="64"/>
      </patternFill>
    </fill>
    <fill>
      <patternFill patternType="solid">
        <fgColor rgb="FFFFFFFF"/>
        <bgColor indexed="64"/>
      </patternFill>
    </fill>
    <fill>
      <patternFill patternType="solid">
        <fgColor theme="5" tint="0.59999389629810485"/>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bottom style="medium">
        <color indexed="64"/>
      </bottom>
      <diagonal/>
    </border>
    <border>
      <left style="thick">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bottom/>
      <diagonal/>
    </border>
    <border>
      <left style="thin">
        <color indexed="9"/>
      </left>
      <right/>
      <top/>
      <bottom style="thin">
        <color indexed="9"/>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top style="thin">
        <color auto="1"/>
      </top>
      <bottom style="thin">
        <color auto="1"/>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ck">
        <color indexed="64"/>
      </left>
      <right style="thick">
        <color indexed="64"/>
      </right>
      <top style="thick">
        <color indexed="64"/>
      </top>
      <bottom style="dashed">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auto="1"/>
      </top>
      <bottom/>
      <diagonal/>
    </border>
    <border>
      <left/>
      <right/>
      <top style="thin">
        <color auto="1"/>
      </top>
      <bottom style="double">
        <color auto="1"/>
      </bottom>
      <diagonal/>
    </border>
    <border>
      <left style="thick">
        <color indexed="9"/>
      </left>
      <right style="thick">
        <color indexed="9"/>
      </right>
      <top style="thick">
        <color indexed="9"/>
      </top>
      <bottom style="thick">
        <color indexed="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64"/>
      </left>
      <right/>
      <top style="thin">
        <color indexed="64"/>
      </top>
      <bottom/>
      <diagonal/>
    </border>
    <border>
      <left/>
      <right/>
      <top/>
      <bottom style="double">
        <color auto="1"/>
      </bottom>
      <diagonal/>
    </border>
    <border>
      <left/>
      <right style="thin">
        <color auto="1"/>
      </right>
      <top/>
      <bottom style="thin">
        <color auto="1"/>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Dashed">
        <color indexed="64"/>
      </right>
      <top style="mediumDashed">
        <color indexed="64"/>
      </top>
      <bottom style="mediumDashed">
        <color indexed="64"/>
      </bottom>
      <diagonal/>
    </border>
    <border>
      <left style="mediumDashed">
        <color indexed="64"/>
      </left>
      <right/>
      <top/>
      <bottom/>
      <diagonal/>
    </border>
    <border>
      <left/>
      <right style="mediumDashed">
        <color indexed="64"/>
      </right>
      <top/>
      <bottom/>
      <diagonal/>
    </border>
    <border>
      <left style="mediumDashed">
        <color indexed="64"/>
      </left>
      <right style="thin">
        <color indexed="64"/>
      </right>
      <top style="thin">
        <color indexed="64"/>
      </top>
      <bottom/>
      <diagonal/>
    </border>
    <border>
      <left style="thin">
        <color indexed="64"/>
      </left>
      <right style="mediumDashed">
        <color indexed="64"/>
      </right>
      <top style="thin">
        <color indexed="64"/>
      </top>
      <bottom/>
      <diagonal/>
    </border>
    <border>
      <left/>
      <right/>
      <top style="mediumDashed">
        <color indexed="64"/>
      </top>
      <bottom/>
      <diagonal/>
    </border>
  </borders>
  <cellStyleXfs count="40427">
    <xf numFmtId="0" fontId="0" fillId="0" borderId="0"/>
    <xf numFmtId="0" fontId="25" fillId="0" borderId="0"/>
    <xf numFmtId="0" fontId="25" fillId="0" borderId="0"/>
    <xf numFmtId="260"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xf numFmtId="43" fontId="21" fillId="0" borderId="0" applyFont="0" applyFill="0" applyBorder="0" applyAlignment="0" applyProtection="0"/>
    <xf numFmtId="0" fontId="25" fillId="0" borderId="0"/>
    <xf numFmtId="43" fontId="25" fillId="0" borderId="0" applyFont="0" applyFill="0" applyBorder="0" applyAlignment="0" applyProtection="0"/>
    <xf numFmtId="0" fontId="20" fillId="0" borderId="0"/>
    <xf numFmtId="43" fontId="20" fillId="0" borderId="0" applyFont="0" applyFill="0" applyBorder="0" applyAlignment="0" applyProtection="0"/>
    <xf numFmtId="0" fontId="25" fillId="0" borderId="0"/>
    <xf numFmtId="9" fontId="78" fillId="0" borderId="0" applyFont="0" applyFill="0" applyBorder="0" applyAlignment="0" applyProtection="0"/>
    <xf numFmtId="180" fontId="78" fillId="0" borderId="0" applyFont="0" applyFill="0" applyBorder="0" applyAlignment="0" applyProtection="0"/>
    <xf numFmtId="0" fontId="79" fillId="0" borderId="0">
      <protection locked="0"/>
    </xf>
    <xf numFmtId="43" fontId="25" fillId="0" borderId="0" applyFont="0" applyFill="0" applyBorder="0" applyAlignment="0" applyProtection="0"/>
    <xf numFmtId="0" fontId="77" fillId="0" borderId="0"/>
    <xf numFmtId="43" fontId="77" fillId="0" borderId="0" applyFont="0" applyFill="0" applyBorder="0" applyAlignment="0" applyProtection="0"/>
    <xf numFmtId="0" fontId="79" fillId="0" borderId="0"/>
    <xf numFmtId="0" fontId="77" fillId="0" borderId="0"/>
    <xf numFmtId="0" fontId="79" fillId="0" borderId="0">
      <protection locked="0"/>
    </xf>
    <xf numFmtId="0" fontId="25" fillId="0" borderId="0"/>
    <xf numFmtId="0" fontId="79" fillId="0" borderId="0">
      <protection locked="0"/>
    </xf>
    <xf numFmtId="0" fontId="77" fillId="0" borderId="0">
      <alignment vertical="top"/>
    </xf>
    <xf numFmtId="0" fontId="25" fillId="0" borderId="0" applyFont="0" applyFill="0" applyBorder="0" applyAlignment="0" applyProtection="0"/>
    <xf numFmtId="0" fontId="77" fillId="0" borderId="0"/>
    <xf numFmtId="43" fontId="25" fillId="0" borderId="0" applyFont="0" applyFill="0" applyBorder="0" applyAlignment="0" applyProtection="0"/>
    <xf numFmtId="0" fontId="33" fillId="0" borderId="0">
      <alignment vertical="top"/>
    </xf>
    <xf numFmtId="43" fontId="77" fillId="0" borderId="0" applyFont="0" applyFill="0" applyBorder="0" applyAlignment="0" applyProtection="0"/>
    <xf numFmtId="0" fontId="77" fillId="0" borderId="0"/>
    <xf numFmtId="0" fontId="25" fillId="0" borderId="0"/>
    <xf numFmtId="0" fontId="77" fillId="0" borderId="0"/>
    <xf numFmtId="180"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180" fontId="78" fillId="0" borderId="0" applyFont="0" applyFill="0" applyBorder="0" applyAlignment="0" applyProtection="0"/>
    <xf numFmtId="43" fontId="25" fillId="0" borderId="0" applyFont="0" applyFill="0" applyBorder="0" applyAlignment="0" applyProtection="0"/>
    <xf numFmtId="184" fontId="25" fillId="0" borderId="0" applyFont="0" applyFill="0" applyBorder="0" applyAlignment="0" applyProtection="0"/>
    <xf numFmtId="43" fontId="77" fillId="0" borderId="0" applyFont="0" applyFill="0" applyBorder="0" applyAlignment="0" applyProtection="0"/>
    <xf numFmtId="182" fontId="25" fillId="0" borderId="0" applyFont="0" applyFill="0" applyBorder="0" applyAlignment="0" applyProtection="0"/>
    <xf numFmtId="43" fontId="77" fillId="0" borderId="0" applyFont="0" applyFill="0" applyBorder="0" applyAlignment="0" applyProtection="0"/>
    <xf numFmtId="43" fontId="18" fillId="0" borderId="0" applyFont="0" applyFill="0" applyBorder="0" applyAlignment="0" applyProtection="0"/>
    <xf numFmtId="0" fontId="18" fillId="0" borderId="0"/>
    <xf numFmtId="0" fontId="77" fillId="0" borderId="0"/>
    <xf numFmtId="0" fontId="18" fillId="0" borderId="0"/>
    <xf numFmtId="0" fontId="25" fillId="0" borderId="0"/>
    <xf numFmtId="0" fontId="25" fillId="0" borderId="0">
      <alignment vertical="top"/>
    </xf>
    <xf numFmtId="0" fontId="77" fillId="0" borderId="0"/>
    <xf numFmtId="0" fontId="18" fillId="0" borderId="0"/>
    <xf numFmtId="0" fontId="18" fillId="0" borderId="0"/>
    <xf numFmtId="180" fontId="78" fillId="0" borderId="0" applyFont="0" applyFill="0" applyBorder="0" applyAlignment="0" applyProtection="0"/>
    <xf numFmtId="0" fontId="25" fillId="0" borderId="0"/>
    <xf numFmtId="0" fontId="77" fillId="0" borderId="0"/>
    <xf numFmtId="0" fontId="25" fillId="0" borderId="0"/>
    <xf numFmtId="185" fontId="81" fillId="0" borderId="0" applyFont="0" applyFill="0" applyBorder="0" applyAlignment="0" applyProtection="0"/>
    <xf numFmtId="43" fontId="25" fillId="0" borderId="0" applyFont="0" applyFill="0" applyBorder="0" applyAlignment="0" applyProtection="0"/>
    <xf numFmtId="180"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7" fillId="0" borderId="0">
      <alignment vertical="top"/>
    </xf>
    <xf numFmtId="0" fontId="25" fillId="0" borderId="0"/>
    <xf numFmtId="43" fontId="25"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180"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5" fillId="0" borderId="0"/>
    <xf numFmtId="0" fontId="25" fillId="0" borderId="0"/>
    <xf numFmtId="174" fontId="22" fillId="0" borderId="0" applyFont="0" applyFill="0" applyBorder="0" applyAlignment="0" applyProtection="0"/>
    <xf numFmtId="0" fontId="25" fillId="0" borderId="0"/>
    <xf numFmtId="0" fontId="25" fillId="0" borderId="0"/>
    <xf numFmtId="43" fontId="15" fillId="0" borderId="0" applyFont="0" applyFill="0" applyBorder="0" applyAlignment="0" applyProtection="0"/>
    <xf numFmtId="0" fontId="25" fillId="0" borderId="0"/>
    <xf numFmtId="43" fontId="15" fillId="0" borderId="0" applyFont="0" applyFill="0" applyBorder="0" applyAlignment="0" applyProtection="0"/>
    <xf numFmtId="0" fontId="25" fillId="0" borderId="0"/>
    <xf numFmtId="0" fontId="25" fillId="0" borderId="0"/>
    <xf numFmtId="0" fontId="33" fillId="0" borderId="0">
      <alignment vertical="top"/>
    </xf>
    <xf numFmtId="49" fontId="25" fillId="0" borderId="0" applyNumberFormat="0" applyFont="0" applyFill="0" applyBorder="0" applyAlignment="0" applyProtection="0"/>
    <xf numFmtId="0" fontId="33" fillId="0" borderId="0">
      <alignment vertical="top"/>
    </xf>
    <xf numFmtId="186" fontId="118" fillId="0" borderId="0"/>
    <xf numFmtId="0" fontId="25" fillId="0" borderId="0"/>
    <xf numFmtId="0" fontId="25" fillId="0" borderId="0"/>
    <xf numFmtId="0" fontId="25" fillId="0" borderId="0"/>
    <xf numFmtId="0" fontId="25" fillId="0" borderId="0"/>
    <xf numFmtId="0" fontId="25" fillId="0" borderId="0"/>
    <xf numFmtId="0" fontId="25" fillId="0" borderId="0"/>
    <xf numFmtId="43" fontId="15" fillId="0" borderId="0" applyFont="0" applyFill="0" applyBorder="0" applyAlignment="0" applyProtection="0"/>
    <xf numFmtId="0" fontId="15" fillId="0" borderId="0"/>
    <xf numFmtId="0" fontId="25" fillId="0" borderId="0"/>
    <xf numFmtId="0" fontId="138" fillId="0" borderId="0"/>
    <xf numFmtId="0" fontId="15" fillId="0" borderId="0"/>
    <xf numFmtId="0" fontId="25" fillId="0" borderId="0"/>
    <xf numFmtId="0" fontId="25" fillId="0" borderId="0"/>
    <xf numFmtId="186" fontId="118" fillId="0" borderId="0"/>
    <xf numFmtId="186" fontId="118" fillId="0" borderId="0"/>
    <xf numFmtId="0" fontId="25" fillId="0" borderId="0"/>
    <xf numFmtId="0" fontId="118" fillId="0" borderId="0"/>
    <xf numFmtId="0" fontId="15" fillId="0" borderId="0"/>
    <xf numFmtId="0" fontId="15" fillId="0" borderId="0"/>
    <xf numFmtId="0" fontId="25" fillId="0" borderId="0"/>
    <xf numFmtId="0" fontId="118" fillId="0" borderId="0"/>
    <xf numFmtId="0" fontId="25" fillId="0" borderId="0"/>
    <xf numFmtId="186" fontId="118" fillId="0" borderId="0"/>
    <xf numFmtId="0" fontId="25" fillId="0" borderId="0"/>
    <xf numFmtId="0" fontId="25" fillId="0" borderId="0"/>
    <xf numFmtId="186" fontId="118" fillId="0" borderId="0"/>
    <xf numFmtId="0" fontId="77" fillId="0" borderId="0">
      <protection locked="0"/>
    </xf>
    <xf numFmtId="186" fontId="118" fillId="0" borderId="0"/>
    <xf numFmtId="0" fontId="25" fillId="0" borderId="0"/>
    <xf numFmtId="0" fontId="118" fillId="0" borderId="0"/>
    <xf numFmtId="186" fontId="118" fillId="0" borderId="0"/>
    <xf numFmtId="0" fontId="25" fillId="0" borderId="0"/>
    <xf numFmtId="0" fontId="118" fillId="0" borderId="0"/>
    <xf numFmtId="49" fontId="25" fillId="0" borderId="0" applyNumberFormat="0" applyFont="0" applyFill="0" applyBorder="0" applyAlignment="0" applyProtection="0"/>
    <xf numFmtId="0" fontId="25" fillId="0" borderId="0"/>
    <xf numFmtId="186" fontId="118" fillId="0" borderId="0"/>
    <xf numFmtId="0" fontId="33"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0" fontId="77" fillId="0" borderId="0" applyFont="0" applyFill="0" applyBorder="0" applyAlignment="0" applyProtection="0"/>
    <xf numFmtId="200" fontId="77" fillId="0" borderId="0" applyFont="0" applyFill="0" applyBorder="0" applyAlignment="0" applyProtection="0"/>
    <xf numFmtId="220" fontId="25" fillId="0" borderId="0" applyFill="0" applyBorder="0" applyAlignment="0" applyProtection="0"/>
    <xf numFmtId="200" fontId="77" fillId="0" borderId="0" applyFont="0" applyFill="0" applyBorder="0" applyAlignment="0" applyProtection="0"/>
    <xf numFmtId="220" fontId="25" fillId="0" borderId="0" applyFill="0" applyBorder="0" applyAlignment="0" applyProtection="0"/>
    <xf numFmtId="201" fontId="77" fillId="0" borderId="0" applyFont="0" applyFill="0" applyBorder="0" applyAlignment="0" applyProtection="0"/>
    <xf numFmtId="201" fontId="77" fillId="0" borderId="0" applyFont="0" applyFill="0" applyBorder="0" applyAlignment="0" applyProtection="0"/>
    <xf numFmtId="221" fontId="25" fillId="0" borderId="0" applyFill="0" applyBorder="0" applyAlignment="0" applyProtection="0"/>
    <xf numFmtId="201" fontId="77" fillId="0" borderId="0" applyFont="0" applyFill="0" applyBorder="0" applyAlignment="0" applyProtection="0"/>
    <xf numFmtId="221" fontId="25" fillId="0" borderId="0" applyFill="0" applyBorder="0" applyAlignment="0" applyProtection="0"/>
    <xf numFmtId="43" fontId="15" fillId="0" borderId="0" applyFont="0" applyFill="0" applyBorder="0" applyAlignment="0" applyProtection="0"/>
    <xf numFmtId="0" fontId="77" fillId="0" borderId="0"/>
    <xf numFmtId="0" fontId="77" fillId="0" borderId="0"/>
    <xf numFmtId="43" fontId="25" fillId="0" borderId="0" applyFont="0" applyFill="0" applyBorder="0" applyAlignment="0" applyProtection="0"/>
    <xf numFmtId="0" fontId="77" fillId="0" borderId="0"/>
    <xf numFmtId="0" fontId="77" fillId="0" borderId="0"/>
    <xf numFmtId="0" fontId="25" fillId="0" borderId="0"/>
    <xf numFmtId="0" fontId="77" fillId="0" borderId="0"/>
    <xf numFmtId="0" fontId="25" fillId="0" borderId="0"/>
    <xf numFmtId="0" fontId="77" fillId="0" borderId="0"/>
    <xf numFmtId="49" fontId="25" fillId="0" borderId="0" applyNumberFormat="0" applyFont="0" applyFill="0" applyBorder="0" applyAlignment="0" applyProtection="0"/>
    <xf numFmtId="0" fontId="25" fillId="0" borderId="0"/>
    <xf numFmtId="0" fontId="25" fillId="0" borderId="0"/>
    <xf numFmtId="0" fontId="77" fillId="0" borderId="0"/>
    <xf numFmtId="0" fontId="22" fillId="0" borderId="0"/>
    <xf numFmtId="49" fontId="25" fillId="0" borderId="0" applyNumberFormat="0" applyFont="0" applyFill="0" applyBorder="0" applyAlignment="0" applyProtection="0"/>
    <xf numFmtId="0" fontId="77" fillId="0" borderId="0"/>
    <xf numFmtId="0" fontId="77" fillId="0" borderId="0"/>
    <xf numFmtId="0" fontId="77" fillId="0" borderId="0"/>
    <xf numFmtId="0" fontId="118" fillId="0" borderId="0"/>
    <xf numFmtId="0" fontId="166" fillId="0" borderId="0">
      <alignment horizontal="centerContinuous"/>
    </xf>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5" fillId="22" borderId="0" applyNumberFormat="0" applyBorder="0" applyAlignment="0" applyProtection="0"/>
    <xf numFmtId="0" fontId="22"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5" fillId="26" borderId="0" applyNumberFormat="0" applyBorder="0" applyAlignment="0" applyProtection="0"/>
    <xf numFmtId="0" fontId="22" fillId="48"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5" fillId="30" borderId="0" applyNumberFormat="0" applyBorder="0" applyAlignment="0" applyProtection="0"/>
    <xf numFmtId="0" fontId="22" fillId="5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5" fillId="34" borderId="0" applyNumberFormat="0" applyBorder="0" applyAlignment="0" applyProtection="0"/>
    <xf numFmtId="0" fontId="22" fillId="46"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22" fillId="46"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15" fillId="42" borderId="0" applyNumberFormat="0" applyBorder="0" applyAlignment="0" applyProtection="0"/>
    <xf numFmtId="0" fontId="22"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15" fillId="23" borderId="0" applyNumberFormat="0" applyBorder="0" applyAlignment="0" applyProtection="0"/>
    <xf numFmtId="0" fontId="22" fillId="54"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22" fillId="5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5" fillId="31" borderId="0" applyNumberFormat="0" applyBorder="0" applyAlignment="0" applyProtection="0"/>
    <xf numFmtId="0" fontId="22" fillId="56"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22" fillId="5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5" fillId="35" borderId="0" applyNumberFormat="0" applyBorder="0" applyAlignment="0" applyProtection="0"/>
    <xf numFmtId="0" fontId="22" fillId="5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22" fillId="54"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15" fillId="43" borderId="0" applyNumberFormat="0" applyBorder="0" applyAlignment="0" applyProtection="0"/>
    <xf numFmtId="0" fontId="22" fillId="56"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22" fillId="56"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96" fillId="24" borderId="0" applyNumberFormat="0" applyBorder="0" applyAlignment="0" applyProtection="0"/>
    <xf numFmtId="0" fontId="100" fillId="59" borderId="0" applyNumberFormat="0" applyBorder="0" applyAlignment="0" applyProtection="0"/>
    <xf numFmtId="0" fontId="96" fillId="24" borderId="0" applyNumberFormat="0" applyBorder="0" applyAlignment="0" applyProtection="0"/>
    <xf numFmtId="0" fontId="100" fillId="59"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96" fillId="28"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6" fillId="32" borderId="0" applyNumberFormat="0" applyBorder="0" applyAlignment="0" applyProtection="0"/>
    <xf numFmtId="0" fontId="100" fillId="56" borderId="0" applyNumberFormat="0" applyBorder="0" applyAlignment="0" applyProtection="0"/>
    <xf numFmtId="0" fontId="96" fillId="32" borderId="0" applyNumberFormat="0" applyBorder="0" applyAlignment="0" applyProtection="0"/>
    <xf numFmtId="0" fontId="100" fillId="56"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96" fillId="36" borderId="0" applyNumberFormat="0" applyBorder="0" applyAlignment="0" applyProtection="0"/>
    <xf numFmtId="0" fontId="100" fillId="54" borderId="0" applyNumberFormat="0" applyBorder="0" applyAlignment="0" applyProtection="0"/>
    <xf numFmtId="0" fontId="96" fillId="36" borderId="0" applyNumberFormat="0" applyBorder="0" applyAlignment="0" applyProtection="0"/>
    <xf numFmtId="0" fontId="100" fillId="54"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6" fillId="40"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6" fillId="44" borderId="0" applyNumberFormat="0" applyBorder="0" applyAlignment="0" applyProtection="0"/>
    <xf numFmtId="0" fontId="100" fillId="48" borderId="0" applyNumberFormat="0" applyBorder="0" applyAlignment="0" applyProtection="0"/>
    <xf numFmtId="0" fontId="96" fillId="44" borderId="0" applyNumberFormat="0" applyBorder="0" applyAlignment="0" applyProtection="0"/>
    <xf numFmtId="0" fontId="100" fillId="48" borderId="0" applyNumberFormat="0" applyBorder="0" applyAlignment="0" applyProtection="0"/>
    <xf numFmtId="214" fontId="139" fillId="0" borderId="1" applyFont="0" applyFill="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96" fillId="21" borderId="0" applyNumberFormat="0" applyBorder="0" applyAlignment="0" applyProtection="0"/>
    <xf numFmtId="0" fontId="100" fillId="59" borderId="0" applyNumberFormat="0" applyBorder="0" applyAlignment="0" applyProtection="0"/>
    <xf numFmtId="0" fontId="96" fillId="21" borderId="0" applyNumberFormat="0" applyBorder="0" applyAlignment="0" applyProtection="0"/>
    <xf numFmtId="0" fontId="100" fillId="59"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96" fillId="25"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6" fillId="29"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96" fillId="33" borderId="0" applyNumberFormat="0" applyBorder="0" applyAlignment="0" applyProtection="0"/>
    <xf numFmtId="0" fontId="100" fillId="65" borderId="0" applyNumberFormat="0" applyBorder="0" applyAlignment="0" applyProtection="0"/>
    <xf numFmtId="0" fontId="96" fillId="33" borderId="0" applyNumberFormat="0" applyBorder="0" applyAlignment="0" applyProtection="0"/>
    <xf numFmtId="0" fontId="100" fillId="65"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6" fillId="37"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96" fillId="41" borderId="0" applyNumberFormat="0" applyBorder="0" applyAlignment="0" applyProtection="0"/>
    <xf numFmtId="43" fontId="25" fillId="0" borderId="0" applyFont="0" applyFill="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86" fillId="15" borderId="0" applyNumberFormat="0" applyBorder="0" applyAlignment="0" applyProtection="0"/>
    <xf numFmtId="0" fontId="129" fillId="0" borderId="0" applyNumberFormat="0" applyFill="0" applyBorder="0" applyAlignment="0" applyProtection="0"/>
    <xf numFmtId="0" fontId="156" fillId="0" borderId="0" applyNumberFormat="0" applyFill="0" applyBorder="0" applyAlignment="0" applyProtection="0"/>
    <xf numFmtId="0" fontId="120" fillId="0" borderId="68" applyNumberFormat="0" applyFill="0" applyAlignment="0" applyProtection="0"/>
    <xf numFmtId="0" fontId="120" fillId="0" borderId="68" applyNumberFormat="0" applyFill="0" applyAlignment="0" applyProtection="0"/>
    <xf numFmtId="176" fontId="120" fillId="0" borderId="78" applyNumberFormat="0" applyFill="0" applyAlignment="0" applyProtection="0"/>
    <xf numFmtId="176" fontId="120" fillId="0" borderId="78" applyNumberFormat="0" applyFill="0" applyAlignment="0" applyProtection="0"/>
    <xf numFmtId="176" fontId="120" fillId="0" borderId="78" applyNumberFormat="0" applyFill="0" applyAlignment="0" applyProtection="0"/>
    <xf numFmtId="0" fontId="120" fillId="0" borderId="68" applyNumberFormat="0" applyFill="0" applyAlignment="0" applyProtection="0"/>
    <xf numFmtId="0" fontId="120" fillId="0" borderId="78" applyNumberFormat="0" applyFill="0" applyAlignment="0" applyProtection="0"/>
    <xf numFmtId="49" fontId="148" fillId="0" borderId="0" applyFont="0" applyFill="0" applyBorder="0" applyAlignment="0" applyProtection="0">
      <alignment horizontal="left"/>
    </xf>
    <xf numFmtId="217" fontId="24" fillId="0" borderId="0" applyAlignment="0" applyProtection="0"/>
    <xf numFmtId="190" fontId="30" fillId="0" borderId="0" applyFill="0" applyBorder="0" applyAlignment="0" applyProtection="0"/>
    <xf numFmtId="49" fontId="30" fillId="0" borderId="0" applyNumberFormat="0" applyAlignment="0" applyProtection="0">
      <alignment horizontal="left"/>
    </xf>
    <xf numFmtId="49" fontId="149" fillId="0" borderId="79" applyNumberFormat="0" applyAlignment="0" applyProtection="0">
      <alignment horizontal="left" wrapText="1"/>
    </xf>
    <xf numFmtId="49" fontId="149" fillId="0" borderId="0" applyNumberFormat="0" applyAlignment="0" applyProtection="0">
      <alignment horizontal="left" wrapText="1"/>
    </xf>
    <xf numFmtId="49" fontId="150" fillId="0" borderId="0" applyAlignment="0" applyProtection="0">
      <alignment horizontal="left"/>
    </xf>
    <xf numFmtId="202" fontId="77" fillId="0" borderId="0" applyFont="0" applyFill="0" applyBorder="0" applyAlignment="0" applyProtection="0"/>
    <xf numFmtId="202" fontId="77" fillId="0" borderId="0" applyFont="0" applyFill="0" applyBorder="0" applyAlignment="0" applyProtection="0"/>
    <xf numFmtId="222" fontId="25" fillId="0" borderId="0" applyFill="0" applyBorder="0" applyAlignment="0" applyProtection="0"/>
    <xf numFmtId="202" fontId="77" fillId="0" borderId="0" applyFont="0" applyFill="0" applyBorder="0" applyAlignment="0" applyProtection="0"/>
    <xf numFmtId="222" fontId="25" fillId="0" borderId="0" applyFill="0" applyBorder="0" applyAlignment="0" applyProtection="0"/>
    <xf numFmtId="189" fontId="30" fillId="0" borderId="0" applyFill="0" applyBorder="0" applyAlignment="0"/>
    <xf numFmtId="189" fontId="30" fillId="0" borderId="0" applyFill="0" applyBorder="0" applyAlignment="0"/>
    <xf numFmtId="211" fontId="33" fillId="0" borderId="0" applyFill="0" applyBorder="0" applyAlignment="0"/>
    <xf numFmtId="189" fontId="30" fillId="0" borderId="0" applyFill="0" applyBorder="0" applyAlignment="0"/>
    <xf numFmtId="212" fontId="25" fillId="0" borderId="0" applyFill="0" applyBorder="0" applyAlignment="0"/>
    <xf numFmtId="211" fontId="33" fillId="0" borderId="0" applyFill="0" applyBorder="0" applyAlignment="0"/>
    <xf numFmtId="211" fontId="33" fillId="0" borderId="0" applyFill="0" applyBorder="0" applyAlignment="0"/>
    <xf numFmtId="189" fontId="30" fillId="0" borderId="0" applyFill="0" applyBorder="0" applyAlignment="0"/>
    <xf numFmtId="211" fontId="33" fillId="0" borderId="0" applyFill="0" applyBorder="0" applyAlignment="0"/>
    <xf numFmtId="234" fontId="25" fillId="0" borderId="0" applyFill="0" applyBorder="0" applyAlignment="0"/>
    <xf numFmtId="197" fontId="25" fillId="0" borderId="0" applyFill="0" applyBorder="0" applyAlignment="0"/>
    <xf numFmtId="212" fontId="25" fillId="0" borderId="0" applyFill="0" applyBorder="0" applyAlignment="0"/>
    <xf numFmtId="190" fontId="25" fillId="0" borderId="0" applyFill="0" applyBorder="0" applyAlignment="0"/>
    <xf numFmtId="190" fontId="25" fillId="0" borderId="0" applyFill="0" applyBorder="0" applyAlignment="0"/>
    <xf numFmtId="190" fontId="25" fillId="0" borderId="0" applyFill="0" applyBorder="0" applyAlignment="0"/>
    <xf numFmtId="197" fontId="25" fillId="0" borderId="0" applyFill="0" applyBorder="0" applyAlignment="0"/>
    <xf numFmtId="197" fontId="25" fillId="0" borderId="0" applyFill="0" applyBorder="0" applyAlignment="0"/>
    <xf numFmtId="212" fontId="25" fillId="0" borderId="0" applyFill="0" applyBorder="0" applyAlignment="0"/>
    <xf numFmtId="212" fontId="25" fillId="0" borderId="0" applyFill="0" applyBorder="0" applyAlignment="0"/>
    <xf numFmtId="197" fontId="25" fillId="0" borderId="0" applyFill="0" applyBorder="0" applyAlignment="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90" fillId="18" borderId="72" applyNumberFormat="0" applyAlignment="0" applyProtection="0"/>
    <xf numFmtId="0" fontId="102" fillId="67" borderId="80" applyNumberFormat="0" applyAlignment="0" applyProtection="0"/>
    <xf numFmtId="0" fontId="102" fillId="67" borderId="80" applyNumberFormat="0" applyAlignment="0" applyProtection="0"/>
    <xf numFmtId="0" fontId="102" fillId="67" borderId="80" applyNumberFormat="0" applyAlignment="0" applyProtection="0"/>
    <xf numFmtId="0" fontId="90" fillId="18" borderId="72" applyNumberFormat="0" applyAlignment="0" applyProtection="0"/>
    <xf numFmtId="0" fontId="102" fillId="67" borderId="80" applyNumberFormat="0" applyAlignment="0" applyProtection="0"/>
    <xf numFmtId="0" fontId="102" fillId="67" borderId="80" applyNumberFormat="0" applyAlignment="0" applyProtection="0"/>
    <xf numFmtId="0" fontId="102" fillId="67" borderId="80" applyNumberFormat="0" applyAlignment="0" applyProtection="0"/>
    <xf numFmtId="0" fontId="102" fillId="67" borderId="80" applyNumberFormat="0" applyAlignment="0" applyProtection="0"/>
    <xf numFmtId="0" fontId="102" fillId="67" borderId="80" applyNumberFormat="0" applyAlignment="0" applyProtection="0"/>
    <xf numFmtId="0" fontId="103" fillId="68" borderId="81" applyNumberFormat="0" applyAlignment="0" applyProtection="0"/>
    <xf numFmtId="0" fontId="103" fillId="68" borderId="81" applyNumberFormat="0" applyAlignment="0" applyProtection="0"/>
    <xf numFmtId="0" fontId="103" fillId="68" borderId="81" applyNumberFormat="0" applyAlignment="0" applyProtection="0"/>
    <xf numFmtId="0" fontId="103" fillId="68" borderId="81" applyNumberFormat="0" applyAlignment="0" applyProtection="0"/>
    <xf numFmtId="0" fontId="103" fillId="68" borderId="81" applyNumberFormat="0" applyAlignment="0" applyProtection="0"/>
    <xf numFmtId="0" fontId="103" fillId="68" borderId="81" applyNumberFormat="0" applyAlignment="0" applyProtection="0"/>
    <xf numFmtId="0" fontId="92" fillId="19" borderId="75" applyNumberFormat="0" applyAlignment="0" applyProtection="0"/>
    <xf numFmtId="43" fontId="99" fillId="0" borderId="0" applyFont="0" applyFill="0" applyBorder="0" applyAlignment="0" applyProtection="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0" fontId="126" fillId="0" borderId="0"/>
    <xf numFmtId="232" fontId="162" fillId="0" borderId="0"/>
    <xf numFmtId="176" fontId="126" fillId="0" borderId="0"/>
    <xf numFmtId="176" fontId="126" fillId="0" borderId="0"/>
    <xf numFmtId="176" fontId="126" fillId="0" borderId="0"/>
    <xf numFmtId="176" fontId="126" fillId="0" borderId="0"/>
    <xf numFmtId="232" fontId="162" fillId="0" borderId="0"/>
    <xf numFmtId="0" fontId="126" fillId="0" borderId="0"/>
    <xf numFmtId="0" fontId="31" fillId="0" borderId="0"/>
    <xf numFmtId="43"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1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9"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0" fontId="119" fillId="0" borderId="0" applyNumberFormat="0" applyFont="0" applyFill="0" applyBorder="0" applyProtection="0">
      <alignment vertical="center"/>
    </xf>
    <xf numFmtId="0" fontId="119" fillId="0" borderId="0" applyNumberFormat="0" applyFont="0" applyFill="0" applyBorder="0" applyProtection="0">
      <alignment vertical="center"/>
    </xf>
    <xf numFmtId="43" fontId="22"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0" fontId="25" fillId="0" borderId="0" applyFont="0" applyFill="0" applyBorder="0" applyAlignment="0" applyProtection="0"/>
    <xf numFmtId="43" fontId="9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22" fillId="0" borderId="0" applyFont="0" applyFill="0" applyBorder="0" applyAlignment="0" applyProtection="0"/>
    <xf numFmtId="0" fontId="119" fillId="0" borderId="0" applyNumberFormat="0" applyFont="0" applyFill="0" applyBorder="0" applyProtection="0">
      <alignment vertical="center"/>
    </xf>
    <xf numFmtId="0" fontId="119" fillId="0" borderId="0" applyNumberFormat="0" applyFont="0" applyFill="0" applyBorder="0" applyProtection="0">
      <alignment vertical="center"/>
    </xf>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8" fontId="25" fillId="0" borderId="0" applyFont="0" applyFill="0" applyBorder="0" applyAlignment="0" applyProtection="0"/>
    <xf numFmtId="236" fontId="25" fillId="0" borderId="0" applyFont="0" applyFill="0" applyBorder="0" applyAlignment="0" applyProtection="0"/>
    <xf numFmtId="0"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3" fontId="25" fillId="0" borderId="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43" fontId="77" fillId="0" borderId="0" applyFont="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9" fontId="25" fillId="0" borderId="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6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0" fontId="119" fillId="0" borderId="0" applyNumberFormat="0" applyFont="0" applyFill="0" applyBorder="0" applyProtection="0">
      <alignment vertical="center"/>
    </xf>
    <xf numFmtId="43" fontId="25" fillId="0" borderId="0" applyFont="0" applyFill="0" applyBorder="0" applyAlignment="0" applyProtection="0"/>
    <xf numFmtId="193" fontId="77" fillId="0" borderId="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5" fillId="0" borderId="0" applyFont="0" applyFill="0" applyBorder="0" applyAlignment="0" applyProtection="0"/>
    <xf numFmtId="0" fontId="119" fillId="0" borderId="0" applyNumberFormat="0" applyFont="0" applyFill="0" applyBorder="0" applyProtection="0">
      <alignment vertical="center"/>
    </xf>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99" fillId="0" borderId="0" applyFont="0" applyFill="0" applyBorder="0" applyAlignment="0" applyProtection="0"/>
    <xf numFmtId="43" fontId="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79" fillId="0" borderId="0" applyFont="0" applyFill="0" applyBorder="0" applyAlignment="0" applyProtection="0"/>
    <xf numFmtId="184"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43" fontId="99" fillId="0" borderId="0" applyFont="0" applyFill="0" applyBorder="0" applyAlignment="0" applyProtection="0"/>
    <xf numFmtId="43" fontId="25" fillId="0" borderId="0" applyFont="0" applyFill="0" applyBorder="0" applyAlignment="0" applyProtection="0"/>
    <xf numFmtId="43" fontId="79" fillId="0" borderId="0" applyFont="0" applyFill="0" applyBorder="0" applyAlignment="0" applyProtection="0"/>
    <xf numFmtId="43" fontId="99"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99"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99"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99" fillId="0" borderId="0" applyFont="0" applyFill="0" applyBorder="0" applyAlignment="0" applyProtection="0"/>
    <xf numFmtId="43" fontId="22" fillId="0" borderId="0" applyFont="0" applyFill="0" applyBorder="0" applyAlignment="0" applyProtection="0"/>
    <xf numFmtId="43" fontId="79" fillId="0" borderId="0" applyFont="0" applyFill="0" applyBorder="0" applyAlignment="0" applyProtection="0"/>
    <xf numFmtId="0" fontId="102" fillId="54" borderId="80" applyNumberFormat="0" applyAlignment="0" applyProtection="0"/>
    <xf numFmtId="0" fontId="33" fillId="0" borderId="0">
      <alignment vertical="top"/>
    </xf>
    <xf numFmtId="184"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0" fontId="33" fillId="0" borderId="0">
      <alignment vertical="top"/>
    </xf>
    <xf numFmtId="43" fontId="77" fillId="0" borderId="0" applyFont="0" applyFill="0" applyBorder="0" applyAlignment="0" applyProtection="0"/>
    <xf numFmtId="176" fontId="25" fillId="0" borderId="0" applyFill="0" applyBorder="0" applyProtection="0">
      <alignment vertical="top"/>
    </xf>
    <xf numFmtId="0" fontId="25" fillId="0" borderId="0" applyFill="0" applyBorder="0" applyProtection="0">
      <alignment vertical="top"/>
    </xf>
    <xf numFmtId="176" fontId="25" fillId="0" borderId="0" applyFill="0" applyBorder="0" applyProtection="0">
      <alignment vertical="top"/>
    </xf>
    <xf numFmtId="43" fontId="25" fillId="0" borderId="0" applyFont="0" applyFill="0" applyBorder="0" applyAlignment="0" applyProtection="0"/>
    <xf numFmtId="0" fontId="33" fillId="0" borderId="0">
      <alignment vertical="top"/>
    </xf>
    <xf numFmtId="43" fontId="25" fillId="0" borderId="0" applyFont="0" applyFill="0" applyBorder="0" applyAlignment="0" applyProtection="0"/>
    <xf numFmtId="43" fontId="77" fillId="0" borderId="0" applyFont="0" applyFill="0" applyBorder="0" applyAlignment="0" applyProtection="0"/>
    <xf numFmtId="0" fontId="102" fillId="54" borderId="80" applyNumberFormat="0" applyAlignment="0" applyProtection="0"/>
    <xf numFmtId="0" fontId="25"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9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79" fillId="0" borderId="0" applyFont="0" applyFill="0" applyBorder="0" applyAlignment="0" applyProtection="0"/>
    <xf numFmtId="43" fontId="99" fillId="0" borderId="0" applyFont="0" applyFill="0" applyBorder="0" applyAlignment="0" applyProtection="0"/>
    <xf numFmtId="43" fontId="22" fillId="0" borderId="0" applyFont="0" applyFill="0" applyBorder="0" applyAlignment="0" applyProtection="0"/>
    <xf numFmtId="43" fontId="79"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43" fontId="79"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2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8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193" fontId="25" fillId="0" borderId="0" applyFill="0" applyBorder="0" applyProtection="0">
      <alignment vertical="top"/>
    </xf>
    <xf numFmtId="218" fontId="81" fillId="0" borderId="0" applyFont="0" applyFill="0" applyBorder="0" applyAlignment="0" applyProtection="0"/>
    <xf numFmtId="43" fontId="22" fillId="0" borderId="0" applyFont="0" applyFill="0" applyBorder="0" applyAlignment="0" applyProtection="0"/>
    <xf numFmtId="193" fontId="25" fillId="0" borderId="0" applyFill="0" applyBorder="0" applyProtection="0">
      <alignment vertical="top"/>
    </xf>
    <xf numFmtId="166" fontId="25" fillId="0" borderId="0" applyFont="0" applyFill="0" applyBorder="0" applyAlignment="0" applyProtection="0"/>
    <xf numFmtId="193" fontId="25" fillId="0" borderId="0" applyFill="0" applyBorder="0" applyProtection="0">
      <alignment vertical="top"/>
    </xf>
    <xf numFmtId="218" fontId="81" fillId="0" borderId="0" applyFont="0" applyFill="0" applyBorder="0" applyAlignment="0" applyProtection="0"/>
    <xf numFmtId="184" fontId="25" fillId="0" borderId="0" applyFont="0" applyFill="0" applyBorder="0" applyAlignment="0" applyProtection="0"/>
    <xf numFmtId="165" fontId="81" fillId="0" borderId="0" applyFont="0" applyFill="0" applyBorder="0" applyAlignment="0" applyProtection="0"/>
    <xf numFmtId="43" fontId="168" fillId="0" borderId="0" applyFont="0" applyFill="0" applyBorder="0" applyAlignment="0" applyProtection="0"/>
    <xf numFmtId="218" fontId="8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02" fillId="54" borderId="80"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7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4" fontId="22" fillId="0" borderId="0" applyFont="0" applyFill="0" applyBorder="0" applyAlignment="0" applyProtection="0"/>
    <xf numFmtId="43" fontId="25" fillId="0" borderId="0" applyFont="0" applyFill="0" applyBorder="0" applyAlignment="0" applyProtection="0"/>
    <xf numFmtId="184" fontId="22" fillId="0" borderId="0" applyFont="0" applyFill="0" applyBorder="0" applyAlignment="0" applyProtection="0"/>
    <xf numFmtId="43" fontId="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28" fontId="25" fillId="0" borderId="0" applyFont="0" applyFill="0" applyBorder="0" applyAlignment="0" applyProtection="0"/>
    <xf numFmtId="43" fontId="25" fillId="0" borderId="0" applyFont="0" applyFill="0" applyBorder="0" applyAlignment="0" applyProtection="0"/>
    <xf numFmtId="228" fontId="25" fillId="0" borderId="0" applyFont="0" applyFill="0" applyBorder="0" applyAlignment="0" applyProtection="0"/>
    <xf numFmtId="43" fontId="25" fillId="0" borderId="0" applyFont="0" applyFill="0" applyBorder="0" applyAlignment="0" applyProtection="0"/>
    <xf numFmtId="228"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81" fillId="0" borderId="0" applyFont="0" applyFill="0" applyBorder="0" applyAlignment="0" applyProtection="0"/>
    <xf numFmtId="43" fontId="25" fillId="0" borderId="0" applyFont="0" applyFill="0" applyBorder="0" applyAlignment="0" applyProtection="0"/>
    <xf numFmtId="230" fontId="25" fillId="0" borderId="0" applyFill="0" applyBorder="0" applyProtection="0">
      <alignment vertical="top"/>
    </xf>
    <xf numFmtId="165" fontId="81" fillId="0" borderId="0" applyFont="0" applyFill="0" applyBorder="0" applyAlignment="0" applyProtection="0"/>
    <xf numFmtId="230" fontId="25" fillId="0" borderId="0" applyFill="0" applyBorder="0" applyProtection="0">
      <alignment vertical="top"/>
    </xf>
    <xf numFmtId="165" fontId="81" fillId="0" borderId="0" applyFont="0" applyFill="0" applyBorder="0" applyAlignment="0" applyProtection="0"/>
    <xf numFmtId="43" fontId="25" fillId="0" borderId="0" applyFont="0" applyFill="0" applyBorder="0" applyAlignment="0" applyProtection="0"/>
    <xf numFmtId="180"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193" fontId="25" fillId="0" borderId="0" applyFill="0" applyBorder="0" applyProtection="0">
      <alignment vertical="top"/>
    </xf>
    <xf numFmtId="165" fontId="8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9" fillId="0" borderId="0" applyFont="0" applyFill="0" applyBorder="0" applyAlignment="0" applyProtection="0"/>
    <xf numFmtId="184" fontId="81" fillId="0" borderId="0" applyFont="0" applyFill="0" applyBorder="0" applyAlignment="0" applyProtection="0"/>
    <xf numFmtId="43" fontId="77" fillId="0" borderId="0" applyFont="0" applyFill="0" applyBorder="0" applyAlignment="0" applyProtection="0"/>
    <xf numFmtId="43" fontId="99" fillId="0" borderId="0" applyFont="0" applyFill="0" applyBorder="0" applyAlignment="0" applyProtection="0"/>
    <xf numFmtId="184" fontId="81" fillId="0" borderId="0" applyFont="0" applyFill="0" applyBorder="0" applyAlignment="0" applyProtection="0"/>
    <xf numFmtId="43" fontId="25" fillId="0" borderId="0" applyFont="0" applyFill="0" applyBorder="0" applyAlignment="0" applyProtection="0"/>
    <xf numFmtId="184" fontId="81" fillId="0" borderId="0" applyFont="0" applyFill="0" applyBorder="0" applyAlignment="0" applyProtection="0"/>
    <xf numFmtId="43" fontId="25" fillId="0" borderId="0" applyFont="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02" fillId="69" borderId="80" applyNumberFormat="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6" fontId="119" fillId="0" borderId="0" applyNumberFormat="0" applyFill="0" applyBorder="0" applyAlignment="0" applyProtection="0"/>
    <xf numFmtId="0"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0" fontId="122" fillId="0" borderId="0" applyNumberFormat="0" applyFill="0" applyBorder="0" applyAlignment="0" applyProtection="0"/>
    <xf numFmtId="198" fontId="80" fillId="0" borderId="0" applyFill="0" applyBorder="0">
      <alignment horizontal="left"/>
    </xf>
    <xf numFmtId="198" fontId="80" fillId="0" borderId="0" applyFill="0" applyBorder="0">
      <alignment horizontal="left"/>
    </xf>
    <xf numFmtId="0" fontId="130" fillId="2" borderId="0" applyFill="0" applyBorder="0"/>
    <xf numFmtId="0" fontId="130" fillId="2" borderId="0" applyFill="0" applyBorder="0"/>
    <xf numFmtId="0" fontId="131" fillId="0" borderId="0" applyNumberFormat="0" applyAlignment="0">
      <alignment horizontal="left"/>
    </xf>
    <xf numFmtId="0" fontId="131" fillId="0" borderId="0" applyNumberFormat="0" applyAlignment="0">
      <alignment horizontal="left"/>
    </xf>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23" fontId="25" fillId="0" borderId="0" applyFill="0" applyBorder="0" applyProtection="0">
      <alignment vertical="top"/>
    </xf>
    <xf numFmtId="44" fontId="25" fillId="0" borderId="0" applyFont="0" applyFill="0" applyBorder="0" applyAlignment="0" applyProtection="0"/>
    <xf numFmtId="44" fontId="25"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44" fontId="25" fillId="0" borderId="0" applyFont="0" applyFill="0" applyBorder="0" applyAlignment="0" applyProtection="0"/>
    <xf numFmtId="223" fontId="25" fillId="0" borderId="0" applyFill="0" applyBorder="0" applyProtection="0">
      <alignment vertical="top"/>
    </xf>
    <xf numFmtId="44" fontId="79"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6" fontId="119" fillId="0" borderId="0" applyNumberFormat="0" applyFill="0" applyBorder="0" applyAlignment="0" applyProtection="0"/>
    <xf numFmtId="0"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0" fontId="122" fillId="0" borderId="0" applyNumberFormat="0" applyFill="0" applyBorder="0" applyAlignment="0" applyProtection="0"/>
    <xf numFmtId="0" fontId="126" fillId="0" borderId="0"/>
    <xf numFmtId="203" fontId="77" fillId="0" borderId="0" applyFont="0" applyFill="0" applyBorder="0" applyAlignment="0" applyProtection="0"/>
    <xf numFmtId="203" fontId="77" fillId="0" borderId="0" applyFont="0" applyFill="0" applyBorder="0" applyAlignment="0" applyProtection="0"/>
    <xf numFmtId="224" fontId="25" fillId="0" borderId="0" applyFill="0" applyBorder="0" applyAlignment="0" applyProtection="0"/>
    <xf numFmtId="203" fontId="77" fillId="0" borderId="0" applyFont="0" applyFill="0" applyBorder="0" applyAlignment="0" applyProtection="0"/>
    <xf numFmtId="224" fontId="25" fillId="0" borderId="0" applyFill="0" applyBorder="0" applyAlignment="0" applyProtection="0"/>
    <xf numFmtId="0" fontId="126" fillId="0" borderId="82"/>
    <xf numFmtId="0" fontId="126" fillId="0" borderId="82"/>
    <xf numFmtId="0" fontId="126" fillId="0" borderId="82"/>
    <xf numFmtId="0" fontId="126" fillId="0" borderId="82"/>
    <xf numFmtId="0" fontId="126" fillId="0" borderId="82"/>
    <xf numFmtId="0" fontId="126" fillId="0" borderId="82"/>
    <xf numFmtId="237" fontId="169" fillId="0" borderId="0">
      <protection locked="0"/>
    </xf>
    <xf numFmtId="0" fontId="132" fillId="2" borderId="0"/>
    <xf numFmtId="0" fontId="132" fillId="2" borderId="0"/>
    <xf numFmtId="188" fontId="31"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208" fontId="78" fillId="0" borderId="0"/>
    <xf numFmtId="208" fontId="78" fillId="0" borderId="0"/>
    <xf numFmtId="235" fontId="25" fillId="0" borderId="0" applyFont="0" applyFill="0" applyBorder="0" applyAlignment="0" applyProtection="0"/>
    <xf numFmtId="188" fontId="31" fillId="0" borderId="0" applyFont="0" applyFill="0" applyBorder="0" applyAlignment="0" applyProtection="0"/>
    <xf numFmtId="197" fontId="25" fillId="0" borderId="0" applyFill="0" applyBorder="0" applyAlignment="0"/>
    <xf numFmtId="197" fontId="25" fillId="0" borderId="0" applyFill="0" applyBorder="0" applyAlignment="0"/>
    <xf numFmtId="212" fontId="25" fillId="0" borderId="0" applyFill="0" applyBorder="0" applyAlignment="0"/>
    <xf numFmtId="212" fontId="25" fillId="0" borderId="0" applyFill="0" applyBorder="0" applyAlignment="0"/>
    <xf numFmtId="197" fontId="25" fillId="0" borderId="0" applyFill="0" applyBorder="0" applyAlignment="0"/>
    <xf numFmtId="0" fontId="133" fillId="0" borderId="0" applyNumberFormat="0" applyAlignment="0">
      <alignment horizontal="left"/>
    </xf>
    <xf numFmtId="0" fontId="133" fillId="0" borderId="0" applyNumberFormat="0" applyAlignment="0">
      <alignment horizontal="left"/>
    </xf>
    <xf numFmtId="186" fontId="25" fillId="0" borderId="0" applyFont="0" applyFill="0" applyBorder="0" applyAlignment="0" applyProtection="0"/>
    <xf numFmtId="186" fontId="164" fillId="0" borderId="0" applyFont="0" applyFill="0" applyBorder="0" applyAlignment="0" applyProtection="0"/>
    <xf numFmtId="186"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86" fontId="25" fillId="0" borderId="0" applyFont="0" applyFill="0" applyBorder="0" applyAlignment="0" applyProtection="0"/>
    <xf numFmtId="233" fontId="25" fillId="0" borderId="0" applyFont="0" applyFill="0" applyBorder="0" applyAlignment="0" applyProtection="0"/>
    <xf numFmtId="231" fontId="25" fillId="0" borderId="0" applyFill="0" applyBorder="0" applyProtection="0">
      <alignment vertical="top"/>
    </xf>
    <xf numFmtId="233"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4" fillId="0" borderId="0" applyNumberFormat="0" applyFill="0" applyBorder="0" applyAlignment="0" applyProtection="0"/>
    <xf numFmtId="0" fontId="134" fillId="0" borderId="0" applyFill="0" applyAlignment="0"/>
    <xf numFmtId="0" fontId="134" fillId="0" borderId="0" applyFill="0" applyAlignment="0"/>
    <xf numFmtId="0" fontId="25" fillId="0" borderId="0"/>
    <xf numFmtId="0" fontId="25" fillId="0" borderId="0"/>
    <xf numFmtId="176" fontId="25" fillId="0" borderId="0"/>
    <xf numFmtId="176" fontId="25" fillId="0" borderId="0"/>
    <xf numFmtId="0" fontId="25" fillId="0" borderId="0"/>
    <xf numFmtId="176" fontId="25" fillId="0" borderId="0"/>
    <xf numFmtId="176" fontId="25" fillId="0" borderId="0"/>
    <xf numFmtId="0" fontId="25" fillId="0" borderId="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85" fillId="14" borderId="0" applyNumberFormat="0" applyBorder="0" applyAlignment="0" applyProtection="0"/>
    <xf numFmtId="38" fontId="30" fillId="2" borderId="0" applyNumberFormat="0" applyBorder="0" applyAlignment="0" applyProtection="0"/>
    <xf numFmtId="38" fontId="30" fillId="2" borderId="0" applyNumberFormat="0" applyBorder="0" applyAlignment="0" applyProtection="0"/>
    <xf numFmtId="38" fontId="30" fillId="2" borderId="0" applyNumberFormat="0" applyBorder="0" applyAlignment="0" applyProtection="0"/>
    <xf numFmtId="176" fontId="30" fillId="69" borderId="0" applyNumberFormat="0" applyBorder="0" applyAlignment="0" applyProtection="0"/>
    <xf numFmtId="176" fontId="30" fillId="69" borderId="0" applyNumberFormat="0" applyBorder="0" applyAlignment="0" applyProtection="0"/>
    <xf numFmtId="176" fontId="30" fillId="69" borderId="0" applyNumberFormat="0" applyBorder="0" applyAlignment="0" applyProtection="0"/>
    <xf numFmtId="38" fontId="30" fillId="2" borderId="0" applyNumberFormat="0" applyBorder="0" applyAlignment="0" applyProtection="0"/>
    <xf numFmtId="0" fontId="30" fillId="69" borderId="0" applyNumberFormat="0" applyBorder="0" applyAlignment="0" applyProtection="0"/>
    <xf numFmtId="0" fontId="32" fillId="0" borderId="3" applyNumberFormat="0" applyAlignment="0" applyProtection="0">
      <alignment horizontal="left" vertical="center"/>
    </xf>
    <xf numFmtId="0" fontId="32" fillId="0" borderId="3" applyNumberFormat="0" applyAlignment="0" applyProtection="0">
      <alignment horizontal="left" vertical="center"/>
    </xf>
    <xf numFmtId="176" fontId="32" fillId="0" borderId="83" applyNumberFormat="0" applyAlignment="0" applyProtection="0"/>
    <xf numFmtId="0" fontId="32" fillId="0" borderId="83" applyNumberFormat="0" applyAlignment="0" applyProtection="0"/>
    <xf numFmtId="176" fontId="32" fillId="0" borderId="83" applyNumberFormat="0" applyAlignment="0" applyProtection="0"/>
    <xf numFmtId="176" fontId="32" fillId="0" borderId="83" applyNumberFormat="0" applyAlignment="0" applyProtection="0"/>
    <xf numFmtId="0" fontId="32" fillId="0" borderId="3" applyNumberFormat="0" applyAlignment="0" applyProtection="0">
      <alignment horizontal="left" vertical="center"/>
    </xf>
    <xf numFmtId="0" fontId="32" fillId="0" borderId="3" applyNumberFormat="0" applyAlignment="0" applyProtection="0">
      <alignment horizontal="left" vertical="center"/>
    </xf>
    <xf numFmtId="0" fontId="32" fillId="0" borderId="4">
      <alignment horizontal="left" vertical="center"/>
    </xf>
    <xf numFmtId="0" fontId="32" fillId="0" borderId="4">
      <alignment horizontal="left" vertical="center"/>
    </xf>
    <xf numFmtId="176" fontId="32" fillId="0" borderId="84">
      <alignment horizontal="left" vertical="center"/>
    </xf>
    <xf numFmtId="176" fontId="32" fillId="0" borderId="84">
      <alignment horizontal="left" vertical="center"/>
    </xf>
    <xf numFmtId="176" fontId="32" fillId="0" borderId="84">
      <alignment horizontal="left" vertical="center"/>
    </xf>
    <xf numFmtId="0" fontId="32" fillId="0" borderId="84">
      <alignment horizontal="left" vertical="center"/>
    </xf>
    <xf numFmtId="176" fontId="32" fillId="0" borderId="84">
      <alignment horizontal="left" vertical="center"/>
    </xf>
    <xf numFmtId="176" fontId="32" fillId="0" borderId="84">
      <alignment horizontal="left" vertical="center"/>
    </xf>
    <xf numFmtId="176" fontId="32" fillId="0" borderId="84">
      <alignment horizontal="left" vertical="center"/>
    </xf>
    <xf numFmtId="0" fontId="32" fillId="0" borderId="84">
      <alignment horizontal="left" vertical="center"/>
    </xf>
    <xf numFmtId="176" fontId="32" fillId="0" borderId="84">
      <alignment horizontal="left" vertical="center"/>
    </xf>
    <xf numFmtId="176" fontId="32" fillId="0" borderId="84">
      <alignment horizontal="left" vertical="center"/>
    </xf>
    <xf numFmtId="0" fontId="32" fillId="0" borderId="4">
      <alignment horizontal="left" vertical="center"/>
    </xf>
    <xf numFmtId="0" fontId="32" fillId="0" borderId="4">
      <alignment horizontal="left" vertical="center"/>
    </xf>
    <xf numFmtId="0" fontId="32" fillId="0" borderId="84">
      <alignment horizontal="left" vertical="center"/>
    </xf>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82" fillId="0" borderId="69" applyNumberFormat="0" applyFill="0" applyAlignment="0" applyProtection="0"/>
    <xf numFmtId="0" fontId="151" fillId="0" borderId="86" applyNumberFormat="0" applyFill="0" applyAlignment="0" applyProtection="0"/>
    <xf numFmtId="0" fontId="82" fillId="0" borderId="69" applyNumberFormat="0" applyFill="0" applyAlignment="0" applyProtection="0"/>
    <xf numFmtId="0" fontId="151" fillId="0" borderId="86"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83" fillId="0" borderId="70" applyNumberFormat="0" applyFill="0" applyAlignment="0" applyProtection="0"/>
    <xf numFmtId="0" fontId="152" fillId="0" borderId="87" applyNumberFormat="0" applyFill="0" applyAlignment="0" applyProtection="0"/>
    <xf numFmtId="0" fontId="83" fillId="0" borderId="70" applyNumberFormat="0" applyFill="0" applyAlignment="0" applyProtection="0"/>
    <xf numFmtId="0" fontId="152" fillId="0" borderId="87"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84" fillId="0" borderId="71" applyNumberFormat="0" applyFill="0" applyAlignment="0" applyProtection="0"/>
    <xf numFmtId="0" fontId="153" fillId="0" borderId="89" applyNumberFormat="0" applyFill="0" applyAlignment="0" applyProtection="0"/>
    <xf numFmtId="0" fontId="84" fillId="0" borderId="71" applyNumberFormat="0" applyFill="0" applyAlignment="0" applyProtection="0"/>
    <xf numFmtId="0" fontId="153" fillId="0" borderId="89"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84" fillId="0" borderId="0" applyNumberFormat="0" applyFill="0" applyBorder="0" applyAlignment="0" applyProtection="0"/>
    <xf numFmtId="0" fontId="153" fillId="0" borderId="0" applyNumberFormat="0" applyFill="0" applyBorder="0" applyAlignment="0" applyProtection="0"/>
    <xf numFmtId="0" fontId="84" fillId="0" borderId="0" applyNumberFormat="0" applyFill="0" applyBorder="0" applyAlignment="0" applyProtection="0"/>
    <xf numFmtId="0" fontId="153" fillId="0" borderId="0" applyNumberFormat="0" applyFill="0" applyBorder="0" applyAlignment="0" applyProtection="0"/>
    <xf numFmtId="227" fontId="25" fillId="0" borderId="0">
      <protection locked="0"/>
    </xf>
    <xf numFmtId="227" fontId="25" fillId="0" borderId="0">
      <protection locked="0"/>
    </xf>
    <xf numFmtId="0" fontId="171" fillId="0" borderId="0" applyNumberFormat="0" applyFill="0" applyBorder="0" applyAlignment="0" applyProtection="0">
      <alignment vertical="top"/>
      <protection locked="0"/>
    </xf>
    <xf numFmtId="0" fontId="172" fillId="0" borderId="0" applyNumberFormat="0" applyFill="0" applyBorder="0" applyAlignment="0" applyProtection="0"/>
    <xf numFmtId="0" fontId="172" fillId="0" borderId="0" applyNumberFormat="0" applyFill="0" applyBorder="0" applyAlignment="0" applyProtection="0"/>
    <xf numFmtId="0" fontId="170" fillId="0" borderId="0" applyNumberFormat="0" applyFill="0" applyBorder="0" applyAlignment="0" applyProtection="0">
      <alignment vertical="top"/>
      <protection locked="0"/>
    </xf>
    <xf numFmtId="0" fontId="109" fillId="46" borderId="80" applyNumberFormat="0" applyAlignment="0" applyProtection="0"/>
    <xf numFmtId="10" fontId="30" fillId="70" borderId="1" applyNumberFormat="0" applyBorder="0" applyAlignment="0" applyProtection="0"/>
    <xf numFmtId="10" fontId="30" fillId="70" borderId="1" applyNumberFormat="0" applyBorder="0" applyAlignment="0" applyProtection="0"/>
    <xf numFmtId="10" fontId="30" fillId="71" borderId="1" applyNumberFormat="0" applyBorder="0" applyAlignment="0" applyProtection="0"/>
    <xf numFmtId="176" fontId="30" fillId="72" borderId="0"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76" fontId="30" fillId="72" borderId="0" applyNumberFormat="0" applyBorder="0" applyAlignment="0" applyProtection="0"/>
    <xf numFmtId="10" fontId="30" fillId="70" borderId="1" applyNumberFormat="0" applyBorder="0" applyAlignment="0" applyProtection="0"/>
    <xf numFmtId="176" fontId="30" fillId="72" borderId="0" applyNumberFormat="0" applyBorder="0" applyAlignment="0" applyProtection="0"/>
    <xf numFmtId="10" fontId="30" fillId="70" borderId="1" applyNumberFormat="0" applyBorder="0" applyAlignment="0" applyProtection="0"/>
    <xf numFmtId="0" fontId="30" fillId="72" borderId="0" applyNumberFormat="0" applyBorder="0" applyAlignment="0" applyProtection="0"/>
    <xf numFmtId="10" fontId="30" fillId="70" borderId="1" applyNumberFormat="0" applyBorder="0" applyAlignment="0" applyProtection="0"/>
    <xf numFmtId="0" fontId="88" fillId="17" borderId="72"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88" fillId="17" borderId="72" applyNumberFormat="0" applyAlignment="0" applyProtection="0"/>
    <xf numFmtId="0" fontId="88" fillId="17" borderId="72"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88" fillId="17" borderId="72"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88" fillId="17" borderId="72"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88" fillId="17" borderId="72" applyNumberFormat="0" applyAlignment="0" applyProtection="0"/>
    <xf numFmtId="0" fontId="88" fillId="17" borderId="72" applyNumberFormat="0" applyAlignment="0" applyProtection="0"/>
    <xf numFmtId="0" fontId="109" fillId="56" borderId="80" applyNumberFormat="0" applyAlignment="0" applyProtection="0"/>
    <xf numFmtId="0" fontId="109" fillId="56" borderId="80" applyNumberFormat="0" applyAlignment="0" applyProtection="0"/>
    <xf numFmtId="0" fontId="109" fillId="56" borderId="80" applyNumberFormat="0" applyAlignment="0" applyProtection="0"/>
    <xf numFmtId="0" fontId="88" fillId="17" borderId="72" applyNumberFormat="0" applyAlignment="0" applyProtection="0"/>
    <xf numFmtId="0" fontId="126" fillId="0" borderId="0" applyBorder="0"/>
    <xf numFmtId="204" fontId="25" fillId="0" borderId="0"/>
    <xf numFmtId="204" fontId="25" fillId="0" borderId="0"/>
    <xf numFmtId="225" fontId="25" fillId="0" borderId="0"/>
    <xf numFmtId="204" fontId="25" fillId="0" borderId="0"/>
    <xf numFmtId="225" fontId="25" fillId="0" borderId="0"/>
    <xf numFmtId="199" fontId="48" fillId="0" borderId="0"/>
    <xf numFmtId="199" fontId="48" fillId="0" borderId="0"/>
    <xf numFmtId="199" fontId="48" fillId="0" borderId="0"/>
    <xf numFmtId="226" fontId="48" fillId="0" borderId="0"/>
    <xf numFmtId="0" fontId="157" fillId="73" borderId="82"/>
    <xf numFmtId="0" fontId="157" fillId="73" borderId="82"/>
    <xf numFmtId="0" fontId="157" fillId="73" borderId="82"/>
    <xf numFmtId="0" fontId="157" fillId="73" borderId="82"/>
    <xf numFmtId="0" fontId="157" fillId="73" borderId="82"/>
    <xf numFmtId="0" fontId="157" fillId="73" borderId="82"/>
    <xf numFmtId="197" fontId="25" fillId="0" borderId="0" applyFill="0" applyBorder="0" applyAlignment="0"/>
    <xf numFmtId="197" fontId="25" fillId="0" borderId="0" applyFill="0" applyBorder="0" applyAlignment="0"/>
    <xf numFmtId="212" fontId="25" fillId="0" borderId="0" applyFill="0" applyBorder="0" applyAlignment="0"/>
    <xf numFmtId="212" fontId="25" fillId="0" borderId="0" applyFill="0" applyBorder="0" applyAlignment="0"/>
    <xf numFmtId="197" fontId="25" fillId="0" borderId="0" applyFill="0" applyBorder="0" applyAlignment="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91" fillId="0" borderId="74" applyNumberFormat="0" applyFill="0" applyAlignment="0" applyProtection="0"/>
    <xf numFmtId="191" fontId="25" fillId="0" borderId="0" applyFont="0" applyFill="0" applyBorder="0" applyAlignment="0" applyProtection="0"/>
    <xf numFmtId="192" fontId="25" fillId="0" borderId="0" applyFont="0" applyFill="0" applyBorder="0" applyAlignment="0" applyProtection="0"/>
    <xf numFmtId="42" fontId="25" fillId="0" borderId="0" applyFont="0" applyFill="0" applyBorder="0" applyAlignment="0" applyProtection="0"/>
    <xf numFmtId="44" fontId="25" fillId="0" borderId="0" applyFont="0" applyFill="0" applyBorder="0" applyAlignment="0" applyProtection="0"/>
    <xf numFmtId="172" fontId="25" fillId="0" borderId="0" applyFont="0" applyFill="0" applyBorder="0" applyAlignment="0" applyProtection="0"/>
    <xf numFmtId="196" fontId="25" fillId="0" borderId="0" applyFont="0" applyFill="0" applyBorder="0" applyAlignment="0" applyProtection="0"/>
    <xf numFmtId="194" fontId="25" fillId="0" borderId="0" applyFont="0" applyFill="0" applyBorder="0" applyAlignment="0" applyProtection="0"/>
    <xf numFmtId="195" fontId="25" fillId="0" borderId="0" applyFont="0" applyFill="0" applyBorder="0" applyAlignment="0" applyProtection="0"/>
    <xf numFmtId="187" fontId="78" fillId="0" borderId="0" applyFill="0" applyBorder="0">
      <alignment horizontal="center" vertical="top"/>
    </xf>
    <xf numFmtId="187" fontId="78" fillId="0" borderId="0" applyFill="0" applyBorder="0">
      <alignment horizontal="center" vertical="top"/>
    </xf>
    <xf numFmtId="213" fontId="78" fillId="0" borderId="0" applyFill="0" applyBorder="0">
      <alignment horizontal="center" vertical="top"/>
    </xf>
    <xf numFmtId="219" fontId="25" fillId="0" borderId="0" applyFill="0" applyBorder="0">
      <alignment horizontal="center" vertical="top"/>
    </xf>
    <xf numFmtId="187" fontId="78" fillId="0" borderId="0" applyFill="0" applyBorder="0">
      <alignment horizontal="center" vertical="top"/>
    </xf>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87" fillId="16" borderId="0" applyNumberFormat="0" applyBorder="0" applyAlignment="0" applyProtection="0"/>
    <xf numFmtId="0" fontId="32" fillId="71" borderId="91">
      <alignment vertical="center"/>
    </xf>
    <xf numFmtId="0" fontId="78" fillId="0" borderId="0"/>
    <xf numFmtId="176" fontId="78" fillId="0" borderId="0"/>
    <xf numFmtId="176" fontId="78" fillId="0" borderId="0"/>
    <xf numFmtId="176" fontId="78" fillId="0" borderId="0"/>
    <xf numFmtId="0" fontId="25" fillId="0" borderId="0"/>
    <xf numFmtId="0" fontId="25" fillId="0" borderId="0"/>
    <xf numFmtId="0" fontId="25" fillId="0" borderId="0"/>
    <xf numFmtId="0" fontId="155" fillId="0" borderId="0"/>
    <xf numFmtId="176" fontId="155" fillId="0" borderId="0"/>
    <xf numFmtId="0" fontId="25" fillId="0" borderId="0"/>
    <xf numFmtId="176" fontId="155" fillId="0" borderId="0"/>
    <xf numFmtId="176" fontId="155" fillId="0" borderId="0"/>
    <xf numFmtId="0" fontId="25" fillId="0" borderId="0"/>
    <xf numFmtId="0" fontId="155" fillId="0" borderId="0"/>
    <xf numFmtId="0" fontId="79" fillId="0" borderId="0"/>
    <xf numFmtId="0" fontId="102" fillId="69" borderId="80" applyNumberFormat="0" applyAlignment="0" applyProtection="0"/>
    <xf numFmtId="0" fontId="79" fillId="0" borderId="0">
      <alignment vertical="top"/>
    </xf>
    <xf numFmtId="0" fontId="77" fillId="0" borderId="0">
      <alignment vertical="top"/>
    </xf>
    <xf numFmtId="0" fontId="173" fillId="0" borderId="0"/>
    <xf numFmtId="0" fontId="22" fillId="0" borderId="0"/>
    <xf numFmtId="0" fontId="15" fillId="0" borderId="0"/>
    <xf numFmtId="0" fontId="25" fillId="0" borderId="0"/>
    <xf numFmtId="0" fontId="15" fillId="0" borderId="0"/>
    <xf numFmtId="0" fontId="77" fillId="0" borderId="0"/>
    <xf numFmtId="0" fontId="173" fillId="0" borderId="0"/>
    <xf numFmtId="0" fontId="25" fillId="0" borderId="0"/>
    <xf numFmtId="0" fontId="119" fillId="0" borderId="0"/>
    <xf numFmtId="0" fontId="25" fillId="0" borderId="0"/>
    <xf numFmtId="0" fontId="25" fillId="0" borderId="0"/>
    <xf numFmtId="229" fontId="77" fillId="0" borderId="0"/>
    <xf numFmtId="0" fontId="119" fillId="0" borderId="0"/>
    <xf numFmtId="0" fontId="15" fillId="0" borderId="0"/>
    <xf numFmtId="176" fontId="77" fillId="0" borderId="0"/>
    <xf numFmtId="176" fontId="77" fillId="0" borderId="0"/>
    <xf numFmtId="186" fontId="77" fillId="0" borderId="0"/>
    <xf numFmtId="0" fontId="25" fillId="0" borderId="0"/>
    <xf numFmtId="0" fontId="25" fillId="0" borderId="0"/>
    <xf numFmtId="0" fontId="77" fillId="0" borderId="0"/>
    <xf numFmtId="0" fontId="77" fillId="0" borderId="0"/>
    <xf numFmtId="0" fontId="15" fillId="0" borderId="0"/>
    <xf numFmtId="0" fontId="25" fillId="0" borderId="0"/>
    <xf numFmtId="0" fontId="15" fillId="0" borderId="0"/>
    <xf numFmtId="0" fontId="77" fillId="0" borderId="0">
      <alignment vertical="top"/>
    </xf>
    <xf numFmtId="0" fontId="25" fillId="0" borderId="0">
      <alignment vertical="top"/>
    </xf>
    <xf numFmtId="0" fontId="22" fillId="0" borderId="0"/>
    <xf numFmtId="0" fontId="25" fillId="0" borderId="0">
      <alignment vertical="top"/>
    </xf>
    <xf numFmtId="206" fontId="77" fillId="0" borderId="0"/>
    <xf numFmtId="206" fontId="77" fillId="0" borderId="0"/>
    <xf numFmtId="0" fontId="22" fillId="82" borderId="0" applyNumberFormat="0" applyBorder="0" applyAlignment="0" applyProtection="0"/>
    <xf numFmtId="0" fontId="77" fillId="0" borderId="0"/>
    <xf numFmtId="0" fontId="173" fillId="0" borderId="0"/>
    <xf numFmtId="0" fontId="15" fillId="0" borderId="0"/>
    <xf numFmtId="0" fontId="15" fillId="0" borderId="0"/>
    <xf numFmtId="0" fontId="25" fillId="0" borderId="0"/>
    <xf numFmtId="0" fontId="15" fillId="0" borderId="0"/>
    <xf numFmtId="0" fontId="15" fillId="0" borderId="0"/>
    <xf numFmtId="0" fontId="79" fillId="0" borderId="0">
      <alignment vertical="top"/>
    </xf>
    <xf numFmtId="0" fontId="25" fillId="0" borderId="0"/>
    <xf numFmtId="0" fontId="77" fillId="0" borderId="0"/>
    <xf numFmtId="0" fontId="15" fillId="0" borderId="0"/>
    <xf numFmtId="0" fontId="15" fillId="0" borderId="0"/>
    <xf numFmtId="0" fontId="25" fillId="0" borderId="0"/>
    <xf numFmtId="0" fontId="15" fillId="0" borderId="0"/>
    <xf numFmtId="0" fontId="15" fillId="0" borderId="0"/>
    <xf numFmtId="0" fontId="15" fillId="0" borderId="0"/>
    <xf numFmtId="0" fontId="79" fillId="0" borderId="0"/>
    <xf numFmtId="0" fontId="98" fillId="0" borderId="0"/>
    <xf numFmtId="0" fontId="77" fillId="0" borderId="0">
      <alignment vertical="center" wrapText="1"/>
    </xf>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15" fillId="0" borderId="0"/>
    <xf numFmtId="0" fontId="25" fillId="0" borderId="0"/>
    <xf numFmtId="0" fontId="98" fillId="0" borderId="0"/>
    <xf numFmtId="0" fontId="15" fillId="0" borderId="0"/>
    <xf numFmtId="0" fontId="15" fillId="0" borderId="0"/>
    <xf numFmtId="0" fontId="15" fillId="0" borderId="0"/>
    <xf numFmtId="0" fontId="15" fillId="0" borderId="0"/>
    <xf numFmtId="0" fontId="127" fillId="0" borderId="0">
      <protection locked="0"/>
    </xf>
    <xf numFmtId="0" fontId="77" fillId="0" borderId="0"/>
    <xf numFmtId="0" fontId="119" fillId="0" borderId="0"/>
    <xf numFmtId="0" fontId="22" fillId="46" borderId="0" applyNumberFormat="0" applyBorder="0" applyAlignment="0" applyProtection="0"/>
    <xf numFmtId="0" fontId="15" fillId="0" borderId="0"/>
    <xf numFmtId="0" fontId="25" fillId="0" borderId="0"/>
    <xf numFmtId="0" fontId="15" fillId="0" borderId="0"/>
    <xf numFmtId="0" fontId="127" fillId="0" borderId="0">
      <protection locked="0"/>
    </xf>
    <xf numFmtId="0" fontId="77" fillId="0" borderId="0"/>
    <xf numFmtId="0" fontId="15" fillId="0" borderId="0"/>
    <xf numFmtId="0" fontId="15" fillId="0" borderId="0"/>
    <xf numFmtId="0" fontId="119" fillId="0" borderId="0"/>
    <xf numFmtId="0" fontId="15" fillId="0" borderId="0"/>
    <xf numFmtId="0" fontId="15" fillId="0" borderId="0"/>
    <xf numFmtId="0" fontId="25" fillId="0" borderId="0"/>
    <xf numFmtId="0" fontId="15" fillId="0" borderId="0"/>
    <xf numFmtId="0" fontId="127" fillId="0" borderId="0">
      <protection locked="0"/>
    </xf>
    <xf numFmtId="0" fontId="77" fillId="0" borderId="0"/>
    <xf numFmtId="0" fontId="15" fillId="0" borderId="0"/>
    <xf numFmtId="0" fontId="25" fillId="0" borderId="0"/>
    <xf numFmtId="0" fontId="77" fillId="0" borderId="0">
      <alignment vertical="top"/>
    </xf>
    <xf numFmtId="0" fontId="77" fillId="0" borderId="0">
      <alignment vertical="top"/>
    </xf>
    <xf numFmtId="0" fontId="22" fillId="50" borderId="0" applyNumberFormat="0" applyBorder="0" applyAlignment="0" applyProtection="0"/>
    <xf numFmtId="0" fontId="25" fillId="0" borderId="0">
      <alignment vertical="top"/>
    </xf>
    <xf numFmtId="0" fontId="25" fillId="0" borderId="0"/>
    <xf numFmtId="0" fontId="25" fillId="0" borderId="0"/>
    <xf numFmtId="0" fontId="25" fillId="0" borderId="0"/>
    <xf numFmtId="0" fontId="1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46" borderId="0" applyNumberFormat="0" applyBorder="0" applyAlignment="0" applyProtection="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43" fontId="15" fillId="0" borderId="0" applyFont="0" applyFill="0" applyBorder="0" applyAlignment="0" applyProtection="0"/>
    <xf numFmtId="176" fontId="77" fillId="0" borderId="0"/>
    <xf numFmtId="0" fontId="77" fillId="0" borderId="0"/>
    <xf numFmtId="0" fontId="7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77" fillId="0" borderId="0"/>
    <xf numFmtId="176" fontId="25" fillId="0" borderId="0"/>
    <xf numFmtId="0" fontId="25" fillId="0" borderId="0"/>
    <xf numFmtId="176" fontId="25" fillId="0" borderId="0"/>
    <xf numFmtId="0" fontId="25" fillId="0" borderId="0">
      <alignment vertical="top"/>
    </xf>
    <xf numFmtId="0" fontId="25" fillId="0" borderId="0">
      <alignment vertical="top"/>
    </xf>
    <xf numFmtId="0" fontId="25" fillId="0" borderId="0">
      <alignment vertical="top"/>
    </xf>
    <xf numFmtId="0" fontId="77" fillId="0" borderId="0"/>
    <xf numFmtId="0" fontId="25" fillId="0" borderId="0">
      <alignment vertical="top"/>
    </xf>
    <xf numFmtId="0" fontId="2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77" fillId="0" borderId="0"/>
    <xf numFmtId="0" fontId="25" fillId="0" borderId="0">
      <alignment vertical="top"/>
    </xf>
    <xf numFmtId="0" fontId="77" fillId="0" borderId="0"/>
    <xf numFmtId="176" fontId="2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7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77" fillId="0" borderId="0"/>
    <xf numFmtId="176" fontId="77" fillId="0" borderId="0"/>
    <xf numFmtId="176" fontId="77" fillId="0" borderId="0"/>
    <xf numFmtId="0" fontId="77" fillId="0" borderId="0"/>
    <xf numFmtId="176" fontId="77" fillId="0" borderId="0"/>
    <xf numFmtId="176" fontId="77" fillId="0" borderId="0"/>
    <xf numFmtId="0" fontId="7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77" fillId="0" borderId="0"/>
    <xf numFmtId="0" fontId="77" fillId="0" borderId="0"/>
    <xf numFmtId="0" fontId="25" fillId="0" borderId="0"/>
    <xf numFmtId="0" fontId="77" fillId="0" borderId="0"/>
    <xf numFmtId="176" fontId="25" fillId="0" borderId="0"/>
    <xf numFmtId="176" fontId="25" fillId="0" borderId="0"/>
    <xf numFmtId="0" fontId="77" fillId="0" borderId="0"/>
    <xf numFmtId="0" fontId="25" fillId="0" borderId="0"/>
    <xf numFmtId="0" fontId="7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77" fillId="0" borderId="0"/>
    <xf numFmtId="176" fontId="25" fillId="0" borderId="0"/>
    <xf numFmtId="0" fontId="77" fillId="0" borderId="0"/>
    <xf numFmtId="0" fontId="25" fillId="0" borderId="0">
      <alignment vertical="top"/>
    </xf>
    <xf numFmtId="0" fontId="25" fillId="0" borderId="0"/>
    <xf numFmtId="176" fontId="25" fillId="0" borderId="0"/>
    <xf numFmtId="0" fontId="25" fillId="0" borderId="0">
      <alignment vertical="top"/>
    </xf>
    <xf numFmtId="0" fontId="77" fillId="0" borderId="0">
      <alignment vertical="top"/>
    </xf>
    <xf numFmtId="0" fontId="25" fillId="0" borderId="0"/>
    <xf numFmtId="0" fontId="25" fillId="0" borderId="0"/>
    <xf numFmtId="0" fontId="25" fillId="0" borderId="0"/>
    <xf numFmtId="176" fontId="2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25" fillId="0" borderId="0"/>
    <xf numFmtId="0" fontId="127" fillId="0" borderId="0">
      <protection locked="0"/>
    </xf>
    <xf numFmtId="0" fontId="25" fillId="0" borderId="0"/>
    <xf numFmtId="0" fontId="77" fillId="0" borderId="0"/>
    <xf numFmtId="0" fontId="127" fillId="0" borderId="0">
      <protection locked="0"/>
    </xf>
    <xf numFmtId="0" fontId="25" fillId="0" borderId="0"/>
    <xf numFmtId="0" fontId="77" fillId="0" borderId="0"/>
    <xf numFmtId="0" fontId="127" fillId="0" borderId="0">
      <protection locked="0"/>
    </xf>
    <xf numFmtId="0" fontId="25" fillId="0" borderId="0"/>
    <xf numFmtId="0" fontId="77" fillId="0" borderId="0"/>
    <xf numFmtId="0" fontId="127" fillId="0" borderId="0">
      <protection locked="0"/>
    </xf>
    <xf numFmtId="0" fontId="25" fillId="0" borderId="0"/>
    <xf numFmtId="0" fontId="77" fillId="0" borderId="0"/>
    <xf numFmtId="0" fontId="15" fillId="0" borderId="0"/>
    <xf numFmtId="0" fontId="25" fillId="0" borderId="0"/>
    <xf numFmtId="0" fontId="77" fillId="0" borderId="0"/>
    <xf numFmtId="186" fontId="79" fillId="0" borderId="0">
      <protection locked="0"/>
    </xf>
    <xf numFmtId="0" fontId="25" fillId="0" borderId="0"/>
    <xf numFmtId="0" fontId="77" fillId="0" borderId="0"/>
    <xf numFmtId="0" fontId="102" fillId="54" borderId="80" applyNumberFormat="0" applyAlignment="0" applyProtection="0"/>
    <xf numFmtId="0" fontId="25" fillId="0" borderId="0"/>
    <xf numFmtId="0" fontId="77" fillId="0" borderId="0"/>
    <xf numFmtId="0" fontId="79" fillId="0" borderId="0">
      <protection locked="0"/>
    </xf>
    <xf numFmtId="0" fontId="15" fillId="0" borderId="0"/>
    <xf numFmtId="0" fontId="15" fillId="0" borderId="0"/>
    <xf numFmtId="0" fontId="15" fillId="0" borderId="0"/>
    <xf numFmtId="0" fontId="15" fillId="0" borderId="0"/>
    <xf numFmtId="0" fontId="77" fillId="0" borderId="0"/>
    <xf numFmtId="0" fontId="25" fillId="0" borderId="0"/>
    <xf numFmtId="0" fontId="173" fillId="0" borderId="0"/>
    <xf numFmtId="0" fontId="77" fillId="0" borderId="0"/>
    <xf numFmtId="0" fontId="25" fillId="0" borderId="0"/>
    <xf numFmtId="0" fontId="77" fillId="0" borderId="0"/>
    <xf numFmtId="0" fontId="25" fillId="0" borderId="0"/>
    <xf numFmtId="0" fontId="25" fillId="0" borderId="0"/>
    <xf numFmtId="0" fontId="25" fillId="0" borderId="0" applyNumberFormat="0" applyFont="0" applyFill="0" applyBorder="0" applyAlignment="0" applyProtection="0"/>
    <xf numFmtId="0" fontId="25" fillId="0" borderId="0">
      <alignment vertical="top"/>
    </xf>
    <xf numFmtId="0" fontId="25" fillId="0" borderId="0">
      <alignment vertical="top"/>
    </xf>
    <xf numFmtId="176" fontId="25" fillId="0" borderId="0"/>
    <xf numFmtId="0" fontId="77" fillId="0" borderId="0"/>
    <xf numFmtId="0" fontId="25" fillId="0" borderId="0"/>
    <xf numFmtId="0" fontId="25" fillId="0" borderId="0"/>
    <xf numFmtId="0" fontId="77" fillId="0" borderId="0"/>
    <xf numFmtId="0" fontId="25" fillId="0" borderId="0"/>
    <xf numFmtId="0" fontId="77" fillId="0" borderId="0"/>
    <xf numFmtId="0" fontId="25" fillId="0" borderId="0"/>
    <xf numFmtId="0" fontId="79" fillId="0" borderId="0"/>
    <xf numFmtId="176" fontId="25" fillId="0" borderId="0"/>
    <xf numFmtId="0" fontId="25" fillId="0" borderId="0"/>
    <xf numFmtId="0" fontId="119" fillId="0" borderId="0"/>
    <xf numFmtId="0" fontId="25" fillId="0" borderId="0" applyNumberFormat="0" applyFont="0" applyFill="0" applyBorder="0" applyAlignment="0" applyProtection="0"/>
    <xf numFmtId="0" fontId="119" fillId="0" borderId="0"/>
    <xf numFmtId="0" fontId="25" fillId="0" borderId="0"/>
    <xf numFmtId="176" fontId="25" fillId="0" borderId="0"/>
    <xf numFmtId="176" fontId="25" fillId="0" borderId="0"/>
    <xf numFmtId="0" fontId="25" fillId="0" borderId="0"/>
    <xf numFmtId="0" fontId="77"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77" fillId="0" borderId="0"/>
    <xf numFmtId="0" fontId="15" fillId="0" borderId="0"/>
    <xf numFmtId="0" fontId="25" fillId="0" borderId="0"/>
    <xf numFmtId="0" fontId="77" fillId="0" borderId="0"/>
    <xf numFmtId="0" fontId="15" fillId="0" borderId="0"/>
    <xf numFmtId="0" fontId="15" fillId="0" borderId="0"/>
    <xf numFmtId="164" fontId="77" fillId="0" borderId="0"/>
    <xf numFmtId="0" fontId="25" fillId="0" borderId="0"/>
    <xf numFmtId="0" fontId="77" fillId="0" borderId="0"/>
    <xf numFmtId="0" fontId="25" fillId="0" borderId="0"/>
    <xf numFmtId="0" fontId="77" fillId="0" borderId="0"/>
    <xf numFmtId="0" fontId="15" fillId="0" borderId="0"/>
    <xf numFmtId="0" fontId="25" fillId="0" borderId="0"/>
    <xf numFmtId="0" fontId="77" fillId="0" borderId="0"/>
    <xf numFmtId="0" fontId="25" fillId="0" borderId="0"/>
    <xf numFmtId="0" fontId="15" fillId="0" borderId="0"/>
    <xf numFmtId="0" fontId="77" fillId="0" borderId="0"/>
    <xf numFmtId="0" fontId="15" fillId="0" borderId="0"/>
    <xf numFmtId="0" fontId="15" fillId="0" borderId="0"/>
    <xf numFmtId="0" fontId="25" fillId="0" borderId="0"/>
    <xf numFmtId="0" fontId="15" fillId="0" borderId="0"/>
    <xf numFmtId="0" fontId="25" fillId="0" borderId="0"/>
    <xf numFmtId="0" fontId="15" fillId="0" borderId="0"/>
    <xf numFmtId="0" fontId="15" fillId="0" borderId="0"/>
    <xf numFmtId="0" fontId="15" fillId="0" borderId="0"/>
    <xf numFmtId="0" fontId="25" fillId="0" borderId="0"/>
    <xf numFmtId="0" fontId="25" fillId="0" borderId="0"/>
    <xf numFmtId="0" fontId="174" fillId="0" borderId="0"/>
    <xf numFmtId="0" fontId="25" fillId="0" borderId="0"/>
    <xf numFmtId="0" fontId="15" fillId="0" borderId="0"/>
    <xf numFmtId="186" fontId="25" fillId="0" borderId="0"/>
    <xf numFmtId="0" fontId="15" fillId="0" borderId="0"/>
    <xf numFmtId="0" fontId="25" fillId="0" borderId="0"/>
    <xf numFmtId="0" fontId="77" fillId="0" borderId="0"/>
    <xf numFmtId="0" fontId="77" fillId="0" borderId="0"/>
    <xf numFmtId="0" fontId="25" fillId="0" borderId="0"/>
    <xf numFmtId="176" fontId="25" fillId="0" borderId="0"/>
    <xf numFmtId="0" fontId="77" fillId="0" borderId="0"/>
    <xf numFmtId="0" fontId="77" fillId="0" borderId="0"/>
    <xf numFmtId="176" fontId="25" fillId="0" borderId="0"/>
    <xf numFmtId="176" fontId="25" fillId="0" borderId="0"/>
    <xf numFmtId="0" fontId="119" fillId="0" borderId="0"/>
    <xf numFmtId="0" fontId="25" fillId="0" borderId="0"/>
    <xf numFmtId="0" fontId="77" fillId="0" borderId="0"/>
    <xf numFmtId="176" fontId="25" fillId="0" borderId="0"/>
    <xf numFmtId="0" fontId="77" fillId="0" borderId="0"/>
    <xf numFmtId="0" fontId="15" fillId="0" borderId="0"/>
    <xf numFmtId="0" fontId="15" fillId="0" borderId="0"/>
    <xf numFmtId="0" fontId="25" fillId="0" borderId="0"/>
    <xf numFmtId="0" fontId="15" fillId="0" borderId="0"/>
    <xf numFmtId="0" fontId="15" fillId="0" borderId="0"/>
    <xf numFmtId="186" fontId="25" fillId="0" borderId="0"/>
    <xf numFmtId="0" fontId="15" fillId="0" borderId="0"/>
    <xf numFmtId="0" fontId="17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15" fillId="0" borderId="0"/>
    <xf numFmtId="0" fontId="15" fillId="0" borderId="0"/>
    <xf numFmtId="0" fontId="25" fillId="0" borderId="0"/>
    <xf numFmtId="0" fontId="15" fillId="0" borderId="0"/>
    <xf numFmtId="0" fontId="15" fillId="0" borderId="0"/>
    <xf numFmtId="0" fontId="25" fillId="0" borderId="0"/>
    <xf numFmtId="0" fontId="15" fillId="0" borderId="0"/>
    <xf numFmtId="0" fontId="15" fillId="0" borderId="0"/>
    <xf numFmtId="0" fontId="25" fillId="0" borderId="0"/>
    <xf numFmtId="0" fontId="25" fillId="0" borderId="0"/>
    <xf numFmtId="0" fontId="77" fillId="0" borderId="0"/>
    <xf numFmtId="176" fontId="25" fillId="0" borderId="0"/>
    <xf numFmtId="0" fontId="25" fillId="0" borderId="0"/>
    <xf numFmtId="176" fontId="25" fillId="0" borderId="0"/>
    <xf numFmtId="176" fontId="25" fillId="0" borderId="0"/>
    <xf numFmtId="0" fontId="25" fillId="0" borderId="0"/>
    <xf numFmtId="0" fontId="22" fillId="0" borderId="0"/>
    <xf numFmtId="176" fontId="25" fillId="0" borderId="0"/>
    <xf numFmtId="0" fontId="25" fillId="0" borderId="0"/>
    <xf numFmtId="0" fontId="77" fillId="0" borderId="0">
      <alignment vertical="top"/>
    </xf>
    <xf numFmtId="0" fontId="25" fillId="0" borderId="0"/>
    <xf numFmtId="0" fontId="15" fillId="0" borderId="0"/>
    <xf numFmtId="0" fontId="15" fillId="0" borderId="0"/>
    <xf numFmtId="0" fontId="25" fillId="0" borderId="0"/>
    <xf numFmtId="0" fontId="15" fillId="0" borderId="0"/>
    <xf numFmtId="0" fontId="15" fillId="0" borderId="0"/>
    <xf numFmtId="0" fontId="25" fillId="0" borderId="0"/>
    <xf numFmtId="0" fontId="15" fillId="0" borderId="0"/>
    <xf numFmtId="0" fontId="15" fillId="0" borderId="0"/>
    <xf numFmtId="0" fontId="25" fillId="0" borderId="0"/>
    <xf numFmtId="0" fontId="15" fillId="0" borderId="0"/>
    <xf numFmtId="0" fontId="15" fillId="0" borderId="0"/>
    <xf numFmtId="0" fontId="25" fillId="0" borderId="0"/>
    <xf numFmtId="0" fontId="15" fillId="0" borderId="0"/>
    <xf numFmtId="0" fontId="15" fillId="0" borderId="0"/>
    <xf numFmtId="0" fontId="25" fillId="0" borderId="0"/>
    <xf numFmtId="0" fontId="15" fillId="0" borderId="0"/>
    <xf numFmtId="0" fontId="15" fillId="0" borderId="0"/>
    <xf numFmtId="0" fontId="15" fillId="0" borderId="0"/>
    <xf numFmtId="0" fontId="15" fillId="0" borderId="0"/>
    <xf numFmtId="0" fontId="25" fillId="0" borderId="0"/>
    <xf numFmtId="0" fontId="15" fillId="0" borderId="0"/>
    <xf numFmtId="0" fontId="15" fillId="0" borderId="0"/>
    <xf numFmtId="0" fontId="25" fillId="0" borderId="0"/>
    <xf numFmtId="0" fontId="15" fillId="0" borderId="0"/>
    <xf numFmtId="0" fontId="15" fillId="0" borderId="0"/>
    <xf numFmtId="0" fontId="173" fillId="0" borderId="0">
      <alignment vertical="top"/>
    </xf>
    <xf numFmtId="0" fontId="25" fillId="0" borderId="0"/>
    <xf numFmtId="0" fontId="119" fillId="0" borderId="0"/>
    <xf numFmtId="49" fontId="25" fillId="0" borderId="0" applyNumberFormat="0" applyFont="0" applyFill="0" applyBorder="0" applyAlignment="0" applyProtection="0"/>
    <xf numFmtId="176" fontId="77" fillId="0" borderId="0"/>
    <xf numFmtId="229" fontId="77" fillId="0" borderId="0"/>
    <xf numFmtId="0" fontId="77" fillId="0" borderId="0"/>
    <xf numFmtId="0" fontId="22" fillId="0" borderId="0"/>
    <xf numFmtId="0" fontId="77" fillId="0" borderId="0">
      <alignment vertical="top"/>
    </xf>
    <xf numFmtId="0" fontId="25" fillId="0" borderId="0">
      <alignment vertical="top"/>
    </xf>
    <xf numFmtId="0" fontId="77" fillId="0" borderId="0"/>
    <xf numFmtId="0" fontId="119" fillId="0" borderId="0"/>
    <xf numFmtId="0" fontId="77" fillId="0" borderId="0">
      <alignment vertical="top"/>
    </xf>
    <xf numFmtId="0" fontId="25" fillId="0" borderId="0"/>
    <xf numFmtId="0" fontId="119" fillId="0" borderId="0"/>
    <xf numFmtId="0" fontId="77" fillId="0" borderId="0">
      <alignment vertical="top"/>
    </xf>
    <xf numFmtId="0" fontId="25" fillId="0" borderId="0"/>
    <xf numFmtId="176" fontId="25" fillId="0" borderId="0"/>
    <xf numFmtId="0" fontId="77" fillId="0" borderId="0"/>
    <xf numFmtId="0" fontId="15" fillId="0" borderId="0"/>
    <xf numFmtId="0" fontId="77" fillId="0" borderId="0">
      <alignment vertical="top"/>
    </xf>
    <xf numFmtId="0" fontId="119" fillId="0" borderId="0"/>
    <xf numFmtId="0" fontId="77" fillId="0" borderId="0"/>
    <xf numFmtId="0" fontId="173" fillId="0" borderId="0">
      <alignment vertical="top"/>
    </xf>
    <xf numFmtId="0" fontId="25" fillId="0" borderId="0"/>
    <xf numFmtId="0" fontId="173" fillId="0" borderId="0">
      <alignment vertical="top"/>
    </xf>
    <xf numFmtId="0" fontId="173" fillId="0" borderId="0">
      <alignment vertical="top"/>
    </xf>
    <xf numFmtId="0" fontId="173" fillId="0" borderId="0">
      <alignment vertical="top"/>
    </xf>
    <xf numFmtId="0" fontId="173" fillId="0" borderId="0">
      <alignment vertical="top"/>
    </xf>
    <xf numFmtId="0" fontId="173" fillId="0" borderId="0">
      <alignment vertical="top"/>
    </xf>
    <xf numFmtId="0" fontId="77" fillId="0" borderId="0"/>
    <xf numFmtId="0" fontId="77" fillId="0" borderId="0"/>
    <xf numFmtId="0" fontId="173" fillId="0" borderId="0">
      <alignment vertical="top"/>
    </xf>
    <xf numFmtId="0" fontId="173" fillId="0" borderId="0">
      <alignment vertical="top"/>
    </xf>
    <xf numFmtId="0" fontId="22" fillId="0" borderId="0">
      <alignment vertical="top"/>
    </xf>
    <xf numFmtId="0" fontId="22" fillId="0" borderId="0">
      <alignment vertical="top"/>
    </xf>
    <xf numFmtId="176" fontId="15" fillId="0" borderId="0"/>
    <xf numFmtId="176" fontId="15" fillId="0" borderId="0"/>
    <xf numFmtId="0" fontId="77" fillId="0" borderId="0"/>
    <xf numFmtId="0" fontId="22" fillId="0" borderId="0"/>
    <xf numFmtId="176" fontId="15" fillId="0" borderId="0"/>
    <xf numFmtId="176" fontId="15" fillId="0" borderId="0"/>
    <xf numFmtId="0" fontId="77" fillId="0" borderId="0"/>
    <xf numFmtId="0" fontId="77" fillId="0" borderId="0"/>
    <xf numFmtId="0" fontId="119" fillId="0" borderId="0"/>
    <xf numFmtId="0" fontId="77" fillId="0" borderId="0"/>
    <xf numFmtId="0" fontId="173" fillId="0" borderId="0">
      <alignment vertical="top"/>
    </xf>
    <xf numFmtId="0" fontId="77" fillId="0" borderId="0"/>
    <xf numFmtId="0" fontId="77" fillId="0" borderId="0"/>
    <xf numFmtId="0" fontId="100" fillId="88" borderId="0" applyNumberFormat="0" applyBorder="0" applyAlignment="0" applyProtection="0"/>
    <xf numFmtId="0" fontId="77" fillId="0" borderId="0"/>
    <xf numFmtId="0" fontId="77" fillId="0" borderId="0"/>
    <xf numFmtId="0" fontId="77" fillId="0" borderId="0"/>
    <xf numFmtId="0" fontId="25" fillId="0" borderId="0"/>
    <xf numFmtId="0" fontId="25" fillId="0" borderId="0"/>
    <xf numFmtId="0" fontId="77" fillId="0" borderId="0"/>
    <xf numFmtId="0" fontId="15" fillId="0" borderId="0"/>
    <xf numFmtId="0" fontId="25" fillId="0" borderId="0"/>
    <xf numFmtId="0" fontId="77" fillId="0" borderId="0"/>
    <xf numFmtId="49" fontId="25" fillId="0" borderId="0" applyNumberFormat="0" applyFont="0" applyFill="0" applyBorder="0" applyAlignment="0" applyProtection="0"/>
    <xf numFmtId="0" fontId="77" fillId="0" borderId="0"/>
    <xf numFmtId="0" fontId="15" fillId="0" borderId="0"/>
    <xf numFmtId="0" fontId="15" fillId="0" borderId="0"/>
    <xf numFmtId="0" fontId="15" fillId="0" borderId="0"/>
    <xf numFmtId="0" fontId="15" fillId="0" borderId="0"/>
    <xf numFmtId="0" fontId="15" fillId="0" borderId="0"/>
    <xf numFmtId="0" fontId="22" fillId="46" borderId="0" applyNumberFormat="0" applyBorder="0" applyAlignment="0" applyProtection="0"/>
    <xf numFmtId="0" fontId="25" fillId="0" borderId="0"/>
    <xf numFmtId="0" fontId="15" fillId="0" borderId="0"/>
    <xf numFmtId="0" fontId="119" fillId="0" borderId="0"/>
    <xf numFmtId="0" fontId="102" fillId="69" borderId="80" applyNumberFormat="0" applyAlignment="0" applyProtection="0"/>
    <xf numFmtId="0" fontId="100" fillId="88" borderId="0" applyNumberFormat="0" applyBorder="0" applyAlignment="0" applyProtection="0"/>
    <xf numFmtId="0" fontId="102" fillId="54" borderId="80" applyNumberFormat="0" applyAlignment="0" applyProtection="0"/>
    <xf numFmtId="0" fontId="79" fillId="0" borderId="0"/>
    <xf numFmtId="0" fontId="77" fillId="50" borderId="92" applyNumberFormat="0" applyFont="0" applyAlignment="0" applyProtection="0"/>
    <xf numFmtId="0" fontId="22"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77" fillId="50" borderId="92" applyNumberFormat="0" applyFont="0" applyAlignment="0" applyProtection="0"/>
    <xf numFmtId="0" fontId="22" fillId="50" borderId="92" applyNumberFormat="0" applyFont="0" applyAlignment="0" applyProtection="0"/>
    <xf numFmtId="0" fontId="77" fillId="50" borderId="92" applyNumberFormat="0" applyFont="0" applyAlignment="0" applyProtection="0"/>
    <xf numFmtId="0" fontId="22"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77" fillId="50" borderId="92" applyNumberFormat="0" applyFont="0" applyAlignment="0" applyProtection="0"/>
    <xf numFmtId="0" fontId="22"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77" fillId="50" borderId="92" applyNumberFormat="0" applyFont="0" applyAlignment="0" applyProtection="0"/>
    <xf numFmtId="0" fontId="22"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22" fillId="20" borderId="76" applyNumberFormat="0" applyFont="0" applyAlignment="0" applyProtection="0"/>
    <xf numFmtId="0" fontId="22" fillId="20" borderId="76" applyNumberFormat="0" applyFont="0" applyAlignment="0" applyProtection="0"/>
    <xf numFmtId="0" fontId="22" fillId="20" borderId="76" applyNumberFormat="0" applyFont="0" applyAlignment="0" applyProtection="0"/>
    <xf numFmtId="0" fontId="22" fillId="20" borderId="76" applyNumberFormat="0" applyFont="0" applyAlignment="0" applyProtection="0"/>
    <xf numFmtId="0" fontId="22" fillId="20" borderId="76"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77" fillId="50" borderId="92" applyNumberFormat="0" applyFont="0" applyAlignment="0" applyProtection="0"/>
    <xf numFmtId="0" fontId="135" fillId="0" borderId="0">
      <alignment wrapText="1"/>
    </xf>
    <xf numFmtId="0" fontId="135" fillId="0" borderId="0">
      <alignment wrapText="1"/>
    </xf>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89" fillId="18" borderId="73" applyNumberFormat="0" applyAlignment="0" applyProtection="0"/>
    <xf numFmtId="0" fontId="112" fillId="67" borderId="93" applyNumberFormat="0" applyAlignment="0" applyProtection="0"/>
    <xf numFmtId="0" fontId="112" fillId="67" borderId="93" applyNumberFormat="0" applyAlignment="0" applyProtection="0"/>
    <xf numFmtId="0" fontId="112" fillId="67" borderId="93" applyNumberFormat="0" applyAlignment="0" applyProtection="0"/>
    <xf numFmtId="0" fontId="89" fillId="18" borderId="73" applyNumberFormat="0" applyAlignment="0" applyProtection="0"/>
    <xf numFmtId="0" fontId="112" fillId="67" borderId="93" applyNumberFormat="0" applyAlignment="0" applyProtection="0"/>
    <xf numFmtId="0" fontId="112" fillId="67" borderId="93" applyNumberFormat="0" applyAlignment="0" applyProtection="0"/>
    <xf numFmtId="0" fontId="112" fillId="67" borderId="93" applyNumberFormat="0" applyAlignment="0" applyProtection="0"/>
    <xf numFmtId="0" fontId="112" fillId="67" borderId="93" applyNumberFormat="0" applyAlignment="0" applyProtection="0"/>
    <xf numFmtId="0" fontId="112" fillId="67" borderId="93" applyNumberFormat="0" applyAlignment="0" applyProtection="0"/>
    <xf numFmtId="215" fontId="33" fillId="67" borderId="0">
      <alignment horizontal="right"/>
    </xf>
    <xf numFmtId="40" fontId="127" fillId="71" borderId="0">
      <alignment horizontal="right"/>
    </xf>
    <xf numFmtId="215" fontId="33" fillId="67" borderId="0">
      <alignment horizontal="right"/>
    </xf>
    <xf numFmtId="0" fontId="141" fillId="73" borderId="0">
      <alignment horizontal="center"/>
    </xf>
    <xf numFmtId="0" fontId="142" fillId="71" borderId="0">
      <alignment horizontal="right"/>
    </xf>
    <xf numFmtId="0" fontId="142" fillId="71" borderId="0">
      <alignment horizontal="right"/>
    </xf>
    <xf numFmtId="0" fontId="143" fillId="74" borderId="5"/>
    <xf numFmtId="0" fontId="144" fillId="71" borderId="5"/>
    <xf numFmtId="0" fontId="143" fillId="74" borderId="5"/>
    <xf numFmtId="0" fontId="128" fillId="67" borderId="0" applyBorder="0">
      <alignment horizontal="centerContinuous"/>
    </xf>
    <xf numFmtId="0" fontId="144" fillId="0" borderId="0" applyBorder="0">
      <alignment horizontal="centerContinuous"/>
    </xf>
    <xf numFmtId="0" fontId="144" fillId="0" borderId="0" applyBorder="0">
      <alignment horizontal="centerContinuous"/>
    </xf>
    <xf numFmtId="0" fontId="145" fillId="74" borderId="0" applyBorder="0">
      <alignment horizontal="centerContinuous"/>
    </xf>
    <xf numFmtId="0" fontId="146" fillId="0" borderId="0" applyBorder="0">
      <alignment horizontal="centerContinuous"/>
    </xf>
    <xf numFmtId="0" fontId="146" fillId="0" borderId="0" applyBorder="0">
      <alignment horizontal="centerContinuous"/>
    </xf>
    <xf numFmtId="0" fontId="30" fillId="0" borderId="0" applyFill="0" applyBorder="0" applyProtection="0">
      <alignment horizontal="center" vertical="center"/>
    </xf>
    <xf numFmtId="0" fontId="30" fillId="0" borderId="0" applyFill="0" applyBorder="0" applyProtection="0">
      <alignment horizontal="center" vertical="center"/>
    </xf>
    <xf numFmtId="176" fontId="30" fillId="0" borderId="0" applyFill="0" applyBorder="0" applyProtection="0">
      <alignment horizontal="center" vertical="center"/>
    </xf>
    <xf numFmtId="176" fontId="30" fillId="0" borderId="0" applyFill="0" applyBorder="0" applyProtection="0">
      <alignment horizontal="center" vertical="center"/>
    </xf>
    <xf numFmtId="176" fontId="30" fillId="0" borderId="0" applyFill="0" applyBorder="0" applyProtection="0">
      <alignment horizontal="center" vertical="center"/>
    </xf>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9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9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2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77" fillId="0" borderId="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79"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7" fillId="0" borderId="0" applyFont="0" applyFill="0" applyBorder="0" applyAlignment="0" applyProtection="0"/>
    <xf numFmtId="9" fontId="25" fillId="0" borderId="0" applyFill="0" applyBorder="0" applyProtection="0">
      <alignment vertical="top"/>
    </xf>
    <xf numFmtId="9" fontId="22" fillId="0" borderId="0" applyFont="0" applyFill="0" applyBorder="0" applyAlignment="0" applyProtection="0"/>
    <xf numFmtId="9" fontId="77" fillId="0" borderId="0" applyFont="0" applyFill="0" applyBorder="0" applyAlignment="0" applyProtection="0"/>
    <xf numFmtId="9" fontId="25" fillId="0" borderId="0" applyFill="0" applyBorder="0" applyProtection="0">
      <alignment vertical="top"/>
    </xf>
    <xf numFmtId="9" fontId="22"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7" fontId="25" fillId="0" borderId="0" applyFill="0" applyBorder="0" applyAlignment="0"/>
    <xf numFmtId="197" fontId="25" fillId="0" borderId="0" applyFill="0" applyBorder="0" applyAlignment="0"/>
    <xf numFmtId="212" fontId="25" fillId="0" borderId="0" applyFill="0" applyBorder="0" applyAlignment="0"/>
    <xf numFmtId="212" fontId="25" fillId="0" borderId="0" applyFill="0" applyBorder="0" applyAlignment="0"/>
    <xf numFmtId="197" fontId="25" fillId="0" borderId="0" applyFill="0" applyBorder="0" applyAlignment="0"/>
    <xf numFmtId="0" fontId="123" fillId="0" borderId="14" applyNumberFormat="0" applyBorder="0" applyAlignment="0"/>
    <xf numFmtId="0" fontId="123" fillId="0" borderId="14" applyNumberFormat="0" applyBorder="0" applyAlignment="0"/>
    <xf numFmtId="176" fontId="123" fillId="0" borderId="0" applyNumberFormat="0" applyBorder="0" applyAlignment="0"/>
    <xf numFmtId="0" fontId="123" fillId="0" borderId="0" applyNumberFormat="0" applyBorder="0" applyAlignment="0"/>
    <xf numFmtId="176" fontId="123" fillId="0" borderId="0" applyNumberFormat="0" applyBorder="0" applyAlignment="0"/>
    <xf numFmtId="176" fontId="123" fillId="0" borderId="0" applyNumberFormat="0" applyBorder="0" applyAlignment="0"/>
    <xf numFmtId="0" fontId="123" fillId="0" borderId="14" applyNumberFormat="0" applyBorder="0" applyAlignment="0"/>
    <xf numFmtId="0" fontId="140" fillId="0" borderId="0" applyNumberFormat="0" applyFont="0" applyFill="0" applyBorder="0" applyAlignment="0" applyProtection="0">
      <alignment horizontal="left"/>
    </xf>
    <xf numFmtId="0" fontId="126" fillId="0" borderId="0"/>
    <xf numFmtId="14" fontId="136" fillId="0" borderId="0" applyNumberFormat="0" applyFill="0" applyBorder="0" applyAlignment="0" applyProtection="0">
      <alignment horizontal="left"/>
    </xf>
    <xf numFmtId="14" fontId="158" fillId="0" borderId="0" applyNumberFormat="0" applyFill="0" applyBorder="0" applyAlignment="0" applyProtection="0">
      <alignment horizontal="left"/>
    </xf>
    <xf numFmtId="214" fontId="158" fillId="0" borderId="0" applyNumberFormat="0" applyFill="0" applyBorder="0" applyAlignment="0" applyProtection="0">
      <alignment horizontal="left"/>
    </xf>
    <xf numFmtId="214" fontId="158" fillId="0" borderId="0" applyNumberFormat="0" applyFill="0" applyBorder="0" applyAlignment="0" applyProtection="0">
      <alignment horizontal="left"/>
    </xf>
    <xf numFmtId="0" fontId="25" fillId="0" borderId="0"/>
    <xf numFmtId="44" fontId="25" fillId="0" borderId="0" applyFont="0" applyFill="0" applyBorder="0" applyAlignment="0" applyProtection="0"/>
    <xf numFmtId="0" fontId="25" fillId="0" borderId="0"/>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0" fontId="33" fillId="0" borderId="0">
      <alignment vertical="top"/>
    </xf>
    <xf numFmtId="0" fontId="77" fillId="0" borderId="0">
      <protection locked="0"/>
    </xf>
    <xf numFmtId="0" fontId="33" fillId="0" borderId="0">
      <alignment vertical="top"/>
    </xf>
    <xf numFmtId="0" fontId="33" fillId="0" borderId="0">
      <alignment vertical="top"/>
    </xf>
    <xf numFmtId="176" fontId="25" fillId="0" borderId="0"/>
    <xf numFmtId="0" fontId="25" fillId="0" borderId="0"/>
    <xf numFmtId="176" fontId="25" fillId="0" borderId="0"/>
    <xf numFmtId="0" fontId="25" fillId="0" borderId="0"/>
    <xf numFmtId="0" fontId="77" fillId="0" borderId="0"/>
    <xf numFmtId="0" fontId="121" fillId="0" borderId="0"/>
    <xf numFmtId="176" fontId="121" fillId="0" borderId="0"/>
    <xf numFmtId="176" fontId="121" fillId="0" borderId="0"/>
    <xf numFmtId="176" fontId="121" fillId="0" borderId="0"/>
    <xf numFmtId="0" fontId="113" fillId="0" borderId="0">
      <alignment horizontal="left" vertical="center"/>
    </xf>
    <xf numFmtId="176" fontId="113" fillId="0" borderId="0">
      <alignment horizontal="left" vertical="center"/>
    </xf>
    <xf numFmtId="176" fontId="113" fillId="0" borderId="0">
      <alignment horizontal="left" vertical="center"/>
    </xf>
    <xf numFmtId="176" fontId="113" fillId="0" borderId="0">
      <alignment horizontal="left" vertical="center"/>
    </xf>
    <xf numFmtId="0" fontId="114" fillId="0" borderId="0" applyNumberFormat="0" applyFill="0" applyBorder="0" applyProtection="0">
      <alignment vertical="center"/>
    </xf>
    <xf numFmtId="176" fontId="114" fillId="0" borderId="0" applyNumberFormat="0" applyFill="0" applyBorder="0" applyProtection="0">
      <alignment vertical="center"/>
    </xf>
    <xf numFmtId="176" fontId="114" fillId="0" borderId="0" applyNumberFormat="0" applyFill="0" applyBorder="0" applyProtection="0">
      <alignment vertical="center"/>
    </xf>
    <xf numFmtId="176" fontId="114" fillId="0" borderId="0" applyNumberFormat="0" applyFill="0" applyBorder="0" applyProtection="0">
      <alignment vertical="center"/>
    </xf>
    <xf numFmtId="40" fontId="137" fillId="0" borderId="0" applyBorder="0">
      <alignment horizontal="right"/>
    </xf>
    <xf numFmtId="40" fontId="159" fillId="0" borderId="0" applyBorder="0">
      <alignment horizontal="right"/>
    </xf>
    <xf numFmtId="0" fontId="126" fillId="0" borderId="82"/>
    <xf numFmtId="0" fontId="126" fillId="0" borderId="82"/>
    <xf numFmtId="0" fontId="126" fillId="0" borderId="82"/>
    <xf numFmtId="0" fontId="126" fillId="0" borderId="82"/>
    <xf numFmtId="0" fontId="126" fillId="0" borderId="82"/>
    <xf numFmtId="0" fontId="126" fillId="0" borderId="82"/>
    <xf numFmtId="37" fontId="124" fillId="0" borderId="95" applyNumberFormat="0" applyFont="0" applyBorder="0" applyAlignment="0" applyProtection="0">
      <alignment horizontal="centerContinuous"/>
    </xf>
    <xf numFmtId="37" fontId="124" fillId="0" borderId="95" applyNumberFormat="0" applyFont="0" applyBorder="0" applyAlignment="0" applyProtection="0">
      <alignment horizontal="centerContinuous"/>
    </xf>
    <xf numFmtId="176" fontId="25" fillId="0" borderId="0" applyNumberFormat="0" applyBorder="0" applyAlignment="0" applyProtection="0"/>
    <xf numFmtId="176" fontId="25" fillId="0" borderId="0" applyNumberFormat="0" applyBorder="0" applyAlignment="0" applyProtection="0"/>
    <xf numFmtId="0" fontId="25" fillId="0" borderId="0" applyNumberFormat="0" applyBorder="0" applyAlignment="0" applyProtection="0"/>
    <xf numFmtId="176" fontId="25" fillId="0" borderId="0" applyNumberFormat="0" applyBorder="0" applyAlignment="0" applyProtection="0"/>
    <xf numFmtId="176" fontId="25" fillId="0" borderId="0" applyNumberFormat="0" applyBorder="0" applyAlignment="0" applyProtection="0"/>
    <xf numFmtId="0" fontId="25" fillId="0" borderId="0" applyNumberFormat="0" applyBorder="0" applyAlignment="0" applyProtection="0"/>
    <xf numFmtId="37" fontId="124" fillId="0" borderId="95" applyNumberFormat="0" applyFont="0" applyBorder="0" applyAlignment="0" applyProtection="0">
      <alignment horizontal="centerContinuous"/>
    </xf>
    <xf numFmtId="0" fontId="24" fillId="0" borderId="0" applyNumberFormat="0" applyFont="0" applyFill="0" applyBorder="0" applyAlignment="0"/>
    <xf numFmtId="49" fontId="33" fillId="0" borderId="0" applyFill="0" applyBorder="0" applyAlignment="0"/>
    <xf numFmtId="49" fontId="33" fillId="0" borderId="0" applyFill="0" applyBorder="0" applyAlignment="0"/>
    <xf numFmtId="49" fontId="33" fillId="0" borderId="0" applyFill="0" applyBorder="0" applyAlignment="0"/>
    <xf numFmtId="49" fontId="33" fillId="0" borderId="0" applyFill="0" applyBorder="0" applyAlignment="0"/>
    <xf numFmtId="49" fontId="33" fillId="0" borderId="0" applyFill="0" applyBorder="0" applyAlignment="0"/>
    <xf numFmtId="197" fontId="25" fillId="0" borderId="0" applyFill="0" applyBorder="0" applyAlignment="0"/>
    <xf numFmtId="197" fontId="25" fillId="0" borderId="0" applyFill="0" applyBorder="0" applyAlignment="0"/>
    <xf numFmtId="212" fontId="25" fillId="0" borderId="0" applyFill="0" applyBorder="0" applyAlignment="0"/>
    <xf numFmtId="212" fontId="25" fillId="0" borderId="0" applyFill="0" applyBorder="0" applyAlignment="0"/>
    <xf numFmtId="197" fontId="25" fillId="0" borderId="0" applyFill="0" applyBorder="0" applyAlignment="0"/>
    <xf numFmtId="0" fontId="115" fillId="0" borderId="0" applyNumberFormat="0" applyFill="0" applyBorder="0" applyAlignment="0" applyProtection="0"/>
    <xf numFmtId="0" fontId="160" fillId="75" borderId="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75" fillId="0" borderId="0" applyNumberFormat="0" applyFill="0" applyBorder="0" applyAlignment="0" applyProtection="0"/>
    <xf numFmtId="0" fontId="1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4" fillId="0" borderId="0" applyNumberFormat="0" applyFill="0" applyBorder="0" applyAlignment="0" applyProtection="0"/>
    <xf numFmtId="0" fontId="175" fillId="0" borderId="0" applyNumberFormat="0" applyFill="0" applyBorder="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95" fillId="0" borderId="77" applyNumberFormat="0" applyFill="0" applyAlignment="0" applyProtection="0"/>
    <xf numFmtId="0" fontId="116" fillId="0" borderId="97" applyNumberFormat="0" applyFill="0" applyAlignment="0" applyProtection="0"/>
    <xf numFmtId="0" fontId="116" fillId="0" borderId="97" applyNumberFormat="0" applyFill="0" applyAlignment="0" applyProtection="0"/>
    <xf numFmtId="0" fontId="116" fillId="0" borderId="97" applyNumberFormat="0" applyFill="0" applyAlignment="0" applyProtection="0"/>
    <xf numFmtId="0" fontId="95" fillId="0" borderId="77" applyNumberFormat="0" applyFill="0" applyAlignment="0" applyProtection="0"/>
    <xf numFmtId="0" fontId="116" fillId="0" borderId="97" applyNumberFormat="0" applyFill="0" applyAlignment="0" applyProtection="0"/>
    <xf numFmtId="0" fontId="116" fillId="0" borderId="97" applyNumberFormat="0" applyFill="0" applyAlignment="0" applyProtection="0"/>
    <xf numFmtId="0" fontId="116" fillId="0" borderId="97" applyNumberFormat="0" applyFill="0" applyAlignment="0" applyProtection="0"/>
    <xf numFmtId="0" fontId="116" fillId="0" borderId="97" applyNumberFormat="0" applyFill="0" applyAlignment="0" applyProtection="0"/>
    <xf numFmtId="0" fontId="116" fillId="0" borderId="97" applyNumberFormat="0" applyFill="0" applyAlignment="0" applyProtection="0"/>
    <xf numFmtId="0" fontId="157" fillId="0" borderId="98"/>
    <xf numFmtId="0" fontId="157" fillId="0" borderId="82"/>
    <xf numFmtId="0" fontId="157" fillId="0" borderId="82"/>
    <xf numFmtId="0" fontId="157" fillId="0" borderId="82"/>
    <xf numFmtId="0" fontId="157" fillId="0" borderId="82"/>
    <xf numFmtId="0" fontId="157" fillId="0" borderId="82"/>
    <xf numFmtId="0" fontId="157" fillId="0" borderId="82"/>
    <xf numFmtId="207" fontId="25" fillId="0" borderId="0" applyFont="0" applyFill="0" applyBorder="0" applyAlignment="0" applyProtection="0"/>
    <xf numFmtId="184" fontId="25" fillId="0" borderId="0" applyFont="0" applyFill="0" applyBorder="0" applyAlignment="0" applyProtection="0"/>
    <xf numFmtId="0" fontId="24" fillId="2" borderId="0" applyFont="0" applyFill="0">
      <alignment horizontal="center"/>
    </xf>
    <xf numFmtId="0" fontId="24" fillId="2" borderId="0" applyFont="0" applyFill="0">
      <alignment horizontal="center"/>
    </xf>
    <xf numFmtId="209" fontId="25" fillId="0" borderId="0" applyFont="0" applyFill="0" applyBorder="0" applyAlignment="0" applyProtection="0"/>
    <xf numFmtId="210" fontId="25"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3" fillId="0" borderId="0" applyNumberFormat="0" applyFill="0" applyBorder="0" applyAlignment="0" applyProtection="0"/>
    <xf numFmtId="216" fontId="25" fillId="0" borderId="0" applyFont="0" applyFill="0" applyBorder="0" applyAlignment="0" applyProtection="0"/>
    <xf numFmtId="0" fontId="165" fillId="0" borderId="0"/>
    <xf numFmtId="44" fontId="25" fillId="0" borderId="0" applyFont="0" applyFill="0" applyBorder="0" applyAlignment="0" applyProtection="0"/>
    <xf numFmtId="42" fontId="25" fillId="0" borderId="0" applyFont="0" applyFill="0" applyBorder="0" applyAlignment="0" applyProtection="0"/>
    <xf numFmtId="0" fontId="17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8"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2"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81"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79" fillId="0" borderId="0" applyFont="0" applyFill="0" applyBorder="0" applyAlignment="0" applyProtection="0"/>
    <xf numFmtId="43" fontId="22"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77"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9" fontId="1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0">
      <alignment vertical="top"/>
    </xf>
    <xf numFmtId="0" fontId="33" fillId="0" borderId="0">
      <alignment vertical="top"/>
    </xf>
    <xf numFmtId="0" fontId="25" fillId="0" borderId="0"/>
    <xf numFmtId="0" fontId="25" fillId="0" borderId="0"/>
    <xf numFmtId="0" fontId="25" fillId="0" borderId="0"/>
    <xf numFmtId="0" fontId="25" fillId="0" borderId="0"/>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25" fillId="0" borderId="0"/>
    <xf numFmtId="200" fontId="77" fillId="0" borderId="0" applyFont="0" applyFill="0" applyBorder="0" applyAlignment="0" applyProtection="0"/>
    <xf numFmtId="201" fontId="77" fillId="0" borderId="0" applyFont="0" applyFill="0" applyBorder="0" applyAlignment="0" applyProtection="0"/>
    <xf numFmtId="0" fontId="176" fillId="0" borderId="0"/>
    <xf numFmtId="0" fontId="176" fillId="0" borderId="0"/>
    <xf numFmtId="0" fontId="176" fillId="0" borderId="0"/>
    <xf numFmtId="0" fontId="176" fillId="0" borderId="0"/>
    <xf numFmtId="0" fontId="176" fillId="0" borderId="0"/>
    <xf numFmtId="0" fontId="176" fillId="0" borderId="0"/>
    <xf numFmtId="1" fontId="36" fillId="0" borderId="21" applyNumberFormat="0" applyFont="0" applyAlignment="0"/>
    <xf numFmtId="202" fontId="77" fillId="0" borderId="0" applyFont="0" applyFill="0" applyBorder="0" applyAlignment="0" applyProtection="0"/>
    <xf numFmtId="238" fontId="33" fillId="0" borderId="0" applyFill="0" applyBorder="0" applyAlignment="0"/>
    <xf numFmtId="239" fontId="33" fillId="0" borderId="0" applyFill="0" applyBorder="0" applyAlignment="0"/>
    <xf numFmtId="211" fontId="33" fillId="0" borderId="0" applyFill="0" applyBorder="0" applyAlignment="0"/>
    <xf numFmtId="240" fontId="33" fillId="0" borderId="0" applyFill="0" applyBorder="0" applyAlignment="0"/>
    <xf numFmtId="238" fontId="33" fillId="0" borderId="0" applyFill="0" applyBorder="0" applyAlignment="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211"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207" fontId="25" fillId="0" borderId="0" applyFont="0" applyFill="0" applyBorder="0" applyAlignment="0" applyProtection="0"/>
    <xf numFmtId="241" fontId="25" fillId="0" borderId="0" applyFill="0" applyBorder="0" applyAlignment="0" applyProtection="0"/>
    <xf numFmtId="242"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43" fontId="22"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8" fontId="25" fillId="0" borderId="0" applyFont="0" applyFill="0" applyBorder="0" applyAlignment="0" applyProtection="0"/>
    <xf numFmtId="44" fontId="25" fillId="0" borderId="0" applyFont="0" applyFill="0" applyBorder="0" applyAlignment="0" applyProtection="0"/>
    <xf numFmtId="0" fontId="126" fillId="0" borderId="0"/>
    <xf numFmtId="203" fontId="77" fillId="0" borderId="0" applyFont="0" applyFill="0" applyBorder="0" applyAlignment="0" applyProtection="0"/>
    <xf numFmtId="14" fontId="33" fillId="0" borderId="0" applyFill="0" applyBorder="0" applyAlignment="0"/>
    <xf numFmtId="207" fontId="25" fillId="0" borderId="0" applyFont="0" applyFill="0" applyBorder="0" applyAlignment="0" applyProtection="0"/>
    <xf numFmtId="184" fontId="25" fillId="0" borderId="0" applyFont="0" applyFill="0" applyBorder="0" applyAlignment="0" applyProtection="0"/>
    <xf numFmtId="238" fontId="177" fillId="0" borderId="0" applyFill="0" applyBorder="0" applyAlignment="0"/>
    <xf numFmtId="211" fontId="177" fillId="0" borderId="0" applyFill="0" applyBorder="0" applyAlignment="0"/>
    <xf numFmtId="240" fontId="177" fillId="0" borderId="0" applyFill="0" applyBorder="0" applyAlignment="0"/>
    <xf numFmtId="238" fontId="177" fillId="0" borderId="0" applyFill="0" applyBorder="0" applyAlignment="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6" fillId="0" borderId="85"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7" fillId="0" borderId="87"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78" fillId="0" borderId="0" applyNumberFormat="0" applyFill="0" applyBorder="0" applyAlignment="0" applyProtection="0">
      <alignment vertical="top"/>
      <protection locked="0"/>
    </xf>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36" fillId="0" borderId="40">
      <alignment wrapText="1"/>
    </xf>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238" fontId="181" fillId="0" borderId="0" applyFill="0" applyBorder="0" applyAlignment="0"/>
    <xf numFmtId="211" fontId="181" fillId="0" borderId="0" applyFill="0" applyBorder="0" applyAlignment="0"/>
    <xf numFmtId="240" fontId="181" fillId="0" borderId="0" applyFill="0" applyBorder="0" applyAlignment="0"/>
    <xf numFmtId="238" fontId="181" fillId="0" borderId="0" applyFill="0" applyBorder="0" applyAlignment="0"/>
    <xf numFmtId="38" fontId="140" fillId="0" borderId="0" applyFont="0" applyFill="0" applyBorder="0" applyAlignment="0" applyProtection="0"/>
    <xf numFmtId="40" fontId="140" fillId="0" borderId="0" applyFont="0" applyFill="0" applyBorder="0" applyAlignment="0" applyProtection="0"/>
    <xf numFmtId="6" fontId="140" fillId="0" borderId="0" applyFont="0" applyFill="0" applyBorder="0" applyAlignment="0" applyProtection="0"/>
    <xf numFmtId="8" fontId="140" fillId="0" borderId="0" applyFont="0" applyFill="0" applyBorder="0" applyAlignment="0" applyProtection="0"/>
    <xf numFmtId="6" fontId="140" fillId="0" borderId="0" applyFont="0" applyFill="0" applyBorder="0" applyAlignment="0" applyProtection="0"/>
    <xf numFmtId="8" fontId="140" fillId="0" borderId="0" applyFont="0" applyFill="0" applyBorder="0" applyAlignment="0" applyProtection="0"/>
    <xf numFmtId="0" fontId="182" fillId="76" borderId="99" applyNumberFormat="0"/>
    <xf numFmtId="0" fontId="173"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239" fontId="25" fillId="0" borderId="0" applyFont="0" applyFill="0" applyBorder="0" applyAlignment="0" applyProtection="0"/>
    <xf numFmtId="243" fontId="25" fillId="0" borderId="0" applyFont="0" applyFill="0" applyBorder="0" applyAlignment="0" applyProtection="0"/>
    <xf numFmtId="10"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40" fillId="0" borderId="13" applyNumberFormat="0" applyBorder="0"/>
    <xf numFmtId="238" fontId="43" fillId="0" borderId="0" applyFill="0" applyBorder="0" applyAlignment="0"/>
    <xf numFmtId="211" fontId="43" fillId="0" borderId="0" applyFill="0" applyBorder="0" applyAlignment="0"/>
    <xf numFmtId="240" fontId="43" fillId="0" borderId="0" applyFill="0" applyBorder="0" applyAlignment="0"/>
    <xf numFmtId="238" fontId="43" fillId="0" borderId="0" applyFill="0" applyBorder="0" applyAlignment="0"/>
    <xf numFmtId="0" fontId="126" fillId="0" borderId="0"/>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26" fillId="0" borderId="82"/>
    <xf numFmtId="244" fontId="33" fillId="0" borderId="0" applyFill="0" applyBorder="0" applyAlignment="0"/>
    <xf numFmtId="0" fontId="183" fillId="75" borderId="0"/>
    <xf numFmtId="0" fontId="36" fillId="77" borderId="100">
      <alignment wrapText="1"/>
    </xf>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84" fillId="0" borderId="98"/>
    <xf numFmtId="0" fontId="184" fillId="0" borderId="82"/>
    <xf numFmtId="42" fontId="25" fillId="0" borderId="0" applyFont="0" applyFill="0" applyBorder="0" applyAlignment="0" applyProtection="0"/>
    <xf numFmtId="44" fontId="25" fillId="0" borderId="0" applyFont="0" applyFill="0" applyBorder="0" applyAlignment="0" applyProtection="0"/>
    <xf numFmtId="0" fontId="125" fillId="0" borderId="0"/>
    <xf numFmtId="43" fontId="22" fillId="0" borderId="0" applyFont="0" applyFill="0" applyBorder="0" applyAlignment="0" applyProtection="0"/>
    <xf numFmtId="0" fontId="109" fillId="46" borderId="80" applyNumberFormat="0" applyAlignment="0" applyProtection="0"/>
    <xf numFmtId="220" fontId="25" fillId="0" borderId="0" applyFill="0" applyBorder="0" applyAlignment="0" applyProtection="0"/>
    <xf numFmtId="221" fontId="25" fillId="0" borderId="0" applyFill="0" applyBorder="0" applyAlignment="0" applyProtection="0"/>
    <xf numFmtId="0" fontId="109" fillId="46" borderId="80" applyNumberFormat="0" applyAlignment="0" applyProtection="0"/>
    <xf numFmtId="0" fontId="120" fillId="0" borderId="78" applyNumberFormat="0" applyFill="0" applyAlignment="0" applyProtection="0"/>
    <xf numFmtId="0" fontId="109" fillId="46" borderId="80" applyNumberFormat="0" applyAlignment="0" applyProtection="0"/>
    <xf numFmtId="222" fontId="2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43" fontId="161" fillId="0" borderId="0" applyFont="0" applyFill="0" applyBorder="0" applyAlignment="0" applyProtection="0"/>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43" fontId="22" fillId="0" borderId="0" applyFont="0" applyFill="0" applyBorder="0" applyAlignment="0" applyProtection="0"/>
    <xf numFmtId="9" fontId="22" fillId="0" borderId="0" applyFont="0" applyFill="0" applyBorder="0" applyAlignment="0" applyProtection="0"/>
    <xf numFmtId="0" fontId="25" fillId="0" borderId="0" applyFill="0" applyBorder="0" applyProtection="0">
      <alignment vertical="top"/>
    </xf>
    <xf numFmtId="0" fontId="25" fillId="0" borderId="0" applyFill="0" applyBorder="0" applyProtection="0">
      <alignment vertical="top"/>
    </xf>
    <xf numFmtId="0" fontId="25" fillId="0" borderId="0" applyFill="0" applyBorder="0" applyProtection="0">
      <alignment vertical="top"/>
    </xf>
    <xf numFmtId="0"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218" fontId="81" fillId="0" borderId="0" applyFont="0" applyFill="0" applyBorder="0" applyAlignment="0" applyProtection="0"/>
    <xf numFmtId="245" fontId="25" fillId="0" borderId="0" applyFill="0" applyBorder="0" applyProtection="0">
      <alignment vertical="top"/>
    </xf>
    <xf numFmtId="245" fontId="25" fillId="0" borderId="0" applyFill="0" applyBorder="0" applyProtection="0">
      <alignment vertical="top"/>
    </xf>
    <xf numFmtId="245" fontId="25" fillId="0" borderId="0" applyFill="0" applyBorder="0" applyProtection="0">
      <alignment vertical="top"/>
    </xf>
    <xf numFmtId="245" fontId="25" fillId="0" borderId="0" applyFill="0" applyBorder="0" applyProtection="0">
      <alignment vertical="top"/>
    </xf>
    <xf numFmtId="245" fontId="25" fillId="0" borderId="0" applyFill="0" applyBorder="0" applyProtection="0">
      <alignment vertical="top"/>
    </xf>
    <xf numFmtId="230" fontId="25" fillId="0" borderId="0" applyFill="0" applyBorder="0" applyProtection="0">
      <alignment vertical="top"/>
    </xf>
    <xf numFmtId="230" fontId="25" fillId="0" borderId="0" applyFill="0" applyBorder="0" applyProtection="0">
      <alignment vertical="top"/>
    </xf>
    <xf numFmtId="165" fontId="81" fillId="0" borderId="0" applyFont="0" applyFill="0" applyBorder="0" applyAlignment="0" applyProtection="0"/>
    <xf numFmtId="193" fontId="25" fillId="0" borderId="0" applyFill="0" applyBorder="0" applyProtection="0">
      <alignment vertical="top"/>
    </xf>
    <xf numFmtId="193" fontId="25" fillId="0" borderId="0" applyFill="0" applyBorder="0" applyProtection="0">
      <alignment vertical="top"/>
    </xf>
    <xf numFmtId="165" fontId="81" fillId="0" borderId="0" applyFont="0" applyFill="0" applyBorder="0" applyAlignment="0" applyProtection="0"/>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193" fontId="25" fillId="0" borderId="0" applyFill="0" applyBorder="0" applyProtection="0">
      <alignment vertical="top"/>
    </xf>
    <xf numFmtId="43" fontId="25" fillId="0" borderId="0" applyFont="0" applyFill="0" applyBorder="0" applyAlignment="0" applyProtection="0"/>
    <xf numFmtId="0" fontId="119" fillId="0" borderId="0" applyNumberFormat="0" applyFill="0" applyBorder="0" applyAlignment="0" applyProtection="0"/>
    <xf numFmtId="44" fontId="25" fillId="0" borderId="0" applyFont="0" applyFill="0" applyBorder="0" applyAlignment="0" applyProtection="0"/>
    <xf numFmtId="0" fontId="119" fillId="0" borderId="0" applyNumberFormat="0" applyFill="0" applyBorder="0" applyAlignment="0" applyProtection="0"/>
    <xf numFmtId="224" fontId="25" fillId="0" borderId="0" applyFill="0" applyBorder="0" applyAlignment="0" applyProtection="0"/>
    <xf numFmtId="0" fontId="109" fillId="46" borderId="80" applyNumberFormat="0" applyAlignment="0" applyProtection="0"/>
    <xf numFmtId="0" fontId="115" fillId="0" borderId="0" applyNumberFormat="0" applyFill="0" applyBorder="0" applyAlignment="0" applyProtection="0"/>
    <xf numFmtId="0" fontId="109" fillId="46" borderId="80" applyNumberFormat="0" applyAlignment="0" applyProtection="0"/>
    <xf numFmtId="225" fontId="25" fillId="0" borderId="0"/>
    <xf numFmtId="226" fontId="48" fillId="0" borderId="0"/>
    <xf numFmtId="43" fontId="22" fillId="0" borderId="0" applyFont="0" applyFill="0" applyBorder="0" applyAlignment="0" applyProtection="0"/>
    <xf numFmtId="43" fontId="22" fillId="0" borderId="0" applyFont="0" applyFill="0" applyBorder="0" applyAlignment="0" applyProtection="0"/>
    <xf numFmtId="0" fontId="125" fillId="0" borderId="0"/>
    <xf numFmtId="43" fontId="77" fillId="0" borderId="0" applyFont="0" applyFill="0" applyBorder="0" applyAlignment="0" applyProtection="0"/>
    <xf numFmtId="0" fontId="22" fillId="0" borderId="0"/>
    <xf numFmtId="0" fontId="2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2" fillId="0" borderId="0"/>
    <xf numFmtId="0" fontId="77" fillId="0" borderId="0"/>
    <xf numFmtId="0" fontId="77" fillId="0" borderId="0"/>
    <xf numFmtId="0" fontId="77" fillId="0" borderId="0"/>
    <xf numFmtId="0" fontId="77" fillId="0" borderId="0"/>
    <xf numFmtId="0" fontId="77"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5" fillId="0" borderId="0" applyNumberFormat="0" applyFill="0" applyBorder="0" applyAlignment="0" applyProtection="0"/>
    <xf numFmtId="0" fontId="77" fillId="0" borderId="0"/>
    <xf numFmtId="0" fontId="77" fillId="0" borderId="0"/>
    <xf numFmtId="0" fontId="25" fillId="0" borderId="0">
      <alignment vertical="top"/>
    </xf>
    <xf numFmtId="43" fontId="22" fillId="0" borderId="0" applyFont="0" applyFill="0" applyBorder="0" applyAlignment="0" applyProtection="0"/>
    <xf numFmtId="0" fontId="125" fillId="0" borderId="0"/>
    <xf numFmtId="0" fontId="125" fillId="0" borderId="0"/>
    <xf numFmtId="0" fontId="109" fillId="46" borderId="80" applyNumberFormat="0" applyAlignment="0" applyProtection="0"/>
    <xf numFmtId="0" fontId="115" fillId="0" borderId="0" applyNumberFormat="0" applyFill="0" applyBorder="0" applyAlignment="0" applyProtection="0"/>
    <xf numFmtId="9" fontId="22" fillId="0" borderId="0" applyFont="0" applyFill="0" applyBorder="0" applyAlignment="0" applyProtection="0"/>
    <xf numFmtId="9" fontId="77" fillId="0" borderId="0" applyFont="0" applyFill="0" applyBorder="0" applyAlignment="0" applyProtection="0"/>
    <xf numFmtId="9" fontId="25" fillId="0" borderId="0" applyFill="0" applyBorder="0" applyProtection="0">
      <alignment vertical="top"/>
    </xf>
    <xf numFmtId="9" fontId="22" fillId="0" borderId="0" applyFont="0" applyFill="0" applyBorder="0" applyAlignment="0" applyProtection="0"/>
    <xf numFmtId="9" fontId="77" fillId="0" borderId="0" applyFont="0" applyFill="0" applyBorder="0" applyAlignment="0" applyProtection="0"/>
    <xf numFmtId="0" fontId="123" fillId="0" borderId="0" applyNumberFormat="0" applyBorder="0" applyAlignment="0"/>
    <xf numFmtId="9" fontId="22" fillId="0" borderId="0" applyFont="0" applyFill="0" applyBorder="0" applyAlignment="0" applyProtection="0"/>
    <xf numFmtId="0" fontId="115" fillId="0" borderId="0" applyNumberFormat="0" applyFill="0" applyBorder="0" applyAlignment="0" applyProtection="0"/>
    <xf numFmtId="9" fontId="22" fillId="0" borderId="0" applyFont="0" applyFill="0" applyBorder="0" applyAlignment="0" applyProtection="0"/>
    <xf numFmtId="0" fontId="25" fillId="0" borderId="0" applyNumberFormat="0" applyBorder="0" applyAlignment="0" applyProtection="0"/>
    <xf numFmtId="0" fontId="109" fillId="46" borderId="80" applyNumberFormat="0" applyAlignment="0" applyProtection="0"/>
    <xf numFmtId="0" fontId="1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25" fillId="0" borderId="0"/>
    <xf numFmtId="0" fontId="25" fillId="0" borderId="0"/>
    <xf numFmtId="0" fontId="25" fillId="0" borderId="0"/>
    <xf numFmtId="0" fontId="25" fillId="0" borderId="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184" fontId="22"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3" fontId="78" fillId="0" borderId="0" applyFill="0" applyBorder="0">
      <alignment horizontal="center" vertical="top"/>
    </xf>
    <xf numFmtId="0" fontId="22" fillId="0" borderId="0"/>
    <xf numFmtId="0" fontId="15" fillId="0" borderId="0"/>
    <xf numFmtId="0" fontId="25" fillId="0" borderId="0"/>
    <xf numFmtId="0" fontId="15" fillId="0" borderId="0"/>
    <xf numFmtId="0" fontId="15" fillId="0" borderId="0"/>
    <xf numFmtId="0" fontId="77" fillId="0" borderId="0"/>
    <xf numFmtId="0" fontId="77" fillId="0" borderId="0"/>
    <xf numFmtId="0" fontId="25" fillId="0" borderId="0"/>
    <xf numFmtId="0" fontId="25" fillId="0" borderId="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215" fontId="33" fillId="67" borderId="0">
      <alignment horizontal="right"/>
    </xf>
    <xf numFmtId="9" fontId="25"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5" fillId="0" borderId="0" applyFont="0" applyFill="0" applyBorder="0" applyAlignment="0" applyProtection="0"/>
    <xf numFmtId="0" fontId="115" fillId="0" borderId="0" applyNumberForma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115" fillId="0" borderId="0" applyNumberFormat="0" applyFill="0" applyBorder="0" applyAlignment="0" applyProtection="0"/>
    <xf numFmtId="0" fontId="109" fillId="46" borderId="80" applyNumberFormat="0" applyAlignment="0" applyProtection="0"/>
    <xf numFmtId="43" fontId="22" fillId="0" borderId="0" applyFont="0" applyFill="0" applyBorder="0" applyAlignment="0" applyProtection="0"/>
    <xf numFmtId="9" fontId="22" fillId="0" borderId="0" applyFont="0" applyFill="0" applyBorder="0" applyAlignment="0" applyProtection="0"/>
    <xf numFmtId="0" fontId="125" fillId="0" borderId="0"/>
    <xf numFmtId="9" fontId="22" fillId="0" borderId="0" applyFont="0" applyFill="0" applyBorder="0" applyAlignment="0" applyProtection="0"/>
    <xf numFmtId="9" fontId="22" fillId="0" borderId="0" applyFont="0" applyFill="0" applyBorder="0" applyAlignment="0" applyProtection="0"/>
    <xf numFmtId="0" fontId="125" fillId="0" borderId="0"/>
    <xf numFmtId="0" fontId="125" fillId="0" borderId="0"/>
    <xf numFmtId="43" fontId="22" fillId="0" borderId="0" applyFont="0" applyFill="0" applyBorder="0" applyAlignment="0" applyProtection="0"/>
    <xf numFmtId="0" fontId="125" fillId="0" borderId="0"/>
    <xf numFmtId="0" fontId="109" fillId="46" borderId="80" applyNumberFormat="0" applyAlignment="0" applyProtection="0"/>
    <xf numFmtId="0" fontId="125" fillId="0" borderId="0"/>
    <xf numFmtId="9" fontId="22" fillId="0" borderId="0" applyFont="0" applyFill="0" applyBorder="0" applyAlignment="0" applyProtection="0"/>
    <xf numFmtId="0" fontId="109" fillId="46" borderId="80" applyNumberFormat="0" applyAlignment="0" applyProtection="0"/>
    <xf numFmtId="9" fontId="22" fillId="0" borderId="0" applyFont="0" applyFill="0" applyBorder="0" applyAlignment="0" applyProtection="0"/>
    <xf numFmtId="43" fontId="22" fillId="0" borderId="0" applyFont="0" applyFill="0" applyBorder="0" applyAlignment="0" applyProtection="0"/>
    <xf numFmtId="0" fontId="109" fillId="46" borderId="80" applyNumberFormat="0" applyAlignment="0" applyProtection="0"/>
    <xf numFmtId="0" fontId="115" fillId="0" borderId="0" applyNumberFormat="0" applyFill="0" applyBorder="0" applyAlignment="0" applyProtection="0"/>
    <xf numFmtId="0" fontId="125" fillId="0" borderId="0"/>
    <xf numFmtId="0" fontId="115" fillId="0" borderId="0" applyNumberFormat="0" applyFill="0" applyBorder="0" applyAlignment="0" applyProtection="0"/>
    <xf numFmtId="9" fontId="22" fillId="0" borderId="0" applyFont="0" applyFill="0" applyBorder="0" applyAlignment="0" applyProtection="0"/>
    <xf numFmtId="0" fontId="77" fillId="0" borderId="0"/>
    <xf numFmtId="0" fontId="185" fillId="0" borderId="0"/>
    <xf numFmtId="0" fontId="186" fillId="0" borderId="0" applyNumberFormat="0" applyFill="0" applyBorder="0" applyAlignment="0" applyProtection="0"/>
    <xf numFmtId="0" fontId="15" fillId="0" borderId="0"/>
    <xf numFmtId="0" fontId="15" fillId="0" borderId="0"/>
    <xf numFmtId="0" fontId="77" fillId="0" borderId="0"/>
    <xf numFmtId="0" fontId="125" fillId="0" borderId="0"/>
    <xf numFmtId="0" fontId="25" fillId="0" borderId="0" applyFont="0" applyFill="0" applyBorder="0" applyAlignment="0" applyProtection="0"/>
    <xf numFmtId="0" fontId="77"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3" fontId="25" fillId="0" borderId="0" applyFill="0" applyBorder="0" applyProtection="0">
      <alignment vertical="top"/>
    </xf>
    <xf numFmtId="0" fontId="30" fillId="69" borderId="0" applyNumberFormat="0" applyBorder="0" applyAlignment="0" applyProtection="0"/>
    <xf numFmtId="0" fontId="32" fillId="0" borderId="84">
      <alignment horizontal="left" vertical="center"/>
    </xf>
    <xf numFmtId="0" fontId="32" fillId="0" borderId="84">
      <alignment horizontal="left" vertical="center"/>
    </xf>
    <xf numFmtId="0" fontId="32" fillId="0" borderId="84">
      <alignment horizontal="left" vertical="center"/>
    </xf>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22" fillId="46" borderId="0" applyNumberFormat="0" applyBorder="0" applyAlignment="0" applyProtection="0"/>
    <xf numFmtId="0" fontId="25" fillId="0" borderId="0"/>
    <xf numFmtId="0" fontId="22" fillId="81" borderId="0" applyNumberFormat="0" applyBorder="0" applyAlignment="0" applyProtection="0"/>
    <xf numFmtId="0" fontId="22" fillId="79" borderId="0" applyNumberFormat="0" applyBorder="0" applyAlignment="0" applyProtection="0"/>
    <xf numFmtId="0" fontId="22" fillId="82" borderId="0" applyNumberFormat="0" applyBorder="0" applyAlignment="0" applyProtection="0"/>
    <xf numFmtId="0" fontId="100" fillId="91" borderId="0" applyNumberFormat="0" applyBorder="0" applyAlignment="0" applyProtection="0"/>
    <xf numFmtId="43" fontId="15" fillId="0" borderId="0" applyFont="0" applyFill="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54" borderId="0" applyNumberFormat="0" applyBorder="0" applyAlignment="0" applyProtection="0"/>
    <xf numFmtId="0" fontId="22" fillId="51" borderId="0" applyNumberFormat="0" applyBorder="0" applyAlignment="0" applyProtection="0"/>
    <xf numFmtId="0" fontId="22" fillId="54" borderId="0" applyNumberFormat="0" applyBorder="0" applyAlignment="0" applyProtection="0"/>
    <xf numFmtId="0" fontId="22" fillId="51" borderId="0" applyNumberFormat="0" applyBorder="0" applyAlignment="0" applyProtection="0"/>
    <xf numFmtId="0" fontId="22" fillId="54" borderId="0" applyNumberFormat="0" applyBorder="0" applyAlignment="0" applyProtection="0"/>
    <xf numFmtId="0" fontId="22" fillId="53" borderId="0" applyNumberFormat="0" applyBorder="0" applyAlignment="0" applyProtection="0"/>
    <xf numFmtId="0" fontId="100" fillId="86" borderId="0" applyNumberFormat="0" applyBorder="0" applyAlignment="0" applyProtection="0"/>
    <xf numFmtId="0" fontId="100" fillId="86" borderId="0" applyNumberFormat="0" applyBorder="0" applyAlignment="0" applyProtection="0"/>
    <xf numFmtId="0" fontId="100" fillId="86" borderId="0" applyNumberFormat="0" applyBorder="0" applyAlignment="0" applyProtection="0"/>
    <xf numFmtId="0" fontId="100" fillId="89" borderId="0" applyNumberFormat="0" applyBorder="0" applyAlignment="0" applyProtection="0"/>
    <xf numFmtId="0" fontId="100" fillId="86" borderId="0" applyNumberFormat="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0" fontId="100" fillId="94" borderId="0" applyNumberFormat="0" applyBorder="0" applyAlignment="0" applyProtection="0"/>
    <xf numFmtId="0" fontId="102" fillId="54" borderId="80" applyNumberFormat="0" applyAlignment="0" applyProtection="0"/>
    <xf numFmtId="43" fontId="15" fillId="0" borderId="0" applyFont="0" applyFill="0" applyBorder="0" applyAlignment="0" applyProtection="0"/>
    <xf numFmtId="0" fontId="100" fillId="90" borderId="0" applyNumberFormat="0" applyBorder="0" applyAlignment="0" applyProtection="0"/>
    <xf numFmtId="43" fontId="15" fillId="0" borderId="0" applyFont="0" applyFill="0" applyBorder="0" applyAlignment="0" applyProtection="0"/>
    <xf numFmtId="43" fontId="25" fillId="0" borderId="0" applyFont="0" applyFill="0" applyBorder="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43" fontId="77"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9" fontId="25" fillId="0" borderId="0" applyFont="0" applyFill="0" applyBorder="0" applyAlignment="0" applyProtection="0"/>
    <xf numFmtId="165" fontId="2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2" fillId="51" borderId="0" applyNumberFormat="0" applyBorder="0" applyAlignment="0" applyProtection="0"/>
    <xf numFmtId="43" fontId="15" fillId="0" borderId="0" applyFont="0" applyFill="0" applyBorder="0" applyAlignment="0" applyProtection="0"/>
    <xf numFmtId="250" fontId="25" fillId="0" borderId="0" applyFont="0" applyFill="0" applyBorder="0" applyAlignment="0" applyProtection="0"/>
    <xf numFmtId="0" fontId="105" fillId="80" borderId="0" applyNumberFormat="0" applyBorder="0" applyAlignment="0" applyProtection="0"/>
    <xf numFmtId="43" fontId="25" fillId="0" borderId="0" applyFont="0" applyFill="0" applyBorder="0" applyAlignment="0" applyProtection="0"/>
    <xf numFmtId="0" fontId="109" fillId="46" borderId="80" applyNumberFormat="0" applyAlignment="0" applyProtection="0"/>
    <xf numFmtId="0" fontId="102" fillId="54" borderId="80" applyNumberFormat="0" applyAlignment="0" applyProtection="0"/>
    <xf numFmtId="0" fontId="109" fillId="46" borderId="80" applyNumberFormat="0" applyAlignment="0" applyProtection="0"/>
    <xf numFmtId="0" fontId="102" fillId="54" borderId="80" applyNumberFormat="0" applyAlignment="0" applyProtection="0"/>
    <xf numFmtId="0" fontId="109" fillId="46" borderId="80" applyNumberFormat="0" applyAlignment="0" applyProtection="0"/>
    <xf numFmtId="0" fontId="109" fillId="46" borderId="80" applyNumberFormat="0" applyAlignment="0" applyProtection="0"/>
    <xf numFmtId="0" fontId="102" fillId="54" borderId="80" applyNumberFormat="0" applyAlignment="0" applyProtection="0"/>
    <xf numFmtId="43" fontId="15" fillId="0" borderId="0" applyFont="0" applyFill="0" applyBorder="0" applyAlignment="0" applyProtection="0"/>
    <xf numFmtId="43" fontId="97" fillId="0" borderId="0" applyFont="0" applyFill="0" applyBorder="0" applyAlignment="0" applyProtection="0"/>
    <xf numFmtId="9" fontId="15" fillId="0" borderId="0" applyFont="0" applyFill="0" applyBorder="0" applyAlignment="0" applyProtection="0"/>
    <xf numFmtId="0" fontId="25" fillId="0" borderId="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9" fontId="25" fillId="0" borderId="0" applyNumberFormat="0" applyFont="0" applyFill="0" applyBorder="0" applyAlignment="0" applyProtection="0"/>
    <xf numFmtId="49"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78" borderId="0" applyNumberFormat="0" applyBorder="0" applyAlignment="0" applyProtection="0"/>
    <xf numFmtId="0" fontId="22" fillId="78" borderId="0" applyNumberFormat="0" applyBorder="0" applyAlignment="0" applyProtection="0"/>
    <xf numFmtId="0" fontId="22" fillId="50" borderId="0" applyNumberFormat="0" applyBorder="0" applyAlignment="0" applyProtection="0"/>
    <xf numFmtId="0" fontId="22" fillId="5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46"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98" fillId="31"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100" fillId="90"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3" fillId="96" borderId="81" applyNumberFormat="0" applyAlignment="0" applyProtection="0"/>
    <xf numFmtId="0" fontId="103" fillId="96" borderId="81" applyNumberFormat="0" applyAlignment="0" applyProtection="0"/>
    <xf numFmtId="0" fontId="103" fillId="96" borderId="81" applyNumberFormat="0" applyAlignment="0" applyProtection="0"/>
    <xf numFmtId="43" fontId="15" fillId="0" borderId="0" applyFont="0" applyFill="0" applyBorder="0" applyAlignment="0" applyProtection="0"/>
    <xf numFmtId="248"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3" fontId="25" fillId="0" borderId="0" applyFill="0" applyBorder="0" applyAlignment="0" applyProtection="0"/>
    <xf numFmtId="251"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99" fillId="0" borderId="0" applyFont="0" applyFill="0" applyBorder="0" applyAlignment="0" applyProtection="0"/>
    <xf numFmtId="0" fontId="108" fillId="0" borderId="0" applyNumberFormat="0" applyFill="0" applyBorder="0" applyAlignment="0" applyProtection="0"/>
    <xf numFmtId="10" fontId="30" fillId="70" borderId="1" applyNumberFormat="0" applyBorder="0" applyAlignment="0" applyProtection="0"/>
    <xf numFmtId="10" fontId="30" fillId="70" borderId="1" applyNumberFormat="0" applyBorder="0" applyAlignment="0" applyProtection="0"/>
    <xf numFmtId="0" fontId="30" fillId="72" borderId="0"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0" borderId="1" applyNumberFormat="0" applyBorder="0" applyAlignment="0" applyProtection="0"/>
    <xf numFmtId="10" fontId="30" fillId="70" borderId="1" applyNumberFormat="0" applyBorder="0" applyAlignment="0" applyProtection="0"/>
    <xf numFmtId="10" fontId="30" fillId="70" borderId="1" applyNumberFormat="0" applyBorder="0" applyAlignment="0" applyProtection="0"/>
    <xf numFmtId="10" fontId="30" fillId="70" borderId="1" applyNumberFormat="0" applyBorder="0" applyAlignment="0" applyProtection="0"/>
    <xf numFmtId="10" fontId="30" fillId="70" borderId="1" applyNumberFormat="0" applyBorder="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53" borderId="0" applyNumberFormat="0" applyBorder="0" applyAlignment="0" applyProtection="0"/>
    <xf numFmtId="0" fontId="100" fillId="85" borderId="0" applyNumberFormat="0" applyBorder="0" applyAlignment="0" applyProtection="0"/>
    <xf numFmtId="0" fontId="100" fillId="85" borderId="0" applyNumberFormat="0" applyBorder="0" applyAlignment="0" applyProtection="0"/>
    <xf numFmtId="0" fontId="100" fillId="86" borderId="0" applyNumberFormat="0" applyBorder="0" applyAlignment="0" applyProtection="0"/>
    <xf numFmtId="0" fontId="100" fillId="86"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88" fillId="36" borderId="0" applyNumberFormat="0" applyBorder="0" applyAlignment="0" applyProtection="0"/>
    <xf numFmtId="0" fontId="100" fillId="60" borderId="0" applyNumberFormat="0" applyBorder="0" applyAlignment="0" applyProtection="0"/>
    <xf numFmtId="0" fontId="100" fillId="55" borderId="0" applyNumberFormat="0" applyBorder="0" applyAlignment="0" applyProtection="0"/>
    <xf numFmtId="0" fontId="100" fillId="95" borderId="0" applyNumberFormat="0" applyBorder="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43" fontId="15" fillId="0" borderId="0" applyFont="0" applyFill="0" applyBorder="0" applyAlignment="0" applyProtection="0"/>
    <xf numFmtId="247" fontId="25" fillId="0" borderId="0" applyFont="0" applyFill="0" applyBorder="0" applyAlignment="0" applyProtection="0"/>
    <xf numFmtId="43" fontId="1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50" fontId="25" fillId="0" borderId="0" applyFont="0" applyFill="0" applyBorder="0" applyAlignment="0" applyProtection="0"/>
    <xf numFmtId="184" fontId="25" fillId="0" borderId="0" applyFont="0" applyFill="0" applyBorder="0" applyAlignment="0" applyProtection="0"/>
    <xf numFmtId="250" fontId="25" fillId="0" borderId="0" applyFont="0" applyFill="0" applyBorder="0" applyAlignment="0" applyProtection="0"/>
    <xf numFmtId="0" fontId="105" fillId="49" borderId="0" applyNumberFormat="0" applyBorder="0" applyAlignment="0" applyProtection="0"/>
    <xf numFmtId="43" fontId="15" fillId="0" borderId="0" applyFont="0" applyFill="0" applyBorder="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98" fillId="35" borderId="0" applyNumberFormat="0" applyBorder="0" applyAlignment="0" applyProtection="0"/>
    <xf numFmtId="0" fontId="187" fillId="0" borderId="0"/>
    <xf numFmtId="43" fontId="187" fillId="0" borderId="0" applyFont="0" applyFill="0" applyBorder="0" applyAlignment="0" applyProtection="0"/>
    <xf numFmtId="0" fontId="25" fillId="0" borderId="0"/>
    <xf numFmtId="0" fontId="97" fillId="0" borderId="0"/>
    <xf numFmtId="0" fontId="25" fillId="0" borderId="0"/>
    <xf numFmtId="43" fontId="25" fillId="0" borderId="0" applyFont="0" applyFill="0" applyBorder="0" applyAlignment="0" applyProtection="0"/>
    <xf numFmtId="0" fontId="15" fillId="0" borderId="0"/>
    <xf numFmtId="0" fontId="15" fillId="0" borderId="0"/>
    <xf numFmtId="0" fontId="15" fillId="0" borderId="0"/>
    <xf numFmtId="0" fontId="77" fillId="0" borderId="0"/>
    <xf numFmtId="9" fontId="25" fillId="0" borderId="0" applyFont="0" applyFill="0" applyBorder="0" applyAlignment="0" applyProtection="0"/>
    <xf numFmtId="0" fontId="25" fillId="0" borderId="0"/>
    <xf numFmtId="0" fontId="15" fillId="0" borderId="0"/>
    <xf numFmtId="0" fontId="97"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0" fontId="115" fillId="0" borderId="0" applyNumberForma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77" fillId="0" borderId="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0" fontId="22" fillId="0" borderId="0"/>
    <xf numFmtId="0" fontId="25" fillId="0" borderId="0"/>
    <xf numFmtId="0" fontId="77" fillId="0" borderId="0"/>
    <xf numFmtId="49" fontId="25" fillId="0" borderId="0" applyNumberFormat="0" applyFont="0" applyFill="0" applyBorder="0" applyAlignment="0" applyProtection="0"/>
    <xf numFmtId="0" fontId="22" fillId="0" borderId="0"/>
    <xf numFmtId="0" fontId="22" fillId="0" borderId="0"/>
    <xf numFmtId="0" fontId="25" fillId="0" borderId="0"/>
    <xf numFmtId="0" fontId="25" fillId="0" borderId="0"/>
    <xf numFmtId="0" fontId="25" fillId="0" borderId="0"/>
    <xf numFmtId="0" fontId="25" fillId="0" borderId="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98" fillId="26"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50" borderId="0" applyNumberFormat="0" applyBorder="0" applyAlignment="0" applyProtection="0"/>
    <xf numFmtId="0" fontId="98" fillId="30"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49"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98" fillId="34" borderId="0" applyNumberFormat="0" applyBorder="0" applyAlignment="0" applyProtection="0"/>
    <xf numFmtId="0" fontId="22" fillId="51"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51" borderId="0" applyNumberFormat="0" applyBorder="0" applyAlignment="0" applyProtection="0"/>
    <xf numFmtId="0" fontId="22" fillId="46" borderId="0" applyNumberFormat="0" applyBorder="0" applyAlignment="0" applyProtection="0"/>
    <xf numFmtId="0" fontId="22" fillId="5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52" borderId="0" applyNumberFormat="0" applyBorder="0" applyAlignment="0" applyProtection="0"/>
    <xf numFmtId="0" fontId="98" fillId="38"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9" fontId="99" fillId="0" borderId="0" applyFont="0" applyFill="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50" borderId="0" applyNumberFormat="0" applyBorder="0" applyAlignment="0" applyProtection="0"/>
    <xf numFmtId="0" fontId="98" fillId="42"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50"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98" fillId="2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98" fillId="2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56"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1"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53" borderId="0" applyNumberFormat="0" applyBorder="0" applyAlignment="0" applyProtection="0"/>
    <xf numFmtId="0" fontId="98" fillId="39"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7" borderId="0" applyNumberFormat="0" applyBorder="0" applyAlignment="0" applyProtection="0"/>
    <xf numFmtId="0" fontId="98" fillId="43" borderId="0" applyNumberFormat="0" applyBorder="0" applyAlignment="0" applyProtection="0"/>
    <xf numFmtId="0" fontId="22" fillId="57"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00" fillId="88" borderId="0" applyNumberFormat="0" applyBorder="0" applyAlignment="0" applyProtection="0"/>
    <xf numFmtId="0" fontId="100" fillId="88" borderId="0" applyNumberFormat="0" applyBorder="0" applyAlignment="0" applyProtection="0"/>
    <xf numFmtId="0" fontId="100" fillId="85" borderId="0" applyNumberFormat="0" applyBorder="0" applyAlignment="0" applyProtection="0"/>
    <xf numFmtId="0" fontId="100" fillId="86" borderId="0" applyNumberFormat="0" applyBorder="0" applyAlignment="0" applyProtection="0"/>
    <xf numFmtId="0" fontId="100" fillId="86" borderId="0" applyNumberFormat="0" applyBorder="0" applyAlignment="0" applyProtection="0"/>
    <xf numFmtId="0" fontId="100" fillId="86" borderId="0" applyNumberFormat="0" applyBorder="0" applyAlignment="0" applyProtection="0"/>
    <xf numFmtId="0" fontId="100" fillId="86" borderId="0" applyNumberFormat="0" applyBorder="0" applyAlignment="0" applyProtection="0"/>
    <xf numFmtId="0" fontId="100" fillId="86" borderId="0" applyNumberFormat="0" applyBorder="0" applyAlignment="0" applyProtection="0"/>
    <xf numFmtId="0" fontId="188" fillId="32" borderId="0" applyNumberFormat="0" applyBorder="0" applyAlignment="0" applyProtection="0"/>
    <xf numFmtId="0" fontId="100" fillId="89" borderId="0" applyNumberFormat="0" applyBorder="0" applyAlignment="0" applyProtection="0"/>
    <xf numFmtId="0" fontId="188" fillId="40"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9" fillId="46" borderId="80" applyNumberFormat="0" applyAlignment="0" applyProtection="0"/>
    <xf numFmtId="0" fontId="188" fillId="21"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0" fillId="63" borderId="0" applyNumberFormat="0" applyBorder="0" applyAlignment="0" applyProtection="0"/>
    <xf numFmtId="0" fontId="100" fillId="93" borderId="0" applyNumberFormat="0" applyBorder="0" applyAlignment="0" applyProtection="0"/>
    <xf numFmtId="0" fontId="100" fillId="93"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64"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88" fillId="33"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59"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89" fillId="0" borderId="0" applyFont="0" applyFill="0" applyBorder="0" applyAlignment="0" applyProtection="0"/>
    <xf numFmtId="0" fontId="189" fillId="0" borderId="0" applyFont="0" applyFill="0" applyBorder="0" applyAlignment="0" applyProtection="0"/>
    <xf numFmtId="0" fontId="190" fillId="15" borderId="0" applyNumberFormat="0" applyBorder="0" applyAlignment="0" applyProtection="0"/>
    <xf numFmtId="0" fontId="101" fillId="47" borderId="0" applyNumberFormat="0" applyBorder="0" applyAlignment="0" applyProtection="0"/>
    <xf numFmtId="0" fontId="101" fillId="79" borderId="0" applyNumberFormat="0" applyBorder="0" applyAlignment="0" applyProtection="0"/>
    <xf numFmtId="0" fontId="101" fillId="79" borderId="0" applyNumberFormat="0" applyBorder="0" applyAlignment="0" applyProtection="0"/>
    <xf numFmtId="0" fontId="101" fillId="79" borderId="0" applyNumberFormat="0" applyBorder="0" applyAlignment="0" applyProtection="0"/>
    <xf numFmtId="0" fontId="101" fillId="79" borderId="0" applyNumberFormat="0" applyBorder="0" applyAlignment="0" applyProtection="0"/>
    <xf numFmtId="0" fontId="120" fillId="0" borderId="78" applyNumberFormat="0" applyFill="0" applyAlignment="0" applyProtection="0"/>
    <xf numFmtId="246" fontId="25" fillId="0" borderId="0" applyFill="0" applyBorder="0" applyAlignment="0"/>
    <xf numFmtId="189" fontId="30" fillId="0" borderId="0" applyFill="0" applyBorder="0" applyAlignment="0"/>
    <xf numFmtId="189" fontId="30" fillId="0" borderId="0" applyFill="0" applyBorder="0" applyAlignment="0"/>
    <xf numFmtId="189" fontId="30" fillId="0" borderId="0" applyFill="0" applyBorder="0" applyAlignment="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9" fillId="46"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91" fillId="18" borderId="72"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3" fillId="96" borderId="81" applyNumberFormat="0" applyAlignment="0" applyProtection="0"/>
    <xf numFmtId="0" fontId="103" fillId="96" borderId="81" applyNumberFormat="0" applyAlignment="0" applyProtection="0"/>
    <xf numFmtId="0" fontId="192" fillId="19" borderId="75" applyNumberFormat="0" applyAlignment="0" applyProtection="0"/>
    <xf numFmtId="0" fontId="103" fillId="68" borderId="81" applyNumberFormat="0" applyAlignment="0" applyProtection="0"/>
    <xf numFmtId="0" fontId="103" fillId="96" borderId="81" applyNumberFormat="0" applyAlignment="0" applyProtection="0"/>
    <xf numFmtId="0" fontId="103" fillId="96" borderId="81" applyNumberFormat="0" applyAlignment="0" applyProtection="0"/>
    <xf numFmtId="0" fontId="103" fillId="96" borderId="81" applyNumberFormat="0" applyAlignment="0" applyProtection="0"/>
    <xf numFmtId="0" fontId="103" fillId="96" borderId="81" applyNumberForma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43" fontId="167"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47" fontId="25" fillId="0" borderId="0" applyFont="0" applyFill="0" applyBorder="0" applyAlignment="0" applyProtection="0"/>
    <xf numFmtId="193" fontId="25" fillId="0" borderId="0" applyFill="0" applyBorder="0" applyProtection="0">
      <alignment vertical="top"/>
    </xf>
    <xf numFmtId="43" fontId="77" fillId="0" borderId="0" applyFont="0" applyFill="0" applyBorder="0" applyAlignment="0" applyProtection="0"/>
    <xf numFmtId="193" fontId="25" fillId="0" borderId="0" applyFill="0" applyBorder="0" applyProtection="0">
      <alignment vertical="top"/>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3" fontId="25" fillId="0" borderId="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93" fontId="25" fillId="0" borderId="0" applyFill="0" applyBorder="0" applyProtection="0">
      <alignment vertical="top"/>
    </xf>
    <xf numFmtId="193"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7" fillId="0" borderId="0" applyFont="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43" fontId="77" fillId="0" borderId="0" applyFont="0" applyFill="0" applyBorder="0" applyAlignment="0" applyProtection="0"/>
    <xf numFmtId="169"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7" fillId="0" borderId="0" applyFont="0" applyFill="0" applyBorder="0" applyAlignment="0" applyProtection="0"/>
    <xf numFmtId="217"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0" fontId="25" fillId="0" borderId="0" applyFill="0" applyBorder="0" applyProtection="0">
      <alignment vertical="top"/>
    </xf>
    <xf numFmtId="248" fontId="25" fillId="0" borderId="0" applyFont="0" applyFill="0" applyBorder="0" applyAlignment="0" applyProtection="0"/>
    <xf numFmtId="193" fontId="25" fillId="0" borderId="0" applyFill="0" applyBorder="0" applyProtection="0">
      <alignment vertical="top"/>
    </xf>
    <xf numFmtId="193" fontId="25" fillId="0" borderId="0" applyFill="0" applyBorder="0" applyProtection="0">
      <alignment vertical="top"/>
    </xf>
    <xf numFmtId="43" fontId="25" fillId="0" borderId="0" applyFont="0" applyFill="0" applyBorder="0" applyAlignment="0" applyProtection="0"/>
    <xf numFmtId="250" fontId="25" fillId="0" borderId="0" applyFont="0" applyFill="0" applyBorder="0" applyAlignment="0" applyProtection="0"/>
    <xf numFmtId="184" fontId="22" fillId="0" borderId="0" applyFont="0" applyFill="0" applyBorder="0" applyAlignment="0" applyProtection="0"/>
    <xf numFmtId="43" fontId="25" fillId="0" borderId="0" applyFont="0" applyFill="0" applyBorder="0" applyAlignment="0" applyProtection="0"/>
    <xf numFmtId="186" fontId="22"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40"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247"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4" fontId="25" fillId="0" borderId="0" applyFont="0" applyFill="0" applyBorder="0" applyAlignment="0" applyProtection="0"/>
    <xf numFmtId="245" fontId="25" fillId="0" borderId="0" applyFill="0" applyBorder="0" applyProtection="0">
      <alignment vertical="top"/>
    </xf>
    <xf numFmtId="43" fontId="22"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248" fontId="25" fillId="0" borderId="0" applyFont="0" applyFill="0" applyBorder="0" applyAlignment="0" applyProtection="0"/>
    <xf numFmtId="43" fontId="79" fillId="0" borderId="0" applyFont="0" applyFill="0" applyBorder="0" applyAlignment="0" applyProtection="0"/>
    <xf numFmtId="43" fontId="22" fillId="0" borderId="0" applyFont="0" applyFill="0" applyBorder="0" applyAlignment="0" applyProtection="0"/>
    <xf numFmtId="219" fontId="25" fillId="0" borderId="0" applyFont="0" applyFill="0" applyBorder="0" applyAlignment="0" applyProtection="0"/>
    <xf numFmtId="219" fontId="25" fillId="0" borderId="0" applyFont="0" applyFill="0" applyBorder="0" applyAlignment="0" applyProtection="0"/>
    <xf numFmtId="219" fontId="25" fillId="0" borderId="0" applyFont="0" applyFill="0" applyBorder="0" applyAlignment="0" applyProtection="0"/>
    <xf numFmtId="219" fontId="25" fillId="0" borderId="0" applyFont="0" applyFill="0" applyBorder="0" applyAlignment="0" applyProtection="0"/>
    <xf numFmtId="43" fontId="22" fillId="0" borderId="0" applyFont="0" applyFill="0" applyBorder="0" applyAlignment="0" applyProtection="0"/>
    <xf numFmtId="252" fontId="22" fillId="0" borderId="0" applyFont="0" applyFill="0" applyBorder="0" applyAlignment="0" applyProtection="0"/>
    <xf numFmtId="253" fontId="22" fillId="0" borderId="0" applyFont="0" applyFill="0" applyBorder="0" applyAlignment="0" applyProtection="0"/>
    <xf numFmtId="195" fontId="22"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184"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5" fillId="0" borderId="0" applyFont="0" applyFill="0" applyBorder="0" applyAlignment="0" applyProtection="0"/>
    <xf numFmtId="184" fontId="25"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170" fontId="77" fillId="0" borderId="0">
      <protection locked="0"/>
    </xf>
    <xf numFmtId="233" fontId="25" fillId="0" borderId="0" applyFont="0" applyFill="0" applyBorder="0" applyAlignment="0" applyProtection="0"/>
    <xf numFmtId="233" fontId="25"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5" fillId="0" borderId="0"/>
    <xf numFmtId="0" fontId="25" fillId="0" borderId="0"/>
    <xf numFmtId="9" fontId="99" fillId="0" borderId="0" applyFont="0" applyFill="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84">
      <alignment horizontal="left" vertical="center"/>
    </xf>
    <xf numFmtId="0" fontId="32" fillId="0" borderId="4">
      <alignment horizontal="left" vertical="center"/>
    </xf>
    <xf numFmtId="0" fontId="32" fillId="0" borderId="4">
      <alignment horizontal="left" vertical="center"/>
    </xf>
    <xf numFmtId="0" fontId="32" fillId="0" borderId="4">
      <alignment horizontal="left" vertical="center"/>
    </xf>
    <xf numFmtId="0" fontId="32" fillId="0" borderId="4">
      <alignment horizontal="left" vertical="center"/>
    </xf>
    <xf numFmtId="0" fontId="32" fillId="0" borderId="4">
      <alignment horizontal="left" vertical="center"/>
    </xf>
    <xf numFmtId="43" fontId="99"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256" fontId="25" fillId="0" borderId="0">
      <protection locked="0"/>
    </xf>
    <xf numFmtId="256" fontId="25" fillId="0" borderId="0">
      <protection locked="0"/>
    </xf>
    <xf numFmtId="0" fontId="186" fillId="0" borderId="0" applyNumberFormat="0" applyFill="0" applyBorder="0" applyAlignment="0" applyProtection="0"/>
    <xf numFmtId="0" fontId="178" fillId="0" borderId="0" applyNumberFormat="0" applyFill="0" applyBorder="0" applyAlignment="0" applyProtection="0">
      <alignment vertical="top"/>
      <protection locked="0"/>
    </xf>
    <xf numFmtId="0" fontId="186" fillId="0" borderId="0" applyNumberFormat="0" applyFill="0" applyBorder="0" applyAlignment="0" applyProtection="0"/>
    <xf numFmtId="0" fontId="17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10" fontId="30" fillId="71" borderId="1" applyNumberFormat="0" applyBorder="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15" fillId="0" borderId="0" applyNumberFormat="0" applyFill="0" applyBorder="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99" fillId="17" borderId="72"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204" fontId="25" fillId="0" borderId="0"/>
    <xf numFmtId="204" fontId="25" fillId="0" borderId="0"/>
    <xf numFmtId="0" fontId="77" fillId="0" borderId="0">
      <protection locked="0"/>
    </xf>
    <xf numFmtId="219" fontId="25" fillId="0" borderId="0" applyFont="0" applyFill="0" applyBorder="0" applyAlignment="0" applyProtection="0"/>
    <xf numFmtId="0" fontId="22" fillId="53"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100" fillId="92" borderId="0" applyNumberFormat="0" applyBorder="0" applyAlignment="0" applyProtection="0"/>
    <xf numFmtId="0" fontId="25" fillId="0" borderId="0"/>
    <xf numFmtId="43" fontId="15" fillId="0" borderId="0" applyFont="0" applyFill="0" applyBorder="0" applyAlignment="0" applyProtection="0"/>
    <xf numFmtId="43" fontId="77" fillId="0" borderId="0" applyFont="0" applyFill="0" applyBorder="0" applyAlignment="0" applyProtection="0"/>
    <xf numFmtId="0" fontId="22" fillId="82" borderId="0" applyNumberFormat="0" applyBorder="0" applyAlignment="0" applyProtection="0"/>
    <xf numFmtId="0" fontId="102" fillId="54" borderId="80" applyNumberFormat="0" applyAlignment="0" applyProtection="0"/>
    <xf numFmtId="49" fontId="25" fillId="0" borderId="0" applyNumberFormat="0" applyFont="0" applyFill="0" applyBorder="0" applyAlignment="0" applyProtection="0"/>
    <xf numFmtId="0" fontId="77" fillId="0" borderId="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79" borderId="0" applyNumberFormat="0" applyBorder="0" applyAlignment="0" applyProtection="0"/>
    <xf numFmtId="0" fontId="22" fillId="49" borderId="0" applyNumberFormat="0" applyBorder="0" applyAlignment="0" applyProtection="0"/>
    <xf numFmtId="0" fontId="22" fillId="8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43" fontId="77" fillId="0" borderId="0" applyFont="0" applyFill="0" applyBorder="0" applyAlignment="0" applyProtection="0"/>
    <xf numFmtId="43" fontId="77" fillId="0" borderId="0" applyFont="0" applyFill="0" applyBorder="0" applyAlignment="0" applyProtection="0"/>
    <xf numFmtId="248" fontId="25" fillId="0" borderId="0" applyFill="0" applyBorder="0" applyAlignment="0" applyProtection="0"/>
    <xf numFmtId="207" fontId="2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207" fontId="25" fillId="0" borderId="0" applyFont="0" applyFill="0" applyBorder="0" applyAlignment="0" applyProtection="0"/>
    <xf numFmtId="193" fontId="25" fillId="0" borderId="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09" fillId="46" borderId="80" applyNumberFormat="0" applyAlignment="0" applyProtection="0"/>
    <xf numFmtId="0" fontId="105" fillId="80"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96" fillId="14" borderId="0" applyNumberFormat="0" applyBorder="0" applyAlignment="0" applyProtection="0"/>
    <xf numFmtId="0" fontId="105" fillId="80" borderId="0" applyNumberFormat="0" applyBorder="0" applyAlignment="0" applyProtection="0"/>
    <xf numFmtId="0" fontId="30" fillId="69" borderId="0" applyNumberFormat="0" applyBorder="0" applyAlignment="0" applyProtection="0"/>
    <xf numFmtId="0" fontId="32" fillId="0" borderId="83"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22" fillId="81" borderId="0" applyNumberFormat="0" applyBorder="0" applyAlignment="0" applyProtection="0"/>
    <xf numFmtId="0" fontId="22" fillId="81" borderId="0" applyNumberFormat="0" applyBorder="0" applyAlignment="0" applyProtection="0"/>
    <xf numFmtId="43" fontId="25" fillId="0" borderId="0" applyFont="0" applyFill="0" applyBorder="0" applyAlignment="0" applyProtection="0"/>
    <xf numFmtId="0" fontId="98" fillId="22" borderId="0" applyNumberFormat="0" applyBorder="0" applyAlignment="0" applyProtection="0"/>
    <xf numFmtId="0" fontId="102" fillId="54" borderId="80" applyNumberFormat="0" applyAlignment="0" applyProtection="0"/>
    <xf numFmtId="174" fontId="22" fillId="0" borderId="0" applyFont="0" applyFill="0" applyBorder="0" applyAlignment="0" applyProtection="0"/>
    <xf numFmtId="0" fontId="22" fillId="82" borderId="0" applyNumberFormat="0" applyBorder="0" applyAlignment="0" applyProtection="0"/>
    <xf numFmtId="0" fontId="22" fillId="84" borderId="0" applyNumberFormat="0" applyBorder="0" applyAlignment="0" applyProtection="0"/>
    <xf numFmtId="0" fontId="22" fillId="53" borderId="0" applyNumberFormat="0" applyBorder="0" applyAlignment="0" applyProtection="0"/>
    <xf numFmtId="0" fontId="22" fillId="56" borderId="0" applyNumberFormat="0" applyBorder="0" applyAlignment="0" applyProtection="0"/>
    <xf numFmtId="0" fontId="100" fillId="93" borderId="0" applyNumberFormat="0" applyBorder="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49" fontId="25" fillId="0" borderId="0" applyNumberFormat="0" applyFont="0" applyFill="0" applyBorder="0" applyAlignment="0" applyProtection="0"/>
    <xf numFmtId="49" fontId="25" fillId="0" borderId="0" applyNumberFormat="0" applyFont="0" applyFill="0" applyBorder="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3" fillId="96" borderId="81" applyNumberFormat="0" applyAlignment="0" applyProtection="0"/>
    <xf numFmtId="0" fontId="103" fillId="96" borderId="81" applyNumberFormat="0" applyAlignment="0" applyProtection="0"/>
    <xf numFmtId="0" fontId="103" fillId="96" borderId="81" applyNumberFormat="0" applyAlignment="0" applyProtection="0"/>
    <xf numFmtId="184"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3" fontId="25" fillId="0" borderId="0" applyFill="0" applyBorder="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2" fillId="78" borderId="0" applyNumberFormat="0" applyBorder="0" applyAlignment="0" applyProtection="0"/>
    <xf numFmtId="0" fontId="22" fillId="78"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22" fillId="83" borderId="0" applyNumberFormat="0" applyBorder="0" applyAlignment="0" applyProtection="0"/>
    <xf numFmtId="0" fontId="22" fillId="54" borderId="0" applyNumberFormat="0" applyBorder="0" applyAlignment="0" applyProtection="0"/>
    <xf numFmtId="0" fontId="22" fillId="85" borderId="0" applyNumberFormat="0" applyBorder="0" applyAlignment="0" applyProtection="0"/>
    <xf numFmtId="0" fontId="22" fillId="8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22" fillId="87" borderId="0" applyNumberFormat="0" applyBorder="0" applyAlignment="0" applyProtection="0"/>
    <xf numFmtId="0" fontId="100" fillId="88" borderId="0" applyNumberFormat="0" applyBorder="0" applyAlignment="0" applyProtection="0"/>
    <xf numFmtId="0" fontId="100" fillId="88" borderId="0" applyNumberFormat="0" applyBorder="0" applyAlignment="0" applyProtection="0"/>
    <xf numFmtId="0" fontId="100" fillId="88" borderId="0" applyNumberFormat="0" applyBorder="0" applyAlignment="0" applyProtection="0"/>
    <xf numFmtId="0" fontId="100" fillId="88" borderId="0" applyNumberFormat="0" applyBorder="0" applyAlignment="0" applyProtection="0"/>
    <xf numFmtId="0" fontId="100" fillId="88" borderId="0" applyNumberFormat="0" applyBorder="0" applyAlignment="0" applyProtection="0"/>
    <xf numFmtId="0" fontId="100" fillId="88" borderId="0" applyNumberFormat="0" applyBorder="0" applyAlignment="0" applyProtection="0"/>
    <xf numFmtId="0" fontId="188" fillId="24"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88" borderId="0" applyNumberFormat="0" applyBorder="0" applyAlignment="0" applyProtection="0"/>
    <xf numFmtId="0" fontId="100" fillId="88" borderId="0" applyNumberFormat="0" applyBorder="0" applyAlignment="0" applyProtection="0"/>
    <xf numFmtId="0" fontId="100" fillId="85" borderId="0" applyNumberFormat="0" applyBorder="0" applyAlignment="0" applyProtection="0"/>
    <xf numFmtId="0" fontId="100" fillId="85" borderId="0" applyNumberFormat="0" applyBorder="0" applyAlignment="0" applyProtection="0"/>
    <xf numFmtId="0" fontId="100" fillId="85" borderId="0" applyNumberFormat="0" applyBorder="0" applyAlignment="0" applyProtection="0"/>
    <xf numFmtId="0" fontId="100" fillId="85" borderId="0" applyNumberFormat="0" applyBorder="0" applyAlignment="0" applyProtection="0"/>
    <xf numFmtId="0" fontId="100" fillId="85" borderId="0" applyNumberFormat="0" applyBorder="0" applyAlignment="0" applyProtection="0"/>
    <xf numFmtId="0" fontId="188" fillId="28" borderId="0" applyNumberFormat="0" applyBorder="0" applyAlignment="0" applyProtection="0"/>
    <xf numFmtId="0" fontId="100" fillId="48" borderId="0" applyNumberFormat="0" applyBorder="0" applyAlignment="0" applyProtection="0"/>
    <xf numFmtId="0" fontId="100" fillId="85" borderId="0" applyNumberFormat="0" applyBorder="0" applyAlignment="0" applyProtection="0"/>
    <xf numFmtId="0" fontId="100" fillId="86" borderId="0" applyNumberFormat="0" applyBorder="0" applyAlignment="0" applyProtection="0"/>
    <xf numFmtId="0" fontId="100" fillId="55"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59"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0" fontId="100" fillId="91" borderId="0" applyNumberFormat="0" applyBorder="0" applyAlignment="0" applyProtection="0"/>
    <xf numFmtId="0" fontId="188" fillId="44"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91" borderId="0" applyNumberFormat="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214" fontId="139" fillId="0" borderId="1" applyFont="0" applyFill="0" applyBorder="0" applyAlignment="0" applyProtection="0"/>
    <xf numFmtId="0" fontId="100" fillId="92" borderId="0" applyNumberFormat="0" applyBorder="0" applyAlignment="0" applyProtection="0"/>
    <xf numFmtId="0" fontId="188" fillId="2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88" fillId="29" borderId="0" applyNumberFormat="0" applyBorder="0" applyAlignment="0" applyProtection="0"/>
    <xf numFmtId="0" fontId="100" fillId="94"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89"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00" fillId="90" borderId="0" applyNumberFormat="0" applyBorder="0" applyAlignment="0" applyProtection="0"/>
    <xf numFmtId="0" fontId="188" fillId="37" borderId="0" applyNumberFormat="0" applyBorder="0" applyAlignment="0" applyProtection="0"/>
    <xf numFmtId="0" fontId="100" fillId="90"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88" fillId="41" borderId="0" applyNumberFormat="0" applyBorder="0" applyAlignment="0" applyProtection="0"/>
    <xf numFmtId="0" fontId="100" fillId="66" borderId="0" applyNumberFormat="0" applyBorder="0" applyAlignment="0" applyProtection="0"/>
    <xf numFmtId="212" fontId="25" fillId="0" borderId="0" applyFill="0" applyBorder="0" applyAlignment="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02" fillId="54" borderId="80" applyNumberFormat="0" applyAlignment="0" applyProtection="0"/>
    <xf numFmtId="0" fontId="126" fillId="0" borderId="0"/>
    <xf numFmtId="43" fontId="25" fillId="0" borderId="0" applyFont="0" applyFill="0" applyBorder="0" applyAlignment="0" applyProtection="0"/>
    <xf numFmtId="184" fontId="25" fillId="0" borderId="0" applyFont="0" applyFill="0" applyBorder="0" applyAlignment="0" applyProtection="0"/>
    <xf numFmtId="184" fontId="22" fillId="0" borderId="0" applyFont="0" applyFill="0" applyBorder="0" applyAlignment="0" applyProtection="0"/>
    <xf numFmtId="24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194" fillId="0" borderId="0" applyFont="0" applyFill="0" applyBorder="0" applyAlignment="0" applyProtection="0"/>
    <xf numFmtId="43" fontId="25" fillId="0" borderId="0" applyFont="0" applyFill="0" applyBorder="0" applyAlignment="0" applyProtection="0"/>
    <xf numFmtId="193" fontId="25" fillId="0" borderId="0" applyFill="0" applyBorder="0" applyAlignment="0" applyProtection="0"/>
    <xf numFmtId="0" fontId="33" fillId="0" borderId="0">
      <alignment vertical="top"/>
    </xf>
    <xf numFmtId="230" fontId="25" fillId="0" borderId="0" applyFill="0" applyBorder="0" applyProtection="0">
      <alignment vertical="top"/>
    </xf>
    <xf numFmtId="173" fontId="25" fillId="0" borderId="0" applyFont="0" applyFill="0" applyBorder="0" applyAlignment="0" applyProtection="0"/>
    <xf numFmtId="193" fontId="25" fillId="0" borderId="0" applyFill="0" applyBorder="0" applyProtection="0">
      <alignment vertical="top"/>
    </xf>
    <xf numFmtId="43" fontId="22" fillId="0" borderId="0" applyFont="0" applyFill="0" applyBorder="0" applyAlignment="0" applyProtection="0"/>
    <xf numFmtId="43" fontId="25" fillId="0" borderId="0" applyFont="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184" fontId="81" fillId="0" borderId="0" applyFont="0" applyFill="0" applyBorder="0" applyAlignment="0" applyProtection="0"/>
    <xf numFmtId="184" fontId="81" fillId="0" borderId="0" applyFont="0" applyFill="0" applyBorder="0" applyAlignment="0" applyProtection="0"/>
    <xf numFmtId="193" fontId="25" fillId="0" borderId="0" applyFill="0" applyBorder="0" applyProtection="0">
      <alignment vertical="top"/>
    </xf>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80" fillId="0" borderId="0" applyFill="0" applyBorder="0">
      <alignment horizontal="left"/>
    </xf>
    <xf numFmtId="254" fontId="25" fillId="0" borderId="0" applyFont="0" applyFill="0" applyBorder="0" applyAlignment="0" applyProtection="0"/>
    <xf numFmtId="255" fontId="77" fillId="0" borderId="0" applyFont="0" applyFill="0" applyBorder="0" applyAlignment="0" applyProtection="0"/>
    <xf numFmtId="44" fontId="25" fillId="0" borderId="0" applyFont="0" applyFill="0" applyBorder="0" applyAlignment="0" applyProtection="0"/>
    <xf numFmtId="254" fontId="25" fillId="0" borderId="0" applyFont="0" applyFill="0" applyBorder="0" applyAlignment="0" applyProtection="0"/>
    <xf numFmtId="254" fontId="25" fillId="0" borderId="0" applyFont="0" applyFill="0" applyBorder="0" applyAlignment="0" applyProtection="0"/>
    <xf numFmtId="254" fontId="25" fillId="0" borderId="0" applyFont="0" applyFill="0" applyBorder="0" applyAlignment="0" applyProtection="0"/>
    <xf numFmtId="0" fontId="126" fillId="0" borderId="82"/>
    <xf numFmtId="0" fontId="126" fillId="0" borderId="82"/>
    <xf numFmtId="0" fontId="126" fillId="0" borderId="82"/>
    <xf numFmtId="0" fontId="126" fillId="0" borderId="82"/>
    <xf numFmtId="0" fontId="126" fillId="0" borderId="82"/>
    <xf numFmtId="0" fontId="104" fillId="0" borderId="0" applyNumberFormat="0" applyFill="0" applyBorder="0" applyAlignment="0" applyProtection="0"/>
    <xf numFmtId="0" fontId="104" fillId="0" borderId="0" applyNumberFormat="0" applyFill="0" applyBorder="0" applyAlignment="0" applyProtection="0"/>
    <xf numFmtId="0" fontId="25" fillId="0" borderId="0"/>
    <xf numFmtId="0" fontId="186" fillId="0" borderId="0" applyNumberFormat="0" applyFill="0" applyBorder="0" applyAlignment="0" applyProtection="0"/>
    <xf numFmtId="0" fontId="32" fillId="0" borderId="4">
      <alignment horizontal="left" vertical="center"/>
    </xf>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22" fillId="79" borderId="0" applyNumberFormat="0" applyBorder="0" applyAlignment="0" applyProtection="0"/>
    <xf numFmtId="0" fontId="22" fillId="81" borderId="0" applyNumberFormat="0" applyBorder="0" applyAlignment="0" applyProtection="0"/>
    <xf numFmtId="0" fontId="22" fillId="81" borderId="0" applyNumberFormat="0" applyBorder="0" applyAlignment="0" applyProtection="0"/>
    <xf numFmtId="0" fontId="101" fillId="79" borderId="0" applyNumberFormat="0" applyBorder="0" applyAlignment="0" applyProtection="0"/>
    <xf numFmtId="0" fontId="102" fillId="54" borderId="80" applyNumberFormat="0" applyAlignment="0" applyProtection="0"/>
    <xf numFmtId="0" fontId="102" fillId="69" borderId="80" applyNumberFormat="0" applyAlignment="0" applyProtection="0"/>
    <xf numFmtId="49" fontId="25" fillId="0" borderId="0" applyNumberFormat="0" applyFont="0" applyFill="0" applyBorder="0" applyAlignment="0" applyProtection="0"/>
    <xf numFmtId="0" fontId="22" fillId="50" borderId="0" applyNumberFormat="0" applyBorder="0" applyAlignment="0" applyProtection="0"/>
    <xf numFmtId="0" fontId="109" fillId="83" borderId="80" applyNumberFormat="0" applyAlignment="0" applyProtection="0"/>
    <xf numFmtId="0" fontId="25" fillId="0" borderId="0"/>
    <xf numFmtId="0" fontId="25" fillId="0" borderId="0"/>
    <xf numFmtId="0" fontId="22" fillId="79" borderId="0" applyNumberFormat="0" applyBorder="0" applyAlignment="0" applyProtection="0"/>
    <xf numFmtId="0" fontId="25" fillId="0" borderId="0"/>
    <xf numFmtId="0" fontId="176" fillId="0" borderId="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52" borderId="0" applyNumberFormat="0" applyBorder="0" applyAlignment="0" applyProtection="0"/>
    <xf numFmtId="0" fontId="22" fillId="82"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50" borderId="0" applyNumberFormat="0" applyBorder="0" applyAlignment="0" applyProtection="0"/>
    <xf numFmtId="0" fontId="22" fillId="54" borderId="0" applyNumberFormat="0" applyBorder="0" applyAlignment="0" applyProtection="0"/>
    <xf numFmtId="0" fontId="22" fillId="84" borderId="0" applyNumberFormat="0" applyBorder="0" applyAlignment="0" applyProtection="0"/>
    <xf numFmtId="0" fontId="22" fillId="85" borderId="0" applyNumberFormat="0" applyBorder="0" applyAlignment="0" applyProtection="0"/>
    <xf numFmtId="0" fontId="101" fillId="79" borderId="0" applyNumberFormat="0" applyBorder="0" applyAlignment="0" applyProtection="0"/>
    <xf numFmtId="0" fontId="189" fillId="0" borderId="0"/>
    <xf numFmtId="0" fontId="22" fillId="81" borderId="0" applyNumberFormat="0" applyBorder="0" applyAlignment="0" applyProtection="0"/>
    <xf numFmtId="0" fontId="22" fillId="78" borderId="0" applyNumberFormat="0" applyBorder="0" applyAlignment="0" applyProtection="0"/>
    <xf numFmtId="43" fontId="15" fillId="0" borderId="0" applyFont="0" applyFill="0" applyBorder="0" applyAlignment="0" applyProtection="0"/>
    <xf numFmtId="0" fontId="102" fillId="54" borderId="80" applyNumberFormat="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09" fillId="46" borderId="80" applyNumberFormat="0" applyAlignment="0" applyProtection="0"/>
    <xf numFmtId="43" fontId="25" fillId="0" borderId="0" applyFont="0" applyFill="0" applyBorder="0" applyAlignment="0" applyProtection="0"/>
    <xf numFmtId="184" fontId="25" fillId="0" borderId="0" applyFont="0" applyFill="0" applyBorder="0" applyAlignment="0" applyProtection="0"/>
    <xf numFmtId="49" fontId="25" fillId="0" borderId="0" applyNumberFormat="0" applyFont="0" applyFill="0" applyBorder="0" applyAlignment="0" applyProtection="0"/>
    <xf numFmtId="0" fontId="101" fillId="79" borderId="0" applyNumberFormat="0" applyBorder="0" applyAlignment="0" applyProtection="0"/>
    <xf numFmtId="0" fontId="109" fillId="46" borderId="80" applyNumberFormat="0" applyAlignment="0" applyProtection="0"/>
    <xf numFmtId="0" fontId="32" fillId="0" borderId="4">
      <alignment horizontal="left" vertical="center"/>
    </xf>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1" fillId="79" borderId="0" applyNumberFormat="0" applyBorder="0" applyAlignment="0" applyProtection="0"/>
    <xf numFmtId="43" fontId="22" fillId="0" borderId="0" applyFont="0" applyFill="0" applyBorder="0" applyAlignment="0" applyProtection="0"/>
    <xf numFmtId="0" fontId="102" fillId="54" borderId="80" applyNumberFormat="0" applyAlignment="0" applyProtection="0"/>
    <xf numFmtId="0" fontId="100" fillId="89" borderId="0" applyNumberFormat="0" applyBorder="0" applyAlignment="0" applyProtection="0"/>
    <xf numFmtId="0" fontId="102" fillId="54" borderId="80" applyNumberFormat="0" applyAlignment="0" applyProtection="0"/>
    <xf numFmtId="0" fontId="100" fillId="85" borderId="0" applyNumberFormat="0" applyBorder="0" applyAlignment="0" applyProtection="0"/>
    <xf numFmtId="0" fontId="100" fillId="85" borderId="0" applyNumberFormat="0" applyBorder="0" applyAlignment="0" applyProtection="0"/>
    <xf numFmtId="0" fontId="22" fillId="51" borderId="0" applyNumberFormat="0" applyBorder="0" applyAlignment="0" applyProtection="0"/>
    <xf numFmtId="0" fontId="100" fillId="90" borderId="0" applyNumberFormat="0" applyBorder="0" applyAlignment="0" applyProtection="0"/>
    <xf numFmtId="0" fontId="22" fillId="82" borderId="0" applyNumberFormat="0" applyBorder="0" applyAlignment="0" applyProtection="0"/>
    <xf numFmtId="43" fontId="15" fillId="0" borderId="0" applyFont="0" applyFill="0" applyBorder="0" applyAlignment="0" applyProtection="0"/>
    <xf numFmtId="0" fontId="25" fillId="0" borderId="0"/>
    <xf numFmtId="0" fontId="25" fillId="0" borderId="0"/>
    <xf numFmtId="0" fontId="22" fillId="45"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50"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02" fillId="54" borderId="80" applyNumberFormat="0" applyAlignment="0" applyProtection="0"/>
    <xf numFmtId="0" fontId="102" fillId="54"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100" fillId="92" borderId="0" applyNumberFormat="0" applyBorder="0" applyAlignment="0" applyProtection="0"/>
    <xf numFmtId="0" fontId="102" fillId="54" borderId="80" applyNumberFormat="0" applyAlignment="0" applyProtection="0"/>
    <xf numFmtId="0" fontId="100" fillId="85" borderId="0" applyNumberFormat="0" applyBorder="0" applyAlignment="0" applyProtection="0"/>
    <xf numFmtId="0" fontId="100" fillId="60" borderId="0" applyNumberFormat="0" applyBorder="0" applyAlignment="0" applyProtection="0"/>
    <xf numFmtId="0" fontId="102" fillId="54" borderId="80" applyNumberFormat="0" applyAlignment="0" applyProtection="0"/>
    <xf numFmtId="0" fontId="102" fillId="69" borderId="80" applyNumberFormat="0" applyAlignment="0" applyProtection="0"/>
    <xf numFmtId="0" fontId="97" fillId="0" borderId="0"/>
    <xf numFmtId="49" fontId="25" fillId="0" borderId="0" applyNumberFormat="0" applyFont="0" applyFill="0" applyBorder="0" applyAlignment="0" applyProtection="0"/>
    <xf numFmtId="49" fontId="25" fillId="0" borderId="0" applyNumberFormat="0" applyFont="0" applyFill="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6" borderId="0" applyNumberFormat="0" applyBorder="0" applyAlignment="0" applyProtection="0"/>
    <xf numFmtId="0" fontId="22" fillId="82" borderId="0" applyNumberFormat="0" applyBorder="0" applyAlignment="0" applyProtection="0"/>
    <xf numFmtId="0" fontId="22" fillId="52"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22" fillId="83" borderId="0" applyNumberFormat="0" applyBorder="0" applyAlignment="0" applyProtection="0"/>
    <xf numFmtId="0" fontId="102" fillId="69" borderId="80" applyNumberFormat="0" applyAlignment="0" applyProtection="0"/>
    <xf numFmtId="0" fontId="102" fillId="54"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69" borderId="80" applyNumberFormat="0" applyAlignment="0" applyProtection="0"/>
    <xf numFmtId="0" fontId="102" fillId="54" borderId="80" applyNumberFormat="0" applyAlignment="0" applyProtection="0"/>
    <xf numFmtId="0" fontId="102" fillId="54" borderId="80"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04" fillId="0" borderId="0" applyNumberFormat="0" applyFill="0" applyBorder="0" applyAlignment="0" applyProtection="0"/>
    <xf numFmtId="0" fontId="32" fillId="0" borderId="84">
      <alignment horizontal="left" vertical="center"/>
    </xf>
    <xf numFmtId="10" fontId="30" fillId="71" borderId="1" applyNumberFormat="0" applyBorder="0" applyAlignment="0" applyProtection="0"/>
    <xf numFmtId="0" fontId="109" fillId="46"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83" borderId="80" applyNumberFormat="0" applyAlignment="0" applyProtection="0"/>
    <xf numFmtId="0" fontId="109" fillId="46" borderId="80" applyNumberFormat="0" applyAlignment="0" applyProtection="0"/>
    <xf numFmtId="0" fontId="109" fillId="46" borderId="80" applyNumberFormat="0" applyAlignment="0" applyProtection="0"/>
    <xf numFmtId="0" fontId="109" fillId="46" borderId="80" applyNumberFormat="0" applyAlignment="0" applyProtection="0"/>
    <xf numFmtId="0" fontId="22" fillId="79" borderId="0" applyNumberFormat="0" applyBorder="0" applyAlignment="0" applyProtection="0"/>
    <xf numFmtId="0" fontId="109" fillId="46" borderId="80" applyNumberFormat="0" applyAlignment="0" applyProtection="0"/>
    <xf numFmtId="0" fontId="109" fillId="46" borderId="80" applyNumberFormat="0" applyAlignment="0" applyProtection="0"/>
    <xf numFmtId="0" fontId="101" fillId="79" borderId="0" applyNumberFormat="0" applyBorder="0" applyAlignment="0" applyProtection="0"/>
    <xf numFmtId="0" fontId="22" fillId="45" borderId="0" applyNumberFormat="0" applyBorder="0" applyAlignment="0" applyProtection="0"/>
    <xf numFmtId="0" fontId="32" fillId="0" borderId="4">
      <alignment horizontal="left" vertical="center"/>
    </xf>
    <xf numFmtId="43" fontId="77" fillId="0" borderId="0" applyFont="0" applyFill="0" applyBorder="0" applyAlignment="0" applyProtection="0"/>
    <xf numFmtId="0" fontId="109" fillId="83" borderId="80" applyNumberFormat="0" applyAlignment="0" applyProtection="0"/>
    <xf numFmtId="43" fontId="77" fillId="0" borderId="0" applyFont="0" applyFill="0" applyBorder="0" applyAlignment="0" applyProtection="0"/>
    <xf numFmtId="0" fontId="22" fillId="80" borderId="0" applyNumberFormat="0" applyBorder="0" applyAlignment="0" applyProtection="0"/>
    <xf numFmtId="242" fontId="25" fillId="0" borderId="0" applyFill="0" applyBorder="0" applyAlignment="0" applyProtection="0"/>
    <xf numFmtId="0" fontId="101" fillId="79" borderId="0" applyNumberFormat="0" applyBorder="0" applyAlignment="0" applyProtection="0"/>
    <xf numFmtId="0" fontId="101" fillId="79" borderId="0" applyNumberFormat="0" applyBorder="0" applyAlignment="0" applyProtection="0"/>
    <xf numFmtId="0" fontId="32" fillId="0" borderId="4">
      <alignment horizontal="left" vertical="center"/>
    </xf>
    <xf numFmtId="0" fontId="22" fillId="79" borderId="0" applyNumberFormat="0" applyBorder="0" applyAlignment="0" applyProtection="0"/>
    <xf numFmtId="0" fontId="101" fillId="79" borderId="0" applyNumberFormat="0" applyBorder="0" applyAlignment="0" applyProtection="0"/>
    <xf numFmtId="0" fontId="109" fillId="46" borderId="80" applyNumberFormat="0" applyAlignment="0" applyProtection="0"/>
    <xf numFmtId="165" fontId="25" fillId="0" borderId="0" applyFill="0" applyBorder="0" applyAlignment="0" applyProtection="0"/>
    <xf numFmtId="0" fontId="109" fillId="46" borderId="80" applyNumberFormat="0" applyAlignment="0" applyProtection="0"/>
    <xf numFmtId="0" fontId="109" fillId="46" borderId="80" applyNumberFormat="0" applyAlignment="0" applyProtection="0"/>
    <xf numFmtId="0" fontId="102" fillId="54" borderId="80" applyNumberFormat="0" applyAlignment="0" applyProtection="0"/>
    <xf numFmtId="0" fontId="100" fillId="92" borderId="0" applyNumberFormat="0" applyBorder="0" applyAlignment="0" applyProtection="0"/>
    <xf numFmtId="0" fontId="126" fillId="0" borderId="0"/>
    <xf numFmtId="0" fontId="102" fillId="69" borderId="80" applyNumberFormat="0" applyAlignment="0" applyProtection="0"/>
    <xf numFmtId="184" fontId="22" fillId="0" borderId="0" applyFont="0" applyFill="0" applyBorder="0" applyAlignment="0" applyProtection="0"/>
    <xf numFmtId="0" fontId="25" fillId="0" borderId="0"/>
    <xf numFmtId="43" fontId="15" fillId="0" borderId="0" applyFont="0" applyFill="0" applyBorder="0" applyAlignment="0" applyProtection="0"/>
    <xf numFmtId="0" fontId="100" fillId="94" borderId="0" applyNumberFormat="0" applyBorder="0" applyAlignment="0" applyProtection="0"/>
    <xf numFmtId="0" fontId="102" fillId="54" borderId="80" applyNumberFormat="0" applyAlignment="0" applyProtection="0"/>
    <xf numFmtId="0" fontId="22" fillId="81" borderId="0" applyNumberFormat="0" applyBorder="0" applyAlignment="0" applyProtection="0"/>
    <xf numFmtId="0" fontId="22" fillId="87" borderId="0" applyNumberFormat="0" applyBorder="0" applyAlignment="0" applyProtection="0"/>
    <xf numFmtId="204" fontId="25" fillId="0" borderId="0"/>
    <xf numFmtId="225" fontId="25" fillId="0" borderId="0"/>
    <xf numFmtId="204" fontId="25" fillId="0" borderId="0"/>
    <xf numFmtId="226" fontId="48" fillId="0" borderId="0"/>
    <xf numFmtId="0" fontId="184" fillId="73" borderId="82"/>
    <xf numFmtId="0" fontId="184" fillId="73" borderId="82"/>
    <xf numFmtId="0" fontId="184" fillId="73" borderId="82"/>
    <xf numFmtId="0" fontId="184" fillId="73" borderId="82"/>
    <xf numFmtId="0" fontId="184" fillId="73" borderId="82"/>
    <xf numFmtId="0" fontId="184" fillId="73" borderId="82"/>
    <xf numFmtId="0" fontId="184" fillId="73" borderId="82"/>
    <xf numFmtId="0" fontId="184" fillId="73" borderId="82"/>
    <xf numFmtId="0" fontId="184" fillId="73" borderId="82"/>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200" fillId="0" borderId="74"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0" fillId="0" borderId="90" applyNumberFormat="0" applyFill="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201" fillId="16" borderId="0" applyNumberFormat="0" applyBorder="0" applyAlignment="0" applyProtection="0"/>
    <xf numFmtId="0" fontId="111" fillId="56"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55" fillId="0" borderId="0"/>
    <xf numFmtId="0" fontId="155" fillId="0" borderId="0"/>
    <xf numFmtId="257" fontId="202" fillId="0" borderId="0"/>
    <xf numFmtId="0" fontId="25"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3" fillId="0" borderId="0">
      <alignment vertical="top"/>
    </xf>
    <xf numFmtId="0" fontId="77" fillId="0" borderId="0">
      <alignment vertical="top"/>
    </xf>
    <xf numFmtId="0" fontId="22" fillId="0" borderId="0"/>
    <xf numFmtId="0" fontId="22" fillId="0" borderId="0"/>
    <xf numFmtId="0" fontId="77" fillId="0" borderId="0">
      <alignment vertical="top"/>
    </xf>
    <xf numFmtId="0" fontId="2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19"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77" fillId="0" borderId="0"/>
    <xf numFmtId="0" fontId="33"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alignment vertical="top"/>
    </xf>
    <xf numFmtId="0" fontId="15" fillId="0" borderId="0"/>
    <xf numFmtId="0" fontId="15" fillId="0" borderId="0"/>
    <xf numFmtId="0" fontId="22"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5" fillId="0" borderId="0"/>
    <xf numFmtId="0" fontId="15" fillId="0" borderId="0"/>
    <xf numFmtId="0" fontId="15" fillId="0" borderId="0"/>
    <xf numFmtId="0" fontId="15" fillId="0" borderId="0"/>
    <xf numFmtId="0" fontId="25" fillId="0" borderId="0"/>
    <xf numFmtId="0" fontId="25" fillId="0" borderId="0"/>
    <xf numFmtId="0" fontId="25" fillId="0" borderId="0"/>
    <xf numFmtId="0" fontId="22" fillId="0" borderId="0"/>
    <xf numFmtId="0" fontId="22"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alignment vertical="top"/>
    </xf>
    <xf numFmtId="0" fontId="25" fillId="0" borderId="0">
      <alignment vertical="top"/>
    </xf>
    <xf numFmtId="0" fontId="15" fillId="0" borderId="0"/>
    <xf numFmtId="0" fontId="15" fillId="0" borderId="0"/>
    <xf numFmtId="0" fontId="15" fillId="0" borderId="0"/>
    <xf numFmtId="0" fontId="15"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alignment vertical="top"/>
    </xf>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alignment vertical="top"/>
    </xf>
    <xf numFmtId="0" fontId="22" fillId="0" borderId="0"/>
    <xf numFmtId="0" fontId="15" fillId="0" borderId="0"/>
    <xf numFmtId="0" fontId="77" fillId="0" borderId="0"/>
    <xf numFmtId="0" fontId="25" fillId="0" borderId="0"/>
    <xf numFmtId="0" fontId="25" fillId="0" borderId="0"/>
    <xf numFmtId="0" fontId="25" fillId="0" borderId="0"/>
    <xf numFmtId="0" fontId="2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5" fillId="0" borderId="0"/>
    <xf numFmtId="0" fontId="25" fillId="0" borderId="0">
      <alignment vertical="top"/>
    </xf>
    <xf numFmtId="0" fontId="77" fillId="0" borderId="0"/>
    <xf numFmtId="0" fontId="25" fillId="0" borderId="0"/>
    <xf numFmtId="0" fontId="77" fillId="0" borderId="0"/>
    <xf numFmtId="0" fontId="77" fillId="0" borderId="0"/>
    <xf numFmtId="0" fontId="15" fillId="0" borderId="0"/>
    <xf numFmtId="0" fontId="15" fillId="0" borderId="0"/>
    <xf numFmtId="0" fontId="15" fillId="0" borderId="0"/>
    <xf numFmtId="0" fontId="15" fillId="0" borderId="0"/>
    <xf numFmtId="0" fontId="77" fillId="0" borderId="0"/>
    <xf numFmtId="0" fontId="15" fillId="0" borderId="0"/>
    <xf numFmtId="0" fontId="15" fillId="0" borderId="0"/>
    <xf numFmtId="0" fontId="15" fillId="0" borderId="0"/>
    <xf numFmtId="0" fontId="15" fillId="0" borderId="0"/>
    <xf numFmtId="0" fontId="15" fillId="0" borderId="0"/>
    <xf numFmtId="0" fontId="77" fillId="0" borderId="0"/>
    <xf numFmtId="0" fontId="25" fillId="0" borderId="0"/>
    <xf numFmtId="0" fontId="7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25" fillId="0" borderId="0">
      <alignment vertical="top"/>
    </xf>
    <xf numFmtId="0" fontId="25" fillId="0" borderId="0">
      <alignment vertical="top"/>
    </xf>
    <xf numFmtId="0" fontId="25" fillId="0" borderId="0">
      <alignment vertical="top"/>
    </xf>
    <xf numFmtId="0" fontId="25" fillId="0" borderId="0"/>
    <xf numFmtId="0" fontId="77"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1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25" fillId="0" borderId="0"/>
    <xf numFmtId="0" fontId="22" fillId="0" borderId="0"/>
    <xf numFmtId="0" fontId="25" fillId="0" borderId="0"/>
    <xf numFmtId="0" fontId="22" fillId="0" borderId="0"/>
    <xf numFmtId="0" fontId="22" fillId="0" borderId="0"/>
    <xf numFmtId="0" fontId="25" fillId="0" borderId="0">
      <alignment vertical="top"/>
    </xf>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15" fillId="0" borderId="0"/>
    <xf numFmtId="0" fontId="15" fillId="0" borderId="0"/>
    <xf numFmtId="0" fontId="22" fillId="0" borderId="0"/>
    <xf numFmtId="0" fontId="97" fillId="0" borderId="0"/>
    <xf numFmtId="0" fontId="22" fillId="0" borderId="0"/>
    <xf numFmtId="0" fontId="22" fillId="0" borderId="0"/>
    <xf numFmtId="0" fontId="25" fillId="0" borderId="0">
      <alignment vertical="top"/>
    </xf>
    <xf numFmtId="0" fontId="22" fillId="0" borderId="0"/>
    <xf numFmtId="0" fontId="22" fillId="0" borderId="0"/>
    <xf numFmtId="0" fontId="22" fillId="0" borderId="0"/>
    <xf numFmtId="0" fontId="25" fillId="0" borderId="0">
      <alignment vertical="top"/>
    </xf>
    <xf numFmtId="0" fontId="22" fillId="0" borderId="0"/>
    <xf numFmtId="0" fontId="22" fillId="0" borderId="0"/>
    <xf numFmtId="0" fontId="22" fillId="0" borderId="0"/>
    <xf numFmtId="0" fontId="25" fillId="0" borderId="0">
      <alignment vertical="top"/>
    </xf>
    <xf numFmtId="0" fontId="22" fillId="0" borderId="0"/>
    <xf numFmtId="0" fontId="2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7" fillId="0" borderId="0"/>
    <xf numFmtId="0" fontId="97" fillId="0" borderId="0"/>
    <xf numFmtId="0" fontId="77"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applyNumberFormat="0" applyFont="0" applyFill="0" applyBorder="0" applyAlignment="0" applyProtection="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alignment vertical="top"/>
    </xf>
    <xf numFmtId="0" fontId="22" fillId="0" borderId="0"/>
    <xf numFmtId="0" fontId="22" fillId="0" borderId="0"/>
    <xf numFmtId="0" fontId="25" fillId="0" borderId="0"/>
    <xf numFmtId="0" fontId="22" fillId="0" borderId="0"/>
    <xf numFmtId="0" fontId="77" fillId="0" borderId="0"/>
    <xf numFmtId="0" fontId="22" fillId="0" borderId="0"/>
    <xf numFmtId="0" fontId="25" fillId="0" borderId="0"/>
    <xf numFmtId="0" fontId="22" fillId="0" borderId="0"/>
    <xf numFmtId="0" fontId="25" fillId="0" borderId="0">
      <alignment vertical="top"/>
    </xf>
    <xf numFmtId="0" fontId="22" fillId="0" borderId="0"/>
    <xf numFmtId="0" fontId="22" fillId="0" borderId="0"/>
    <xf numFmtId="0" fontId="25" fillId="0" borderId="0"/>
    <xf numFmtId="0" fontId="22" fillId="0" borderId="0"/>
    <xf numFmtId="0" fontId="97" fillId="0" borderId="0"/>
    <xf numFmtId="0" fontId="77" fillId="0" borderId="0"/>
    <xf numFmtId="0" fontId="25" fillId="0" borderId="0"/>
    <xf numFmtId="0" fontId="185" fillId="0" borderId="0"/>
    <xf numFmtId="0" fontId="97" fillId="0" borderId="0"/>
    <xf numFmtId="0" fontId="97" fillId="0" borderId="0"/>
    <xf numFmtId="0" fontId="97" fillId="0" borderId="0"/>
    <xf numFmtId="0" fontId="97" fillId="0" borderId="0"/>
    <xf numFmtId="0" fontId="97" fillId="0" borderId="0"/>
    <xf numFmtId="0" fontId="97" fillId="0" borderId="0"/>
    <xf numFmtId="0" fontId="185" fillId="0" borderId="0"/>
    <xf numFmtId="0" fontId="185" fillId="0" borderId="0"/>
    <xf numFmtId="0" fontId="7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alignment vertical="top"/>
    </xf>
    <xf numFmtId="0" fontId="22" fillId="0" borderId="0"/>
    <xf numFmtId="0" fontId="22" fillId="0" borderId="0"/>
    <xf numFmtId="0" fontId="22" fillId="0" borderId="0"/>
    <xf numFmtId="0" fontId="25"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1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119" fillId="0" borderId="0"/>
    <xf numFmtId="0" fontId="22"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alignment vertical="top"/>
    </xf>
    <xf numFmtId="0" fontId="77" fillId="0" borderId="0">
      <alignment vertical="top"/>
    </xf>
    <xf numFmtId="0" fontId="25" fillId="0" borderId="0">
      <alignment vertical="top"/>
    </xf>
    <xf numFmtId="0" fontId="77" fillId="0" borderId="0">
      <alignment vertical="top"/>
    </xf>
    <xf numFmtId="0" fontId="25" fillId="0" borderId="0">
      <alignment vertical="top"/>
    </xf>
    <xf numFmtId="0" fontId="22" fillId="0" borderId="0"/>
    <xf numFmtId="0" fontId="77"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lignment vertical="top"/>
    </xf>
    <xf numFmtId="0" fontId="22" fillId="0" borderId="0"/>
    <xf numFmtId="0" fontId="2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22" fillId="0" borderId="0"/>
    <xf numFmtId="0" fontId="77" fillId="0" borderId="0"/>
    <xf numFmtId="0" fontId="22" fillId="0" borderId="0"/>
    <xf numFmtId="0" fontId="15" fillId="0" borderId="0">
      <alignment vertical="top"/>
    </xf>
    <xf numFmtId="0" fontId="15"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7" fillId="0" borderId="0">
      <alignment vertical="top"/>
    </xf>
    <xf numFmtId="0" fontId="7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alignment vertical="top"/>
    </xf>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5"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2" fillId="50" borderId="92" applyNumberFormat="0" applyFon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5" fillId="72" borderId="92" applyNumberFormat="0" applyAlignment="0" applyProtection="0"/>
    <xf numFmtId="0" fontId="22" fillId="50" borderId="92" applyNumberFormat="0" applyFont="0" applyAlignment="0" applyProtection="0"/>
    <xf numFmtId="0" fontId="22" fillId="50" borderId="92" applyNumberFormat="0" applyFon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204" fillId="18" borderId="7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54"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69" borderId="93" applyNumberFormat="0" applyAlignment="0" applyProtection="0"/>
    <xf numFmtId="0" fontId="112" fillId="54" borderId="93" applyNumberFormat="0" applyAlignment="0" applyProtection="0"/>
    <xf numFmtId="0" fontId="112" fillId="54" borderId="93" applyNumberFormat="0" applyAlignment="0" applyProtection="0"/>
    <xf numFmtId="215" fontId="33" fillId="67" borderId="0">
      <alignment horizontal="right"/>
    </xf>
    <xf numFmtId="215" fontId="33" fillId="67" borderId="0">
      <alignment horizontal="right"/>
    </xf>
    <xf numFmtId="215" fontId="33" fillId="67" borderId="0">
      <alignment horizontal="right"/>
    </xf>
    <xf numFmtId="215" fontId="33" fillId="67" borderId="0">
      <alignment horizontal="right"/>
    </xf>
    <xf numFmtId="215" fontId="33" fillId="67" borderId="0">
      <alignment horizontal="right"/>
    </xf>
    <xf numFmtId="10" fontId="25" fillId="0" borderId="0" applyFill="0" applyBorder="0" applyAlignment="0" applyProtection="0"/>
    <xf numFmtId="10" fontId="25" fillId="0" borderId="0" applyFill="0" applyBorder="0" applyAlignment="0" applyProtection="0"/>
    <xf numFmtId="9" fontId="33" fillId="0" borderId="0" applyFont="0" applyFill="0" applyBorder="0" applyAlignment="0" applyProtection="0">
      <alignment vertical="top"/>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alignment vertical="top"/>
    </xf>
    <xf numFmtId="9" fontId="15" fillId="0" borderId="0" applyFont="0" applyFill="0" applyBorder="0" applyAlignment="0" applyProtection="0"/>
    <xf numFmtId="9" fontId="15" fillId="0" borderId="0" applyFont="0" applyFill="0" applyBorder="0" applyAlignment="0" applyProtection="0"/>
    <xf numFmtId="9" fontId="25" fillId="0" borderId="0" applyFill="0" applyBorder="0" applyAlignment="0" applyProtection="0"/>
    <xf numFmtId="9" fontId="25" fillId="0" borderId="0" applyFill="0" applyBorder="0" applyAlignment="0" applyProtection="0"/>
    <xf numFmtId="9" fontId="119"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25" fillId="0" borderId="0" applyFill="0" applyBorder="0" applyAlignment="0" applyProtection="0"/>
    <xf numFmtId="9" fontId="22" fillId="0" borderId="0" applyFont="0" applyFill="0" applyBorder="0" applyAlignment="0" applyProtection="0"/>
    <xf numFmtId="9" fontId="25" fillId="0" borderId="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25" fillId="0" borderId="0" applyFill="0" applyBorder="0" applyProtection="0">
      <alignment vertical="top"/>
    </xf>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7"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5" fillId="0" borderId="0" applyFill="0" applyBorder="0" applyAlignment="0" applyProtection="0"/>
    <xf numFmtId="0" fontId="25" fillId="0" borderId="0"/>
    <xf numFmtId="44" fontId="25" fillId="0" borderId="0" applyFont="0" applyFill="0" applyBorder="0" applyAlignment="0" applyProtection="0"/>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4" fontId="147" fillId="0" borderId="94" applyNumberFormat="0" applyProtection="0">
      <alignment horizontal="right" vertical="center"/>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0">
      <alignment vertical="top"/>
    </xf>
    <xf numFmtId="0" fontId="33" fillId="0" borderId="0">
      <alignment vertical="top"/>
    </xf>
    <xf numFmtId="0" fontId="25" fillId="0" borderId="0"/>
    <xf numFmtId="0" fontId="25" fillId="0" borderId="0"/>
    <xf numFmtId="0" fontId="25" fillId="0" borderId="0"/>
    <xf numFmtId="0" fontId="205" fillId="0" borderId="0"/>
    <xf numFmtId="0" fontId="205" fillId="0" borderId="0"/>
    <xf numFmtId="0" fontId="20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5" fillId="0" borderId="0"/>
    <xf numFmtId="0" fontId="126" fillId="0" borderId="82"/>
    <xf numFmtId="0" fontId="126" fillId="0" borderId="82"/>
    <xf numFmtId="0" fontId="126" fillId="0" borderId="82"/>
    <xf numFmtId="0" fontId="126" fillId="0" borderId="82"/>
    <xf numFmtId="0" fontId="126" fillId="0" borderId="82"/>
    <xf numFmtId="0" fontId="126" fillId="0" borderId="82"/>
    <xf numFmtId="0" fontId="126" fillId="0" borderId="82"/>
    <xf numFmtId="0" fontId="126" fillId="0" borderId="82"/>
    <xf numFmtId="0" fontId="126" fillId="0" borderId="82"/>
    <xf numFmtId="0" fontId="126" fillId="0" borderId="82"/>
    <xf numFmtId="0" fontId="126" fillId="0" borderId="82"/>
    <xf numFmtId="0" fontId="126" fillId="0" borderId="82"/>
    <xf numFmtId="0" fontId="126" fillId="0" borderId="82"/>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206" fillId="0" borderId="77"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57" fillId="0" borderId="82"/>
    <xf numFmtId="0" fontId="157" fillId="0" borderId="82"/>
    <xf numFmtId="0" fontId="157" fillId="0" borderId="82"/>
    <xf numFmtId="0" fontId="157" fillId="0" borderId="82"/>
    <xf numFmtId="0" fontId="157" fillId="0" borderId="82"/>
    <xf numFmtId="0" fontId="184" fillId="0" borderId="82"/>
    <xf numFmtId="0" fontId="184" fillId="0" borderId="82"/>
    <xf numFmtId="0" fontId="184" fillId="0" borderId="82"/>
    <xf numFmtId="0" fontId="184" fillId="0" borderId="82"/>
    <xf numFmtId="0" fontId="184" fillId="0" borderId="82"/>
    <xf numFmtId="0" fontId="184" fillId="0" borderId="82"/>
    <xf numFmtId="0" fontId="184" fillId="0" borderId="82"/>
    <xf numFmtId="0" fontId="184" fillId="0" borderId="82"/>
    <xf numFmtId="0" fontId="52" fillId="0" borderId="0">
      <alignment horizontal="left"/>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20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208" fillId="0" borderId="0" applyNumberFormat="0" applyFill="0" applyBorder="0" applyAlignment="0" applyProtection="0">
      <alignment vertical="top"/>
      <protection locked="0"/>
    </xf>
    <xf numFmtId="0" fontId="15" fillId="0" borderId="0"/>
    <xf numFmtId="0" fontId="15" fillId="0" borderId="0"/>
    <xf numFmtId="0" fontId="15" fillId="0" borderId="0"/>
    <xf numFmtId="9" fontId="15" fillId="0" borderId="0" applyFont="0" applyFill="0" applyBorder="0" applyAlignment="0" applyProtection="0"/>
    <xf numFmtId="0" fontId="77" fillId="0" borderId="0"/>
    <xf numFmtId="0" fontId="100" fillId="59" borderId="0" applyNumberFormat="0" applyBorder="0" applyAlignment="0" applyProtection="0"/>
    <xf numFmtId="0" fontId="100" fillId="56" borderId="0" applyNumberFormat="0" applyBorder="0" applyAlignment="0" applyProtection="0"/>
    <xf numFmtId="0" fontId="100" fillId="54" borderId="0" applyNumberFormat="0" applyBorder="0" applyAlignment="0" applyProtection="0"/>
    <xf numFmtId="0" fontId="100" fillId="48" borderId="0" applyNumberFormat="0" applyBorder="0" applyAlignment="0" applyProtection="0"/>
    <xf numFmtId="0" fontId="100" fillId="59" borderId="0" applyNumberFormat="0" applyBorder="0" applyAlignment="0" applyProtection="0"/>
    <xf numFmtId="0" fontId="100" fillId="65" borderId="0" applyNumberFormat="0" applyBorder="0" applyAlignment="0" applyProtection="0"/>
    <xf numFmtId="197" fontId="25" fillId="0" borderId="0" applyFill="0" applyBorder="0" applyAlignment="0"/>
    <xf numFmtId="0" fontId="102" fillId="67" borderId="80"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0" fontId="33" fillId="0" borderId="0">
      <alignment vertical="top"/>
    </xf>
    <xf numFmtId="43" fontId="168" fillId="0" borderId="0" applyFont="0" applyFill="0" applyBorder="0" applyAlignment="0" applyProtection="0"/>
    <xf numFmtId="193" fontId="25" fillId="0" borderId="0" applyFill="0" applyBorder="0" applyProtection="0">
      <alignment vertical="top"/>
    </xf>
    <xf numFmtId="180" fontId="25" fillId="0" borderId="0" applyFont="0" applyFill="0" applyBorder="0" applyAlignment="0" applyProtection="0"/>
    <xf numFmtId="0" fontId="126" fillId="0" borderId="82"/>
    <xf numFmtId="237" fontId="169" fillId="0" borderId="0">
      <protection locked="0"/>
    </xf>
    <xf numFmtId="0" fontId="32" fillId="0" borderId="4">
      <alignment horizontal="left" vertical="center"/>
    </xf>
    <xf numFmtId="0" fontId="151" fillId="0" borderId="86" applyNumberFormat="0" applyFill="0" applyAlignment="0" applyProtection="0"/>
    <xf numFmtId="0" fontId="152" fillId="0" borderId="87" applyNumberFormat="0" applyFill="0" applyAlignment="0" applyProtection="0"/>
    <xf numFmtId="0" fontId="153" fillId="0" borderId="89" applyNumberFormat="0" applyFill="0" applyAlignment="0" applyProtection="0"/>
    <xf numFmtId="0" fontId="153" fillId="0" borderId="0" applyNumberFormat="0" applyFill="0" applyBorder="0" applyAlignment="0" applyProtection="0"/>
    <xf numFmtId="227" fontId="25" fillId="0" borderId="0">
      <protection locked="0"/>
    </xf>
    <xf numFmtId="227" fontId="25" fillId="0" borderId="0">
      <protection locked="0"/>
    </xf>
    <xf numFmtId="0" fontId="109" fillId="56" borderId="80" applyNumberFormat="0" applyAlignment="0" applyProtection="0"/>
    <xf numFmtId="10" fontId="30" fillId="70" borderId="1" applyNumberFormat="0" applyBorder="0" applyAlignment="0" applyProtection="0"/>
    <xf numFmtId="0" fontId="157" fillId="73" borderId="82"/>
    <xf numFmtId="0" fontId="77" fillId="0" borderId="0"/>
    <xf numFmtId="0" fontId="25" fillId="0" borderId="0"/>
    <xf numFmtId="0" fontId="25" fillId="0" borderId="0"/>
    <xf numFmtId="0" fontId="77" fillId="0" borderId="0">
      <alignment vertical="top"/>
    </xf>
    <xf numFmtId="0" fontId="119" fillId="0" borderId="0"/>
    <xf numFmtId="0" fontId="119" fillId="0" borderId="0"/>
    <xf numFmtId="0" fontId="119" fillId="0" borderId="0"/>
    <xf numFmtId="0" fontId="77" fillId="50" borderId="92" applyNumberFormat="0" applyFont="0" applyAlignment="0" applyProtection="0"/>
    <xf numFmtId="0" fontId="112" fillId="67" borderId="93" applyNumberFormat="0" applyAlignment="0" applyProtection="0"/>
    <xf numFmtId="215" fontId="33" fillId="67" borderId="0">
      <alignment horizontal="right"/>
    </xf>
    <xf numFmtId="9" fontId="25" fillId="0" borderId="0" applyFont="0" applyFill="0" applyBorder="0" applyAlignment="0" applyProtection="0"/>
    <xf numFmtId="9" fontId="22" fillId="0" borderId="0" applyFont="0" applyFill="0" applyBorder="0" applyAlignment="0" applyProtection="0"/>
    <xf numFmtId="0" fontId="126" fillId="0" borderId="82"/>
    <xf numFmtId="0" fontId="116" fillId="0" borderId="97" applyNumberFormat="0" applyFill="0" applyAlignment="0" applyProtection="0"/>
    <xf numFmtId="0" fontId="157" fillId="0" borderId="82"/>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0" fontId="25" fillId="0" borderId="0">
      <alignment vertical="top"/>
    </xf>
    <xf numFmtId="0" fontId="25" fillId="0" borderId="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77" fillId="0" borderId="0"/>
    <xf numFmtId="43" fontId="25" fillId="0" borderId="0" applyFont="0" applyFill="0" applyBorder="0" applyAlignment="0" applyProtection="0"/>
    <xf numFmtId="0" fontId="25" fillId="0" borderId="0"/>
    <xf numFmtId="0" fontId="15" fillId="0" borderId="0"/>
    <xf numFmtId="0" fontId="97" fillId="0" borderId="0"/>
    <xf numFmtId="43" fontId="97" fillId="0" borderId="0" applyFont="0" applyFill="0" applyBorder="0" applyAlignment="0" applyProtection="0"/>
    <xf numFmtId="43" fontId="187"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87" fillId="0" borderId="0" applyFont="0" applyFill="0" applyBorder="0" applyAlignment="0" applyProtection="0"/>
    <xf numFmtId="43" fontId="97" fillId="0" borderId="0" applyFont="0" applyFill="0" applyBorder="0" applyAlignment="0" applyProtection="0"/>
    <xf numFmtId="9" fontId="97"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15" fillId="0" borderId="0"/>
    <xf numFmtId="0" fontId="97" fillId="0" borderId="0"/>
    <xf numFmtId="0" fontId="77" fillId="0" borderId="0">
      <protection locked="0"/>
    </xf>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214" fontId="139" fillId="0" borderId="104" applyFont="0" applyFill="0" applyBorder="0" applyAlignment="0" applyProtection="0"/>
    <xf numFmtId="0" fontId="120" fillId="0" borderId="2" applyNumberFormat="0" applyFill="0" applyAlignment="0" applyProtection="0"/>
    <xf numFmtId="0" fontId="120" fillId="0" borderId="2" applyNumberFormat="0" applyFill="0" applyAlignment="0" applyProtection="0"/>
    <xf numFmtId="0" fontId="120" fillId="0" borderId="2" applyNumberFormat="0" applyFill="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67" borderId="105" applyNumberFormat="0" applyAlignment="0" applyProtection="0"/>
    <xf numFmtId="0" fontId="102" fillId="67" borderId="105" applyNumberFormat="0" applyAlignment="0" applyProtection="0"/>
    <xf numFmtId="0" fontId="102" fillId="67" borderId="105" applyNumberFormat="0" applyAlignment="0" applyProtection="0"/>
    <xf numFmtId="0" fontId="102" fillId="67" borderId="105" applyNumberFormat="0" applyAlignment="0" applyProtection="0"/>
    <xf numFmtId="0" fontId="102" fillId="67" borderId="105" applyNumberFormat="0" applyAlignment="0" applyProtection="0"/>
    <xf numFmtId="0" fontId="102" fillId="67" borderId="105" applyNumberFormat="0" applyAlignment="0" applyProtection="0"/>
    <xf numFmtId="0" fontId="102" fillId="67" borderId="105" applyNumberFormat="0" applyAlignment="0" applyProtection="0"/>
    <xf numFmtId="0" fontId="102" fillId="67" borderId="105" applyNumberFormat="0" applyAlignment="0" applyProtection="0"/>
    <xf numFmtId="43" fontId="99" fillId="0" borderId="0" applyFont="0" applyFill="0" applyBorder="0" applyAlignment="0" applyProtection="0"/>
    <xf numFmtId="0" fontId="126" fillId="0" borderId="106"/>
    <xf numFmtId="0" fontId="126" fillId="0" borderId="106"/>
    <xf numFmtId="0" fontId="126" fillId="0" borderId="106"/>
    <xf numFmtId="0" fontId="126" fillId="0" borderId="106"/>
    <xf numFmtId="0" fontId="126" fillId="0" borderId="106"/>
    <xf numFmtId="0" fontId="126" fillId="0" borderId="106"/>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8">
      <alignment horizontal="left" vertical="center"/>
    </xf>
    <xf numFmtId="0" fontId="32" fillId="0" borderId="108">
      <alignment horizontal="left" vertical="center"/>
    </xf>
    <xf numFmtId="176" fontId="32" fillId="0" borderId="109">
      <alignment horizontal="left" vertical="center"/>
    </xf>
    <xf numFmtId="176" fontId="32" fillId="0" borderId="109">
      <alignment horizontal="left" vertical="center"/>
    </xf>
    <xf numFmtId="176" fontId="32" fillId="0" borderId="109">
      <alignment horizontal="left" vertical="center"/>
    </xf>
    <xf numFmtId="0" fontId="32" fillId="0" borderId="109">
      <alignment horizontal="left" vertical="center"/>
    </xf>
    <xf numFmtId="176" fontId="32" fillId="0" borderId="109">
      <alignment horizontal="left" vertical="center"/>
    </xf>
    <xf numFmtId="176" fontId="32" fillId="0" borderId="109">
      <alignment horizontal="left" vertical="center"/>
    </xf>
    <xf numFmtId="176" fontId="32" fillId="0" borderId="109">
      <alignment horizontal="left" vertical="center"/>
    </xf>
    <xf numFmtId="0" fontId="32" fillId="0" borderId="109">
      <alignment horizontal="left" vertical="center"/>
    </xf>
    <xf numFmtId="176" fontId="32" fillId="0" borderId="109">
      <alignment horizontal="left" vertical="center"/>
    </xf>
    <xf numFmtId="176" fontId="32" fillId="0" borderId="109">
      <alignment horizontal="left" vertical="center"/>
    </xf>
    <xf numFmtId="0" fontId="32" fillId="0" borderId="108">
      <alignment horizontal="left" vertical="center"/>
    </xf>
    <xf numFmtId="0" fontId="32" fillId="0" borderId="108">
      <alignment horizontal="left" vertical="center"/>
    </xf>
    <xf numFmtId="0" fontId="32" fillId="0" borderId="109">
      <alignment horizontal="left" vertical="center"/>
    </xf>
    <xf numFmtId="0" fontId="109" fillId="46" borderId="105" applyNumberFormat="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09" fillId="56" borderId="105" applyNumberFormat="0" applyAlignment="0" applyProtection="0"/>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6" fontId="12" fillId="0" borderId="0"/>
    <xf numFmtId="176" fontId="12" fillId="0" borderId="0"/>
    <xf numFmtId="176" fontId="12" fillId="0" borderId="0"/>
    <xf numFmtId="17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67" borderId="111" applyNumberFormat="0" applyAlignment="0" applyProtection="0"/>
    <xf numFmtId="0" fontId="112" fillId="67" borderId="111" applyNumberFormat="0" applyAlignment="0" applyProtection="0"/>
    <xf numFmtId="0" fontId="112" fillId="67" borderId="111" applyNumberFormat="0" applyAlignment="0" applyProtection="0"/>
    <xf numFmtId="0" fontId="112" fillId="67" borderId="111" applyNumberFormat="0" applyAlignment="0" applyProtection="0"/>
    <xf numFmtId="0" fontId="112" fillId="67" borderId="111" applyNumberFormat="0" applyAlignment="0" applyProtection="0"/>
    <xf numFmtId="0" fontId="112" fillId="67" borderId="111" applyNumberFormat="0" applyAlignment="0" applyProtection="0"/>
    <xf numFmtId="0" fontId="112" fillId="67" borderId="111" applyNumberFormat="0" applyAlignment="0" applyProtection="0"/>
    <xf numFmtId="0" fontId="112" fillId="67" borderId="111" applyNumberFormat="0" applyAlignment="0" applyProtection="0"/>
    <xf numFmtId="9" fontId="99" fillId="0" borderId="0" applyFont="0" applyFill="0" applyBorder="0" applyAlignment="0" applyProtection="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0" fontId="126" fillId="0" borderId="106"/>
    <xf numFmtId="0" fontId="126" fillId="0" borderId="106"/>
    <xf numFmtId="0" fontId="126" fillId="0" borderId="106"/>
    <xf numFmtId="0" fontId="126" fillId="0" borderId="106"/>
    <xf numFmtId="0" fontId="126" fillId="0" borderId="106"/>
    <xf numFmtId="0" fontId="126" fillId="0" borderId="106"/>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0" fontId="115" fillId="0" borderId="0" applyNumberFormat="0" applyFill="0" applyBorder="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6" applyNumberFormat="0" applyFill="0" applyAlignment="0" applyProtection="0"/>
    <xf numFmtId="0" fontId="116" fillId="0" borderId="116" applyNumberFormat="0" applyFill="0" applyAlignment="0" applyProtection="0"/>
    <xf numFmtId="0" fontId="116" fillId="0" borderId="116" applyNumberFormat="0" applyFill="0" applyAlignment="0" applyProtection="0"/>
    <xf numFmtId="0" fontId="116" fillId="0" borderId="116" applyNumberFormat="0" applyFill="0" applyAlignment="0" applyProtection="0"/>
    <xf numFmtId="0" fontId="116" fillId="0" borderId="116" applyNumberFormat="0" applyFill="0" applyAlignment="0" applyProtection="0"/>
    <xf numFmtId="0" fontId="116" fillId="0" borderId="116" applyNumberFormat="0" applyFill="0" applyAlignment="0" applyProtection="0"/>
    <xf numFmtId="0" fontId="116" fillId="0" borderId="116" applyNumberFormat="0" applyFill="0" applyAlignment="0" applyProtection="0"/>
    <xf numFmtId="0" fontId="116" fillId="0" borderId="116" applyNumberFormat="0" applyFill="0" applyAlignment="0" applyProtection="0"/>
    <xf numFmtId="0" fontId="157" fillId="0" borderId="106"/>
    <xf numFmtId="0" fontId="157" fillId="0" borderId="106"/>
    <xf numFmtId="0" fontId="157" fillId="0" borderId="106"/>
    <xf numFmtId="0" fontId="157" fillId="0" borderId="106"/>
    <xf numFmtId="0" fontId="157" fillId="0" borderId="106"/>
    <xf numFmtId="0" fontId="157" fillId="0" borderId="106"/>
    <xf numFmtId="0" fontId="12" fillId="0" borderId="0"/>
    <xf numFmtId="1" fontId="36" fillId="0" borderId="117" applyNumberFormat="0" applyFont="0" applyAlignment="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9" fontId="140" fillId="0" borderId="118" applyNumberFormat="0" applyBorder="0"/>
    <xf numFmtId="0" fontId="126" fillId="0" borderId="106"/>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84" fillId="0" borderId="106"/>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2" fillId="0" borderId="0"/>
    <xf numFmtId="0" fontId="12" fillId="0" borderId="0"/>
    <xf numFmtId="0" fontId="25" fillId="0" borderId="0"/>
    <xf numFmtId="180" fontId="7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78" fillId="0" borderId="0" applyFont="0" applyFill="0" applyBorder="0" applyAlignment="0" applyProtection="0"/>
    <xf numFmtId="0" fontId="187" fillId="0" borderId="0"/>
    <xf numFmtId="43" fontId="187" fillId="0" borderId="0" applyFont="0" applyFill="0" applyBorder="0" applyAlignment="0" applyProtection="0"/>
    <xf numFmtId="0" fontId="185" fillId="0" borderId="0"/>
    <xf numFmtId="0" fontId="97" fillId="0" borderId="0"/>
    <xf numFmtId="0" fontId="98" fillId="0" borderId="0"/>
    <xf numFmtId="258" fontId="25" fillId="0" borderId="0" applyFont="0" applyFill="0" applyBorder="0" applyAlignment="0" applyProtection="0"/>
    <xf numFmtId="0" fontId="185" fillId="0" borderId="0"/>
    <xf numFmtId="9" fontId="22"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7" fillId="0" borderId="0"/>
    <xf numFmtId="0" fontId="98" fillId="0" borderId="0"/>
    <xf numFmtId="0" fontId="77" fillId="0" borderId="0"/>
    <xf numFmtId="0" fontId="77" fillId="0" borderId="0"/>
    <xf numFmtId="0" fontId="77" fillId="0" borderId="0"/>
    <xf numFmtId="0" fontId="77" fillId="0" borderId="0"/>
    <xf numFmtId="0" fontId="77" fillId="0" borderId="0"/>
    <xf numFmtId="0" fontId="118" fillId="0" borderId="0"/>
    <xf numFmtId="0" fontId="77" fillId="0" borderId="0"/>
    <xf numFmtId="0" fontId="77" fillId="0" borderId="0"/>
    <xf numFmtId="0" fontId="77" fillId="0" borderId="0"/>
    <xf numFmtId="0" fontId="77" fillId="0" borderId="0"/>
    <xf numFmtId="0" fontId="31" fillId="0" borderId="0"/>
    <xf numFmtId="0" fontId="31" fillId="0" borderId="0"/>
    <xf numFmtId="0" fontId="31" fillId="0" borderId="0"/>
    <xf numFmtId="0" fontId="31" fillId="0" borderId="0"/>
    <xf numFmtId="0" fontId="31" fillId="0" borderId="0"/>
    <xf numFmtId="0" fontId="31" fillId="0" borderId="0"/>
    <xf numFmtId="0" fontId="25" fillId="0" borderId="0"/>
    <xf numFmtId="0" fontId="25" fillId="0" borderId="0"/>
    <xf numFmtId="0" fontId="25" fillId="0" borderId="0"/>
    <xf numFmtId="200" fontId="77" fillId="0" borderId="0" applyFont="0" applyFill="0" applyBorder="0" applyAlignment="0" applyProtection="0"/>
    <xf numFmtId="220" fontId="25" fillId="0" borderId="0" applyFill="0" applyBorder="0" applyAlignment="0" applyProtection="0"/>
    <xf numFmtId="200" fontId="77" fillId="0" borderId="0" applyFont="0" applyFill="0" applyBorder="0" applyAlignment="0" applyProtection="0"/>
    <xf numFmtId="200" fontId="77" fillId="0" borderId="0" applyFont="0" applyFill="0" applyBorder="0" applyAlignment="0" applyProtection="0"/>
    <xf numFmtId="201" fontId="77" fillId="0" borderId="0" applyFont="0" applyFill="0" applyBorder="0" applyAlignment="0" applyProtection="0"/>
    <xf numFmtId="221" fontId="25" fillId="0" borderId="0" applyFill="0" applyBorder="0" applyAlignment="0" applyProtection="0"/>
    <xf numFmtId="201" fontId="77" fillId="0" borderId="0" applyFont="0" applyFill="0" applyBorder="0" applyAlignment="0" applyProtection="0"/>
    <xf numFmtId="201" fontId="77" fillId="0" borderId="0" applyFont="0" applyFill="0" applyBorder="0" applyAlignment="0" applyProtection="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2" fillId="78" borderId="0" applyNumberFormat="0" applyBorder="0" applyProtection="0">
      <alignment vertical="top"/>
    </xf>
    <xf numFmtId="0" fontId="22" fillId="45" borderId="0" applyNumberFormat="0" applyBorder="0" applyAlignment="0" applyProtection="0"/>
    <xf numFmtId="0" fontId="22" fillId="78" borderId="0" applyNumberFormat="0" applyBorder="0" applyAlignment="0" applyProtection="0"/>
    <xf numFmtId="0" fontId="22" fillId="79" borderId="0" applyNumberFormat="0" applyBorder="0" applyProtection="0">
      <alignment vertical="top"/>
    </xf>
    <xf numFmtId="0" fontId="22" fillId="47" borderId="0" applyNumberFormat="0" applyBorder="0" applyAlignment="0" applyProtection="0"/>
    <xf numFmtId="0" fontId="22" fillId="79" borderId="0" applyNumberFormat="0" applyBorder="0" applyAlignment="0" applyProtection="0"/>
    <xf numFmtId="0" fontId="22" fillId="80" borderId="0" applyNumberFormat="0" applyBorder="0" applyProtection="0">
      <alignment vertical="top"/>
    </xf>
    <xf numFmtId="0" fontId="22" fillId="49" borderId="0" applyNumberFormat="0" applyBorder="0" applyAlignment="0" applyProtection="0"/>
    <xf numFmtId="0" fontId="22" fillId="80" borderId="0" applyNumberFormat="0" applyBorder="0" applyAlignment="0" applyProtection="0"/>
    <xf numFmtId="0" fontId="22" fillId="81" borderId="0" applyNumberFormat="0" applyBorder="0" applyProtection="0">
      <alignment vertical="top"/>
    </xf>
    <xf numFmtId="0" fontId="22" fillId="51" borderId="0" applyNumberFormat="0" applyBorder="0" applyAlignment="0" applyProtection="0"/>
    <xf numFmtId="0" fontId="22" fillId="81" borderId="0" applyNumberFormat="0" applyBorder="0" applyAlignment="0" applyProtection="0"/>
    <xf numFmtId="0" fontId="22" fillId="82" borderId="0" applyNumberFormat="0" applyBorder="0" applyProtection="0">
      <alignment vertical="top"/>
    </xf>
    <xf numFmtId="0" fontId="22" fillId="52" borderId="0" applyNumberFormat="0" applyBorder="0" applyAlignment="0" applyProtection="0"/>
    <xf numFmtId="0" fontId="22" fillId="82" borderId="0" applyNumberFormat="0" applyBorder="0" applyAlignment="0" applyProtection="0"/>
    <xf numFmtId="0" fontId="22" fillId="83" borderId="0" applyNumberFormat="0" applyBorder="0" applyProtection="0">
      <alignment vertical="top"/>
    </xf>
    <xf numFmtId="0" fontId="22" fillId="46" borderId="0" applyNumberFormat="0" applyBorder="0" applyAlignment="0" applyProtection="0"/>
    <xf numFmtId="0" fontId="22" fillId="83" borderId="0" applyNumberFormat="0" applyBorder="0" applyAlignment="0" applyProtection="0"/>
    <xf numFmtId="0" fontId="22" fillId="84" borderId="0" applyNumberFormat="0" applyBorder="0" applyProtection="0">
      <alignment vertical="top"/>
    </xf>
    <xf numFmtId="0" fontId="22" fillId="53" borderId="0" applyNumberFormat="0" applyBorder="0" applyAlignment="0" applyProtection="0"/>
    <xf numFmtId="0" fontId="22" fillId="84" borderId="0" applyNumberFormat="0" applyBorder="0" applyAlignment="0" applyProtection="0"/>
    <xf numFmtId="0" fontId="22" fillId="85" borderId="0" applyNumberFormat="0" applyBorder="0" applyProtection="0">
      <alignment vertical="top"/>
    </xf>
    <xf numFmtId="0" fontId="22" fillId="48" borderId="0" applyNumberFormat="0" applyBorder="0" applyAlignment="0" applyProtection="0"/>
    <xf numFmtId="0" fontId="22" fillId="85" borderId="0" applyNumberFormat="0" applyBorder="0" applyAlignment="0" applyProtection="0"/>
    <xf numFmtId="0" fontId="22" fillId="86" borderId="0" applyNumberFormat="0" applyBorder="0" applyProtection="0">
      <alignment vertical="top"/>
    </xf>
    <xf numFmtId="0" fontId="22" fillId="55" borderId="0" applyNumberFormat="0" applyBorder="0" applyAlignment="0" applyProtection="0"/>
    <xf numFmtId="0" fontId="22" fillId="86" borderId="0" applyNumberFormat="0" applyBorder="0" applyAlignment="0" applyProtection="0"/>
    <xf numFmtId="0" fontId="22" fillId="81" borderId="0" applyNumberFormat="0" applyBorder="0" applyProtection="0">
      <alignment vertical="top"/>
    </xf>
    <xf numFmtId="0" fontId="22" fillId="51" borderId="0" applyNumberFormat="0" applyBorder="0" applyAlignment="0" applyProtection="0"/>
    <xf numFmtId="0" fontId="22" fillId="81" borderId="0" applyNumberFormat="0" applyBorder="0" applyAlignment="0" applyProtection="0"/>
    <xf numFmtId="0" fontId="22" fillId="84" borderId="0" applyNumberFormat="0" applyBorder="0" applyProtection="0">
      <alignment vertical="top"/>
    </xf>
    <xf numFmtId="0" fontId="22" fillId="53" borderId="0" applyNumberFormat="0" applyBorder="0" applyAlignment="0" applyProtection="0"/>
    <xf numFmtId="0" fontId="22" fillId="84" borderId="0" applyNumberFormat="0" applyBorder="0" applyAlignment="0" applyProtection="0"/>
    <xf numFmtId="0" fontId="22" fillId="87" borderId="0" applyNumberFormat="0" applyBorder="0" applyProtection="0">
      <alignment vertical="top"/>
    </xf>
    <xf numFmtId="0" fontId="22" fillId="57" borderId="0" applyNumberFormat="0" applyBorder="0" applyAlignment="0" applyProtection="0"/>
    <xf numFmtId="0" fontId="22" fillId="87" borderId="0" applyNumberFormat="0" applyBorder="0" applyAlignment="0" applyProtection="0"/>
    <xf numFmtId="0" fontId="100" fillId="88" borderId="0" applyNumberFormat="0" applyBorder="0" applyProtection="0">
      <alignment vertical="top"/>
    </xf>
    <xf numFmtId="0" fontId="100" fillId="88" borderId="0" applyNumberFormat="0" applyBorder="0" applyAlignment="0" applyProtection="0"/>
    <xf numFmtId="0" fontId="100" fillId="85" borderId="0" applyNumberFormat="0" applyBorder="0" applyProtection="0">
      <alignment vertical="top"/>
    </xf>
    <xf numFmtId="0" fontId="100" fillId="85" borderId="0" applyNumberFormat="0" applyBorder="0" applyAlignment="0" applyProtection="0"/>
    <xf numFmtId="0" fontId="100" fillId="86" borderId="0" applyNumberFormat="0" applyBorder="0" applyProtection="0">
      <alignment vertical="top"/>
    </xf>
    <xf numFmtId="0" fontId="100" fillId="86" borderId="0" applyNumberFormat="0" applyBorder="0" applyAlignment="0" applyProtection="0"/>
    <xf numFmtId="0" fontId="100" fillId="89" borderId="0" applyNumberFormat="0" applyBorder="0" applyProtection="0">
      <alignment vertical="top"/>
    </xf>
    <xf numFmtId="0" fontId="100" fillId="89" borderId="0" applyNumberFormat="0" applyBorder="0" applyAlignment="0" applyProtection="0"/>
    <xf numFmtId="0" fontId="100" fillId="90" borderId="0" applyNumberFormat="0" applyBorder="0" applyProtection="0">
      <alignment vertical="top"/>
    </xf>
    <xf numFmtId="0" fontId="100" fillId="90" borderId="0" applyNumberFormat="0" applyBorder="0" applyAlignment="0" applyProtection="0"/>
    <xf numFmtId="0" fontId="100" fillId="91" borderId="0" applyNumberFormat="0" applyBorder="0" applyProtection="0">
      <alignment vertical="top"/>
    </xf>
    <xf numFmtId="0" fontId="100" fillId="91" borderId="0" applyNumberFormat="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214" fontId="139" fillId="0" borderId="104" applyFont="0" applyFill="0" applyBorder="0" applyAlignment="0" applyProtection="0"/>
    <xf numFmtId="0" fontId="100" fillId="92" borderId="0" applyNumberFormat="0" applyBorder="0" applyProtection="0">
      <alignment vertical="top"/>
    </xf>
    <xf numFmtId="0" fontId="100" fillId="92" borderId="0" applyNumberFormat="0" applyBorder="0" applyAlignment="0" applyProtection="0"/>
    <xf numFmtId="0" fontId="100" fillId="93" borderId="0" applyNumberFormat="0" applyBorder="0" applyProtection="0">
      <alignment vertical="top"/>
    </xf>
    <xf numFmtId="0" fontId="100" fillId="93" borderId="0" applyNumberFormat="0" applyBorder="0" applyAlignment="0" applyProtection="0"/>
    <xf numFmtId="0" fontId="100" fillId="94" borderId="0" applyNumberFormat="0" applyBorder="0" applyProtection="0">
      <alignment vertical="top"/>
    </xf>
    <xf numFmtId="0" fontId="100" fillId="94" borderId="0" applyNumberFormat="0" applyBorder="0" applyAlignment="0" applyProtection="0"/>
    <xf numFmtId="0" fontId="100" fillId="89" borderId="0" applyNumberFormat="0" applyBorder="0" applyProtection="0">
      <alignment vertical="top"/>
    </xf>
    <xf numFmtId="0" fontId="100" fillId="89" borderId="0" applyNumberFormat="0" applyBorder="0" applyAlignment="0" applyProtection="0"/>
    <xf numFmtId="0" fontId="100" fillId="90" borderId="0" applyNumberFormat="0" applyBorder="0" applyProtection="0">
      <alignment vertical="top"/>
    </xf>
    <xf numFmtId="0" fontId="100" fillId="90" borderId="0" applyNumberFormat="0" applyBorder="0" applyAlignment="0" applyProtection="0"/>
    <xf numFmtId="0" fontId="100" fillId="95" borderId="0" applyNumberFormat="0" applyBorder="0" applyProtection="0">
      <alignment vertical="top"/>
    </xf>
    <xf numFmtId="0" fontId="100" fillId="95" borderId="0" applyNumberFormat="0" applyBorder="0" applyAlignment="0" applyProtection="0"/>
    <xf numFmtId="0" fontId="101" fillId="79" borderId="0" applyNumberFormat="0" applyBorder="0" applyProtection="0">
      <alignment vertical="top"/>
    </xf>
    <xf numFmtId="0" fontId="101" fillId="79" borderId="0" applyNumberFormat="0" applyBorder="0" applyAlignment="0" applyProtection="0"/>
    <xf numFmtId="0" fontId="156" fillId="0" borderId="0" applyNumberFormat="0" applyFill="0" applyBorder="0" applyAlignment="0" applyProtection="0"/>
    <xf numFmtId="0" fontId="129" fillId="0" borderId="0" applyNumberFormat="0" applyFill="0" applyBorder="0" applyAlignment="0" applyProtection="0"/>
    <xf numFmtId="0" fontId="120" fillId="0" borderId="124" applyNumberFormat="0" applyFill="0" applyAlignment="0" applyProtection="0"/>
    <xf numFmtId="0" fontId="120" fillId="0" borderId="124" applyNumberFormat="0" applyFill="0" applyAlignment="0" applyProtection="0"/>
    <xf numFmtId="0" fontId="120" fillId="0" borderId="124"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124"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0" fontId="120" fillId="0" borderId="68" applyNumberFormat="0" applyFill="0" applyAlignment="0" applyProtection="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1" fontId="36" fillId="0" borderId="117" applyNumberFormat="0" applyFont="0" applyAlignment="0"/>
    <xf numFmtId="202" fontId="77" fillId="0" borderId="0" applyFont="0" applyFill="0" applyBorder="0" applyAlignment="0" applyProtection="0"/>
    <xf numFmtId="222" fontId="25" fillId="0" borderId="0" applyFill="0" applyBorder="0" applyAlignment="0" applyProtection="0"/>
    <xf numFmtId="202" fontId="77" fillId="0" borderId="0" applyFont="0" applyFill="0" applyBorder="0" applyAlignment="0" applyProtection="0"/>
    <xf numFmtId="202" fontId="77" fillId="0" borderId="0" applyFont="0" applyFill="0" applyBorder="0" applyAlignment="0" applyProtection="0"/>
    <xf numFmtId="197" fontId="25" fillId="0" borderId="0" applyFill="0" applyBorder="0" applyAlignment="0"/>
    <xf numFmtId="212" fontId="25" fillId="0" borderId="0" applyFill="0" applyBorder="0" applyAlignment="0"/>
    <xf numFmtId="197" fontId="25" fillId="0" borderId="0" applyFill="0" applyBorder="0" applyAlignment="0"/>
    <xf numFmtId="189" fontId="30" fillId="0" borderId="0" applyFill="0" applyBorder="0" applyAlignment="0"/>
    <xf numFmtId="212" fontId="25" fillId="0" borderId="0" applyFill="0" applyBorder="0" applyAlignment="0"/>
    <xf numFmtId="197" fontId="25" fillId="0" borderId="0" applyFill="0" applyBorder="0" applyAlignment="0"/>
    <xf numFmtId="197" fontId="25" fillId="0" borderId="0" applyFill="0" applyBorder="0" applyAlignment="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91" fillId="18" borderId="72"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91" fillId="18" borderId="72"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91" fillId="18" borderId="72"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69" borderId="105" applyNumberFormat="0" applyProtection="0">
      <alignment vertical="top"/>
    </xf>
    <xf numFmtId="0" fontId="102" fillId="69" borderId="105" applyNumberFormat="0" applyProtection="0">
      <alignment vertical="top"/>
    </xf>
    <xf numFmtId="0" fontId="102" fillId="69" borderId="105" applyNumberFormat="0" applyProtection="0">
      <alignment vertical="top"/>
    </xf>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2" fillId="54" borderId="105" applyNumberFormat="0" applyAlignment="0" applyProtection="0"/>
    <xf numFmtId="0" fontId="103" fillId="96" borderId="81" applyNumberFormat="0" applyProtection="0">
      <alignment vertical="top"/>
    </xf>
    <xf numFmtId="0" fontId="103" fillId="96" borderId="81" applyNumberFormat="0" applyAlignment="0" applyProtection="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0" fontId="126" fillId="0" borderId="0"/>
    <xf numFmtId="232" fontId="162" fillId="0" borderId="0"/>
    <xf numFmtId="232" fontId="162" fillId="0" borderId="0"/>
    <xf numFmtId="0" fontId="126" fillId="0" borderId="0"/>
    <xf numFmtId="0" fontId="126" fillId="0" borderId="0"/>
    <xf numFmtId="0" fontId="31" fillId="0" borderId="0"/>
    <xf numFmtId="0" fontId="31" fillId="0" borderId="0"/>
    <xf numFmtId="211"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43" fontId="9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9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211"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187"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43" fontId="187" fillId="0" borderId="0" applyFont="0" applyFill="0" applyBorder="0" applyAlignment="0" applyProtection="0"/>
    <xf numFmtId="0" fontId="25" fillId="0" borderId="0" applyFont="0" applyFill="0" applyBorder="0" applyAlignment="0" applyProtection="0"/>
    <xf numFmtId="43" fontId="22"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180" fontId="25" fillId="0" borderId="0" applyFont="0" applyFill="0" applyBorder="0" applyAlignment="0" applyProtection="0"/>
    <xf numFmtId="0" fontId="25" fillId="0" borderId="0" applyFont="0" applyFill="0" applyBorder="0" applyAlignment="0" applyProtection="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ill="0" applyBorder="0" applyAlignment="0" applyProtection="0"/>
    <xf numFmtId="0"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258" fontId="25" fillId="0" borderId="0" applyFont="0" applyFill="0" applyBorder="0" applyAlignment="0" applyProtection="0"/>
    <xf numFmtId="43" fontId="97" fillId="0" borderId="0" applyFont="0" applyFill="0" applyBorder="0" applyAlignment="0" applyProtection="0"/>
    <xf numFmtId="193" fontId="25" fillId="0" borderId="0" applyFill="0" applyBorder="0" applyProtection="0">
      <alignment vertical="top"/>
    </xf>
    <xf numFmtId="193" fontId="25" fillId="0" borderId="0" applyFill="0" applyBorder="0" applyAlignment="0" applyProtection="0"/>
    <xf numFmtId="193" fontId="25" fillId="0" borderId="0" applyFill="0" applyBorder="0" applyProtection="0">
      <alignment vertical="top"/>
    </xf>
    <xf numFmtId="184" fontId="22" fillId="0" borderId="0" applyFont="0" applyFill="0" applyBorder="0" applyAlignment="0" applyProtection="0"/>
    <xf numFmtId="184" fontId="22" fillId="0" borderId="0" applyFont="0" applyFill="0" applyBorder="0" applyAlignment="0" applyProtection="0"/>
    <xf numFmtId="193" fontId="25" fillId="0" borderId="0" applyFill="0" applyBorder="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97" fillId="0" borderId="0" applyFont="0" applyFill="0" applyBorder="0" applyAlignment="0" applyProtection="0"/>
    <xf numFmtId="43" fontId="22" fillId="0" borderId="0" applyFont="0" applyFill="0" applyBorder="0" applyAlignment="0" applyProtection="0"/>
    <xf numFmtId="193" fontId="25" fillId="0" borderId="0" applyFill="0" applyBorder="0" applyProtection="0">
      <alignment vertical="top"/>
    </xf>
    <xf numFmtId="43" fontId="22" fillId="0" borderId="0" applyFont="0" applyFill="0" applyBorder="0" applyAlignment="0" applyProtection="0"/>
    <xf numFmtId="43" fontId="22" fillId="0" borderId="0" applyFont="0" applyFill="0" applyBorder="0" applyAlignment="0" applyProtection="0"/>
    <xf numFmtId="207" fontId="25"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8"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7" fillId="0" borderId="0" applyFont="0" applyFill="0" applyBorder="0" applyAlignment="0" applyProtection="0"/>
    <xf numFmtId="258" fontId="25" fillId="0" borderId="0" applyFont="0" applyFill="0" applyBorder="0" applyAlignment="0" applyProtection="0"/>
    <xf numFmtId="43" fontId="97" fillId="0" borderId="0" applyFont="0" applyFill="0" applyBorder="0" applyAlignment="0" applyProtection="0"/>
    <xf numFmtId="43" fontId="10"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58" fontId="2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58" fontId="25"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 fillId="0" borderId="0" applyFont="0" applyFill="0" applyBorder="0" applyAlignment="0" applyProtection="0"/>
    <xf numFmtId="43" fontId="97" fillId="0" borderId="0" applyFont="0" applyFill="0" applyBorder="0" applyAlignment="0" applyProtection="0"/>
    <xf numFmtId="193" fontId="25" fillId="0" borderId="0" applyFill="0" applyBorder="0" applyProtection="0">
      <alignment vertical="top"/>
    </xf>
    <xf numFmtId="184" fontId="22" fillId="0" borderId="0" applyFont="0" applyFill="0" applyBorder="0" applyAlignment="0" applyProtection="0"/>
    <xf numFmtId="43" fontId="25" fillId="0" borderId="0" applyFont="0" applyFill="0" applyBorder="0" applyAlignment="0" applyProtection="0"/>
    <xf numFmtId="242" fontId="25" fillId="0" borderId="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 fillId="0" borderId="0" applyFont="0" applyFill="0" applyBorder="0" applyAlignment="0" applyProtection="0"/>
    <xf numFmtId="25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9" fontId="25" fillId="0" borderId="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43" fontId="77" fillId="0" borderId="0" applyFont="0" applyFill="0" applyBorder="0" applyAlignment="0" applyProtection="0"/>
    <xf numFmtId="193" fontId="25" fillId="0" borderId="0" applyFill="0" applyBorder="0" applyAlignment="0" applyProtection="0"/>
    <xf numFmtId="193" fontId="25" fillId="0" borderId="0" applyFill="0" applyBorder="0" applyAlignment="0" applyProtection="0"/>
    <xf numFmtId="173" fontId="22" fillId="0" borderId="0" applyFont="0" applyFill="0" applyBorder="0" applyAlignment="0" applyProtection="0"/>
    <xf numFmtId="193" fontId="25" fillId="0" borderId="0" applyFill="0" applyBorder="0" applyAlignment="0" applyProtection="0"/>
    <xf numFmtId="165" fontId="25" fillId="0" borderId="0" applyFill="0" applyBorder="0" applyAlignment="0" applyProtection="0"/>
    <xf numFmtId="165" fontId="25" fillId="0" borderId="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250" fontId="25" fillId="0" borderId="0" applyFont="0" applyFill="0" applyBorder="0" applyAlignment="0" applyProtection="0"/>
    <xf numFmtId="258" fontId="25" fillId="0" borderId="0" applyFont="0" applyFill="0" applyBorder="0" applyAlignment="0" applyProtection="0"/>
    <xf numFmtId="193" fontId="25" fillId="0" borderId="0" applyFill="0" applyBorder="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8"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50" fontId="2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5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193" fontId="25" fillId="0" borderId="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97" fillId="0" borderId="0" applyFont="0" applyFill="0" applyBorder="0" applyAlignment="0" applyProtection="0"/>
    <xf numFmtId="43" fontId="7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84"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3" fontId="25" fillId="0" borderId="0" applyFill="0" applyBorder="0" applyProtection="0">
      <alignment vertical="top"/>
    </xf>
    <xf numFmtId="43" fontId="22" fillId="0" borderId="0" applyFont="0" applyFill="0" applyBorder="0" applyAlignment="0" applyProtection="0"/>
    <xf numFmtId="43" fontId="98"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applyFill="0" applyBorder="0" applyProtection="0">
      <alignment vertical="top"/>
    </xf>
    <xf numFmtId="43" fontId="10" fillId="0" borderId="0" applyFont="0" applyFill="0" applyBorder="0" applyAlignment="0" applyProtection="0"/>
    <xf numFmtId="0"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33" fillId="0" borderId="0">
      <alignment vertical="top"/>
    </xf>
    <xf numFmtId="184" fontId="22"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193" fontId="25" fillId="0" borderId="0" applyFill="0" applyBorder="0" applyProtection="0">
      <alignment vertical="top"/>
    </xf>
    <xf numFmtId="193" fontId="25" fillId="0" borderId="0" applyFill="0" applyBorder="0" applyProtection="0">
      <alignment vertical="top"/>
    </xf>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2" fillId="0" borderId="0" applyFont="0" applyFill="0" applyBorder="0" applyAlignment="0" applyProtection="0"/>
    <xf numFmtId="43"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180"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87" fillId="0" borderId="0" applyFont="0" applyFill="0" applyBorder="0" applyAlignment="0" applyProtection="0"/>
    <xf numFmtId="43" fontId="98"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8" fillId="0" borderId="0" applyFont="0" applyFill="0" applyBorder="0" applyAlignment="0" applyProtection="0"/>
    <xf numFmtId="43"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87"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165" fontId="81" fillId="0" borderId="0" applyFont="0" applyFill="0" applyBorder="0" applyAlignment="0" applyProtection="0"/>
    <xf numFmtId="193" fontId="25" fillId="0" borderId="0" applyFill="0" applyBorder="0" applyProtection="0">
      <alignment vertical="top"/>
    </xf>
    <xf numFmtId="180" fontId="25" fillId="0" borderId="0" applyFont="0" applyFill="0" applyBorder="0" applyAlignment="0" applyProtection="0"/>
    <xf numFmtId="43" fontId="187" fillId="0" borderId="0" applyFont="0" applyFill="0" applyBorder="0" applyAlignment="0" applyProtection="0"/>
    <xf numFmtId="180" fontId="25" fillId="0" borderId="0" applyFont="0" applyFill="0" applyBorder="0" applyAlignment="0" applyProtection="0"/>
    <xf numFmtId="43" fontId="25"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97" fillId="0" borderId="0" applyFont="0" applyFill="0" applyBorder="0" applyAlignment="0" applyProtection="0"/>
    <xf numFmtId="43" fontId="187" fillId="0" borderId="0" applyFont="0" applyFill="0" applyBorder="0" applyAlignment="0" applyProtection="0"/>
    <xf numFmtId="184" fontId="25" fillId="0" borderId="0" applyFont="0" applyFill="0" applyBorder="0" applyAlignment="0" applyProtection="0"/>
    <xf numFmtId="43" fontId="10" fillId="0" borderId="0" applyFont="0" applyFill="0" applyBorder="0" applyAlignment="0" applyProtection="0"/>
    <xf numFmtId="43" fontId="18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7" fillId="0" borderId="0" applyFont="0" applyFill="0" applyBorder="0" applyAlignment="0" applyProtection="0"/>
    <xf numFmtId="43" fontId="187" fillId="0" borderId="0" applyFont="0" applyFill="0" applyBorder="0" applyAlignment="0" applyProtection="0"/>
    <xf numFmtId="184"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25" fillId="0" borderId="0" applyFont="0" applyFill="0" applyBorder="0" applyAlignment="0" applyProtection="0"/>
    <xf numFmtId="193" fontId="25" fillId="0" borderId="0" applyFill="0" applyBorder="0" applyProtection="0">
      <alignment vertical="top"/>
    </xf>
    <xf numFmtId="184" fontId="22" fillId="0" borderId="0" applyFont="0" applyFill="0" applyBorder="0" applyAlignment="0" applyProtection="0"/>
    <xf numFmtId="193" fontId="25" fillId="0" borderId="0" applyFill="0" applyBorder="0" applyProtection="0">
      <alignment vertical="top"/>
    </xf>
    <xf numFmtId="245" fontId="25" fillId="0" borderId="0" applyFill="0" applyBorder="0" applyProtection="0">
      <alignment vertical="top"/>
    </xf>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98" fillId="0" borderId="0" applyFont="0" applyFill="0" applyBorder="0" applyAlignment="0" applyProtection="0"/>
    <xf numFmtId="43" fontId="77" fillId="0" borderId="0" applyFont="0" applyFill="0" applyBorder="0" applyAlignment="0" applyProtection="0"/>
    <xf numFmtId="43" fontId="9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230" fontId="25" fillId="0" borderId="0" applyFill="0" applyBorder="0" applyProtection="0">
      <alignment vertical="top"/>
    </xf>
    <xf numFmtId="43" fontId="22" fillId="0" borderId="0" applyFont="0" applyFill="0" applyBorder="0" applyAlignment="0" applyProtection="0"/>
    <xf numFmtId="43" fontId="22" fillId="0" borderId="0" applyFont="0" applyFill="0" applyBorder="0" applyAlignment="0" applyProtection="0"/>
    <xf numFmtId="173" fontId="25" fillId="0" borderId="0" applyFont="0" applyFill="0" applyBorder="0" applyAlignment="0" applyProtection="0"/>
    <xf numFmtId="165" fontId="8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79" fillId="0" borderId="0" applyFont="0" applyFill="0" applyBorder="0" applyAlignment="0" applyProtection="0"/>
    <xf numFmtId="193" fontId="25" fillId="0" borderId="0" applyFill="0" applyBorder="0" applyProtection="0">
      <alignment vertical="top"/>
    </xf>
    <xf numFmtId="198" fontId="25" fillId="0" borderId="0" applyFont="0" applyFill="0" applyBorder="0" applyAlignment="0" applyProtection="0"/>
    <xf numFmtId="43" fontId="25" fillId="0" borderId="0" applyFont="0" applyFill="0" applyBorder="0" applyAlignment="0" applyProtection="0"/>
    <xf numFmtId="198"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3" fontId="25" fillId="0" borderId="0" applyFill="0" applyBorder="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3" fontId="25" fillId="0" borderId="0" applyFill="0" applyBorder="0" applyProtection="0">
      <alignment vertical="top"/>
    </xf>
    <xf numFmtId="43" fontId="25" fillId="0" borderId="0" applyFont="0" applyFill="0" applyBorder="0" applyAlignment="0" applyProtection="0"/>
    <xf numFmtId="165" fontId="81"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81" fillId="0" borderId="0" applyFont="0" applyFill="0" applyBorder="0" applyAlignment="0" applyProtection="0"/>
    <xf numFmtId="43" fontId="77" fillId="0" borderId="0" applyFont="0" applyFill="0" applyBorder="0" applyAlignment="0" applyProtection="0"/>
    <xf numFmtId="184" fontId="8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7" fillId="0" borderId="0" applyFont="0" applyFill="0" applyBorder="0" applyAlignment="0" applyProtection="0"/>
    <xf numFmtId="43" fontId="1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0" fillId="0" borderId="0" applyFont="0" applyFill="0" applyBorder="0" applyAlignment="0" applyProtection="0"/>
    <xf numFmtId="43" fontId="18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0" fontId="25" fillId="0" borderId="0" applyFon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238" fontId="25" fillId="0" borderId="0" applyFont="0" applyFill="0" applyBorder="0" applyAlignment="0" applyProtection="0"/>
    <xf numFmtId="44" fontId="10" fillId="0" borderId="0" applyFont="0" applyFill="0" applyBorder="0" applyAlignment="0" applyProtection="0"/>
    <xf numFmtId="223" fontId="25" fillId="0" borderId="0" applyFill="0" applyBorder="0" applyProtection="0">
      <alignment vertical="top"/>
    </xf>
    <xf numFmtId="254" fontId="25" fillId="0" borderId="0" applyFont="0" applyFill="0" applyBorder="0" applyAlignment="0" applyProtection="0"/>
    <xf numFmtId="254" fontId="25" fillId="0" borderId="0" applyFont="0" applyFill="0" applyBorder="0" applyAlignment="0" applyProtection="0"/>
    <xf numFmtId="255" fontId="77" fillId="0" borderId="0" applyFont="0" applyFill="0" applyBorder="0" applyAlignment="0" applyProtection="0"/>
    <xf numFmtId="255" fontId="77" fillId="0" borderId="0" applyFon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203" fontId="77" fillId="0" borderId="0" applyFont="0" applyFill="0" applyBorder="0" applyAlignment="0" applyProtection="0"/>
    <xf numFmtId="224" fontId="25" fillId="0" borderId="0" applyFill="0" applyBorder="0" applyAlignment="0" applyProtection="0"/>
    <xf numFmtId="203" fontId="77" fillId="0" borderId="0" applyFont="0" applyFill="0" applyBorder="0" applyAlignment="0" applyProtection="0"/>
    <xf numFmtId="203" fontId="77" fillId="0" borderId="0" applyFont="0" applyFill="0" applyBorder="0" applyAlignment="0" applyProtection="0"/>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170" fontId="77" fillId="0" borderId="0">
      <protection locked="0"/>
    </xf>
    <xf numFmtId="170" fontId="77" fillId="0" borderId="0">
      <protection locked="0"/>
    </xf>
    <xf numFmtId="237" fontId="169" fillId="0" borderId="0">
      <protection locked="0"/>
    </xf>
    <xf numFmtId="237" fontId="169" fillId="0" borderId="0">
      <protection locked="0"/>
    </xf>
    <xf numFmtId="237" fontId="169" fillId="0" borderId="0">
      <protection locked="0"/>
    </xf>
    <xf numFmtId="170" fontId="77" fillId="0" borderId="0">
      <protection locked="0"/>
    </xf>
    <xf numFmtId="208" fontId="78" fillId="0" borderId="0"/>
    <xf numFmtId="188" fontId="31" fillId="0" borderId="0" applyFont="0" applyFill="0" applyBorder="0" applyAlignment="0" applyProtection="0"/>
    <xf numFmtId="197" fontId="25" fillId="0" borderId="0" applyFill="0" applyBorder="0" applyAlignment="0"/>
    <xf numFmtId="186" fontId="25" fillId="0" borderId="0" applyFont="0" applyFill="0" applyBorder="0" applyAlignment="0" applyProtection="0"/>
    <xf numFmtId="231" fontId="25" fillId="0" borderId="0" applyFill="0" applyBorder="0" applyProtection="0">
      <alignment vertical="top"/>
    </xf>
    <xf numFmtId="186" fontId="25" fillId="0" borderId="0" applyFont="0" applyFill="0" applyBorder="0" applyAlignment="0" applyProtection="0"/>
    <xf numFmtId="259" fontId="25" fillId="0" borderId="0" applyFont="0" applyFill="0" applyBorder="0" applyAlignment="0" applyProtection="0"/>
    <xf numFmtId="231" fontId="25" fillId="0" borderId="0" applyFill="0" applyBorder="0" applyProtection="0">
      <alignment vertical="top"/>
    </xf>
    <xf numFmtId="233" fontId="25" fillId="0" borderId="0" applyFont="0" applyFill="0" applyBorder="0" applyAlignment="0" applyProtection="0"/>
    <xf numFmtId="259" fontId="25" fillId="0" borderId="0" applyFont="0" applyFill="0" applyBorder="0" applyAlignment="0" applyProtection="0"/>
    <xf numFmtId="186" fontId="164" fillId="0" borderId="0" applyFont="0" applyFill="0" applyBorder="0" applyAlignment="0" applyProtection="0"/>
    <xf numFmtId="186" fontId="164" fillId="0" borderId="0" applyFont="0" applyFill="0" applyBorder="0" applyAlignment="0" applyProtection="0"/>
    <xf numFmtId="231" fontId="25" fillId="0" borderId="0" applyFill="0" applyBorder="0" applyAlignment="0" applyProtection="0"/>
    <xf numFmtId="231" fontId="25" fillId="0" borderId="0" applyFill="0" applyBorder="0" applyAlignment="0" applyProtection="0"/>
    <xf numFmtId="231" fontId="25" fillId="0" borderId="0" applyFill="0" applyBorder="0" applyAlignment="0" applyProtection="0"/>
    <xf numFmtId="231" fontId="25" fillId="0" borderId="0" applyFill="0" applyBorder="0" applyProtection="0">
      <alignment vertical="top"/>
    </xf>
    <xf numFmtId="186" fontId="164" fillId="0" borderId="0" applyFont="0" applyFill="0" applyBorder="0" applyAlignment="0" applyProtection="0"/>
    <xf numFmtId="0" fontId="104" fillId="0" borderId="0" applyNumberFormat="0" applyFill="0" applyBorder="0" applyProtection="0">
      <alignment vertical="top"/>
    </xf>
    <xf numFmtId="0" fontId="105" fillId="80" borderId="0" applyNumberFormat="0" applyBorder="0" applyProtection="0">
      <alignment vertical="top"/>
    </xf>
    <xf numFmtId="0" fontId="105" fillId="80" borderId="0" applyNumberFormat="0" applyBorder="0" applyAlignment="0" applyProtection="0"/>
    <xf numFmtId="0" fontId="30" fillId="69" borderId="0" applyNumberFormat="0" applyBorder="0" applyAlignment="0" applyProtection="0"/>
    <xf numFmtId="38" fontId="30" fillId="2" borderId="0" applyNumberFormat="0" applyBorder="0" applyAlignment="0" applyProtection="0"/>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83" applyNumberFormat="0" applyAlignment="0" applyProtection="0"/>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83" applyNumberFormat="0" applyAlignment="0" applyProtection="0"/>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107" applyNumberFormat="0" applyAlignment="0" applyProtection="0">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8">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8">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8">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10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32" fillId="0" borderId="39">
      <alignment horizontal="left" vertical="center"/>
    </xf>
    <xf numFmtId="0" fontId="106" fillId="0" borderId="85" applyNumberFormat="0" applyFill="0" applyProtection="0">
      <alignment vertical="top"/>
    </xf>
    <xf numFmtId="0" fontId="107" fillId="0" borderId="87" applyNumberFormat="0" applyFill="0" applyProtection="0">
      <alignment vertical="top"/>
    </xf>
    <xf numFmtId="0" fontId="108" fillId="0" borderId="88" applyNumberFormat="0" applyFill="0" applyProtection="0">
      <alignment vertical="top"/>
    </xf>
    <xf numFmtId="0" fontId="108" fillId="0" borderId="0" applyNumberFormat="0" applyFill="0" applyBorder="0" applyProtection="0">
      <alignment vertical="top"/>
    </xf>
    <xf numFmtId="256" fontId="25" fillId="0" borderId="0">
      <protection locked="0"/>
    </xf>
    <xf numFmtId="256" fontId="25" fillId="0" borderId="0">
      <protection locked="0"/>
    </xf>
    <xf numFmtId="227" fontId="25" fillId="0" borderId="0">
      <protection locked="0"/>
    </xf>
    <xf numFmtId="227" fontId="25" fillId="0" borderId="0">
      <protection locked="0"/>
    </xf>
    <xf numFmtId="227" fontId="25" fillId="0" borderId="0">
      <protection locked="0"/>
    </xf>
    <xf numFmtId="256" fontId="25" fillId="0" borderId="0">
      <protection locked="0"/>
    </xf>
    <xf numFmtId="256" fontId="25" fillId="0" borderId="0">
      <protection locked="0"/>
    </xf>
    <xf numFmtId="256" fontId="25" fillId="0" borderId="0">
      <protection locked="0"/>
    </xf>
    <xf numFmtId="227" fontId="25" fillId="0" borderId="0">
      <protection locked="0"/>
    </xf>
    <xf numFmtId="227" fontId="25" fillId="0" borderId="0">
      <protection locked="0"/>
    </xf>
    <xf numFmtId="227" fontId="25" fillId="0" borderId="0">
      <protection locked="0"/>
    </xf>
    <xf numFmtId="256" fontId="25" fillId="0" borderId="0">
      <protection locked="0"/>
    </xf>
    <xf numFmtId="0" fontId="213"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xf numFmtId="0" fontId="208" fillId="0" borderId="0" applyNumberFormat="0" applyFill="0" applyBorder="0" applyAlignment="0" applyProtection="0"/>
    <xf numFmtId="0" fontId="214" fillId="0" borderId="0" applyNumberFormat="0" applyFill="0" applyBorder="0" applyAlignment="0" applyProtection="0">
      <alignment vertical="top"/>
      <protection locked="0"/>
    </xf>
    <xf numFmtId="0" fontId="171" fillId="0" borderId="0" applyNumberFormat="0" applyFill="0" applyBorder="0" applyAlignment="0" applyProtection="0"/>
    <xf numFmtId="0" fontId="171" fillId="0" borderId="0" applyNumberFormat="0" applyFill="0" applyBorder="0" applyAlignment="0" applyProtection="0"/>
    <xf numFmtId="0" fontId="214"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186" fillId="0" borderId="0" applyNumberFormat="0" applyFill="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1" borderId="104" applyNumberFormat="0" applyBorder="0" applyAlignment="0" applyProtection="0"/>
    <xf numFmtId="0" fontId="30" fillId="72" borderId="0"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0"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1" borderId="104" applyNumberFormat="0" applyBorder="0" applyAlignment="0" applyProtection="0"/>
    <xf numFmtId="10" fontId="30" fillId="70" borderId="104" applyNumberFormat="0" applyBorder="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99" fillId="17" borderId="72"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99" fillId="17" borderId="72"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99" fillId="17" borderId="72"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83" borderId="105" applyNumberFormat="0" applyProtection="0">
      <alignment vertical="top"/>
    </xf>
    <xf numFmtId="0" fontId="109" fillId="83" borderId="105" applyNumberFormat="0" applyProtection="0">
      <alignment vertical="top"/>
    </xf>
    <xf numFmtId="0" fontId="109" fillId="83" borderId="105" applyNumberFormat="0" applyProtection="0">
      <alignment vertical="top"/>
    </xf>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0" fontId="109" fillId="46" borderId="105" applyNumberFormat="0" applyAlignment="0" applyProtection="0"/>
    <xf numFmtId="204" fontId="25" fillId="0" borderId="0"/>
    <xf numFmtId="225" fontId="25" fillId="0" borderId="0"/>
    <xf numFmtId="204" fontId="25" fillId="0" borderId="0"/>
    <xf numFmtId="199" fontId="48" fillId="0" borderId="0"/>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84" fillId="73" borderId="106"/>
    <xf numFmtId="0" fontId="184" fillId="73" borderId="106"/>
    <xf numFmtId="0" fontId="157" fillId="73" borderId="106"/>
    <xf numFmtId="0" fontId="157" fillId="73" borderId="106"/>
    <xf numFmtId="0" fontId="157" fillId="73" borderId="106"/>
    <xf numFmtId="0" fontId="157" fillId="73" borderId="106"/>
    <xf numFmtId="0" fontId="184" fillId="73" borderId="106"/>
    <xf numFmtId="0" fontId="184"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84" fillId="73" borderId="106"/>
    <xf numFmtId="0" fontId="184" fillId="73" borderId="106"/>
    <xf numFmtId="0" fontId="157" fillId="73" borderId="106"/>
    <xf numFmtId="0" fontId="184" fillId="73" borderId="106"/>
    <xf numFmtId="0" fontId="157" fillId="73" borderId="106"/>
    <xf numFmtId="0" fontId="184"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84" fillId="73" borderId="106"/>
    <xf numFmtId="0" fontId="184"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57"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57"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0" fontId="184" fillId="73" borderId="106"/>
    <xf numFmtId="197" fontId="25" fillId="0" borderId="0" applyFill="0" applyBorder="0" applyAlignment="0"/>
    <xf numFmtId="0" fontId="110" fillId="0" borderId="90" applyNumberFormat="0" applyFill="0" applyProtection="0">
      <alignment vertical="top"/>
    </xf>
    <xf numFmtId="187" fontId="78" fillId="0" borderId="0" applyFill="0" applyBorder="0">
      <alignment horizontal="center" vertical="top"/>
    </xf>
    <xf numFmtId="213" fontId="78" fillId="0" borderId="0" applyFill="0" applyBorder="0">
      <alignment horizontal="center" vertical="top"/>
    </xf>
    <xf numFmtId="0" fontId="111" fillId="97" borderId="0" applyNumberFormat="0" applyBorder="0" applyProtection="0">
      <alignment vertical="top"/>
    </xf>
    <xf numFmtId="0" fontId="111" fillId="97" borderId="0" applyNumberFormat="0" applyBorder="0" applyAlignment="0" applyProtection="0"/>
    <xf numFmtId="0" fontId="202" fillId="0" borderId="0"/>
    <xf numFmtId="0" fontId="155" fillId="0" borderId="0"/>
    <xf numFmtId="0" fontId="2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77" fillId="0" borderId="0"/>
    <xf numFmtId="0" fontId="10" fillId="0" borderId="0"/>
    <xf numFmtId="0" fontId="77"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alignment vertical="top"/>
    </xf>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3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lignment vertical="top"/>
    </xf>
    <xf numFmtId="0" fontId="10" fillId="0" borderId="0"/>
    <xf numFmtId="0" fontId="10" fillId="0" borderId="0"/>
    <xf numFmtId="0" fontId="10" fillId="0" borderId="0"/>
    <xf numFmtId="0" fontId="10" fillId="0" borderId="0"/>
    <xf numFmtId="0" fontId="77"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77" fillId="0" borderId="0"/>
    <xf numFmtId="0" fontId="25" fillId="0" borderId="0">
      <alignment vertical="top"/>
    </xf>
    <xf numFmtId="0" fontId="9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0" fillId="0" borderId="0"/>
    <xf numFmtId="0" fontId="10" fillId="0" borderId="0"/>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77"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77" fillId="0" borderId="0">
      <alignment vertical="top"/>
    </xf>
    <xf numFmtId="0" fontId="25" fillId="0" borderId="0"/>
    <xf numFmtId="0" fontId="77" fillId="0" borderId="0">
      <alignment vertical="top"/>
    </xf>
    <xf numFmtId="0" fontId="10" fillId="0" borderId="0"/>
    <xf numFmtId="0" fontId="10" fillId="0" borderId="0"/>
    <xf numFmtId="0" fontId="10" fillId="0" borderId="0"/>
    <xf numFmtId="0" fontId="77" fillId="0" borderId="0">
      <alignment vertical="top"/>
    </xf>
    <xf numFmtId="0" fontId="25" fillId="0" borderId="0"/>
    <xf numFmtId="0" fontId="10" fillId="0" borderId="0"/>
    <xf numFmtId="0" fontId="77" fillId="0" borderId="0"/>
    <xf numFmtId="0" fontId="187" fillId="0" borderId="0"/>
    <xf numFmtId="0" fontId="10" fillId="0" borderId="0"/>
    <xf numFmtId="0" fontId="10" fillId="0" borderId="0"/>
    <xf numFmtId="0" fontId="10" fillId="0" borderId="0"/>
    <xf numFmtId="0" fontId="25" fillId="0" borderId="0"/>
    <xf numFmtId="0" fontId="10" fillId="0" borderId="0"/>
    <xf numFmtId="0" fontId="10" fillId="0" borderId="0"/>
    <xf numFmtId="0" fontId="77" fillId="0" borderId="0"/>
    <xf numFmtId="0" fontId="77" fillId="0" borderId="0"/>
    <xf numFmtId="0" fontId="25" fillId="0" borderId="0">
      <alignment vertical="top"/>
    </xf>
    <xf numFmtId="0" fontId="173" fillId="0" borderId="0"/>
    <xf numFmtId="0" fontId="10" fillId="0" borderId="0"/>
    <xf numFmtId="0" fontId="10" fillId="0" borderId="0"/>
    <xf numFmtId="0" fontId="10" fillId="0" borderId="0"/>
    <xf numFmtId="0" fontId="77" fillId="0" borderId="0"/>
    <xf numFmtId="0" fontId="98" fillId="0" borderId="0"/>
    <xf numFmtId="0" fontId="173" fillId="0" borderId="0"/>
    <xf numFmtId="0" fontId="98" fillId="0" borderId="0"/>
    <xf numFmtId="0" fontId="25" fillId="0" borderId="0"/>
    <xf numFmtId="0" fontId="173" fillId="0" borderId="0"/>
    <xf numFmtId="0" fontId="97" fillId="0" borderId="0"/>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8" fillId="0" borderId="0"/>
    <xf numFmtId="0" fontId="25" fillId="0" borderId="0"/>
    <xf numFmtId="0" fontId="25" fillId="0" borderId="0"/>
    <xf numFmtId="0" fontId="25" fillId="0" borderId="0"/>
    <xf numFmtId="0" fontId="77" fillId="0" borderId="0"/>
    <xf numFmtId="0" fontId="25" fillId="0" borderId="0">
      <alignment vertical="top"/>
    </xf>
    <xf numFmtId="0" fontId="25" fillId="0" borderId="0">
      <alignment vertical="top"/>
    </xf>
    <xf numFmtId="0" fontId="25" fillId="0" borderId="0"/>
    <xf numFmtId="0" fontId="25" fillId="0" borderId="0"/>
    <xf numFmtId="0" fontId="77" fillId="0" borderId="0"/>
    <xf numFmtId="0" fontId="10" fillId="0" borderId="0"/>
    <xf numFmtId="0" fontId="97" fillId="0" borderId="0"/>
    <xf numFmtId="0" fontId="33" fillId="0" borderId="0">
      <alignment vertical="top"/>
    </xf>
    <xf numFmtId="0" fontId="33" fillId="0" borderId="0">
      <alignment vertical="top"/>
    </xf>
    <xf numFmtId="0" fontId="10" fillId="0" borderId="0"/>
    <xf numFmtId="0" fontId="187" fillId="0" borderId="0"/>
    <xf numFmtId="0" fontId="187" fillId="0" borderId="0"/>
    <xf numFmtId="0" fontId="10" fillId="0" borderId="0"/>
    <xf numFmtId="0" fontId="98"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25" fillId="0" borderId="0"/>
    <xf numFmtId="0" fontId="10" fillId="0" borderId="0"/>
    <xf numFmtId="0" fontId="10" fillId="0" borderId="0"/>
    <xf numFmtId="0" fontId="22" fillId="0" borderId="0"/>
    <xf numFmtId="0" fontId="97" fillId="0" borderId="0"/>
    <xf numFmtId="0" fontId="77" fillId="0" borderId="0"/>
    <xf numFmtId="0" fontId="25" fillId="0" borderId="0"/>
    <xf numFmtId="0" fontId="22" fillId="0" borderId="0"/>
    <xf numFmtId="0" fontId="22" fillId="0" borderId="0"/>
    <xf numFmtId="0" fontId="25" fillId="0" borderId="0">
      <alignment vertical="top"/>
    </xf>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alignment vertical="top"/>
    </xf>
    <xf numFmtId="0" fontId="25" fillId="0" borderId="0"/>
    <xf numFmtId="0" fontId="25" fillId="0" borderId="0"/>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lignment vertical="top"/>
    </xf>
    <xf numFmtId="0" fontId="25" fillId="0" borderId="0">
      <alignment vertical="top"/>
    </xf>
    <xf numFmtId="0" fontId="10" fillId="0" borderId="0"/>
    <xf numFmtId="0" fontId="10" fillId="0" borderId="0"/>
    <xf numFmtId="0" fontId="10" fillId="0" borderId="0"/>
    <xf numFmtId="0" fontId="10" fillId="0" borderId="0"/>
    <xf numFmtId="0" fontId="187"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7"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8" fillId="0" borderId="0"/>
    <xf numFmtId="0" fontId="97" fillId="0" borderId="0"/>
    <xf numFmtId="0" fontId="10" fillId="0" borderId="0"/>
    <xf numFmtId="0" fontId="10" fillId="0" borderId="0"/>
    <xf numFmtId="0" fontId="10" fillId="0" borderId="0"/>
    <xf numFmtId="0" fontId="9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7" fillId="0" borderId="0"/>
    <xf numFmtId="0" fontId="97" fillId="0" borderId="0"/>
    <xf numFmtId="0" fontId="25" fillId="0" borderId="0"/>
    <xf numFmtId="0" fontId="25" fillId="0" borderId="0"/>
    <xf numFmtId="0" fontId="77" fillId="0" borderId="0"/>
    <xf numFmtId="0" fontId="25" fillId="0" borderId="0"/>
    <xf numFmtId="0" fontId="98" fillId="0" borderId="0"/>
    <xf numFmtId="0" fontId="77" fillId="0" borderId="0"/>
    <xf numFmtId="0" fontId="98"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alignment vertical="top"/>
    </xf>
    <xf numFmtId="0" fontId="97" fillId="0" borderId="0"/>
    <xf numFmtId="0" fontId="97" fillId="0" borderId="0"/>
    <xf numFmtId="0" fontId="187" fillId="0" borderId="0"/>
    <xf numFmtId="0" fontId="25" fillId="0" borderId="0"/>
    <xf numFmtId="0" fontId="25" fillId="0" borderId="0">
      <alignment vertical="top"/>
    </xf>
    <xf numFmtId="0" fontId="1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77" fillId="0" borderId="0"/>
    <xf numFmtId="0" fontId="187" fillId="0" borderId="0"/>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87" fillId="0" borderId="0"/>
    <xf numFmtId="0" fontId="187" fillId="0" borderId="0"/>
    <xf numFmtId="0" fontId="10" fillId="0" borderId="0"/>
    <xf numFmtId="0" fontId="10" fillId="0" borderId="0"/>
    <xf numFmtId="0" fontId="25" fillId="0" borderId="0"/>
    <xf numFmtId="0" fontId="187"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85" fillId="0" borderId="0"/>
    <xf numFmtId="0" fontId="1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77" fillId="0" borderId="0"/>
    <xf numFmtId="0" fontId="25" fillId="0" borderId="0"/>
    <xf numFmtId="0" fontId="25" fillId="0" borderId="0">
      <alignment vertical="top"/>
    </xf>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8" fillId="0" borderId="0"/>
    <xf numFmtId="0" fontId="125" fillId="0" borderId="0"/>
    <xf numFmtId="0" fontId="125" fillId="0" borderId="0"/>
    <xf numFmtId="0" fontId="97" fillId="0" borderId="0"/>
    <xf numFmtId="0" fontId="97" fillId="0" borderId="0"/>
    <xf numFmtId="0" fontId="125" fillId="0" borderId="0"/>
    <xf numFmtId="0" fontId="10" fillId="0" borderId="0"/>
    <xf numFmtId="0" fontId="33" fillId="0" borderId="0">
      <alignment vertical="top"/>
    </xf>
    <xf numFmtId="0" fontId="33" fillId="0" borderId="0">
      <alignment vertical="top"/>
    </xf>
    <xf numFmtId="0" fontId="187" fillId="0" borderId="0"/>
    <xf numFmtId="0" fontId="97" fillId="0" borderId="0"/>
    <xf numFmtId="0" fontId="187" fillId="0" borderId="0"/>
    <xf numFmtId="0" fontId="25" fillId="0" borderId="0"/>
    <xf numFmtId="0" fontId="187" fillId="0" borderId="0"/>
    <xf numFmtId="0" fontId="25" fillId="0" borderId="0"/>
    <xf numFmtId="0" fontId="187" fillId="0" borderId="0"/>
    <xf numFmtId="0" fontId="10" fillId="0" borderId="0"/>
    <xf numFmtId="0" fontId="10" fillId="0" borderId="0"/>
    <xf numFmtId="0" fontId="10" fillId="0" borderId="0"/>
    <xf numFmtId="0" fontId="10" fillId="0" borderId="0"/>
    <xf numFmtId="0" fontId="187" fillId="0" borderId="0"/>
    <xf numFmtId="0" fontId="77" fillId="0" borderId="0"/>
    <xf numFmtId="0" fontId="77" fillId="0" borderId="0"/>
    <xf numFmtId="0" fontId="97" fillId="0" borderId="0"/>
    <xf numFmtId="0" fontId="77" fillId="0" borderId="0"/>
    <xf numFmtId="0" fontId="10" fillId="0" borderId="0"/>
    <xf numFmtId="0" fontId="10" fillId="0" borderId="0"/>
    <xf numFmtId="0" fontId="22" fillId="0" borderId="0"/>
    <xf numFmtId="0" fontId="10" fillId="0" borderId="0"/>
    <xf numFmtId="0" fontId="25" fillId="0" borderId="0">
      <alignment vertical="top"/>
    </xf>
    <xf numFmtId="0" fontId="77" fillId="0" borderId="0"/>
    <xf numFmtId="0" fontId="25" fillId="0" borderId="0">
      <alignment vertical="top"/>
    </xf>
    <xf numFmtId="0" fontId="25" fillId="0" borderId="0">
      <alignment vertical="top"/>
    </xf>
    <xf numFmtId="0" fontId="25" fillId="0" borderId="0"/>
    <xf numFmtId="0" fontId="77" fillId="0" borderId="0"/>
    <xf numFmtId="0" fontId="25" fillId="0" borderId="0"/>
    <xf numFmtId="0" fontId="119" fillId="0" borderId="0"/>
    <xf numFmtId="0" fontId="25" fillId="0" borderId="0"/>
    <xf numFmtId="0" fontId="77" fillId="0" borderId="0"/>
    <xf numFmtId="0" fontId="25" fillId="0" borderId="0">
      <alignment vertical="top"/>
    </xf>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87" fillId="0" borderId="0"/>
    <xf numFmtId="0" fontId="187" fillId="0" borderId="0"/>
    <xf numFmtId="0" fontId="187" fillId="0" borderId="0"/>
    <xf numFmtId="0" fontId="10" fillId="0" borderId="0"/>
    <xf numFmtId="0" fontId="10" fillId="0" borderId="0"/>
    <xf numFmtId="0" fontId="10" fillId="0" borderId="0"/>
    <xf numFmtId="0" fontId="10"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5" fillId="0" borderId="0">
      <alignment vertical="top"/>
    </xf>
    <xf numFmtId="0" fontId="25" fillId="0" borderId="0"/>
    <xf numFmtId="0" fontId="25" fillId="0" borderId="0"/>
    <xf numFmtId="0" fontId="25" fillId="0" borderId="0">
      <alignment vertical="top"/>
    </xf>
    <xf numFmtId="0" fontId="10" fillId="0" borderId="0"/>
    <xf numFmtId="0" fontId="10" fillId="0" borderId="0"/>
    <xf numFmtId="0" fontId="10" fillId="0" borderId="0"/>
    <xf numFmtId="0" fontId="25" fillId="0" borderId="0">
      <alignment vertical="top"/>
    </xf>
    <xf numFmtId="0" fontId="10" fillId="0" borderId="0"/>
    <xf numFmtId="0" fontId="25" fillId="0" borderId="0"/>
    <xf numFmtId="0" fontId="25" fillId="0" borderId="0"/>
    <xf numFmtId="0" fontId="10" fillId="0" borderId="0"/>
    <xf numFmtId="0" fontId="77" fillId="0" borderId="0">
      <alignment vertical="top"/>
    </xf>
    <xf numFmtId="0" fontId="10" fillId="0" borderId="0"/>
    <xf numFmtId="0" fontId="25" fillId="0" borderId="0">
      <alignment vertical="top"/>
    </xf>
    <xf numFmtId="0" fontId="10" fillId="0" borderId="0"/>
    <xf numFmtId="0" fontId="10" fillId="0" borderId="0"/>
    <xf numFmtId="0" fontId="10" fillId="0" borderId="0"/>
    <xf numFmtId="0" fontId="10" fillId="0" borderId="0"/>
    <xf numFmtId="0" fontId="10" fillId="0" borderId="0"/>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9" fillId="0" borderId="0"/>
    <xf numFmtId="0" fontId="119"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77" fillId="0" borderId="0">
      <alignment vertical="top"/>
    </xf>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77"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25"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85" fillId="0" borderId="0"/>
    <xf numFmtId="0" fontId="185" fillId="0" borderId="0"/>
    <xf numFmtId="0" fontId="10" fillId="0" borderId="0"/>
    <xf numFmtId="0" fontId="187"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alignment vertical="top"/>
    </xf>
    <xf numFmtId="0" fontId="22" fillId="0" borderId="0"/>
    <xf numFmtId="0" fontId="10" fillId="0" borderId="0"/>
    <xf numFmtId="0" fontId="10" fillId="0" borderId="0"/>
    <xf numFmtId="0" fontId="10" fillId="0" borderId="0"/>
    <xf numFmtId="0" fontId="22" fillId="0" borderId="0"/>
    <xf numFmtId="0" fontId="211" fillId="0" borderId="0"/>
    <xf numFmtId="0" fontId="25" fillId="0" borderId="0">
      <alignment vertical="top"/>
    </xf>
    <xf numFmtId="0" fontId="98" fillId="0" borderId="0"/>
    <xf numFmtId="0" fontId="25" fillId="0" borderId="0">
      <alignment vertical="top"/>
    </xf>
    <xf numFmtId="0" fontId="119" fillId="0" borderId="0"/>
    <xf numFmtId="0" fontId="119" fillId="0" borderId="0"/>
    <xf numFmtId="0" fontId="25" fillId="0" borderId="0"/>
    <xf numFmtId="0" fontId="25" fillId="0" borderId="0"/>
    <xf numFmtId="0" fontId="25" fillId="0" borderId="0"/>
    <xf numFmtId="0" fontId="119" fillId="0" borderId="0"/>
    <xf numFmtId="0" fontId="77" fillId="0" borderId="0"/>
    <xf numFmtId="0" fontId="25" fillId="0" borderId="0">
      <alignment vertical="top"/>
    </xf>
    <xf numFmtId="0" fontId="77" fillId="0" borderId="0"/>
    <xf numFmtId="0" fontId="10" fillId="0" borderId="0"/>
    <xf numFmtId="0" fontId="10" fillId="0" borderId="0"/>
    <xf numFmtId="0" fontId="10" fillId="0" borderId="0"/>
    <xf numFmtId="0" fontId="77" fillId="0" borderId="0"/>
    <xf numFmtId="0" fontId="10" fillId="0" borderId="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77"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77"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77"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77"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77"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77"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77"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10" fillId="20" borderId="76"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10" fillId="20" borderId="76" applyNumberFormat="0" applyFont="0" applyAlignment="0" applyProtection="0"/>
    <xf numFmtId="0" fontId="10" fillId="20" borderId="76"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72" borderId="110" applyNumberFormat="0" applyProtection="0">
      <alignment vertical="top"/>
    </xf>
    <xf numFmtId="0" fontId="25" fillId="72" borderId="110" applyNumberFormat="0" applyProtection="0">
      <alignment vertical="top"/>
    </xf>
    <xf numFmtId="0" fontId="25" fillId="72" borderId="110" applyNumberFormat="0" applyProtection="0">
      <alignment vertical="top"/>
    </xf>
    <xf numFmtId="0" fontId="10" fillId="20" borderId="76"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5"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22" fillId="50" borderId="110" applyNumberFormat="0" applyFon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204" fillId="18" borderId="73"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204" fillId="18" borderId="73"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204" fillId="18" borderId="73"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69" borderId="111" applyNumberFormat="0" applyProtection="0">
      <alignment vertical="top"/>
    </xf>
    <xf numFmtId="0" fontId="112" fillId="69" borderId="111" applyNumberFormat="0" applyProtection="0">
      <alignment vertical="top"/>
    </xf>
    <xf numFmtId="0" fontId="112" fillId="69" borderId="111" applyNumberFormat="0" applyProtection="0">
      <alignment vertical="top"/>
    </xf>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12" fillId="54" borderId="111" applyNumberFormat="0" applyAlignment="0" applyProtection="0"/>
    <xf numFmtId="0" fontId="143" fillId="74" borderId="5"/>
    <xf numFmtId="0" fontId="143" fillId="74" borderId="5"/>
    <xf numFmtId="0" fontId="144" fillId="71" borderId="5"/>
    <xf numFmtId="0" fontId="144" fillId="71" borderId="5"/>
    <xf numFmtId="0" fontId="144" fillId="71" borderId="5"/>
    <xf numFmtId="0" fontId="144" fillId="71" borderId="5"/>
    <xf numFmtId="0" fontId="143" fillId="74" borderId="5"/>
    <xf numFmtId="0" fontId="143" fillId="74" borderId="5"/>
    <xf numFmtId="0" fontId="143" fillId="74" borderId="5"/>
    <xf numFmtId="0" fontId="143" fillId="74" borderId="5"/>
    <xf numFmtId="0" fontId="143" fillId="74" borderId="5"/>
    <xf numFmtId="0" fontId="143" fillId="74" borderId="5"/>
    <xf numFmtId="0" fontId="143" fillId="74" borderId="5"/>
    <xf numFmtId="0" fontId="143" fillId="74" borderId="5"/>
    <xf numFmtId="0" fontId="143" fillId="74" borderId="5"/>
    <xf numFmtId="0" fontId="143" fillId="74" borderId="5"/>
    <xf numFmtId="0" fontId="143" fillId="74" borderId="5"/>
    <xf numFmtId="0" fontId="143" fillId="74" borderId="5"/>
    <xf numFmtId="0" fontId="143" fillId="74" borderId="5"/>
    <xf numFmtId="239" fontId="25" fillId="0" borderId="0" applyFont="0" applyFill="0" applyBorder="0" applyAlignment="0" applyProtection="0"/>
    <xf numFmtId="243"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9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18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8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85" fillId="0" borderId="0" applyFont="0" applyFill="0" applyBorder="0" applyAlignment="0" applyProtection="0"/>
    <xf numFmtId="9" fontId="25" fillId="0" borderId="0" applyFont="0" applyFill="0" applyBorder="0" applyAlignment="0" applyProtection="0"/>
    <xf numFmtId="9" fontId="18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25" fillId="0" borderId="0" applyFill="0" applyBorder="0" applyAlignment="0" applyProtection="0"/>
    <xf numFmtId="9" fontId="25" fillId="0" borderId="0" applyFill="0" applyBorder="0" applyProtection="0">
      <alignment vertical="top"/>
    </xf>
    <xf numFmtId="9" fontId="25" fillId="0" borderId="0" applyFill="0" applyBorder="0" applyAlignment="0" applyProtection="0"/>
    <xf numFmtId="9" fontId="77"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97" fillId="0" borderId="0" applyFont="0" applyFill="0" applyBorder="0" applyAlignment="0" applyProtection="0"/>
    <xf numFmtId="9" fontId="97" fillId="0" borderId="0" applyFont="0" applyFill="0" applyBorder="0" applyAlignment="0" applyProtection="0"/>
    <xf numFmtId="9" fontId="77"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3" fillId="0" borderId="0" applyFont="0" applyFill="0" applyBorder="0" applyAlignment="0" applyProtection="0">
      <alignment vertical="top"/>
    </xf>
    <xf numFmtId="9" fontId="33" fillId="0" borderId="0" applyFont="0" applyFill="0" applyBorder="0" applyAlignment="0" applyProtection="0">
      <alignment vertical="top"/>
    </xf>
    <xf numFmtId="9" fontId="25" fillId="0" borderId="0" applyFont="0" applyFill="0" applyBorder="0" applyAlignment="0" applyProtection="0"/>
    <xf numFmtId="9" fontId="187" fillId="0" borderId="0" applyFont="0" applyFill="0" applyBorder="0" applyAlignment="0" applyProtection="0"/>
    <xf numFmtId="9" fontId="33" fillId="0" borderId="0" applyFont="0" applyFill="0" applyBorder="0" applyAlignment="0" applyProtection="0">
      <alignment vertical="top"/>
    </xf>
    <xf numFmtId="9" fontId="7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10"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0" fillId="0" borderId="0" applyFont="0" applyFill="0" applyBorder="0" applyAlignment="0" applyProtection="0"/>
    <xf numFmtId="9" fontId="97" fillId="0" borderId="0" applyFont="0" applyFill="0" applyBorder="0" applyAlignment="0" applyProtection="0"/>
    <xf numFmtId="9" fontId="2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7" fillId="0" borderId="0" applyFont="0" applyFill="0" applyBorder="0" applyAlignment="0" applyProtection="0"/>
    <xf numFmtId="9" fontId="25" fillId="0" borderId="0" applyFont="0" applyFill="0" applyBorder="0" applyAlignment="0" applyProtection="0"/>
    <xf numFmtId="9" fontId="187" fillId="0" borderId="0" applyFont="0" applyFill="0" applyBorder="0" applyAlignment="0" applyProtection="0"/>
    <xf numFmtId="9" fontId="22" fillId="0" borderId="0" applyFont="0" applyFill="0" applyBorder="0" applyAlignment="0" applyProtection="0"/>
    <xf numFmtId="9" fontId="25" fillId="0" borderId="0" applyFill="0" applyBorder="0" applyProtection="0">
      <alignment vertical="top"/>
    </xf>
    <xf numFmtId="9" fontId="22" fillId="0" borderId="0" applyFont="0" applyFill="0" applyBorder="0" applyAlignment="0" applyProtection="0"/>
    <xf numFmtId="9" fontId="22"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97"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7"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33" fillId="0" borderId="0" applyFont="0" applyFill="0" applyBorder="0" applyAlignment="0" applyProtection="0">
      <alignment vertical="top"/>
    </xf>
    <xf numFmtId="9" fontId="25" fillId="0" borderId="0" applyFont="0" applyFill="0" applyBorder="0" applyAlignment="0" applyProtection="0"/>
    <xf numFmtId="9" fontId="25" fillId="0" borderId="0" applyFont="0" applyFill="0" applyBorder="0" applyAlignment="0" applyProtection="0"/>
    <xf numFmtId="9" fontId="33" fillId="0" borderId="0" applyFont="0" applyFill="0" applyBorder="0" applyAlignment="0" applyProtection="0">
      <alignment vertical="top"/>
    </xf>
    <xf numFmtId="9" fontId="77" fillId="0" borderId="0" applyFont="0" applyFill="0" applyBorder="0" applyAlignment="0" applyProtection="0"/>
    <xf numFmtId="9" fontId="25" fillId="0" borderId="0" applyFont="0" applyFill="0" applyBorder="0" applyAlignment="0" applyProtection="0"/>
    <xf numFmtId="9" fontId="121" fillId="0" borderId="0" applyFont="0" applyFill="0" applyBorder="0" applyAlignment="0" applyProtection="0"/>
    <xf numFmtId="9" fontId="22" fillId="0" borderId="0" applyFont="0" applyFill="0" applyBorder="0" applyAlignment="0" applyProtection="0"/>
    <xf numFmtId="9" fontId="33" fillId="0" borderId="0" applyFont="0" applyFill="0" applyBorder="0" applyAlignment="0" applyProtection="0">
      <alignment vertical="top"/>
    </xf>
    <xf numFmtId="9" fontId="25" fillId="0" borderId="0" applyFont="0" applyFill="0" applyBorder="0" applyAlignment="0" applyProtection="0"/>
    <xf numFmtId="9" fontId="97" fillId="0" borderId="0" applyFont="0" applyFill="0" applyBorder="0" applyAlignment="0" applyProtection="0"/>
    <xf numFmtId="9" fontId="77" fillId="0" borderId="0" applyFont="0" applyFill="0" applyBorder="0" applyAlignment="0" applyProtection="0"/>
    <xf numFmtId="9" fontId="22" fillId="0" borderId="0" applyFont="0" applyFill="0" applyBorder="0" applyAlignment="0" applyProtection="0"/>
    <xf numFmtId="9" fontId="21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1" fillId="0" borderId="0" applyFont="0" applyFill="0" applyBorder="0" applyAlignment="0" applyProtection="0"/>
    <xf numFmtId="9" fontId="22" fillId="0" borderId="0" applyFont="0" applyFill="0" applyBorder="0" applyAlignment="0" applyProtection="0"/>
    <xf numFmtId="9" fontId="97"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2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9" fontId="140" fillId="0" borderId="118" applyNumberFormat="0" applyBorder="0"/>
    <xf numFmtId="197" fontId="25" fillId="0" borderId="0" applyFill="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112" applyNumberFormat="0" applyBorder="0" applyAlignment="0"/>
    <xf numFmtId="0" fontId="123" fillId="0" borderId="0" applyNumberFormat="0" applyBorder="0" applyAlignment="0"/>
    <xf numFmtId="0" fontId="123" fillId="0" borderId="112" applyNumberFormat="0" applyBorder="0" applyAlignment="0"/>
    <xf numFmtId="0" fontId="123" fillId="0" borderId="112" applyNumberFormat="0" applyBorder="0" applyAlignment="0"/>
    <xf numFmtId="14" fontId="136" fillId="0" borderId="0" applyNumberFormat="0" applyFill="0" applyBorder="0" applyAlignment="0" applyProtection="0">
      <alignment horizontal="left"/>
    </xf>
    <xf numFmtId="0" fontId="25" fillId="0" borderId="0"/>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4" fontId="147" fillId="0" borderId="113" applyNumberFormat="0" applyProtection="0">
      <alignment horizontal="right" vertical="center"/>
    </xf>
    <xf numFmtId="0" fontId="25" fillId="0" borderId="0"/>
    <xf numFmtId="0" fontId="33" fillId="0" borderId="0">
      <alignment vertical="top"/>
    </xf>
    <xf numFmtId="0" fontId="25" fillId="0" borderId="0"/>
    <xf numFmtId="0" fontId="33" fillId="0" borderId="0">
      <alignment vertical="top"/>
    </xf>
    <xf numFmtId="0" fontId="33" fillId="0" borderId="0">
      <alignment vertical="top"/>
    </xf>
    <xf numFmtId="40" fontId="159" fillId="0" borderId="0" applyBorder="0">
      <alignment horizontal="right"/>
    </xf>
    <xf numFmtId="40" fontId="137" fillId="0" borderId="0" applyBorder="0">
      <alignment horizontal="right"/>
    </xf>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0" fontId="126" fillId="0" borderId="106"/>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0" fontId="25" fillId="0" borderId="0" applyNumberFormat="0" applyBorder="0" applyAlignment="0" applyProtection="0"/>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37" fontId="124" fillId="0" borderId="114" applyNumberFormat="0" applyFont="0" applyBorder="0" applyAlignment="0" applyProtection="0">
      <alignment horizontal="centerContinuous"/>
    </xf>
    <xf numFmtId="197" fontId="25" fillId="0" borderId="0" applyFill="0" applyBorder="0" applyAlignment="0"/>
    <xf numFmtId="0" fontId="115" fillId="0" borderId="0" applyNumberFormat="0" applyFill="0" applyBorder="0" applyProtection="0">
      <alignment vertical="top"/>
    </xf>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206" fillId="0" borderId="77"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206" fillId="0" borderId="77"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206" fillId="0" borderId="77"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Protection="0">
      <alignment vertical="top"/>
    </xf>
    <xf numFmtId="0" fontId="116" fillId="0" borderId="115" applyNumberFormat="0" applyFill="0" applyProtection="0">
      <alignment vertical="top"/>
    </xf>
    <xf numFmtId="0" fontId="116" fillId="0" borderId="115" applyNumberFormat="0" applyFill="0" applyProtection="0">
      <alignment vertical="top"/>
    </xf>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16" fillId="0" borderId="115" applyNumberFormat="0" applyFill="0" applyAlignment="0" applyProtection="0"/>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57"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84" fillId="0" borderId="106"/>
    <xf numFmtId="0" fontId="117" fillId="0" borderId="0" applyNumberFormat="0" applyFill="0" applyBorder="0" applyProtection="0">
      <alignment vertical="top"/>
    </xf>
    <xf numFmtId="0" fontId="215" fillId="45" borderId="0" applyNumberFormat="0" applyBorder="0" applyAlignment="0" applyProtection="0"/>
    <xf numFmtId="0" fontId="215" fillId="47" borderId="0" applyNumberFormat="0" applyBorder="0" applyAlignment="0" applyProtection="0"/>
    <xf numFmtId="0" fontId="215" fillId="49" borderId="0" applyNumberFormat="0" applyBorder="0" applyAlignment="0" applyProtection="0"/>
    <xf numFmtId="0" fontId="215" fillId="51" borderId="0" applyNumberFormat="0" applyBorder="0" applyAlignment="0" applyProtection="0"/>
    <xf numFmtId="0" fontId="215" fillId="52" borderId="0" applyNumberFormat="0" applyBorder="0" applyAlignment="0" applyProtection="0"/>
    <xf numFmtId="0" fontId="215" fillId="46" borderId="0" applyNumberFormat="0" applyBorder="0" applyAlignment="0" applyProtection="0"/>
    <xf numFmtId="0" fontId="215" fillId="53" borderId="0" applyNumberFormat="0" applyBorder="0" applyAlignment="0" applyProtection="0"/>
    <xf numFmtId="0" fontId="215" fillId="48" borderId="0" applyNumberFormat="0" applyBorder="0" applyAlignment="0" applyProtection="0"/>
    <xf numFmtId="0" fontId="215" fillId="55" borderId="0" applyNumberFormat="0" applyBorder="0" applyAlignment="0" applyProtection="0"/>
    <xf numFmtId="0" fontId="215" fillId="51" borderId="0" applyNumberFormat="0" applyBorder="0" applyAlignment="0" applyProtection="0"/>
    <xf numFmtId="0" fontId="215" fillId="53" borderId="0" applyNumberFormat="0" applyBorder="0" applyAlignment="0" applyProtection="0"/>
    <xf numFmtId="0" fontId="215" fillId="57" borderId="0" applyNumberFormat="0" applyBorder="0" applyAlignment="0" applyProtection="0"/>
    <xf numFmtId="0" fontId="216" fillId="58" borderId="0" applyNumberFormat="0" applyBorder="0" applyAlignment="0" applyProtection="0"/>
    <xf numFmtId="0" fontId="216" fillId="48" borderId="0" applyNumberFormat="0" applyBorder="0" applyAlignment="0" applyProtection="0"/>
    <xf numFmtId="0" fontId="216" fillId="55" borderId="0" applyNumberFormat="0" applyBorder="0" applyAlignment="0" applyProtection="0"/>
    <xf numFmtId="0" fontId="216" fillId="60" borderId="0" applyNumberFormat="0" applyBorder="0" applyAlignment="0" applyProtection="0"/>
    <xf numFmtId="0" fontId="216" fillId="59" borderId="0" applyNumberFormat="0" applyBorder="0" applyAlignment="0" applyProtection="0"/>
    <xf numFmtId="0" fontId="216" fillId="61" borderId="0" applyNumberFormat="0" applyBorder="0" applyAlignment="0" applyProtection="0"/>
    <xf numFmtId="0" fontId="217" fillId="46" borderId="105" applyNumberFormat="0" applyAlignment="0" applyProtection="0"/>
    <xf numFmtId="0" fontId="218" fillId="0" borderId="0" applyNumberFormat="0" applyFill="0" applyBorder="0" applyAlignment="0" applyProtection="0"/>
    <xf numFmtId="0" fontId="219" fillId="0" borderId="85" applyNumberFormat="0" applyFill="0" applyAlignment="0" applyProtection="0"/>
    <xf numFmtId="0" fontId="220" fillId="0" borderId="87" applyNumberFormat="0" applyFill="0" applyAlignment="0" applyProtection="0"/>
    <xf numFmtId="0" fontId="221" fillId="0" borderId="88" applyNumberFormat="0" applyFill="0" applyAlignment="0" applyProtection="0"/>
    <xf numFmtId="0" fontId="221" fillId="0" borderId="0" applyNumberFormat="0" applyFill="0" applyBorder="0" applyAlignment="0" applyProtection="0"/>
    <xf numFmtId="0" fontId="176" fillId="0" borderId="0"/>
    <xf numFmtId="0" fontId="176" fillId="0" borderId="106"/>
    <xf numFmtId="0" fontId="176" fillId="0" borderId="106"/>
    <xf numFmtId="0" fontId="222" fillId="68" borderId="81" applyNumberFormat="0" applyAlignment="0" applyProtection="0"/>
    <xf numFmtId="0" fontId="223" fillId="98" borderId="0"/>
    <xf numFmtId="193" fontId="22" fillId="0" borderId="0"/>
    <xf numFmtId="0" fontId="22" fillId="0" borderId="0"/>
    <xf numFmtId="0" fontId="224" fillId="0" borderId="0" applyNumberFormat="0" applyFill="0" applyBorder="0" applyAlignment="0" applyProtection="0"/>
    <xf numFmtId="0" fontId="225" fillId="0" borderId="98"/>
    <xf numFmtId="0" fontId="225" fillId="0" borderId="106"/>
    <xf numFmtId="0" fontId="225" fillId="99" borderId="106"/>
    <xf numFmtId="0" fontId="226" fillId="0" borderId="90" applyNumberFormat="0" applyFill="0" applyAlignment="0" applyProtection="0"/>
    <xf numFmtId="0" fontId="227" fillId="50" borderId="110" applyNumberFormat="0" applyFont="0" applyAlignment="0" applyProtection="0"/>
    <xf numFmtId="0" fontId="216" fillId="62" borderId="0" applyNumberFormat="0" applyBorder="0" applyAlignment="0" applyProtection="0"/>
    <xf numFmtId="0" fontId="216" fillId="63" borderId="0" applyNumberFormat="0" applyBorder="0" applyAlignment="0" applyProtection="0"/>
    <xf numFmtId="0" fontId="216" fillId="64" borderId="0" applyNumberFormat="0" applyBorder="0" applyAlignment="0" applyProtection="0"/>
    <xf numFmtId="0" fontId="216" fillId="60" borderId="0" applyNumberFormat="0" applyBorder="0" applyAlignment="0" applyProtection="0"/>
    <xf numFmtId="0" fontId="216" fillId="59" borderId="0" applyNumberFormat="0" applyBorder="0" applyAlignment="0" applyProtection="0"/>
    <xf numFmtId="0" fontId="216" fillId="66" borderId="0" applyNumberFormat="0" applyBorder="0" applyAlignment="0" applyProtection="0"/>
    <xf numFmtId="0" fontId="228" fillId="49" borderId="0" applyNumberFormat="0" applyBorder="0" applyAlignment="0" applyProtection="0"/>
    <xf numFmtId="0" fontId="229" fillId="54" borderId="111" applyNumberFormat="0" applyAlignment="0" applyProtection="0"/>
    <xf numFmtId="0" fontId="230" fillId="0" borderId="0" applyNumberFormat="0" applyFill="0" applyBorder="0" applyAlignment="0" applyProtection="0"/>
    <xf numFmtId="0" fontId="10" fillId="0" borderId="0">
      <alignment vertical="top"/>
    </xf>
    <xf numFmtId="0" fontId="10" fillId="0" borderId="0">
      <alignment vertical="top"/>
    </xf>
    <xf numFmtId="0" fontId="231" fillId="0" borderId="115" applyNumberFormat="0" applyFill="0" applyAlignment="0" applyProtection="0"/>
    <xf numFmtId="0" fontId="176" fillId="0" borderId="0"/>
    <xf numFmtId="0" fontId="232" fillId="47" borderId="0" applyNumberFormat="0" applyBorder="0" applyAlignment="0" applyProtection="0"/>
    <xf numFmtId="0" fontId="233" fillId="56" borderId="0" applyNumberFormat="0" applyBorder="0" applyAlignment="0" applyProtection="0"/>
    <xf numFmtId="0" fontId="234" fillId="54" borderId="105" applyNumberFormat="0" applyAlignment="0" applyProtection="0"/>
    <xf numFmtId="9" fontId="227" fillId="0" borderId="0" applyFont="0" applyFill="0" applyBorder="0" applyAlignment="0" applyProtection="0"/>
    <xf numFmtId="0" fontId="235" fillId="0" borderId="0"/>
    <xf numFmtId="43" fontId="25"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86" fillId="0" borderId="0" applyNumberFormat="0" applyFill="0" applyBorder="0" applyAlignment="0" applyProtection="0">
      <alignment vertical="top"/>
      <protection locked="0"/>
    </xf>
    <xf numFmtId="0" fontId="79" fillId="0" borderId="0">
      <alignment vertical="top"/>
    </xf>
    <xf numFmtId="0" fontId="25" fillId="0" borderId="0"/>
    <xf numFmtId="43" fontId="77" fillId="0" borderId="0" applyFont="0" applyFill="0" applyBorder="0" applyAlignment="0" applyProtection="0"/>
    <xf numFmtId="0" fontId="25" fillId="0" borderId="0"/>
    <xf numFmtId="0" fontId="25" fillId="0" borderId="0"/>
    <xf numFmtId="0" fontId="127" fillId="0" borderId="0"/>
    <xf numFmtId="43" fontId="77" fillId="0" borderId="0" applyFont="0" applyFill="0" applyBorder="0" applyAlignment="0" applyProtection="0"/>
    <xf numFmtId="43" fontId="8" fillId="0" borderId="0" applyFont="0" applyFill="0" applyBorder="0" applyAlignment="0" applyProtection="0"/>
    <xf numFmtId="0" fontId="8" fillId="0" borderId="0"/>
    <xf numFmtId="0" fontId="25" fillId="0" borderId="0"/>
    <xf numFmtId="43" fontId="25" fillId="0" borderId="0" applyFont="0" applyFill="0" applyBorder="0" applyAlignment="0" applyProtection="0"/>
    <xf numFmtId="43" fontId="251"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1" fillId="0" borderId="0" applyFont="0" applyFill="0" applyBorder="0" applyAlignment="0" applyProtection="0"/>
    <xf numFmtId="0" fontId="253" fillId="0" borderId="0"/>
    <xf numFmtId="0" fontId="25" fillId="0" borderId="0"/>
    <xf numFmtId="0" fontId="127" fillId="0" borderId="0"/>
    <xf numFmtId="0" fontId="255" fillId="0" borderId="0"/>
    <xf numFmtId="0" fontId="25" fillId="0" borderId="0"/>
    <xf numFmtId="0" fontId="77" fillId="0" borderId="0"/>
    <xf numFmtId="264" fontId="78" fillId="0" borderId="0"/>
    <xf numFmtId="0" fontId="77" fillId="0" borderId="0"/>
    <xf numFmtId="0" fontId="6" fillId="0" borderId="0"/>
    <xf numFmtId="43" fontId="6" fillId="0" borderId="0" applyFont="0" applyFill="0" applyBorder="0" applyAlignment="0" applyProtection="0"/>
    <xf numFmtId="0" fontId="5" fillId="0" borderId="0"/>
    <xf numFmtId="0" fontId="4" fillId="0" borderId="0"/>
    <xf numFmtId="186" fontId="77" fillId="0" borderId="0"/>
    <xf numFmtId="0" fontId="33" fillId="0" borderId="0"/>
    <xf numFmtId="186" fontId="118" fillId="0" borderId="0"/>
    <xf numFmtId="0" fontId="77" fillId="0" borderId="0"/>
    <xf numFmtId="186" fontId="77" fillId="0" borderId="0"/>
    <xf numFmtId="0" fontId="77" fillId="0" borderId="0"/>
    <xf numFmtId="186" fontId="33" fillId="0" borderId="0">
      <alignment vertical="top"/>
    </xf>
    <xf numFmtId="270" fontId="25" fillId="0" borderId="0" applyFont="0" applyFill="0" applyBorder="0" applyAlignment="0" applyProtection="0"/>
    <xf numFmtId="0" fontId="3" fillId="0" borderId="0"/>
    <xf numFmtId="0" fontId="77" fillId="0" borderId="0"/>
  </cellStyleXfs>
  <cellXfs count="2756">
    <xf numFmtId="0" fontId="0" fillId="0" borderId="0" xfId="0"/>
    <xf numFmtId="43" fontId="66" fillId="0" borderId="0" xfId="3" applyNumberFormat="1" applyFont="1" applyFill="1"/>
    <xf numFmtId="43" fontId="66" fillId="0" borderId="10" xfId="3" applyNumberFormat="1" applyFont="1" applyFill="1" applyBorder="1" applyAlignment="1">
      <alignment vertical="center"/>
    </xf>
    <xf numFmtId="43" fontId="66" fillId="0" borderId="7" xfId="3" applyNumberFormat="1" applyFont="1" applyFill="1" applyBorder="1" applyAlignment="1">
      <alignment vertical="center"/>
    </xf>
    <xf numFmtId="43" fontId="66" fillId="0" borderId="6" xfId="3" applyNumberFormat="1" applyFont="1" applyFill="1" applyBorder="1" applyAlignment="1">
      <alignment vertical="center"/>
    </xf>
    <xf numFmtId="37" fontId="30" fillId="0" borderId="0" xfId="0" applyNumberFormat="1" applyFont="1" applyFill="1" applyBorder="1" applyAlignment="1">
      <alignment horizontal="centerContinuous"/>
    </xf>
    <xf numFmtId="0" fontId="23" fillId="0" borderId="0" xfId="0" applyFont="1" applyFill="1" applyAlignment="1">
      <alignment horizontal="center" vertical="center"/>
    </xf>
    <xf numFmtId="0" fontId="24" fillId="0" borderId="0" xfId="0" applyFont="1"/>
    <xf numFmtId="0" fontId="24" fillId="0" borderId="0" xfId="0" applyFont="1" applyFill="1"/>
    <xf numFmtId="0" fontId="23" fillId="0" borderId="0" xfId="0" applyFont="1" applyFill="1"/>
    <xf numFmtId="0" fontId="24" fillId="0" borderId="0" xfId="0" applyFont="1" applyFill="1" applyAlignment="1"/>
    <xf numFmtId="0" fontId="23" fillId="0" borderId="0" xfId="0" applyFont="1" applyFill="1" applyAlignment="1">
      <alignment horizontal="centerContinuous"/>
    </xf>
    <xf numFmtId="0" fontId="24" fillId="0" borderId="0" xfId="0" applyFont="1" applyFill="1" applyAlignment="1">
      <alignment horizontal="centerContinuous"/>
    </xf>
    <xf numFmtId="0" fontId="27" fillId="0" borderId="0" xfId="0" applyFont="1" applyFill="1"/>
    <xf numFmtId="0" fontId="23" fillId="0" borderId="0" xfId="0" applyFont="1" applyFill="1" applyAlignment="1">
      <alignment horizontal="centerContinuous" vertical="center"/>
    </xf>
    <xf numFmtId="0" fontId="23" fillId="0" borderId="0" xfId="0" applyFont="1" applyFill="1" applyAlignment="1">
      <alignment vertical="center"/>
    </xf>
    <xf numFmtId="165" fontId="24" fillId="0" borderId="0" xfId="3" applyNumberFormat="1" applyFont="1"/>
    <xf numFmtId="165" fontId="24" fillId="0" borderId="0" xfId="3" applyNumberFormat="1" applyFont="1" applyFill="1"/>
    <xf numFmtId="0" fontId="23" fillId="0" borderId="0" xfId="0" applyFont="1" applyFill="1" applyBorder="1" applyAlignment="1">
      <alignment horizontal="left" vertical="top"/>
    </xf>
    <xf numFmtId="0" fontId="23" fillId="0" borderId="0" xfId="0" applyFont="1" applyFill="1" applyBorder="1" applyAlignment="1">
      <alignment vertical="top"/>
    </xf>
    <xf numFmtId="0" fontId="28" fillId="0" borderId="0" xfId="0" applyFont="1" applyFill="1" applyBorder="1" applyAlignment="1">
      <alignment vertical="top"/>
    </xf>
    <xf numFmtId="0" fontId="24" fillId="0" borderId="0" xfId="0" applyFont="1" applyFill="1" applyBorder="1" applyAlignment="1">
      <alignment vertical="top"/>
    </xf>
    <xf numFmtId="0" fontId="24" fillId="0" borderId="0" xfId="0" applyFont="1" applyFill="1" applyBorder="1" applyAlignment="1">
      <alignment horizontal="left" vertical="top"/>
    </xf>
    <xf numFmtId="0" fontId="27" fillId="0" borderId="0" xfId="0" applyFont="1" applyFill="1" applyBorder="1" applyAlignment="1">
      <alignment vertical="top"/>
    </xf>
    <xf numFmtId="0" fontId="23" fillId="0" borderId="0" xfId="0" quotePrefix="1" applyFont="1" applyFill="1" applyBorder="1" applyAlignment="1">
      <alignment horizontal="left" vertical="top"/>
    </xf>
    <xf numFmtId="0" fontId="28" fillId="0" borderId="0" xfId="0" applyFont="1" applyFill="1" applyBorder="1" applyAlignment="1">
      <alignment horizontal="justify" vertical="top"/>
    </xf>
    <xf numFmtId="0" fontId="24" fillId="0" borderId="0" xfId="0" applyFont="1" applyFill="1" applyBorder="1" applyAlignment="1">
      <alignment vertical="top"/>
    </xf>
    <xf numFmtId="0" fontId="23" fillId="0" borderId="0" xfId="0" applyNumberFormat="1" applyFont="1" applyFill="1" applyBorder="1" applyAlignment="1">
      <alignment vertical="top"/>
    </xf>
    <xf numFmtId="0" fontId="23" fillId="0" borderId="0" xfId="0" applyFont="1" applyFill="1" applyAlignment="1">
      <alignment horizontal="left" vertical="top"/>
    </xf>
    <xf numFmtId="0" fontId="23" fillId="0" borderId="0" xfId="0" applyFont="1" applyFill="1" applyAlignment="1">
      <alignment vertical="top"/>
    </xf>
    <xf numFmtId="0" fontId="24" fillId="0" borderId="0" xfId="0" applyFont="1" applyFill="1" applyAlignment="1">
      <alignment vertical="top"/>
    </xf>
    <xf numFmtId="0" fontId="24" fillId="0" borderId="0" xfId="0" applyFont="1" applyFill="1" applyAlignment="1">
      <alignment horizontal="justify" vertical="top"/>
    </xf>
    <xf numFmtId="0" fontId="24" fillId="0" borderId="0" xfId="0" applyFont="1" applyFill="1" applyAlignment="1">
      <alignment vertical="top"/>
    </xf>
    <xf numFmtId="0" fontId="24" fillId="0" borderId="0" xfId="0" applyFont="1" applyFill="1" applyBorder="1" applyAlignment="1">
      <alignment horizontal="centerContinuous" vertical="top"/>
    </xf>
    <xf numFmtId="0" fontId="24" fillId="0" borderId="0" xfId="0" applyFont="1" applyFill="1" applyBorder="1" applyAlignment="1">
      <alignment vertical="top"/>
    </xf>
    <xf numFmtId="0" fontId="24" fillId="0" borderId="0" xfId="0" applyFont="1" applyFill="1" applyAlignment="1">
      <alignment horizontal="center"/>
    </xf>
    <xf numFmtId="0" fontId="24" fillId="0" borderId="0" xfId="0" applyFont="1" applyAlignment="1">
      <alignment horizontal="centerContinuous"/>
    </xf>
    <xf numFmtId="0" fontId="24" fillId="0" borderId="0" xfId="0" applyFont="1" applyFill="1"/>
    <xf numFmtId="0" fontId="24" fillId="0" borderId="0" xfId="0" applyFont="1" applyFill="1" applyAlignment="1"/>
    <xf numFmtId="165" fontId="24" fillId="0" borderId="0" xfId="3" applyNumberFormat="1" applyFont="1" applyFill="1" applyAlignment="1"/>
    <xf numFmtId="165" fontId="24" fillId="0" borderId="9" xfId="3" applyNumberFormat="1" applyFont="1" applyFill="1" applyBorder="1" applyAlignment="1"/>
    <xf numFmtId="0" fontId="24" fillId="0" borderId="0" xfId="0" applyFont="1" applyFill="1" applyAlignment="1">
      <alignment horizontal="centerContinuous" vertical="top"/>
    </xf>
    <xf numFmtId="165" fontId="24" fillId="0" borderId="0" xfId="3" applyNumberFormat="1" applyFont="1" applyFill="1" applyBorder="1" applyAlignment="1"/>
    <xf numFmtId="0" fontId="24" fillId="0" borderId="0" xfId="0" applyFont="1" applyFill="1" applyBorder="1" applyAlignment="1"/>
    <xf numFmtId="0" fontId="24" fillId="0" borderId="0" xfId="0" applyFont="1" applyFill="1" applyAlignment="1"/>
    <xf numFmtId="41" fontId="24" fillId="0" borderId="0" xfId="0" applyNumberFormat="1" applyFont="1" applyFill="1" applyBorder="1" applyAlignment="1"/>
    <xf numFmtId="0" fontId="23" fillId="0" borderId="0" xfId="0" applyNumberFormat="1" applyFont="1" applyFill="1"/>
    <xf numFmtId="0" fontId="24" fillId="0" borderId="0" xfId="0" applyFont="1"/>
    <xf numFmtId="37" fontId="23" fillId="0" borderId="0" xfId="0" applyNumberFormat="1" applyFont="1" applyFill="1" applyAlignment="1">
      <alignment horizontal="left"/>
    </xf>
    <xf numFmtId="0" fontId="24" fillId="0" borderId="0" xfId="0" applyFont="1" applyFill="1" applyAlignment="1">
      <alignment horizontal="left"/>
    </xf>
    <xf numFmtId="0" fontId="24" fillId="0" borderId="0" xfId="0" applyFont="1" applyBorder="1" applyAlignment="1">
      <alignment horizontal="centerContinuous"/>
    </xf>
    <xf numFmtId="37" fontId="23" fillId="0" borderId="0" xfId="0" applyNumberFormat="1" applyFont="1" applyFill="1" applyAlignment="1">
      <alignment horizontal="left" vertical="top"/>
    </xf>
    <xf numFmtId="165" fontId="24" fillId="0" borderId="0" xfId="3" applyNumberFormat="1" applyFont="1" applyFill="1" applyAlignment="1">
      <alignment vertical="top"/>
    </xf>
    <xf numFmtId="165" fontId="24" fillId="0" borderId="9" xfId="3" applyNumberFormat="1" applyFont="1" applyFill="1" applyBorder="1" applyAlignment="1">
      <alignment vertical="top"/>
    </xf>
    <xf numFmtId="166" fontId="23" fillId="0" borderId="0" xfId="0" applyNumberFormat="1" applyFont="1" applyFill="1" applyAlignment="1">
      <alignment horizontal="left" vertical="top"/>
    </xf>
    <xf numFmtId="0" fontId="23" fillId="0" borderId="0" xfId="0" applyFont="1" applyFill="1" applyAlignment="1">
      <alignment horizontal="left" vertical="top"/>
    </xf>
    <xf numFmtId="37" fontId="24" fillId="0" borderId="0" xfId="0" applyNumberFormat="1" applyFont="1" applyFill="1" applyAlignment="1">
      <alignment horizontal="centerContinuous" vertical="top"/>
    </xf>
    <xf numFmtId="0" fontId="23" fillId="0" borderId="0" xfId="0" applyFont="1" applyFill="1" applyAlignment="1">
      <alignment horizontal="centerContinuous" vertical="top"/>
    </xf>
    <xf numFmtId="0" fontId="28" fillId="0" borderId="0" xfId="0" applyFont="1" applyFill="1" applyAlignment="1">
      <alignment horizontal="centerContinuous" vertical="top"/>
    </xf>
    <xf numFmtId="49" fontId="24" fillId="0" borderId="0" xfId="0" applyNumberFormat="1" applyFont="1" applyFill="1" applyAlignment="1">
      <alignment horizontal="centerContinuous" vertical="top"/>
    </xf>
    <xf numFmtId="37" fontId="23" fillId="0" borderId="0" xfId="0" applyNumberFormat="1" applyFont="1" applyFill="1" applyAlignment="1">
      <alignment horizontal="left" vertical="top"/>
    </xf>
    <xf numFmtId="165" fontId="24" fillId="0" borderId="0" xfId="3" applyNumberFormat="1" applyFont="1" applyFill="1" applyBorder="1"/>
    <xf numFmtId="165" fontId="24" fillId="0" borderId="0" xfId="3" applyNumberFormat="1" applyFont="1" applyFill="1" applyBorder="1" applyAlignment="1">
      <alignment vertical="top"/>
    </xf>
    <xf numFmtId="165" fontId="24" fillId="0" borderId="0" xfId="0" applyNumberFormat="1" applyFont="1" applyFill="1" applyBorder="1" applyAlignment="1"/>
    <xf numFmtId="0" fontId="24" fillId="0" borderId="0" xfId="3" applyNumberFormat="1" applyFont="1" applyFill="1" applyAlignment="1">
      <alignment vertical="top"/>
    </xf>
    <xf numFmtId="167" fontId="23" fillId="0" borderId="0" xfId="0" applyNumberFormat="1" applyFont="1" applyFill="1" applyAlignment="1">
      <alignment horizontal="left"/>
    </xf>
    <xf numFmtId="0" fontId="23" fillId="0" borderId="0" xfId="0" applyNumberFormat="1" applyFont="1" applyFill="1" applyAlignment="1">
      <alignment horizontal="left" indent="1"/>
    </xf>
    <xf numFmtId="0" fontId="24" fillId="0" borderId="0" xfId="0" applyFont="1" applyFill="1" applyBorder="1" applyAlignment="1">
      <alignment horizontal="centerContinuous"/>
    </xf>
    <xf numFmtId="4" fontId="24" fillId="0" borderId="0" xfId="0" applyNumberFormat="1" applyFont="1" applyFill="1"/>
    <xf numFmtId="165" fontId="24" fillId="0" borderId="9" xfId="0" applyNumberFormat="1" applyFont="1" applyFill="1" applyBorder="1" applyAlignment="1"/>
    <xf numFmtId="0" fontId="23" fillId="0" borderId="0" xfId="0" applyFont="1" applyFill="1" applyAlignment="1">
      <alignment vertical="top" readingOrder="1"/>
    </xf>
    <xf numFmtId="0" fontId="23" fillId="0" borderId="0" xfId="0" applyFont="1" applyFill="1" applyBorder="1" applyAlignment="1">
      <alignment horizontal="center"/>
    </xf>
    <xf numFmtId="0" fontId="24" fillId="0" borderId="0" xfId="0" applyFont="1" applyFill="1" applyAlignment="1">
      <alignment vertical="top" readingOrder="1"/>
    </xf>
    <xf numFmtId="0" fontId="24" fillId="0" borderId="0" xfId="0" applyFont="1" applyFill="1" applyAlignment="1">
      <alignment horizontal="justify" vertical="justify" wrapText="1" readingOrder="1"/>
    </xf>
    <xf numFmtId="49" fontId="24" fillId="0" borderId="0" xfId="3" applyNumberFormat="1" applyFont="1" applyFill="1" applyBorder="1" applyAlignment="1" applyProtection="1">
      <alignment horizontal="center"/>
    </xf>
    <xf numFmtId="0" fontId="23" fillId="0" borderId="0" xfId="0" applyNumberFormat="1" applyFont="1" applyFill="1" applyAlignment="1">
      <alignment vertical="top"/>
    </xf>
    <xf numFmtId="0" fontId="24" fillId="0" borderId="0" xfId="0" applyNumberFormat="1" applyFont="1" applyFill="1" applyAlignment="1">
      <alignment vertical="top"/>
    </xf>
    <xf numFmtId="0" fontId="24" fillId="0" borderId="0" xfId="0" applyFont="1" applyAlignment="1">
      <alignment horizontal="centerContinuous"/>
    </xf>
    <xf numFmtId="0" fontId="24" fillId="0" borderId="0" xfId="0" applyFont="1" applyFill="1" applyAlignment="1">
      <alignment horizontal="centerContinuous" vertical="top"/>
    </xf>
    <xf numFmtId="0" fontId="23" fillId="0" borderId="0" xfId="0" applyFont="1" applyFill="1" applyBorder="1" applyAlignment="1"/>
    <xf numFmtId="0" fontId="24" fillId="0" borderId="9" xfId="0" applyFont="1" applyFill="1" applyBorder="1" applyAlignment="1">
      <alignment horizontal="centerContinuous"/>
    </xf>
    <xf numFmtId="0" fontId="24" fillId="0" borderId="9" xfId="0" applyFont="1" applyBorder="1" applyAlignment="1">
      <alignment horizontal="centerContinuous"/>
    </xf>
    <xf numFmtId="0" fontId="24" fillId="0" borderId="9" xfId="0" applyFont="1" applyFill="1" applyBorder="1" applyAlignment="1">
      <alignment horizontal="centerContinuous" vertical="top"/>
    </xf>
    <xf numFmtId="49" fontId="23" fillId="0" borderId="0" xfId="0" applyNumberFormat="1" applyFont="1" applyFill="1" applyAlignment="1">
      <alignment horizontal="center" vertical="center"/>
    </xf>
    <xf numFmtId="0" fontId="23" fillId="0" borderId="0" xfId="0" quotePrefix="1" applyNumberFormat="1" applyFont="1" applyFill="1" applyAlignment="1">
      <alignment horizontal="left" indent="1"/>
    </xf>
    <xf numFmtId="0" fontId="24" fillId="0" borderId="0" xfId="0" applyFont="1" applyFill="1" applyAlignment="1">
      <alignment vertical="justify"/>
    </xf>
    <xf numFmtId="0" fontId="30" fillId="0" borderId="0" xfId="0" applyFont="1" applyFill="1" applyAlignment="1">
      <alignment vertical="top"/>
    </xf>
    <xf numFmtId="41" fontId="25" fillId="0" borderId="11" xfId="0" applyNumberFormat="1" applyFont="1" applyBorder="1" applyAlignment="1">
      <alignment horizontal="left" vertical="center" wrapText="1"/>
    </xf>
    <xf numFmtId="165" fontId="32" fillId="0" borderId="12" xfId="3" applyNumberFormat="1" applyFont="1" applyBorder="1" applyAlignment="1">
      <alignment vertical="center"/>
    </xf>
    <xf numFmtId="0" fontId="31" fillId="0" borderId="13" xfId="0" applyFont="1" applyBorder="1" applyAlignment="1"/>
    <xf numFmtId="0" fontId="31" fillId="0" borderId="14" xfId="0" applyFont="1" applyBorder="1" applyAlignment="1"/>
    <xf numFmtId="165" fontId="45" fillId="0" borderId="15" xfId="3" applyNumberFormat="1" applyFont="1" applyBorder="1" applyAlignment="1">
      <alignment horizontal="center" vertical="center" wrapText="1"/>
    </xf>
    <xf numFmtId="165" fontId="32" fillId="0" borderId="16" xfId="3" applyNumberFormat="1" applyFont="1" applyBorder="1" applyAlignment="1"/>
    <xf numFmtId="165" fontId="32" fillId="0" borderId="14" xfId="3" applyNumberFormat="1" applyFont="1" applyBorder="1" applyAlignment="1">
      <alignment vertical="center"/>
    </xf>
    <xf numFmtId="165" fontId="32" fillId="0" borderId="3" xfId="3" applyNumberFormat="1" applyFont="1" applyBorder="1" applyAlignment="1">
      <alignment vertical="center"/>
    </xf>
    <xf numFmtId="165" fontId="32" fillId="0" borderId="15" xfId="3" applyNumberFormat="1" applyFont="1" applyBorder="1" applyAlignment="1">
      <alignment vertical="center"/>
    </xf>
    <xf numFmtId="165" fontId="32" fillId="0" borderId="12" xfId="3" applyNumberFormat="1" applyFont="1" applyBorder="1" applyAlignment="1">
      <alignment horizontal="right" vertical="center"/>
    </xf>
    <xf numFmtId="165" fontId="32" fillId="0" borderId="17" xfId="3" applyNumberFormat="1" applyFont="1" applyBorder="1" applyAlignment="1">
      <alignment horizontal="left" vertical="center"/>
    </xf>
    <xf numFmtId="165" fontId="32" fillId="0" borderId="0" xfId="3" applyNumberFormat="1" applyFont="1" applyBorder="1" applyAlignment="1"/>
    <xf numFmtId="165" fontId="32" fillId="0" borderId="18" xfId="3" applyNumberFormat="1" applyFont="1" applyBorder="1" applyAlignment="1">
      <alignment vertical="top"/>
    </xf>
    <xf numFmtId="165" fontId="32" fillId="0" borderId="11" xfId="3" applyNumberFormat="1" applyFont="1" applyBorder="1" applyAlignment="1">
      <alignment vertical="center"/>
    </xf>
    <xf numFmtId="173" fontId="32" fillId="0" borderId="0" xfId="3" applyNumberFormat="1" applyFont="1" applyBorder="1" applyAlignment="1"/>
    <xf numFmtId="165" fontId="32" fillId="0" borderId="19" xfId="3" applyNumberFormat="1" applyFont="1" applyBorder="1" applyAlignment="1">
      <alignment vertical="center"/>
    </xf>
    <xf numFmtId="165" fontId="32" fillId="0" borderId="20" xfId="3" applyNumberFormat="1" applyFont="1" applyBorder="1" applyAlignment="1">
      <alignment vertical="center"/>
    </xf>
    <xf numFmtId="3" fontId="37" fillId="0" borderId="15" xfId="3" applyNumberFormat="1" applyFont="1" applyBorder="1" applyAlignment="1">
      <alignment vertical="center" wrapText="1"/>
    </xf>
    <xf numFmtId="165" fontId="36" fillId="0" borderId="0" xfId="3" applyNumberFormat="1" applyFont="1" applyBorder="1" applyAlignment="1">
      <alignment vertical="center"/>
    </xf>
    <xf numFmtId="3" fontId="37" fillId="0" borderId="21" xfId="3" quotePrefix="1" applyNumberFormat="1" applyFont="1" applyBorder="1" applyAlignment="1">
      <alignment horizontal="center" vertical="center" wrapText="1"/>
    </xf>
    <xf numFmtId="3" fontId="37" fillId="0" borderId="21" xfId="3" applyNumberFormat="1" applyFont="1" applyBorder="1" applyAlignment="1">
      <alignment horizontal="center" vertical="center" wrapText="1"/>
    </xf>
    <xf numFmtId="0" fontId="46" fillId="0" borderId="22" xfId="0" applyFont="1" applyBorder="1" applyAlignment="1">
      <alignment vertical="center" wrapText="1"/>
    </xf>
    <xf numFmtId="41" fontId="36" fillId="0" borderId="22" xfId="3" applyNumberFormat="1" applyFont="1" applyBorder="1" applyAlignment="1">
      <alignment vertical="center" wrapText="1"/>
    </xf>
    <xf numFmtId="41" fontId="25" fillId="0" borderId="22" xfId="3" applyNumberFormat="1" applyFont="1" applyBorder="1" applyAlignment="1">
      <alignment vertical="center" wrapText="1"/>
    </xf>
    <xf numFmtId="41" fontId="36" fillId="0" borderId="12" xfId="3" applyNumberFormat="1" applyFont="1" applyBorder="1" applyAlignment="1">
      <alignment vertical="center" wrapText="1"/>
    </xf>
    <xf numFmtId="41" fontId="36" fillId="0" borderId="17" xfId="3" applyNumberFormat="1" applyFont="1" applyBorder="1" applyAlignment="1">
      <alignment vertical="center" wrapText="1"/>
    </xf>
    <xf numFmtId="165" fontId="36" fillId="0" borderId="0" xfId="3" applyNumberFormat="1" applyFont="1" applyBorder="1" applyAlignment="1"/>
    <xf numFmtId="0" fontId="36" fillId="0" borderId="23" xfId="0" applyFont="1" applyFill="1" applyBorder="1" applyAlignment="1">
      <alignment vertical="center" wrapText="1"/>
    </xf>
    <xf numFmtId="41" fontId="36" fillId="0" borderId="23" xfId="0" applyNumberFormat="1" applyFont="1" applyBorder="1" applyAlignment="1">
      <alignment vertical="center" wrapText="1"/>
    </xf>
    <xf numFmtId="41" fontId="25" fillId="0" borderId="23" xfId="0" quotePrefix="1" applyNumberFormat="1" applyFont="1" applyBorder="1" applyAlignment="1">
      <alignment vertical="center" wrapText="1"/>
    </xf>
    <xf numFmtId="0" fontId="25" fillId="0" borderId="23" xfId="0" applyFont="1" applyBorder="1" applyAlignment="1">
      <alignment vertical="center" wrapText="1"/>
    </xf>
    <xf numFmtId="0" fontId="25" fillId="0" borderId="18" xfId="0" applyFont="1" applyBorder="1" applyAlignment="1">
      <alignment vertical="center" wrapText="1"/>
    </xf>
    <xf numFmtId="0" fontId="25" fillId="0" borderId="11" xfId="0" applyFont="1" applyBorder="1" applyAlignment="1">
      <alignment vertical="center" wrapText="1"/>
    </xf>
    <xf numFmtId="0" fontId="36" fillId="0" borderId="0" xfId="0" applyFont="1" applyBorder="1" applyAlignment="1"/>
    <xf numFmtId="4" fontId="25" fillId="0" borderId="23" xfId="0" applyNumberFormat="1" applyFont="1" applyFill="1" applyBorder="1" applyAlignment="1">
      <alignment horizontal="left" vertical="center" wrapText="1" indent="2"/>
    </xf>
    <xf numFmtId="41" fontId="25" fillId="0" borderId="23" xfId="0" applyNumberFormat="1" applyFont="1" applyFill="1" applyBorder="1" applyAlignment="1">
      <alignment vertical="center" wrapText="1"/>
    </xf>
    <xf numFmtId="41" fontId="25" fillId="0" borderId="23" xfId="0" applyNumberFormat="1" applyFont="1" applyBorder="1" applyAlignment="1">
      <alignment vertical="center" wrapText="1"/>
    </xf>
    <xf numFmtId="41" fontId="25" fillId="0" borderId="23" xfId="3" applyNumberFormat="1" applyFont="1" applyBorder="1" applyAlignment="1">
      <alignment vertical="center" wrapText="1"/>
    </xf>
    <xf numFmtId="9" fontId="25" fillId="0" borderId="23" xfId="4" applyFont="1" applyBorder="1" applyAlignment="1">
      <alignment vertical="center" wrapText="1"/>
    </xf>
    <xf numFmtId="41" fontId="25" fillId="0" borderId="18" xfId="0" applyNumberFormat="1" applyFont="1" applyBorder="1" applyAlignment="1">
      <alignment horizontal="justify" vertical="center" wrapText="1"/>
    </xf>
    <xf numFmtId="0" fontId="33" fillId="0" borderId="11" xfId="0" applyFont="1" applyBorder="1" applyAlignment="1">
      <alignment horizontal="justify"/>
    </xf>
    <xf numFmtId="0" fontId="25" fillId="0" borderId="0" xfId="0" applyFont="1" applyBorder="1" applyAlignment="1"/>
    <xf numFmtId="41" fontId="36" fillId="0" borderId="23" xfId="3" applyNumberFormat="1" applyFont="1" applyBorder="1" applyAlignment="1">
      <alignment vertical="center" wrapText="1"/>
    </xf>
    <xf numFmtId="0" fontId="33" fillId="0" borderId="18" xfId="0" applyFont="1" applyBorder="1" applyAlignment="1">
      <alignment horizontal="justify"/>
    </xf>
    <xf numFmtId="0" fontId="25" fillId="0" borderId="23" xfId="0" quotePrefix="1" applyFont="1" applyFill="1" applyBorder="1" applyAlignment="1">
      <alignment horizontal="left" vertical="center" wrapText="1"/>
    </xf>
    <xf numFmtId="37" fontId="36" fillId="0" borderId="0" xfId="0" applyNumberFormat="1" applyFont="1" applyBorder="1" applyAlignment="1"/>
    <xf numFmtId="39" fontId="36" fillId="0" borderId="0" xfId="0" applyNumberFormat="1" applyFont="1" applyBorder="1" applyAlignment="1"/>
    <xf numFmtId="172" fontId="36" fillId="0" borderId="0" xfId="0" applyNumberFormat="1" applyFont="1" applyBorder="1" applyAlignment="1"/>
    <xf numFmtId="165" fontId="36" fillId="0" borderId="0" xfId="0" applyNumberFormat="1" applyFont="1" applyBorder="1" applyAlignment="1"/>
    <xf numFmtId="0" fontId="25" fillId="0" borderId="23" xfId="0" applyFont="1" applyFill="1" applyBorder="1" applyAlignment="1">
      <alignment vertical="center" wrapText="1"/>
    </xf>
    <xf numFmtId="9" fontId="25" fillId="0" borderId="23" xfId="0" applyNumberFormat="1" applyFont="1" applyBorder="1" applyAlignment="1">
      <alignment vertical="center" wrapText="1"/>
    </xf>
    <xf numFmtId="41" fontId="25" fillId="0" borderId="18" xfId="0" applyNumberFormat="1" applyFont="1" applyBorder="1" applyAlignment="1">
      <alignment vertical="center" wrapText="1"/>
    </xf>
    <xf numFmtId="41" fontId="25" fillId="0" borderId="11" xfId="0" applyNumberFormat="1" applyFont="1" applyBorder="1" applyAlignment="1">
      <alignment vertical="center" wrapText="1"/>
    </xf>
    <xf numFmtId="43" fontId="36" fillId="0" borderId="0" xfId="0" applyNumberFormat="1" applyFont="1" applyBorder="1" applyAlignment="1"/>
    <xf numFmtId="4" fontId="25" fillId="0" borderId="23" xfId="0" applyNumberFormat="1" applyFont="1" applyBorder="1" applyAlignment="1">
      <alignment horizontal="left" vertical="center" wrapText="1"/>
    </xf>
    <xf numFmtId="41" fontId="25" fillId="0" borderId="18" xfId="0" applyNumberFormat="1" applyFont="1" applyBorder="1" applyAlignment="1">
      <alignment horizontal="left" vertical="center" wrapText="1"/>
    </xf>
    <xf numFmtId="4" fontId="25" fillId="0" borderId="23" xfId="0" applyNumberFormat="1" applyFont="1" applyBorder="1" applyAlignment="1">
      <alignment horizontal="left" vertical="center" wrapText="1" indent="2"/>
    </xf>
    <xf numFmtId="0" fontId="36" fillId="0" borderId="24" xfId="0" applyFont="1" applyBorder="1" applyAlignment="1">
      <alignment vertical="center" wrapText="1"/>
    </xf>
    <xf numFmtId="41" fontId="36" fillId="0" borderId="24" xfId="0" applyNumberFormat="1" applyFont="1" applyBorder="1" applyAlignment="1">
      <alignment vertical="center" wrapText="1"/>
    </xf>
    <xf numFmtId="41" fontId="25" fillId="0" borderId="24" xfId="0" applyNumberFormat="1" applyFont="1" applyBorder="1" applyAlignment="1">
      <alignment vertical="center" wrapText="1"/>
    </xf>
    <xf numFmtId="41" fontId="25" fillId="0" borderId="19" xfId="0" applyNumberFormat="1" applyFont="1" applyBorder="1" applyAlignment="1">
      <alignment vertical="center" wrapText="1"/>
    </xf>
    <xf numFmtId="41" fontId="25" fillId="0" borderId="20" xfId="0" applyNumberFormat="1" applyFont="1" applyBorder="1" applyAlignment="1">
      <alignment vertical="center" wrapText="1"/>
    </xf>
    <xf numFmtId="0" fontId="36" fillId="0" borderId="21" xfId="0" applyFont="1" applyBorder="1" applyAlignment="1">
      <alignment vertical="center" wrapText="1"/>
    </xf>
    <xf numFmtId="41" fontId="36" fillId="0" borderId="25" xfId="0" applyNumberFormat="1" applyFont="1" applyBorder="1" applyAlignment="1">
      <alignment vertical="center" wrapText="1"/>
    </xf>
    <xf numFmtId="165" fontId="36" fillId="0" borderId="25" xfId="3" applyNumberFormat="1" applyFont="1" applyBorder="1" applyAlignment="1"/>
    <xf numFmtId="9" fontId="36" fillId="0" borderId="25" xfId="4" applyFont="1" applyBorder="1" applyAlignment="1"/>
    <xf numFmtId="165" fontId="36" fillId="0" borderId="14" xfId="3" applyNumberFormat="1" applyFont="1" applyBorder="1" applyAlignment="1"/>
    <xf numFmtId="165" fontId="36" fillId="0" borderId="15" xfId="3" applyNumberFormat="1" applyFont="1" applyBorder="1" applyAlignment="1"/>
    <xf numFmtId="0" fontId="25" fillId="0" borderId="0" xfId="0" applyFont="1" applyBorder="1" applyAlignment="1">
      <alignment wrapText="1"/>
    </xf>
    <xf numFmtId="165" fontId="36" fillId="0" borderId="18" xfId="3" applyNumberFormat="1" applyFont="1" applyBorder="1" applyAlignment="1">
      <alignment horizontal="right"/>
    </xf>
    <xf numFmtId="3" fontId="36" fillId="0" borderId="0" xfId="3" applyNumberFormat="1" applyFont="1" applyBorder="1" applyAlignment="1"/>
    <xf numFmtId="3" fontId="36" fillId="0" borderId="11" xfId="3" applyNumberFormat="1" applyFont="1" applyBorder="1" applyAlignment="1"/>
    <xf numFmtId="3" fontId="36" fillId="0" borderId="26" xfId="3" applyNumberFormat="1" applyFont="1" applyBorder="1" applyAlignment="1"/>
    <xf numFmtId="3" fontId="36" fillId="0" borderId="20" xfId="3" applyNumberFormat="1" applyFont="1" applyBorder="1" applyAlignment="1"/>
    <xf numFmtId="165" fontId="36" fillId="0" borderId="27" xfId="3" applyNumberFormat="1" applyFont="1" applyBorder="1" applyAlignment="1"/>
    <xf numFmtId="0" fontId="36" fillId="0" borderId="0" xfId="0" applyFont="1" applyAlignment="1"/>
    <xf numFmtId="0" fontId="25" fillId="0" borderId="0" xfId="0" applyFont="1" applyAlignment="1"/>
    <xf numFmtId="37" fontId="25" fillId="0" borderId="0" xfId="0" applyNumberFormat="1" applyFont="1" applyAlignment="1">
      <alignment horizontal="center" vertical="center"/>
    </xf>
    <xf numFmtId="0" fontId="36" fillId="0" borderId="0" xfId="0" applyFont="1" applyFill="1" applyAlignment="1">
      <alignment horizontal="right"/>
    </xf>
    <xf numFmtId="165" fontId="25" fillId="0" borderId="0" xfId="0" applyNumberFormat="1" applyFont="1"/>
    <xf numFmtId="0" fontId="36" fillId="0" borderId="0" xfId="0" applyFont="1" applyFill="1" applyBorder="1" applyAlignment="1">
      <alignment horizontal="right"/>
    </xf>
    <xf numFmtId="9" fontId="25" fillId="0" borderId="0" xfId="0" applyNumberFormat="1" applyFont="1" applyAlignment="1">
      <alignment horizontal="center" vertical="center"/>
    </xf>
    <xf numFmtId="0" fontId="36" fillId="0" borderId="26" xfId="0" applyFont="1" applyBorder="1" applyAlignment="1"/>
    <xf numFmtId="0" fontId="25" fillId="0" borderId="26" xfId="0" applyFont="1" applyBorder="1" applyAlignment="1"/>
    <xf numFmtId="0" fontId="36" fillId="0" borderId="26" xfId="0" applyFont="1" applyFill="1" applyBorder="1" applyAlignment="1">
      <alignment horizontal="left"/>
    </xf>
    <xf numFmtId="165" fontId="25" fillId="0" borderId="26" xfId="0" applyNumberFormat="1" applyFont="1" applyBorder="1"/>
    <xf numFmtId="165" fontId="25" fillId="0" borderId="0" xfId="0" applyNumberFormat="1" applyFont="1" applyBorder="1"/>
    <xf numFmtId="0" fontId="36" fillId="0" borderId="0" xfId="0" applyFont="1" applyFill="1" applyBorder="1" applyAlignment="1">
      <alignment horizontal="left"/>
    </xf>
    <xf numFmtId="0" fontId="36" fillId="0" borderId="0" xfId="0" applyFont="1" applyAlignment="1">
      <alignment horizontal="left" indent="5"/>
    </xf>
    <xf numFmtId="0" fontId="46" fillId="0" borderId="0" xfId="0" applyFont="1" applyAlignment="1"/>
    <xf numFmtId="0" fontId="25" fillId="0" borderId="0" xfId="0" applyFont="1" applyFill="1" applyAlignment="1"/>
    <xf numFmtId="0" fontId="25" fillId="0" borderId="0" xfId="0" quotePrefix="1" applyFont="1" applyAlignment="1"/>
    <xf numFmtId="0" fontId="25" fillId="0" borderId="0" xfId="0" quotePrefix="1" applyFont="1" applyAlignment="1">
      <alignment horizontal="left" indent="3"/>
    </xf>
    <xf numFmtId="0" fontId="36" fillId="2" borderId="21" xfId="0" applyFont="1" applyFill="1" applyBorder="1" applyAlignment="1">
      <alignment horizontal="center" vertical="center" wrapText="1"/>
    </xf>
    <xf numFmtId="37" fontId="36" fillId="2" borderId="21" xfId="0" applyNumberFormat="1" applyFont="1" applyFill="1" applyBorder="1" applyAlignment="1">
      <alignment horizontal="center" vertical="center" wrapText="1"/>
    </xf>
    <xf numFmtId="37" fontId="36" fillId="0" borderId="0" xfId="0" applyNumberFormat="1" applyFont="1" applyFill="1" applyBorder="1" applyAlignment="1">
      <alignment horizontal="center" vertical="center" wrapText="1"/>
    </xf>
    <xf numFmtId="9" fontId="36" fillId="0" borderId="0" xfId="0" applyNumberFormat="1" applyFont="1" applyFill="1" applyBorder="1" applyAlignment="1">
      <alignment horizontal="center" vertical="center" wrapText="1"/>
    </xf>
    <xf numFmtId="37" fontId="46" fillId="0" borderId="0" xfId="0" applyNumberFormat="1" applyFont="1" applyAlignment="1">
      <alignment horizontal="center" vertical="center"/>
    </xf>
    <xf numFmtId="37" fontId="46" fillId="0" borderId="0" xfId="0" applyNumberFormat="1" applyFont="1" applyBorder="1" applyAlignment="1">
      <alignment vertical="center"/>
    </xf>
    <xf numFmtId="9" fontId="36" fillId="0" borderId="0" xfId="0" applyNumberFormat="1" applyFont="1" applyBorder="1" applyAlignment="1">
      <alignment horizontal="center" vertical="center"/>
    </xf>
    <xf numFmtId="37" fontId="25" fillId="0" borderId="0" xfId="0" applyNumberFormat="1" applyFont="1" applyBorder="1" applyAlignment="1">
      <alignment horizontal="center" vertical="center"/>
    </xf>
    <xf numFmtId="9" fontId="25" fillId="0" borderId="0" xfId="0" applyNumberFormat="1" applyFont="1" applyBorder="1" applyAlignment="1">
      <alignment horizontal="center" vertical="center"/>
    </xf>
    <xf numFmtId="0" fontId="36" fillId="0" borderId="26" xfId="0" applyFont="1" applyFill="1" applyBorder="1" applyAlignment="1">
      <alignment vertical="center"/>
    </xf>
    <xf numFmtId="165" fontId="25" fillId="0" borderId="0" xfId="0" applyNumberFormat="1" applyFont="1" applyFill="1" applyBorder="1" applyAlignment="1">
      <alignment horizontal="right" vertical="center"/>
    </xf>
    <xf numFmtId="165" fontId="25" fillId="0" borderId="0" xfId="0" applyNumberFormat="1" applyFont="1" applyBorder="1" applyAlignment="1">
      <alignment horizontal="right" vertical="center"/>
    </xf>
    <xf numFmtId="9" fontId="25" fillId="0" borderId="0" xfId="0" applyNumberFormat="1" applyFont="1" applyBorder="1" applyAlignment="1">
      <alignment horizontal="right" vertical="center"/>
    </xf>
    <xf numFmtId="0" fontId="25" fillId="0" borderId="0" xfId="0" applyFont="1" applyFill="1" applyAlignment="1">
      <alignment vertical="center"/>
    </xf>
    <xf numFmtId="37" fontId="36" fillId="0" borderId="9" xfId="0" applyNumberFormat="1" applyFont="1" applyBorder="1" applyAlignment="1">
      <alignment horizontal="right" vertical="center"/>
    </xf>
    <xf numFmtId="37" fontId="36" fillId="0" borderId="0" xfId="0" applyNumberFormat="1" applyFont="1" applyBorder="1" applyAlignment="1">
      <alignment horizontal="right" vertical="center"/>
    </xf>
    <xf numFmtId="9" fontId="36" fillId="0" borderId="0" xfId="0" applyNumberFormat="1" applyFont="1" applyBorder="1" applyAlignment="1">
      <alignment horizontal="right" vertical="center"/>
    </xf>
    <xf numFmtId="172" fontId="25" fillId="0" borderId="0" xfId="0" applyNumberFormat="1" applyFont="1" applyAlignment="1">
      <alignment horizontal="center" vertical="center"/>
    </xf>
    <xf numFmtId="172" fontId="25" fillId="0" borderId="0" xfId="0" applyNumberFormat="1" applyFont="1" applyBorder="1" applyAlignment="1">
      <alignment horizontal="center" vertical="center"/>
    </xf>
    <xf numFmtId="37" fontId="25" fillId="0" borderId="0" xfId="0" applyNumberFormat="1" applyFont="1" applyBorder="1" applyAlignment="1">
      <alignment horizontal="center" vertical="center"/>
    </xf>
    <xf numFmtId="9" fontId="25" fillId="0" borderId="0" xfId="0" applyNumberFormat="1" applyFont="1" applyBorder="1" applyAlignment="1">
      <alignment horizontal="center" vertical="center"/>
    </xf>
    <xf numFmtId="37" fontId="25" fillId="0" borderId="0" xfId="0" applyNumberFormat="1" applyFont="1" applyAlignment="1">
      <alignment horizontal="center" vertical="center"/>
    </xf>
    <xf numFmtId="0" fontId="36" fillId="0" borderId="0" xfId="0" applyFont="1" applyBorder="1" applyAlignment="1"/>
    <xf numFmtId="9" fontId="25" fillId="0" borderId="0" xfId="0" applyNumberFormat="1" applyFont="1" applyAlignment="1">
      <alignment horizontal="center" vertical="center"/>
    </xf>
    <xf numFmtId="0" fontId="25" fillId="0" borderId="0" xfId="0" applyFont="1" applyAlignment="1">
      <alignment horizontal="left"/>
    </xf>
    <xf numFmtId="0" fontId="24" fillId="0" borderId="0" xfId="0" applyFont="1" applyFill="1" applyAlignment="1">
      <alignment horizontal="left" vertical="top"/>
    </xf>
    <xf numFmtId="0" fontId="24" fillId="0" borderId="0" xfId="0" applyFont="1" applyFill="1" applyAlignment="1">
      <alignment horizontal="center" vertical="top"/>
    </xf>
    <xf numFmtId="1" fontId="23" fillId="0" borderId="0" xfId="0" applyNumberFormat="1" applyFont="1" applyFill="1" applyAlignment="1">
      <alignment horizontal="left" vertical="top"/>
    </xf>
    <xf numFmtId="0" fontId="23" fillId="0" borderId="0" xfId="0" applyNumberFormat="1" applyFont="1" applyFill="1" applyAlignment="1">
      <alignment horizontal="left" vertical="top"/>
    </xf>
    <xf numFmtId="0" fontId="24" fillId="0" borderId="0" xfId="0" applyFont="1" applyFill="1" applyBorder="1" applyAlignment="1">
      <alignment horizontal="justify" vertical="top"/>
    </xf>
    <xf numFmtId="0" fontId="24" fillId="0" borderId="0" xfId="0" applyNumberFormat="1" applyFont="1" applyFill="1" applyAlignment="1">
      <alignment horizontal="centerContinuous" vertical="top"/>
    </xf>
    <xf numFmtId="0" fontId="24" fillId="0" borderId="0" xfId="0" applyFont="1" applyFill="1" applyBorder="1" applyAlignment="1">
      <alignment horizontal="centerContinuous" vertical="top"/>
    </xf>
    <xf numFmtId="0" fontId="30" fillId="0" borderId="0" xfId="0" applyFont="1" applyFill="1"/>
    <xf numFmtId="0" fontId="37" fillId="0" borderId="0" xfId="0" applyFont="1" applyFill="1"/>
    <xf numFmtId="0" fontId="23" fillId="0" borderId="0" xfId="0" applyFont="1" applyFill="1" applyAlignment="1">
      <alignment vertical="top"/>
    </xf>
    <xf numFmtId="167" fontId="23" fillId="0" borderId="0" xfId="0" applyNumberFormat="1" applyFont="1" applyFill="1" applyAlignment="1">
      <alignment horizontal="left" vertical="top"/>
    </xf>
    <xf numFmtId="0" fontId="23" fillId="0" borderId="0" xfId="0" quotePrefix="1" applyFont="1" applyFill="1" applyAlignment="1">
      <alignment horizontal="left" vertical="top"/>
    </xf>
    <xf numFmtId="0" fontId="49" fillId="0" borderId="0" xfId="0" quotePrefix="1" applyFont="1" applyFill="1" applyAlignment="1">
      <alignment horizontal="left" vertical="top"/>
    </xf>
    <xf numFmtId="0" fontId="41" fillId="0" borderId="0" xfId="0" applyFont="1" applyFill="1"/>
    <xf numFmtId="0" fontId="49" fillId="0" borderId="0" xfId="0" quotePrefix="1" applyFont="1" applyFill="1"/>
    <xf numFmtId="0" fontId="49" fillId="0" borderId="0" xfId="0" applyFont="1" applyFill="1"/>
    <xf numFmtId="171" fontId="23" fillId="0" borderId="0" xfId="3" applyNumberFormat="1" applyFont="1" applyFill="1" applyAlignment="1">
      <alignment horizontal="left"/>
    </xf>
    <xf numFmtId="0" fontId="23" fillId="0" borderId="0" xfId="3" quotePrefix="1" applyNumberFormat="1" applyFont="1" applyFill="1" applyAlignment="1">
      <alignment horizontal="left"/>
    </xf>
    <xf numFmtId="0" fontId="23" fillId="0" borderId="0" xfId="0" applyNumberFormat="1" applyFont="1" applyFill="1" applyAlignment="1">
      <alignment horizontal="left"/>
    </xf>
    <xf numFmtId="0" fontId="23" fillId="0" borderId="0" xfId="3" quotePrefix="1" applyNumberFormat="1" applyFont="1" applyFill="1" applyAlignment="1">
      <alignment horizontal="left" vertical="top"/>
    </xf>
    <xf numFmtId="0" fontId="23" fillId="0" borderId="0" xfId="0" applyNumberFormat="1" applyFont="1" applyFill="1" applyAlignment="1">
      <alignment vertical="top"/>
    </xf>
    <xf numFmtId="0" fontId="23" fillId="0" borderId="0" xfId="0" quotePrefix="1" applyFont="1" applyFill="1" applyAlignment="1">
      <alignment horizontal="left"/>
    </xf>
    <xf numFmtId="165" fontId="24" fillId="0" borderId="0" xfId="0" applyNumberFormat="1" applyFont="1" applyFill="1" applyBorder="1" applyAlignment="1">
      <alignment horizontal="centerContinuous"/>
    </xf>
    <xf numFmtId="165" fontId="24" fillId="0" borderId="0" xfId="0" applyNumberFormat="1" applyFont="1" applyFill="1" applyBorder="1"/>
    <xf numFmtId="0" fontId="24" fillId="0" borderId="0" xfId="0" applyFont="1" applyFill="1" applyBorder="1" applyAlignment="1">
      <alignment horizontal="justify" vertical="top" wrapText="1"/>
    </xf>
    <xf numFmtId="165" fontId="30" fillId="0" borderId="0" xfId="3" applyNumberFormat="1" applyFont="1" applyFill="1"/>
    <xf numFmtId="0" fontId="37" fillId="0" borderId="0" xfId="0" applyFont="1" applyFill="1" applyAlignment="1">
      <alignment horizontal="left"/>
    </xf>
    <xf numFmtId="0" fontId="30" fillId="0" borderId="0" xfId="0" applyFont="1" applyFill="1" applyAlignment="1">
      <alignment vertical="top"/>
    </xf>
    <xf numFmtId="1" fontId="23" fillId="0" borderId="0" xfId="0" quotePrefix="1" applyNumberFormat="1" applyFont="1" applyFill="1" applyAlignment="1">
      <alignment horizontal="left" vertical="top"/>
    </xf>
    <xf numFmtId="0" fontId="48" fillId="0" borderId="0" xfId="0" applyFont="1" applyAlignment="1">
      <alignment horizontal="justify" vertical="top" wrapText="1"/>
    </xf>
    <xf numFmtId="0" fontId="24" fillId="0" borderId="0" xfId="0" applyFont="1" applyFill="1" applyAlignment="1">
      <alignment vertical="top"/>
    </xf>
    <xf numFmtId="0" fontId="37" fillId="0" borderId="0" xfId="0" applyFont="1" applyFill="1" applyAlignment="1">
      <alignment horizontal="left" vertical="top"/>
    </xf>
    <xf numFmtId="0" fontId="47" fillId="0" borderId="0" xfId="0" applyFont="1" applyAlignment="1">
      <alignment vertical="top" wrapText="1"/>
    </xf>
    <xf numFmtId="0" fontId="37" fillId="0" borderId="0" xfId="0" quotePrefix="1" applyFont="1" applyFill="1" applyAlignment="1">
      <alignment horizontal="center" vertical="top"/>
    </xf>
    <xf numFmtId="0" fontId="37" fillId="0" borderId="0" xfId="0" applyNumberFormat="1" applyFont="1" applyFill="1" applyAlignment="1">
      <alignment vertical="top"/>
    </xf>
    <xf numFmtId="0" fontId="47" fillId="0" borderId="0" xfId="0" applyFont="1" applyAlignment="1">
      <alignment horizontal="justify" vertical="top" wrapText="1"/>
    </xf>
    <xf numFmtId="0" fontId="37" fillId="0" borderId="0" xfId="0" applyFont="1" applyFill="1" applyAlignment="1">
      <alignment horizontal="center" vertical="top"/>
    </xf>
    <xf numFmtId="1" fontId="23" fillId="0" borderId="0" xfId="0" applyNumberFormat="1" applyFont="1" applyFill="1" applyAlignment="1">
      <alignment horizontal="left" vertical="top"/>
    </xf>
    <xf numFmtId="0" fontId="23" fillId="0" borderId="0" xfId="0" applyFont="1" applyFill="1" applyAlignment="1">
      <alignment horizontal="left" vertical="top"/>
    </xf>
    <xf numFmtId="0" fontId="24" fillId="0" borderId="0" xfId="0" applyFont="1" applyFill="1" applyAlignment="1"/>
    <xf numFmtId="0" fontId="24" fillId="0" borderId="0" xfId="0" applyNumberFormat="1" applyFont="1" applyFill="1" applyAlignment="1"/>
    <xf numFmtId="167" fontId="23" fillId="0" borderId="0" xfId="0" quotePrefix="1" applyNumberFormat="1" applyFont="1" applyFill="1" applyAlignment="1">
      <alignment horizontal="left" vertical="top"/>
    </xf>
    <xf numFmtId="0" fontId="24" fillId="0" borderId="0" xfId="0" applyFont="1" applyAlignment="1">
      <alignment horizontal="justify" vertical="top"/>
    </xf>
    <xf numFmtId="0" fontId="38" fillId="0" borderId="0" xfId="0" applyFont="1" applyFill="1" applyAlignment="1">
      <alignment horizontal="centerContinuous" vertical="center"/>
    </xf>
    <xf numFmtId="0" fontId="28" fillId="0" borderId="0" xfId="0" applyFont="1" applyFill="1" applyAlignment="1">
      <alignment horizontal="centerContinuous" vertical="center"/>
    </xf>
    <xf numFmtId="0" fontId="28" fillId="0" borderId="0" xfId="0" applyFont="1" applyFill="1" applyAlignment="1">
      <alignment vertical="center"/>
    </xf>
    <xf numFmtId="0" fontId="38" fillId="0" borderId="0" xfId="0" applyFont="1" applyFill="1" applyAlignment="1">
      <alignment vertical="center"/>
    </xf>
    <xf numFmtId="0" fontId="23" fillId="0" borderId="0" xfId="0" applyFont="1" applyFill="1" applyAlignment="1">
      <alignment horizontal="right" vertical="center"/>
    </xf>
    <xf numFmtId="0" fontId="50" fillId="0" borderId="0" xfId="0" applyFont="1" applyFill="1"/>
    <xf numFmtId="39" fontId="52" fillId="0" borderId="0" xfId="0" applyNumberFormat="1" applyFont="1" applyAlignment="1">
      <alignment horizontal="left"/>
    </xf>
    <xf numFmtId="0" fontId="53" fillId="0" borderId="0" xfId="0" applyFont="1" applyFill="1" applyBorder="1" applyAlignment="1"/>
    <xf numFmtId="39" fontId="53" fillId="0" borderId="0" xfId="0" applyNumberFormat="1" applyFont="1" applyAlignment="1">
      <alignment horizontal="left"/>
    </xf>
    <xf numFmtId="0" fontId="53" fillId="0" borderId="0" xfId="0" applyFont="1" applyBorder="1" applyAlignment="1"/>
    <xf numFmtId="0" fontId="52" fillId="0" borderId="0" xfId="0" applyFont="1" applyFill="1" applyBorder="1" applyAlignment="1">
      <alignment horizontal="center" vertical="center" wrapText="1"/>
    </xf>
    <xf numFmtId="165" fontId="53" fillId="0" borderId="0" xfId="3" applyNumberFormat="1" applyFont="1" applyFill="1" applyBorder="1" applyAlignment="1">
      <alignment vertical="center"/>
    </xf>
    <xf numFmtId="0" fontId="55" fillId="0" borderId="0" xfId="0" applyFont="1" applyFill="1" applyAlignment="1"/>
    <xf numFmtId="37" fontId="40" fillId="0" borderId="0" xfId="0" applyNumberFormat="1" applyFont="1" applyFill="1" applyBorder="1" applyAlignment="1">
      <alignment horizontal="center"/>
    </xf>
    <xf numFmtId="165" fontId="53" fillId="0" borderId="0" xfId="3" applyNumberFormat="1" applyFont="1" applyFill="1" applyBorder="1"/>
    <xf numFmtId="165" fontId="52" fillId="0" borderId="9" xfId="3" applyNumberFormat="1" applyFont="1" applyFill="1" applyBorder="1"/>
    <xf numFmtId="165" fontId="53" fillId="0" borderId="0" xfId="0" applyNumberFormat="1" applyFont="1" applyFill="1" applyBorder="1" applyAlignment="1"/>
    <xf numFmtId="0" fontId="52" fillId="0" borderId="0" xfId="0" applyFont="1" applyFill="1" applyBorder="1" applyAlignment="1"/>
    <xf numFmtId="10" fontId="52" fillId="0" borderId="0" xfId="4" applyNumberFormat="1" applyFont="1" applyFill="1" applyBorder="1"/>
    <xf numFmtId="0" fontId="53" fillId="0" borderId="0" xfId="0" applyFont="1" applyAlignment="1"/>
    <xf numFmtId="0" fontId="32" fillId="0" borderId="0" xfId="0" applyFont="1" applyAlignment="1"/>
    <xf numFmtId="0" fontId="31" fillId="0" borderId="0" xfId="0" applyFont="1" applyAlignment="1"/>
    <xf numFmtId="165" fontId="31" fillId="0" borderId="0" xfId="3" applyNumberFormat="1" applyFont="1"/>
    <xf numFmtId="0" fontId="32" fillId="0" borderId="0" xfId="0" applyFont="1" applyAlignment="1">
      <alignment horizontal="center" vertical="center" wrapText="1"/>
    </xf>
    <xf numFmtId="0" fontId="32" fillId="3" borderId="21" xfId="0" applyFont="1" applyFill="1" applyBorder="1" applyAlignment="1">
      <alignment horizontal="center" vertical="center" wrapText="1"/>
    </xf>
    <xf numFmtId="0" fontId="32" fillId="0" borderId="4" xfId="0" applyFont="1" applyBorder="1" applyAlignment="1">
      <alignment horizontal="center" vertical="center" wrapText="1"/>
    </xf>
    <xf numFmtId="165" fontId="32" fillId="3" borderId="21" xfId="3" applyNumberFormat="1" applyFont="1" applyFill="1" applyBorder="1" applyAlignment="1">
      <alignment horizontal="center" vertical="center" wrapText="1"/>
    </xf>
    <xf numFmtId="0" fontId="32" fillId="0" borderId="0" xfId="0" applyFont="1" applyFill="1" applyAlignment="1">
      <alignment horizontal="center" vertical="center"/>
    </xf>
    <xf numFmtId="165" fontId="32" fillId="0" borderId="0" xfId="3" applyNumberFormat="1" applyFont="1" applyFill="1" applyAlignment="1">
      <alignment horizontal="center" vertical="center"/>
    </xf>
    <xf numFmtId="0" fontId="31" fillId="0" borderId="0" xfId="0" applyFont="1" applyFill="1" applyAlignment="1">
      <alignment horizontal="center" vertical="center"/>
    </xf>
    <xf numFmtId="0" fontId="31" fillId="0" borderId="0" xfId="0" applyFont="1" applyFill="1" applyAlignment="1">
      <alignment vertical="center"/>
    </xf>
    <xf numFmtId="0" fontId="31" fillId="0" borderId="0" xfId="0" applyFont="1" applyFill="1" applyBorder="1" applyAlignment="1"/>
    <xf numFmtId="165" fontId="31" fillId="0" borderId="0" xfId="3" applyNumberFormat="1" applyFont="1" applyAlignment="1">
      <alignment vertical="center"/>
    </xf>
    <xf numFmtId="0" fontId="31" fillId="0" borderId="0" xfId="0" applyFont="1" applyAlignment="1">
      <alignment vertical="center"/>
    </xf>
    <xf numFmtId="165" fontId="31" fillId="0" borderId="0" xfId="3" applyNumberFormat="1" applyFont="1" applyFill="1" applyAlignment="1">
      <alignment horizontal="center" vertical="center" wrapText="1"/>
    </xf>
    <xf numFmtId="10" fontId="31" fillId="0" borderId="0" xfId="4" applyNumberFormat="1" applyFont="1" applyFill="1"/>
    <xf numFmtId="165" fontId="31" fillId="0" borderId="0" xfId="3" applyNumberFormat="1" applyFont="1" applyFill="1" applyAlignment="1">
      <alignment vertical="center"/>
    </xf>
    <xf numFmtId="10" fontId="31" fillId="0" borderId="0" xfId="4" applyNumberFormat="1" applyFont="1" applyFill="1" applyAlignment="1">
      <alignment vertical="center"/>
    </xf>
    <xf numFmtId="0" fontId="32" fillId="0" borderId="0" xfId="0" applyFont="1" applyFill="1" applyAlignment="1">
      <alignment vertical="center"/>
    </xf>
    <xf numFmtId="0" fontId="31" fillId="0" borderId="0" xfId="0" applyFont="1" applyFill="1" applyAlignment="1">
      <alignment vertical="center" wrapText="1"/>
    </xf>
    <xf numFmtId="165" fontId="32" fillId="0" borderId="0" xfId="3" applyNumberFormat="1" applyFont="1" applyFill="1" applyAlignment="1">
      <alignment vertical="center"/>
    </xf>
    <xf numFmtId="10" fontId="32" fillId="0" borderId="0" xfId="4" applyNumberFormat="1" applyFont="1" applyFill="1" applyBorder="1" applyAlignment="1">
      <alignment vertical="center"/>
    </xf>
    <xf numFmtId="0" fontId="34" fillId="0" borderId="0" xfId="0" applyFont="1"/>
    <xf numFmtId="165" fontId="31" fillId="0" borderId="0" xfId="3" applyNumberFormat="1" applyFont="1" applyFill="1" applyBorder="1" applyAlignment="1">
      <alignment horizontal="center" vertical="center"/>
    </xf>
    <xf numFmtId="165" fontId="31" fillId="0" borderId="0" xfId="3" applyNumberFormat="1" applyFont="1" applyFill="1" applyBorder="1" applyAlignment="1">
      <alignment vertical="center"/>
    </xf>
    <xf numFmtId="10" fontId="31" fillId="0" borderId="0" xfId="4" applyNumberFormat="1" applyFont="1" applyFill="1" applyBorder="1" applyAlignment="1">
      <alignment vertical="center"/>
    </xf>
    <xf numFmtId="0" fontId="32" fillId="0" borderId="0" xfId="0" applyFont="1" applyFill="1" applyBorder="1" applyAlignment="1">
      <alignment horizontal="left" vertical="center"/>
    </xf>
    <xf numFmtId="165" fontId="32" fillId="0" borderId="0" xfId="3" applyNumberFormat="1" applyFont="1" applyFill="1" applyAlignment="1">
      <alignment horizontal="center" vertical="center" wrapText="1"/>
    </xf>
    <xf numFmtId="165" fontId="32" fillId="0" borderId="9" xfId="3" applyNumberFormat="1" applyFont="1" applyFill="1" applyBorder="1" applyAlignment="1">
      <alignment vertical="center"/>
    </xf>
    <xf numFmtId="10" fontId="32" fillId="0" borderId="9" xfId="4" applyNumberFormat="1" applyFont="1" applyFill="1" applyBorder="1" applyAlignment="1">
      <alignment vertical="center"/>
    </xf>
    <xf numFmtId="10" fontId="32" fillId="0" borderId="16" xfId="4" applyNumberFormat="1" applyFont="1" applyFill="1" applyBorder="1"/>
    <xf numFmtId="10" fontId="32" fillId="0" borderId="0" xfId="4" applyNumberFormat="1" applyFont="1" applyFill="1"/>
    <xf numFmtId="0" fontId="37" fillId="0" borderId="0" xfId="0" applyFont="1" applyFill="1" applyAlignment="1"/>
    <xf numFmtId="0" fontId="30" fillId="0" borderId="0" xfId="0" applyFont="1" applyFill="1" applyAlignment="1"/>
    <xf numFmtId="0" fontId="30" fillId="0" borderId="0" xfId="0" applyFont="1" applyFill="1" applyAlignment="1">
      <alignment horizontal="center"/>
    </xf>
    <xf numFmtId="165" fontId="30" fillId="0" borderId="0" xfId="3" applyNumberFormat="1" applyFont="1" applyFill="1" applyAlignment="1"/>
    <xf numFmtId="260" fontId="30" fillId="0" borderId="0" xfId="3" applyFont="1" applyFill="1" applyAlignment="1"/>
    <xf numFmtId="164" fontId="30" fillId="0" borderId="0" xfId="0" applyNumberFormat="1" applyFont="1" applyFill="1" applyAlignment="1">
      <alignment horizontal="left"/>
    </xf>
    <xf numFmtId="43" fontId="30" fillId="0" borderId="0" xfId="3" applyNumberFormat="1" applyFont="1" applyFill="1" applyAlignment="1"/>
    <xf numFmtId="168" fontId="30" fillId="0" borderId="0" xfId="0" applyNumberFormat="1" applyFont="1" applyFill="1" applyAlignment="1">
      <alignment horizontal="left"/>
    </xf>
    <xf numFmtId="41" fontId="30" fillId="0" borderId="0" xfId="0" applyNumberFormat="1" applyFont="1" applyFill="1" applyAlignment="1"/>
    <xf numFmtId="43" fontId="30" fillId="0" borderId="0" xfId="0" applyNumberFormat="1" applyFont="1" applyFill="1" applyAlignment="1">
      <alignment horizontal="center" vertical="center"/>
    </xf>
    <xf numFmtId="165" fontId="37" fillId="0" borderId="9" xfId="3" applyNumberFormat="1" applyFont="1" applyFill="1" applyBorder="1" applyAlignment="1">
      <alignment vertical="top"/>
    </xf>
    <xf numFmtId="260" fontId="37" fillId="0" borderId="9" xfId="3" applyFont="1" applyFill="1" applyBorder="1" applyAlignment="1">
      <alignment vertical="top"/>
    </xf>
    <xf numFmtId="9" fontId="42" fillId="0" borderId="0" xfId="4" applyFont="1" applyFill="1" applyBorder="1" applyAlignment="1"/>
    <xf numFmtId="169" fontId="37" fillId="0" borderId="9" xfId="0" applyNumberFormat="1" applyFont="1" applyFill="1" applyBorder="1" applyAlignment="1"/>
    <xf numFmtId="0" fontId="30" fillId="0" borderId="0" xfId="0" applyFont="1" applyFill="1" applyBorder="1" applyAlignment="1"/>
    <xf numFmtId="0" fontId="37" fillId="0" borderId="0" xfId="0" applyNumberFormat="1" applyFont="1" applyFill="1" applyAlignment="1"/>
    <xf numFmtId="0" fontId="56" fillId="0" borderId="0" xfId="0" applyFont="1" applyFill="1"/>
    <xf numFmtId="0" fontId="30" fillId="0" borderId="0" xfId="0" applyFont="1" applyFill="1"/>
    <xf numFmtId="165" fontId="30" fillId="0" borderId="0" xfId="3" applyNumberFormat="1" applyFont="1"/>
    <xf numFmtId="165" fontId="30" fillId="0" borderId="0" xfId="3" applyNumberFormat="1" applyFont="1" applyFill="1" applyAlignment="1">
      <alignment vertical="top"/>
    </xf>
    <xf numFmtId="165" fontId="30" fillId="0" borderId="0" xfId="3" applyNumberFormat="1" applyFont="1" applyFill="1" applyBorder="1" applyAlignment="1"/>
    <xf numFmtId="9" fontId="30" fillId="0" borderId="0" xfId="4" applyFont="1" applyFill="1" applyBorder="1" applyAlignment="1"/>
    <xf numFmtId="0" fontId="37" fillId="0" borderId="0" xfId="0" applyFont="1" applyFill="1" applyAlignment="1">
      <alignment horizontal="left"/>
    </xf>
    <xf numFmtId="49" fontId="29" fillId="0" borderId="0" xfId="0" quotePrefix="1" applyNumberFormat="1" applyFont="1" applyFill="1" applyBorder="1" applyAlignment="1">
      <alignment horizontal="center" vertical="center"/>
    </xf>
    <xf numFmtId="0" fontId="23" fillId="0" borderId="0" xfId="0" applyNumberFormat="1" applyFont="1" applyFill="1" applyAlignment="1">
      <alignment horizontal="left"/>
    </xf>
    <xf numFmtId="0" fontId="23" fillId="0" borderId="0" xfId="0" applyFont="1" applyFill="1" applyAlignment="1"/>
    <xf numFmtId="0" fontId="24" fillId="0" borderId="0" xfId="0" applyNumberFormat="1" applyFont="1" applyFill="1" applyAlignment="1"/>
    <xf numFmtId="37" fontId="24" fillId="0" borderId="0" xfId="0" applyNumberFormat="1" applyFont="1" applyAlignment="1">
      <alignment horizontal="centerContinuous"/>
    </xf>
    <xf numFmtId="49" fontId="23" fillId="0" borderId="0" xfId="0" applyNumberFormat="1" applyFont="1" applyFill="1" applyAlignment="1">
      <alignment vertical="center"/>
    </xf>
    <xf numFmtId="0" fontId="37" fillId="0" borderId="0" xfId="0" applyFont="1" applyFill="1" applyAlignment="1">
      <alignment horizontal="center" vertical="top"/>
    </xf>
    <xf numFmtId="0" fontId="30" fillId="0" borderId="0" xfId="0" applyNumberFormat="1" applyFont="1" applyFill="1" applyAlignment="1">
      <alignment vertical="top"/>
    </xf>
    <xf numFmtId="0" fontId="47" fillId="0" borderId="0" xfId="0" applyFont="1" applyFill="1" applyAlignment="1">
      <alignment horizontal="justify" vertical="top" wrapText="1"/>
    </xf>
    <xf numFmtId="165" fontId="30" fillId="0" borderId="0" xfId="3" applyNumberFormat="1" applyFont="1" applyFill="1" applyBorder="1" applyAlignment="1">
      <alignment horizontal="center" vertical="center"/>
    </xf>
    <xf numFmtId="41" fontId="37" fillId="0" borderId="8" xfId="0" applyNumberFormat="1" applyFont="1" applyFill="1" applyBorder="1" applyAlignment="1"/>
    <xf numFmtId="0" fontId="35" fillId="0" borderId="0" xfId="0" applyNumberFormat="1" applyFont="1" applyFill="1" applyAlignment="1"/>
    <xf numFmtId="0" fontId="57" fillId="0" borderId="0" xfId="0" applyNumberFormat="1" applyFont="1" applyFill="1" applyBorder="1" applyAlignment="1">
      <alignment horizontal="center" vertical="center" wrapText="1"/>
    </xf>
    <xf numFmtId="0" fontId="57" fillId="0" borderId="0" xfId="0" applyFont="1" applyFill="1" applyAlignment="1">
      <alignment vertical="top"/>
    </xf>
    <xf numFmtId="165" fontId="35" fillId="0" borderId="0" xfId="3" applyNumberFormat="1" applyFont="1" applyFill="1" applyAlignment="1">
      <alignment vertical="top"/>
    </xf>
    <xf numFmtId="0" fontId="57" fillId="0" borderId="1" xfId="0" applyNumberFormat="1" applyFont="1" applyFill="1" applyBorder="1" applyAlignment="1">
      <alignment vertical="center" wrapText="1"/>
    </xf>
    <xf numFmtId="0" fontId="35" fillId="0" borderId="0" xfId="0" applyNumberFormat="1" applyFont="1" applyFill="1" applyBorder="1" applyAlignment="1">
      <alignment vertical="center" wrapText="1"/>
    </xf>
    <xf numFmtId="0" fontId="35" fillId="0" borderId="0" xfId="0" applyNumberFormat="1" applyFont="1" applyFill="1" applyBorder="1" applyAlignment="1"/>
    <xf numFmtId="165" fontId="35" fillId="0" borderId="0" xfId="3" applyNumberFormat="1" applyFont="1" applyFill="1" applyAlignment="1"/>
    <xf numFmtId="1" fontId="23" fillId="5" borderId="0" xfId="0" applyNumberFormat="1" applyFont="1" applyFill="1" applyAlignment="1">
      <alignment horizontal="left" vertical="top"/>
    </xf>
    <xf numFmtId="0" fontId="23" fillId="5" borderId="0" xfId="0" applyFont="1" applyFill="1" applyAlignment="1">
      <alignment horizontal="left" vertical="top"/>
    </xf>
    <xf numFmtId="0" fontId="24" fillId="5" borderId="0" xfId="0" applyFont="1" applyFill="1" applyAlignment="1"/>
    <xf numFmtId="37" fontId="37" fillId="0" borderId="0" xfId="0" applyNumberFormat="1" applyFont="1" applyFill="1" applyAlignment="1">
      <alignment horizontal="left" vertical="top"/>
    </xf>
    <xf numFmtId="37" fontId="24" fillId="0" borderId="0" xfId="0" applyNumberFormat="1" applyFont="1" applyFill="1" applyAlignment="1">
      <alignment horizontal="centerContinuous" vertical="top"/>
    </xf>
    <xf numFmtId="1" fontId="23" fillId="0" borderId="0" xfId="0" quotePrefix="1" applyNumberFormat="1" applyFont="1" applyFill="1" applyAlignment="1">
      <alignment horizontal="left" vertical="top"/>
    </xf>
    <xf numFmtId="0" fontId="24" fillId="0" borderId="0" xfId="0" applyFont="1" applyFill="1" applyAlignment="1">
      <alignment vertical="top"/>
    </xf>
    <xf numFmtId="0" fontId="30" fillId="0" borderId="0" xfId="0" applyFont="1" applyFill="1" applyAlignment="1">
      <alignment vertical="top"/>
    </xf>
    <xf numFmtId="0" fontId="37" fillId="0" borderId="0" xfId="0" applyFont="1" applyFill="1" applyAlignment="1">
      <alignment horizontal="center" vertical="top"/>
    </xf>
    <xf numFmtId="167" fontId="23" fillId="0" borderId="0" xfId="0" quotePrefix="1" applyNumberFormat="1" applyFont="1" applyFill="1" applyAlignment="1">
      <alignment horizontal="left" vertical="top"/>
    </xf>
    <xf numFmtId="0" fontId="23" fillId="0" borderId="0" xfId="0" quotePrefix="1" applyFont="1" applyFill="1" applyAlignment="1">
      <alignment vertical="top"/>
    </xf>
    <xf numFmtId="37" fontId="37" fillId="0" borderId="0" xfId="0" applyNumberFormat="1" applyFont="1" applyFill="1" applyBorder="1" applyAlignment="1">
      <alignment horizontal="left" vertical="top"/>
    </xf>
    <xf numFmtId="0" fontId="30" fillId="0" borderId="0" xfId="0" applyNumberFormat="1" applyFont="1" applyFill="1" applyAlignment="1">
      <alignment horizontal="left" vertical="top" indent="1"/>
    </xf>
    <xf numFmtId="49" fontId="23" fillId="0" borderId="0" xfId="0" applyNumberFormat="1" applyFont="1" applyFill="1" applyBorder="1" applyAlignment="1">
      <alignment horizontal="center" vertical="top"/>
    </xf>
    <xf numFmtId="0" fontId="30" fillId="0" borderId="0" xfId="0" applyFont="1" applyFill="1" applyAlignment="1">
      <alignment horizontal="center" vertical="top"/>
    </xf>
    <xf numFmtId="0" fontId="24" fillId="0" borderId="0" xfId="0" applyFont="1" applyFill="1"/>
    <xf numFmtId="0" fontId="41" fillId="0" borderId="0" xfId="0" applyFont="1" applyFill="1"/>
    <xf numFmtId="0" fontId="35" fillId="0" borderId="0" xfId="0" applyFont="1" applyFill="1"/>
    <xf numFmtId="0" fontId="49" fillId="0" borderId="0" xfId="0" applyFont="1" applyFill="1" applyBorder="1" applyAlignment="1">
      <alignment horizontal="center" vertical="center" wrapText="1"/>
    </xf>
    <xf numFmtId="10" fontId="53" fillId="0" borderId="0" xfId="4" applyNumberFormat="1" applyFont="1" applyFill="1" applyBorder="1"/>
    <xf numFmtId="9" fontId="52" fillId="0" borderId="9" xfId="4" applyFont="1" applyFill="1" applyBorder="1"/>
    <xf numFmtId="1" fontId="37" fillId="0" borderId="0" xfId="0" applyNumberFormat="1" applyFont="1" applyFill="1" applyAlignment="1">
      <alignment horizontal="left" vertical="top"/>
    </xf>
    <xf numFmtId="4" fontId="59" fillId="0" borderId="0" xfId="0" applyNumberFormat="1" applyFont="1" applyFill="1"/>
    <xf numFmtId="0" fontId="58" fillId="0" borderId="0" xfId="0" applyFont="1" applyFill="1"/>
    <xf numFmtId="4" fontId="58" fillId="0" borderId="0" xfId="0" applyNumberFormat="1" applyFont="1" applyFill="1"/>
    <xf numFmtId="3" fontId="58" fillId="0" borderId="0" xfId="0" applyNumberFormat="1" applyFont="1" applyFill="1"/>
    <xf numFmtId="3" fontId="58" fillId="0" borderId="0" xfId="3" applyNumberFormat="1" applyFont="1" applyFill="1"/>
    <xf numFmtId="165" fontId="58" fillId="0" borderId="0" xfId="3" applyNumberFormat="1" applyFont="1" applyFill="1"/>
    <xf numFmtId="37" fontId="24" fillId="0" borderId="0" xfId="0" applyNumberFormat="1" applyFont="1" applyFill="1" applyBorder="1" applyAlignment="1" applyProtection="1">
      <alignment vertical="top" wrapText="1"/>
    </xf>
    <xf numFmtId="0" fontId="24" fillId="0" borderId="0" xfId="0" applyFont="1" applyFill="1" applyAlignment="1">
      <alignment vertical="justify" wrapText="1"/>
    </xf>
    <xf numFmtId="1" fontId="23" fillId="0" borderId="0" xfId="0" quotePrefix="1" applyNumberFormat="1" applyFont="1" applyFill="1" applyAlignment="1">
      <alignment horizontal="left"/>
    </xf>
    <xf numFmtId="1" fontId="49" fillId="0" borderId="0" xfId="0" quotePrefix="1" applyNumberFormat="1" applyFont="1" applyFill="1" applyAlignment="1">
      <alignment horizontal="left"/>
    </xf>
    <xf numFmtId="0" fontId="49" fillId="0" borderId="0" xfId="0" applyFont="1" applyFill="1" applyAlignment="1">
      <alignment horizontal="left" vertical="top"/>
    </xf>
    <xf numFmtId="0" fontId="60" fillId="0" borderId="0" xfId="0" applyFont="1" applyFill="1" applyAlignment="1">
      <alignment horizontal="right"/>
    </xf>
    <xf numFmtId="0" fontId="30" fillId="0" borderId="0" xfId="0" applyFont="1" applyFill="1" applyAlignment="1">
      <alignment horizontal="justify" vertical="top" wrapText="1"/>
    </xf>
    <xf numFmtId="167" fontId="37" fillId="0" borderId="0" xfId="0" quotePrefix="1" applyNumberFormat="1" applyFont="1" applyFill="1" applyAlignment="1">
      <alignment horizontal="left" vertical="top"/>
    </xf>
    <xf numFmtId="165" fontId="41" fillId="0" borderId="0" xfId="3" applyNumberFormat="1" applyFont="1" applyFill="1"/>
    <xf numFmtId="0" fontId="49" fillId="0" borderId="0" xfId="0" applyFont="1" applyFill="1" applyAlignment="1">
      <alignment horizontal="left" indent="1"/>
    </xf>
    <xf numFmtId="0" fontId="37" fillId="0" borderId="0" xfId="0" applyNumberFormat="1" applyFont="1" applyFill="1" applyBorder="1" applyAlignment="1">
      <alignment horizontal="left" vertical="top"/>
    </xf>
    <xf numFmtId="0" fontId="62" fillId="6" borderId="21" xfId="0" applyFont="1" applyFill="1" applyBorder="1"/>
    <xf numFmtId="165" fontId="0" fillId="0" borderId="0" xfId="0" applyNumberFormat="1" applyFont="1"/>
    <xf numFmtId="0" fontId="0" fillId="0" borderId="0" xfId="0"/>
    <xf numFmtId="165" fontId="0" fillId="5" borderId="0" xfId="0" applyNumberFormat="1" applyFont="1" applyFill="1"/>
    <xf numFmtId="165" fontId="0" fillId="0" borderId="0" xfId="0" applyNumberFormat="1"/>
    <xf numFmtId="0" fontId="63" fillId="0" borderId="0" xfId="0" applyFont="1" applyAlignment="1">
      <alignment vertical="top"/>
    </xf>
    <xf numFmtId="0" fontId="63" fillId="0" borderId="13" xfId="0" applyFont="1" applyBorder="1" applyAlignment="1">
      <alignment vertical="top"/>
    </xf>
    <xf numFmtId="165" fontId="63" fillId="0" borderId="13" xfId="3" applyNumberFormat="1" applyFont="1" applyBorder="1" applyAlignment="1">
      <alignment vertical="top"/>
    </xf>
    <xf numFmtId="165" fontId="63" fillId="0" borderId="0" xfId="3" applyNumberFormat="1" applyFont="1" applyAlignment="1">
      <alignment vertical="top"/>
    </xf>
    <xf numFmtId="0" fontId="62" fillId="6" borderId="21" xfId="0" applyFont="1" applyFill="1" applyBorder="1" applyAlignment="1">
      <alignment horizontal="center" vertical="center"/>
    </xf>
    <xf numFmtId="0" fontId="62" fillId="6" borderId="14" xfId="0" applyFont="1" applyFill="1" applyBorder="1" applyAlignment="1">
      <alignment horizontal="center" vertical="center" wrapText="1"/>
    </xf>
    <xf numFmtId="0" fontId="62" fillId="6" borderId="15" xfId="0" applyFont="1" applyFill="1" applyBorder="1" applyAlignment="1">
      <alignment horizontal="center" vertical="center" wrapText="1"/>
    </xf>
    <xf numFmtId="165" fontId="63" fillId="0" borderId="0" xfId="0" applyNumberFormat="1" applyFont="1" applyAlignment="1">
      <alignment vertical="top"/>
    </xf>
    <xf numFmtId="165" fontId="63" fillId="0" borderId="2" xfId="0" applyNumberFormat="1" applyFont="1" applyBorder="1" applyAlignment="1">
      <alignment vertical="top"/>
    </xf>
    <xf numFmtId="165" fontId="63" fillId="0" borderId="0" xfId="0" applyNumberFormat="1" applyFont="1"/>
    <xf numFmtId="165" fontId="63" fillId="0" borderId="0" xfId="3" applyNumberFormat="1" applyFont="1"/>
    <xf numFmtId="165" fontId="63" fillId="0" borderId="9" xfId="3" applyNumberFormat="1" applyFont="1" applyBorder="1"/>
    <xf numFmtId="0" fontId="64" fillId="0" borderId="0" xfId="0" applyFont="1" applyAlignment="1">
      <alignment vertical="top"/>
    </xf>
    <xf numFmtId="165" fontId="63" fillId="0" borderId="0" xfId="3" applyNumberFormat="1" applyFont="1" applyBorder="1"/>
    <xf numFmtId="0" fontId="62" fillId="6" borderId="14" xfId="0" applyFont="1" applyFill="1" applyBorder="1"/>
    <xf numFmtId="165" fontId="63" fillId="0" borderId="9" xfId="0" applyNumberFormat="1" applyFont="1" applyBorder="1" applyAlignment="1">
      <alignment vertical="top"/>
    </xf>
    <xf numFmtId="0" fontId="62" fillId="6" borderId="21" xfId="0" applyFont="1" applyFill="1" applyBorder="1" applyAlignment="1">
      <alignment horizontal="center" vertical="center" wrapText="1"/>
    </xf>
    <xf numFmtId="0" fontId="62" fillId="6" borderId="22" xfId="0" applyFont="1" applyFill="1" applyBorder="1" applyAlignment="1">
      <alignment horizontal="center" vertical="center" wrapText="1"/>
    </xf>
    <xf numFmtId="0" fontId="64" fillId="0" borderId="0" xfId="0" applyNumberFormat="1" applyFont="1" applyAlignment="1"/>
    <xf numFmtId="165" fontId="63" fillId="0" borderId="0" xfId="3" applyNumberFormat="1" applyFont="1" applyFill="1"/>
    <xf numFmtId="165" fontId="63" fillId="0" borderId="0" xfId="0" applyNumberFormat="1" applyFont="1"/>
    <xf numFmtId="0" fontId="63" fillId="0" borderId="0" xfId="0" applyFont="1"/>
    <xf numFmtId="0" fontId="64" fillId="0" borderId="0" xfId="0" applyFont="1"/>
    <xf numFmtId="165" fontId="64" fillId="0" borderId="0" xfId="3" applyNumberFormat="1" applyFont="1" applyFill="1" applyBorder="1" applyAlignment="1">
      <alignment horizontal="center"/>
    </xf>
    <xf numFmtId="165" fontId="64" fillId="0" borderId="0" xfId="0" applyNumberFormat="1" applyFont="1" applyFill="1" applyBorder="1" applyAlignment="1">
      <alignment wrapText="1"/>
    </xf>
    <xf numFmtId="0" fontId="63" fillId="0" borderId="0" xfId="0" applyFont="1" applyFill="1" applyAlignment="1">
      <alignment horizontal="left"/>
    </xf>
    <xf numFmtId="165" fontId="64" fillId="0" borderId="0" xfId="3" applyNumberFormat="1" applyFont="1" applyFill="1" applyBorder="1"/>
    <xf numFmtId="260" fontId="63" fillId="0" borderId="0" xfId="3" applyFont="1" applyFill="1"/>
    <xf numFmtId="0" fontId="63" fillId="0" borderId="0" xfId="0" applyFont="1" applyFill="1"/>
    <xf numFmtId="0" fontId="63" fillId="0" borderId="0" xfId="0" applyNumberFormat="1" applyFont="1" applyFill="1" applyAlignment="1">
      <alignment vertical="top"/>
    </xf>
    <xf numFmtId="0" fontId="63" fillId="5" borderId="0" xfId="0" applyNumberFormat="1" applyFont="1" applyFill="1" applyAlignment="1">
      <alignment vertical="top"/>
    </xf>
    <xf numFmtId="37" fontId="64" fillId="0" borderId="9" xfId="0" applyNumberFormat="1" applyFont="1" applyBorder="1"/>
    <xf numFmtId="37" fontId="63" fillId="0" borderId="0" xfId="0" applyNumberFormat="1" applyFont="1"/>
    <xf numFmtId="165" fontId="63" fillId="0" borderId="40" xfId="3" applyNumberFormat="1" applyFont="1" applyBorder="1"/>
    <xf numFmtId="165" fontId="63" fillId="0" borderId="40" xfId="3" applyNumberFormat="1" applyFont="1" applyFill="1" applyBorder="1"/>
    <xf numFmtId="176" fontId="63" fillId="0" borderId="40" xfId="0" applyNumberFormat="1" applyFont="1" applyBorder="1"/>
    <xf numFmtId="0" fontId="63" fillId="0" borderId="40" xfId="0" applyFont="1" applyBorder="1"/>
    <xf numFmtId="0" fontId="63" fillId="0" borderId="40" xfId="0" applyNumberFormat="1" applyFont="1" applyFill="1" applyBorder="1" applyAlignment="1">
      <alignment vertical="top"/>
    </xf>
    <xf numFmtId="165" fontId="64" fillId="0" borderId="4" xfId="3" applyNumberFormat="1" applyFont="1" applyBorder="1"/>
    <xf numFmtId="165" fontId="64" fillId="0" borderId="4" xfId="3" applyNumberFormat="1" applyFont="1" applyFill="1" applyBorder="1"/>
    <xf numFmtId="37" fontId="64" fillId="0" borderId="0" xfId="0" applyNumberFormat="1" applyFont="1"/>
    <xf numFmtId="165" fontId="64" fillId="0" borderId="0" xfId="3" applyNumberFormat="1" applyFont="1" applyFill="1"/>
    <xf numFmtId="165" fontId="64" fillId="0" borderId="0" xfId="3" applyNumberFormat="1" applyFont="1"/>
    <xf numFmtId="165" fontId="63" fillId="0" borderId="9" xfId="0" applyNumberFormat="1" applyFont="1" applyBorder="1"/>
    <xf numFmtId="10" fontId="63" fillId="0" borderId="0" xfId="4" applyNumberFormat="1" applyFont="1"/>
    <xf numFmtId="37" fontId="24" fillId="0" borderId="0" xfId="0" applyNumberFormat="1" applyFont="1" applyFill="1" applyBorder="1" applyAlignment="1" applyProtection="1">
      <alignment horizontal="left" vertical="top"/>
    </xf>
    <xf numFmtId="0" fontId="49" fillId="0" borderId="0" xfId="0" quotePrefix="1" applyFont="1" applyFill="1" applyAlignment="1">
      <alignment horizontal="left"/>
    </xf>
    <xf numFmtId="0" fontId="49" fillId="0" borderId="0" xfId="0" applyFont="1" applyFill="1" applyAlignment="1">
      <alignment horizontal="left"/>
    </xf>
    <xf numFmtId="0" fontId="24" fillId="0" borderId="0" xfId="0" applyFont="1" applyFill="1" applyAlignment="1">
      <alignment vertical="top"/>
    </xf>
    <xf numFmtId="37" fontId="24" fillId="0" borderId="0" xfId="0" applyNumberFormat="1" applyFont="1" applyFill="1" applyAlignment="1">
      <alignment horizontal="centerContinuous"/>
    </xf>
    <xf numFmtId="0" fontId="24" fillId="0" borderId="0" xfId="0" applyFont="1" applyFill="1" applyAlignment="1">
      <alignment horizontal="centerContinuous" vertical="top"/>
    </xf>
    <xf numFmtId="49" fontId="23" fillId="0" borderId="0" xfId="0" applyNumberFormat="1" applyFont="1" applyFill="1" applyBorder="1" applyAlignment="1" applyProtection="1">
      <alignment horizontal="left"/>
    </xf>
    <xf numFmtId="0" fontId="24" fillId="0" borderId="0" xfId="0" applyFont="1" applyFill="1" applyBorder="1" applyAlignment="1">
      <alignment horizontal="justify" vertical="top" wrapText="1"/>
    </xf>
    <xf numFmtId="37" fontId="24" fillId="0" borderId="0" xfId="0" applyNumberFormat="1" applyFont="1" applyFill="1" applyBorder="1" applyAlignment="1" applyProtection="1">
      <alignment vertical="top" wrapText="1"/>
    </xf>
    <xf numFmtId="37" fontId="24" fillId="0" borderId="0" xfId="0" applyNumberFormat="1" applyFont="1" applyFill="1" applyBorder="1" applyAlignment="1" applyProtection="1">
      <alignment vertical="top"/>
    </xf>
    <xf numFmtId="49" fontId="23" fillId="0" borderId="0" xfId="0" applyNumberFormat="1" applyFont="1" applyFill="1" applyBorder="1" applyAlignment="1" applyProtection="1">
      <alignment horizontal="left"/>
    </xf>
    <xf numFmtId="37" fontId="24" fillId="0" borderId="0" xfId="0" applyNumberFormat="1" applyFont="1" applyFill="1" applyBorder="1" applyAlignment="1" applyProtection="1">
      <alignment horizontal="justify" vertical="top" wrapText="1"/>
    </xf>
    <xf numFmtId="0" fontId="23" fillId="0" borderId="0" xfId="0" applyFont="1" applyFill="1" applyAlignment="1">
      <alignment horizontal="center" vertical="center"/>
    </xf>
    <xf numFmtId="0" fontId="24" fillId="0" borderId="0" xfId="0" applyFont="1" applyFill="1" applyAlignment="1">
      <alignment horizontal="justify" vertical="top"/>
    </xf>
    <xf numFmtId="0" fontId="24" fillId="0" borderId="0" xfId="0" applyFont="1" applyFill="1" applyBorder="1" applyAlignment="1">
      <alignment horizontal="justify" vertical="top"/>
    </xf>
    <xf numFmtId="0" fontId="24" fillId="0" borderId="0" xfId="0" applyFont="1" applyFill="1" applyAlignment="1">
      <alignment horizontal="justify" vertical="top"/>
    </xf>
    <xf numFmtId="0" fontId="24" fillId="0" borderId="0" xfId="0" applyFont="1" applyFill="1" applyAlignment="1">
      <alignment horizontal="justify" vertical="top"/>
    </xf>
    <xf numFmtId="0" fontId="24" fillId="0" borderId="0" xfId="0" applyFont="1" applyFill="1" applyAlignment="1">
      <alignment horizontal="left" vertical="top"/>
    </xf>
    <xf numFmtId="0" fontId="23" fillId="0" borderId="0" xfId="0" applyFont="1" applyFill="1" applyAlignment="1">
      <alignment horizontal="left"/>
    </xf>
    <xf numFmtId="0" fontId="58" fillId="0" borderId="0" xfId="0" applyFont="1" applyFill="1" applyAlignment="1"/>
    <xf numFmtId="49" fontId="59" fillId="0" borderId="0" xfId="0" applyNumberFormat="1" applyFont="1" applyFill="1"/>
    <xf numFmtId="1" fontId="59" fillId="0" borderId="0" xfId="0" applyNumberFormat="1" applyFont="1" applyFill="1" applyAlignment="1"/>
    <xf numFmtId="49" fontId="59" fillId="0" borderId="0" xfId="0" applyNumberFormat="1" applyFont="1" applyFill="1" applyAlignment="1"/>
    <xf numFmtId="4" fontId="59" fillId="0" borderId="0" xfId="0" applyNumberFormat="1" applyFont="1" applyFill="1" applyBorder="1"/>
    <xf numFmtId="2" fontId="59" fillId="0" borderId="0" xfId="0" applyNumberFormat="1" applyFont="1" applyFill="1"/>
    <xf numFmtId="1" fontId="59" fillId="0" borderId="0" xfId="0" applyNumberFormat="1" applyFont="1" applyFill="1"/>
    <xf numFmtId="2" fontId="58" fillId="0" borderId="0" xfId="0" applyNumberFormat="1" applyFont="1" applyFill="1"/>
    <xf numFmtId="0" fontId="24" fillId="0" borderId="0" xfId="0" quotePrefix="1" applyFont="1" applyFill="1" applyBorder="1" applyAlignment="1">
      <alignment horizontal="justify" vertical="top"/>
    </xf>
    <xf numFmtId="170" fontId="63" fillId="0" borderId="0" xfId="3" applyNumberFormat="1" applyFont="1"/>
    <xf numFmtId="165" fontId="63" fillId="0" borderId="53" xfId="0" applyNumberFormat="1" applyFont="1" applyBorder="1" applyAlignment="1">
      <alignment vertical="top"/>
    </xf>
    <xf numFmtId="0" fontId="23" fillId="0" borderId="0" xfId="0" applyFont="1" applyFill="1" applyBorder="1" applyAlignment="1">
      <alignment horizontal="center" vertical="top"/>
    </xf>
    <xf numFmtId="0" fontId="23" fillId="0" borderId="0" xfId="0" applyFont="1" applyFill="1" applyAlignment="1">
      <alignment horizontal="left"/>
    </xf>
    <xf numFmtId="0" fontId="23" fillId="0" borderId="0" xfId="0" applyFont="1" applyFill="1" applyAlignment="1">
      <alignment horizontal="center" vertical="center"/>
    </xf>
    <xf numFmtId="49" fontId="29" fillId="0" borderId="0" xfId="0" quotePrefix="1" applyNumberFormat="1" applyFont="1" applyFill="1" applyBorder="1" applyAlignment="1">
      <alignment horizontal="right" vertical="center"/>
    </xf>
    <xf numFmtId="0" fontId="23" fillId="0" borderId="0" xfId="0" quotePrefix="1" applyFont="1" applyFill="1" applyAlignment="1">
      <alignment horizontal="left"/>
    </xf>
    <xf numFmtId="0" fontId="23" fillId="0" borderId="0" xfId="0" applyFont="1" applyFill="1"/>
    <xf numFmtId="165" fontId="23" fillId="0" borderId="0" xfId="3" applyNumberFormat="1" applyFont="1" applyFill="1" applyAlignment="1">
      <alignment horizontal="centerContinuous"/>
    </xf>
    <xf numFmtId="0" fontId="23" fillId="0" borderId="0" xfId="0" quotePrefix="1" applyFont="1" applyFill="1" applyBorder="1" applyAlignment="1">
      <alignment horizontal="left"/>
    </xf>
    <xf numFmtId="0" fontId="24" fillId="0" borderId="0" xfId="0" quotePrefix="1" applyFont="1" applyFill="1" applyAlignment="1">
      <alignment horizontal="left" indent="1"/>
    </xf>
    <xf numFmtId="0" fontId="23" fillId="0" borderId="0" xfId="0" applyFont="1" applyFill="1" applyBorder="1" applyAlignment="1">
      <alignment horizontal="left"/>
    </xf>
    <xf numFmtId="37" fontId="24" fillId="0" borderId="0" xfId="0" applyNumberFormat="1" applyFont="1" applyFill="1" applyBorder="1" applyAlignment="1">
      <alignment horizontal="centerContinuous"/>
    </xf>
    <xf numFmtId="0" fontId="23" fillId="0" borderId="0" xfId="0" applyFont="1" applyFill="1" applyBorder="1" applyAlignment="1">
      <alignment vertical="top"/>
    </xf>
    <xf numFmtId="0" fontId="24" fillId="0" borderId="0" xfId="0" applyFont="1" applyFill="1" applyAlignment="1">
      <alignment vertical="top"/>
    </xf>
    <xf numFmtId="41" fontId="24" fillId="0" borderId="0" xfId="3" applyNumberFormat="1" applyFont="1" applyFill="1" applyBorder="1" applyAlignment="1">
      <alignment vertical="top"/>
    </xf>
    <xf numFmtId="260" fontId="24" fillId="0" borderId="0" xfId="3" applyFont="1" applyFill="1" applyBorder="1" applyAlignment="1">
      <alignment vertical="top"/>
    </xf>
    <xf numFmtId="0" fontId="24" fillId="0" borderId="0" xfId="0" applyFont="1" applyFill="1" applyBorder="1" applyAlignment="1">
      <alignment vertical="top"/>
    </xf>
    <xf numFmtId="0" fontId="66" fillId="0" borderId="0" xfId="0" applyFont="1" applyFill="1" applyBorder="1" applyAlignment="1"/>
    <xf numFmtId="0" fontId="66" fillId="0" borderId="0" xfId="0" applyFont="1" applyFill="1" applyBorder="1" applyAlignment="1">
      <alignment horizontal="center" vertical="center" wrapText="1"/>
    </xf>
    <xf numFmtId="0" fontId="67" fillId="0" borderId="16" xfId="0" applyFont="1" applyFill="1" applyBorder="1" applyAlignment="1">
      <alignment horizontal="center" vertical="center" wrapText="1"/>
    </xf>
    <xf numFmtId="0" fontId="67" fillId="0" borderId="0" xfId="0" applyNumberFormat="1" applyFont="1" applyFill="1" applyBorder="1" applyAlignment="1">
      <alignment horizontal="left" vertical="center"/>
    </xf>
    <xf numFmtId="0" fontId="66" fillId="0" borderId="0" xfId="0" applyNumberFormat="1" applyFont="1" applyFill="1" applyBorder="1" applyAlignment="1">
      <alignment horizontal="left" vertical="center"/>
    </xf>
    <xf numFmtId="165" fontId="66" fillId="0" borderId="0" xfId="3" applyNumberFormat="1" applyFont="1" applyFill="1" applyBorder="1" applyAlignment="1">
      <alignment vertical="center"/>
    </xf>
    <xf numFmtId="165" fontId="66" fillId="0" borderId="0" xfId="3" applyNumberFormat="1" applyFont="1" applyFill="1" applyAlignment="1">
      <alignment vertical="center" wrapText="1"/>
    </xf>
    <xf numFmtId="260" fontId="66" fillId="0" borderId="0" xfId="3" applyFont="1" applyFill="1" applyAlignment="1">
      <alignment vertical="center"/>
    </xf>
    <xf numFmtId="165" fontId="66" fillId="0" borderId="0" xfId="0" applyNumberFormat="1" applyFont="1" applyFill="1" applyBorder="1" applyAlignment="1">
      <alignment horizontal="left" vertical="center"/>
    </xf>
    <xf numFmtId="165" fontId="66" fillId="0" borderId="6" xfId="3" applyNumberFormat="1" applyFont="1" applyFill="1" applyBorder="1" applyAlignment="1">
      <alignment vertical="center"/>
    </xf>
    <xf numFmtId="165" fontId="66" fillId="0" borderId="7" xfId="3" applyNumberFormat="1" applyFont="1" applyFill="1" applyBorder="1" applyAlignment="1">
      <alignment vertical="center"/>
    </xf>
    <xf numFmtId="0" fontId="66" fillId="0" borderId="0" xfId="0" applyNumberFormat="1" applyFont="1" applyFill="1" applyAlignment="1">
      <alignment vertical="center"/>
    </xf>
    <xf numFmtId="165" fontId="66" fillId="0" borderId="0" xfId="3" applyNumberFormat="1" applyFont="1" applyFill="1" applyAlignment="1">
      <alignment vertical="center"/>
    </xf>
    <xf numFmtId="0" fontId="66" fillId="0" borderId="0" xfId="0" applyNumberFormat="1" applyFont="1" applyFill="1" applyAlignment="1"/>
    <xf numFmtId="165" fontId="66" fillId="0" borderId="10" xfId="3" applyNumberFormat="1" applyFont="1" applyFill="1" applyBorder="1" applyAlignment="1">
      <alignment vertical="center"/>
    </xf>
    <xf numFmtId="260" fontId="66" fillId="0" borderId="0" xfId="3" applyFont="1" applyFill="1" applyBorder="1" applyAlignment="1">
      <alignment vertical="center"/>
    </xf>
    <xf numFmtId="165" fontId="66" fillId="0" borderId="0" xfId="3" applyNumberFormat="1" applyFont="1" applyFill="1"/>
    <xf numFmtId="165" fontId="66" fillId="0" borderId="0" xfId="0" applyNumberFormat="1" applyFont="1" applyFill="1" applyAlignment="1">
      <alignment vertical="center"/>
    </xf>
    <xf numFmtId="0" fontId="67" fillId="0" borderId="0" xfId="0" applyNumberFormat="1" applyFont="1" applyFill="1" applyAlignment="1">
      <alignment vertical="center"/>
    </xf>
    <xf numFmtId="0" fontId="66" fillId="0" borderId="0" xfId="0" applyNumberFormat="1" applyFont="1" applyFill="1" applyBorder="1" applyAlignment="1">
      <alignment vertical="center"/>
    </xf>
    <xf numFmtId="0" fontId="67" fillId="0" borderId="0" xfId="0" applyNumberFormat="1" applyFont="1" applyFill="1" applyBorder="1" applyAlignment="1">
      <alignment vertical="center"/>
    </xf>
    <xf numFmtId="43" fontId="66" fillId="0" borderId="0" xfId="3" applyNumberFormat="1" applyFont="1" applyFill="1" applyAlignment="1">
      <alignment vertical="center"/>
    </xf>
    <xf numFmtId="0" fontId="67" fillId="0" borderId="0" xfId="0" applyNumberFormat="1" applyFont="1" applyFill="1" applyBorder="1" applyAlignment="1">
      <alignment horizontal="left"/>
    </xf>
    <xf numFmtId="165" fontId="67" fillId="0" borderId="53" xfId="3" applyNumberFormat="1" applyFont="1" applyFill="1" applyBorder="1" applyAlignment="1">
      <alignment vertical="center"/>
    </xf>
    <xf numFmtId="43" fontId="67" fillId="0" borderId="53" xfId="3" applyNumberFormat="1" applyFont="1" applyFill="1" applyBorder="1" applyAlignment="1">
      <alignment vertical="center"/>
    </xf>
    <xf numFmtId="43" fontId="66" fillId="0" borderId="0" xfId="3" applyNumberFormat="1" applyFont="1" applyFill="1" applyBorder="1" applyAlignment="1">
      <alignment vertical="center"/>
    </xf>
    <xf numFmtId="0" fontId="66" fillId="0" borderId="0" xfId="0" applyFont="1" applyFill="1"/>
    <xf numFmtId="0" fontId="24" fillId="0" borderId="0" xfId="0" applyNumberFormat="1" applyFont="1" applyFill="1" applyBorder="1" applyAlignment="1">
      <alignment horizontal="centerContinuous" vertical="center"/>
    </xf>
    <xf numFmtId="165" fontId="24" fillId="0" borderId="0" xfId="3" applyNumberFormat="1" applyFont="1" applyFill="1" applyBorder="1" applyAlignment="1">
      <alignment horizontal="centerContinuous" vertical="center"/>
    </xf>
    <xf numFmtId="43" fontId="24" fillId="0" borderId="0" xfId="3" applyNumberFormat="1" applyFont="1" applyFill="1" applyAlignment="1">
      <alignment horizontal="centerContinuous" vertical="center"/>
    </xf>
    <xf numFmtId="0" fontId="24" fillId="0" borderId="0" xfId="0" applyNumberFormat="1" applyFont="1" applyFill="1" applyBorder="1" applyAlignment="1">
      <alignment horizontal="left" vertical="center"/>
    </xf>
    <xf numFmtId="165" fontId="24" fillId="0" borderId="0" xfId="3" applyNumberFormat="1" applyFont="1" applyFill="1" applyBorder="1" applyAlignment="1">
      <alignment vertical="center"/>
    </xf>
    <xf numFmtId="43" fontId="24" fillId="0" borderId="0" xfId="3" applyNumberFormat="1" applyFont="1" applyFill="1" applyAlignment="1">
      <alignment vertical="center"/>
    </xf>
    <xf numFmtId="0" fontId="67" fillId="0" borderId="0" xfId="0" applyFont="1" applyFill="1" applyBorder="1" applyAlignment="1">
      <alignment vertical="center"/>
    </xf>
    <xf numFmtId="0" fontId="67" fillId="0" borderId="0" xfId="0" applyFont="1" applyFill="1" applyBorder="1" applyAlignment="1">
      <alignment horizontal="center" vertical="center" wrapText="1"/>
    </xf>
    <xf numFmtId="165" fontId="67" fillId="0" borderId="0" xfId="3" applyNumberFormat="1" applyFont="1" applyFill="1" applyBorder="1" applyAlignment="1">
      <alignment vertical="center"/>
    </xf>
    <xf numFmtId="43" fontId="67" fillId="0" borderId="0" xfId="3" applyNumberFormat="1" applyFont="1" applyFill="1" applyBorder="1" applyAlignment="1">
      <alignment vertical="center"/>
    </xf>
    <xf numFmtId="0" fontId="66" fillId="0" borderId="0" xfId="0" applyNumberFormat="1" applyFont="1" applyFill="1" applyBorder="1" applyAlignment="1">
      <alignment horizontal="left"/>
    </xf>
    <xf numFmtId="165" fontId="66" fillId="0" borderId="0" xfId="0" applyNumberFormat="1" applyFont="1" applyFill="1" applyBorder="1" applyAlignment="1">
      <alignment vertical="center"/>
    </xf>
    <xf numFmtId="0" fontId="67" fillId="0" borderId="0" xfId="0" applyFont="1" applyFill="1" applyAlignment="1">
      <alignment vertical="center"/>
    </xf>
    <xf numFmtId="0" fontId="66" fillId="0" borderId="0" xfId="0" applyFont="1" applyFill="1" applyAlignment="1">
      <alignment horizontal="left" vertical="center" indent="1"/>
    </xf>
    <xf numFmtId="0" fontId="66" fillId="0" borderId="0" xfId="0" applyFont="1" applyFill="1" applyAlignment="1">
      <alignment horizontal="left" vertical="center"/>
    </xf>
    <xf numFmtId="0" fontId="67" fillId="0" borderId="0" xfId="0" applyFont="1" applyFill="1" applyAlignment="1">
      <alignment horizontal="left" vertical="center"/>
    </xf>
    <xf numFmtId="165" fontId="66" fillId="0" borderId="7" xfId="3" applyNumberFormat="1" applyFont="1" applyFill="1" applyBorder="1"/>
    <xf numFmtId="0" fontId="67" fillId="0" borderId="0" xfId="0" applyNumberFormat="1" applyFont="1" applyFill="1" applyAlignment="1"/>
    <xf numFmtId="165" fontId="66" fillId="0" borderId="0" xfId="3" applyNumberFormat="1" applyFont="1" applyFill="1" applyBorder="1" applyAlignment="1">
      <alignment vertical="top"/>
    </xf>
    <xf numFmtId="165" fontId="66" fillId="0" borderId="0" xfId="3" applyNumberFormat="1" applyFont="1" applyFill="1" applyBorder="1" applyAlignment="1"/>
    <xf numFmtId="165" fontId="66" fillId="0" borderId="10" xfId="3" applyNumberFormat="1" applyFont="1" applyFill="1" applyBorder="1"/>
    <xf numFmtId="260" fontId="66" fillId="0" borderId="0" xfId="3" applyFont="1" applyFill="1"/>
    <xf numFmtId="260" fontId="66" fillId="0" borderId="0" xfId="3" applyFont="1" applyFill="1" applyBorder="1"/>
    <xf numFmtId="0" fontId="67" fillId="0" borderId="0" xfId="0" applyFont="1" applyFill="1"/>
    <xf numFmtId="165" fontId="66" fillId="0" borderId="0" xfId="0" applyNumberFormat="1" applyFont="1" applyFill="1"/>
    <xf numFmtId="165" fontId="66" fillId="0" borderId="9" xfId="0" applyNumberFormat="1" applyFont="1" applyFill="1" applyBorder="1" applyAlignment="1">
      <alignment vertical="center"/>
    </xf>
    <xf numFmtId="260" fontId="66" fillId="0" borderId="9" xfId="3" applyFont="1" applyFill="1" applyBorder="1" applyAlignment="1">
      <alignment vertical="center"/>
    </xf>
    <xf numFmtId="165" fontId="66" fillId="0" borderId="0" xfId="0" applyNumberFormat="1" applyFont="1" applyFill="1" applyBorder="1" applyAlignment="1">
      <alignment vertical="top"/>
    </xf>
    <xf numFmtId="260" fontId="66" fillId="0" borderId="0" xfId="3" applyFont="1" applyFill="1" applyBorder="1" applyAlignment="1">
      <alignment vertical="top"/>
    </xf>
    <xf numFmtId="0" fontId="66" fillId="0" borderId="0" xfId="0" applyFont="1" applyFill="1" applyBorder="1"/>
    <xf numFmtId="165" fontId="66" fillId="0" borderId="8" xfId="3" applyNumberFormat="1" applyFont="1" applyFill="1" applyBorder="1" applyAlignment="1">
      <alignment vertical="top" wrapText="1"/>
    </xf>
    <xf numFmtId="43" fontId="66" fillId="0" borderId="0" xfId="0" applyNumberFormat="1" applyFont="1" applyFill="1" applyBorder="1" applyAlignment="1"/>
    <xf numFmtId="0" fontId="23" fillId="0" borderId="0" xfId="0" applyNumberFormat="1" applyFont="1" applyFill="1" applyAlignment="1"/>
    <xf numFmtId="165" fontId="58" fillId="0" borderId="9" xfId="3" applyNumberFormat="1" applyFont="1" applyBorder="1"/>
    <xf numFmtId="165" fontId="63" fillId="5" borderId="0" xfId="3" applyNumberFormat="1" applyFont="1" applyFill="1"/>
    <xf numFmtId="0" fontId="24" fillId="9" borderId="0" xfId="0" applyFont="1" applyFill="1" applyAlignment="1">
      <alignment horizontal="justify" vertical="top"/>
    </xf>
    <xf numFmtId="0" fontId="23" fillId="9" borderId="0" xfId="0" applyNumberFormat="1" applyFont="1" applyFill="1" applyAlignment="1">
      <alignment vertical="top"/>
    </xf>
    <xf numFmtId="0" fontId="23" fillId="9" borderId="0" xfId="0" applyFont="1" applyFill="1" applyAlignment="1">
      <alignment vertical="top"/>
    </xf>
    <xf numFmtId="0" fontId="24" fillId="9" borderId="0" xfId="0" applyFont="1" applyFill="1" applyAlignment="1">
      <alignment vertical="top"/>
    </xf>
    <xf numFmtId="0" fontId="24" fillId="9" borderId="0" xfId="0" applyFont="1" applyFill="1" applyAlignment="1">
      <alignment horizontal="justify" vertical="top" wrapText="1"/>
    </xf>
    <xf numFmtId="0" fontId="24" fillId="9" borderId="0" xfId="0" applyNumberFormat="1" applyFont="1" applyFill="1" applyAlignment="1">
      <alignment horizontal="justify" vertical="top" wrapText="1"/>
    </xf>
    <xf numFmtId="0" fontId="24" fillId="9" borderId="0" xfId="0" applyFont="1" applyFill="1" applyAlignment="1">
      <alignment vertical="top"/>
    </xf>
    <xf numFmtId="0" fontId="24" fillId="9" borderId="0" xfId="0" applyFont="1" applyFill="1"/>
    <xf numFmtId="0" fontId="24" fillId="9" borderId="0" xfId="0" applyFont="1" applyFill="1" applyAlignment="1">
      <alignment horizontal="centerContinuous" vertical="top"/>
    </xf>
    <xf numFmtId="0" fontId="24" fillId="9" borderId="0" xfId="0" applyFont="1" applyFill="1" applyBorder="1" applyAlignment="1">
      <alignment vertical="top"/>
    </xf>
    <xf numFmtId="165" fontId="24" fillId="9" borderId="0" xfId="3" applyNumberFormat="1" applyFont="1" applyFill="1" applyAlignment="1">
      <alignment horizontal="center" vertical="top"/>
    </xf>
    <xf numFmtId="0" fontId="24" fillId="9" borderId="0" xfId="0" applyFont="1" applyFill="1" applyAlignment="1">
      <alignment vertical="top" wrapText="1"/>
    </xf>
    <xf numFmtId="0" fontId="23" fillId="9" borderId="0" xfId="0" applyFont="1" applyFill="1" applyAlignment="1">
      <alignment horizontal="left" vertical="top"/>
    </xf>
    <xf numFmtId="0" fontId="24" fillId="9" borderId="0" xfId="0" applyFont="1" applyFill="1" applyAlignment="1">
      <alignment vertical="top"/>
    </xf>
    <xf numFmtId="0" fontId="24" fillId="9" borderId="0" xfId="0" applyFont="1" applyFill="1" applyAlignment="1">
      <alignment vertical="top"/>
    </xf>
    <xf numFmtId="0" fontId="30" fillId="9" borderId="0" xfId="0" applyFont="1" applyFill="1" applyAlignment="1">
      <alignment vertical="top"/>
    </xf>
    <xf numFmtId="0" fontId="30" fillId="9" borderId="0" xfId="0" applyFont="1" applyFill="1" applyAlignment="1">
      <alignment vertical="top"/>
    </xf>
    <xf numFmtId="0" fontId="37" fillId="9" borderId="0" xfId="0" applyFont="1" applyFill="1" applyAlignment="1">
      <alignment horizontal="center" vertical="top"/>
    </xf>
    <xf numFmtId="0" fontId="37" fillId="9" borderId="0" xfId="0" applyNumberFormat="1" applyFont="1" applyFill="1" applyBorder="1" applyAlignment="1">
      <alignment horizontal="center" vertical="top"/>
    </xf>
    <xf numFmtId="0" fontId="37" fillId="9" borderId="1" xfId="0" applyFont="1" applyFill="1" applyBorder="1" applyAlignment="1">
      <alignment horizontal="center" vertical="center" wrapText="1"/>
    </xf>
    <xf numFmtId="0" fontId="30" fillId="9" borderId="0" xfId="0" applyFont="1" applyFill="1" applyBorder="1" applyAlignment="1">
      <alignment vertical="top"/>
    </xf>
    <xf numFmtId="0" fontId="30" fillId="9" borderId="0" xfId="0" applyFont="1" applyFill="1" applyAlignment="1">
      <alignment vertical="top"/>
    </xf>
    <xf numFmtId="0" fontId="30" fillId="9" borderId="0" xfId="0" quotePrefix="1" applyFont="1" applyFill="1" applyAlignment="1">
      <alignment horizontal="center" vertical="top"/>
    </xf>
    <xf numFmtId="0" fontId="30" fillId="9" borderId="0" xfId="0" applyFont="1" applyFill="1" applyAlignment="1">
      <alignment horizontal="centerContinuous" vertical="top"/>
    </xf>
    <xf numFmtId="0" fontId="30" fillId="9" borderId="0" xfId="0" applyFont="1" applyFill="1" applyAlignment="1">
      <alignment horizontal="center" vertical="top"/>
    </xf>
    <xf numFmtId="0" fontId="30" fillId="9" borderId="0" xfId="0" applyNumberFormat="1" applyFont="1" applyFill="1" applyBorder="1" applyAlignment="1">
      <alignment horizontal="left" vertical="top"/>
    </xf>
    <xf numFmtId="0" fontId="30" fillId="9" borderId="0" xfId="0" applyFont="1" applyFill="1" applyBorder="1" applyAlignment="1">
      <alignment horizontal="centerContinuous" vertical="top"/>
    </xf>
    <xf numFmtId="0" fontId="30" fillId="9" borderId="0" xfId="0" quotePrefix="1" applyFont="1" applyFill="1" applyAlignment="1">
      <alignment horizontal="left" vertical="top"/>
    </xf>
    <xf numFmtId="0" fontId="24" fillId="9" borderId="0" xfId="0" applyFont="1" applyFill="1" applyAlignment="1">
      <alignment horizontal="justify" vertical="top" wrapText="1"/>
    </xf>
    <xf numFmtId="49" fontId="29" fillId="9" borderId="0" xfId="0" quotePrefix="1" applyNumberFormat="1" applyFont="1" applyFill="1" applyBorder="1" applyAlignment="1">
      <alignment horizontal="center" vertical="top"/>
    </xf>
    <xf numFmtId="0" fontId="30" fillId="9" borderId="0" xfId="0" applyFont="1" applyFill="1" applyAlignment="1">
      <alignment horizontal="center" vertical="top"/>
    </xf>
    <xf numFmtId="0" fontId="30" fillId="9" borderId="0" xfId="0" applyFont="1" applyFill="1" applyAlignment="1">
      <alignment horizontal="justify" vertical="top" wrapText="1"/>
    </xf>
    <xf numFmtId="10" fontId="30" fillId="9" borderId="0" xfId="4" applyNumberFormat="1" applyFont="1" applyFill="1" applyAlignment="1">
      <alignment horizontal="center" vertical="top"/>
    </xf>
    <xf numFmtId="10" fontId="30" fillId="9" borderId="0" xfId="0" applyNumberFormat="1" applyFont="1" applyFill="1" applyAlignment="1">
      <alignment horizontal="center" vertical="top"/>
    </xf>
    <xf numFmtId="0" fontId="24" fillId="9" borderId="0" xfId="0" applyFont="1" applyFill="1" applyAlignment="1">
      <alignment horizontal="left" vertical="top"/>
    </xf>
    <xf numFmtId="0" fontId="24" fillId="9" borderId="0" xfId="0" applyFont="1" applyFill="1" applyAlignment="1">
      <alignment horizontal="center" vertical="top"/>
    </xf>
    <xf numFmtId="10" fontId="24" fillId="9" borderId="0" xfId="0" applyNumberFormat="1" applyFont="1" applyFill="1" applyBorder="1" applyAlignment="1">
      <alignment horizontal="center" vertical="top"/>
    </xf>
    <xf numFmtId="0" fontId="30" fillId="9" borderId="58" xfId="0" applyFont="1" applyFill="1" applyBorder="1" applyAlignment="1">
      <alignment vertical="top"/>
    </xf>
    <xf numFmtId="0" fontId="37" fillId="9" borderId="58" xfId="0" applyFont="1" applyFill="1" applyBorder="1" applyAlignment="1">
      <alignment horizontal="center" vertical="top" wrapText="1"/>
    </xf>
    <xf numFmtId="0" fontId="37" fillId="9" borderId="58" xfId="0" applyFont="1" applyFill="1" applyBorder="1" applyAlignment="1">
      <alignment vertical="top"/>
    </xf>
    <xf numFmtId="0" fontId="30" fillId="9" borderId="52" xfId="0" applyFont="1" applyFill="1" applyBorder="1" applyAlignment="1">
      <alignment vertical="top"/>
    </xf>
    <xf numFmtId="0" fontId="37" fillId="9" borderId="52" xfId="0" applyFont="1" applyFill="1" applyBorder="1" applyAlignment="1">
      <alignment horizontal="center" vertical="top" wrapText="1"/>
    </xf>
    <xf numFmtId="0" fontId="37" fillId="9" borderId="52" xfId="0" applyFont="1" applyFill="1" applyBorder="1" applyAlignment="1">
      <alignment vertical="top"/>
    </xf>
    <xf numFmtId="0" fontId="37" fillId="9" borderId="0" xfId="0" applyFont="1" applyFill="1" applyBorder="1" applyAlignment="1">
      <alignment horizontal="center" vertical="top" wrapText="1"/>
    </xf>
    <xf numFmtId="0" fontId="37" fillId="9" borderId="0" xfId="0" applyFont="1" applyFill="1" applyBorder="1" applyAlignment="1">
      <alignment horizontal="center" vertical="top"/>
    </xf>
    <xf numFmtId="0" fontId="37" fillId="9" borderId="0" xfId="0" applyFont="1" applyFill="1" applyBorder="1" applyAlignment="1">
      <alignment vertical="top"/>
    </xf>
    <xf numFmtId="0" fontId="30" fillId="9" borderId="0" xfId="0" applyFont="1" applyFill="1" applyBorder="1" applyAlignment="1">
      <alignment vertical="top"/>
    </xf>
    <xf numFmtId="0" fontId="30" fillId="9" borderId="0" xfId="3" applyNumberFormat="1" applyFont="1" applyFill="1" applyBorder="1" applyAlignment="1">
      <alignment horizontal="right" vertical="top"/>
    </xf>
    <xf numFmtId="165" fontId="30" fillId="9" borderId="0" xfId="3" applyNumberFormat="1" applyFont="1" applyFill="1" applyAlignment="1">
      <alignment vertical="top"/>
    </xf>
    <xf numFmtId="260" fontId="30" fillId="9" borderId="0" xfId="3" applyFont="1" applyFill="1" applyBorder="1" applyAlignment="1">
      <alignment vertical="top"/>
    </xf>
    <xf numFmtId="10" fontId="30" fillId="9" borderId="0" xfId="0" applyNumberFormat="1" applyFont="1" applyFill="1" applyBorder="1" applyAlignment="1">
      <alignment horizontal="right" vertical="top" wrapText="1"/>
    </xf>
    <xf numFmtId="165" fontId="30" fillId="9" borderId="9" xfId="0" applyNumberFormat="1" applyFont="1" applyFill="1" applyBorder="1" applyAlignment="1">
      <alignment vertical="top"/>
    </xf>
    <xf numFmtId="10" fontId="30" fillId="9" borderId="9" xfId="4" applyNumberFormat="1" applyFont="1" applyFill="1" applyBorder="1" applyAlignment="1">
      <alignment vertical="top"/>
    </xf>
    <xf numFmtId="165" fontId="30" fillId="9" borderId="0" xfId="0" applyNumberFormat="1" applyFont="1" applyFill="1" applyBorder="1" applyAlignment="1">
      <alignment vertical="top"/>
    </xf>
    <xf numFmtId="10" fontId="30" fillId="9" borderId="0" xfId="4" applyNumberFormat="1" applyFont="1" applyFill="1" applyBorder="1" applyAlignment="1">
      <alignment vertical="top"/>
    </xf>
    <xf numFmtId="0" fontId="23" fillId="9" borderId="0" xfId="0" applyNumberFormat="1" applyFont="1" applyFill="1" applyAlignment="1">
      <alignment vertical="center"/>
    </xf>
    <xf numFmtId="0" fontId="24" fillId="9" borderId="0" xfId="0" applyFont="1" applyFill="1"/>
    <xf numFmtId="0" fontId="49" fillId="9" borderId="4" xfId="0" applyFont="1" applyFill="1" applyBorder="1" applyAlignment="1">
      <alignment horizontal="center" vertical="center"/>
    </xf>
    <xf numFmtId="0" fontId="49" fillId="9" borderId="1" xfId="0" applyFont="1" applyFill="1" applyBorder="1" applyAlignment="1">
      <alignment horizontal="center" vertical="center"/>
    </xf>
    <xf numFmtId="0" fontId="49" fillId="9" borderId="0" xfId="0" applyNumberFormat="1" applyFont="1" applyFill="1" applyAlignment="1">
      <alignment vertical="center"/>
    </xf>
    <xf numFmtId="0" fontId="41" fillId="9" borderId="0" xfId="0" applyFont="1" applyFill="1"/>
    <xf numFmtId="0" fontId="41" fillId="9" borderId="0" xfId="0" applyFont="1" applyFill="1" applyAlignment="1">
      <alignment vertical="top"/>
    </xf>
    <xf numFmtId="177" fontId="30" fillId="9" borderId="0" xfId="3" applyNumberFormat="1" applyFont="1" applyFill="1" applyAlignment="1">
      <alignment horizontal="center" vertical="center"/>
    </xf>
    <xf numFmtId="177" fontId="41" fillId="9" borderId="0" xfId="3" applyNumberFormat="1" applyFont="1" applyFill="1" applyAlignment="1">
      <alignment horizontal="center" vertical="center"/>
    </xf>
    <xf numFmtId="0" fontId="41" fillId="9" borderId="0" xfId="0" applyFont="1" applyFill="1" applyAlignment="1">
      <alignment horizontal="centerContinuous" vertical="center"/>
    </xf>
    <xf numFmtId="0" fontId="41" fillId="9" borderId="0" xfId="0" applyFont="1" applyFill="1" applyAlignment="1">
      <alignment horizontal="centerContinuous"/>
    </xf>
    <xf numFmtId="0" fontId="41" fillId="9" borderId="0" xfId="0" applyFont="1" applyFill="1" applyAlignment="1">
      <alignment vertical="center"/>
    </xf>
    <xf numFmtId="0" fontId="30" fillId="9" borderId="0" xfId="0" applyFont="1" applyFill="1" applyAlignment="1"/>
    <xf numFmtId="0" fontId="41" fillId="9" borderId="0" xfId="0" applyFont="1" applyFill="1" applyAlignment="1">
      <alignment horizontal="centerContinuous" vertical="top"/>
    </xf>
    <xf numFmtId="175" fontId="41" fillId="9" borderId="0" xfId="0" applyNumberFormat="1" applyFont="1" applyFill="1" applyAlignment="1">
      <alignment horizontal="center" vertical="top"/>
    </xf>
    <xf numFmtId="0" fontId="41" fillId="9" borderId="0" xfId="0" applyFont="1" applyFill="1"/>
    <xf numFmtId="0" fontId="40" fillId="9" borderId="0" xfId="0" applyFont="1" applyFill="1" applyAlignment="1"/>
    <xf numFmtId="0" fontId="30" fillId="9" borderId="0" xfId="0" applyFont="1" applyFill="1" applyAlignment="1"/>
    <xf numFmtId="0" fontId="35" fillId="9" borderId="0" xfId="0" applyFont="1" applyFill="1" applyAlignment="1">
      <alignment horizontal="left" vertical="top"/>
    </xf>
    <xf numFmtId="0" fontId="35" fillId="9" borderId="0" xfId="0" applyFont="1" applyFill="1" applyAlignment="1">
      <alignment horizontal="center"/>
    </xf>
    <xf numFmtId="0" fontId="35" fillId="9" borderId="0" xfId="0" applyFont="1" applyFill="1"/>
    <xf numFmtId="0" fontId="35" fillId="9" borderId="0" xfId="0" applyFont="1" applyFill="1" applyAlignment="1">
      <alignment horizontal="center" vertical="center"/>
    </xf>
    <xf numFmtId="0" fontId="23" fillId="9" borderId="0" xfId="0" applyNumberFormat="1" applyFont="1" applyFill="1" applyAlignment="1">
      <alignment vertical="top"/>
    </xf>
    <xf numFmtId="0" fontId="24" fillId="9" borderId="0" xfId="0" applyNumberFormat="1" applyFont="1" applyFill="1" applyAlignment="1">
      <alignment horizontal="justify" vertical="top"/>
    </xf>
    <xf numFmtId="0" fontId="30" fillId="9" borderId="0" xfId="0" applyNumberFormat="1" applyFont="1" applyFill="1" applyAlignment="1">
      <alignment vertical="top"/>
    </xf>
    <xf numFmtId="41" fontId="37" fillId="9" borderId="16" xfId="0" applyNumberFormat="1" applyFont="1" applyFill="1" applyBorder="1" applyAlignment="1">
      <alignment horizontal="center" vertical="center" wrapText="1"/>
    </xf>
    <xf numFmtId="41" fontId="37" fillId="9" borderId="58" xfId="0" applyNumberFormat="1" applyFont="1" applyFill="1" applyBorder="1" applyAlignment="1">
      <alignment horizontal="center" vertical="center" wrapText="1"/>
    </xf>
    <xf numFmtId="41" fontId="37" fillId="9" borderId="0" xfId="0" applyNumberFormat="1" applyFont="1" applyFill="1" applyBorder="1" applyAlignment="1">
      <alignment horizontal="center" vertical="center" wrapText="1"/>
    </xf>
    <xf numFmtId="41" fontId="37" fillId="9" borderId="5" xfId="0" applyNumberFormat="1" applyFont="1" applyFill="1" applyBorder="1" applyAlignment="1">
      <alignment horizontal="center" vertical="center" wrapText="1"/>
    </xf>
    <xf numFmtId="41" fontId="37" fillId="9" borderId="2" xfId="0" applyNumberFormat="1" applyFont="1" applyFill="1" applyBorder="1" applyAlignment="1">
      <alignment horizontal="center" vertical="center" wrapText="1"/>
    </xf>
    <xf numFmtId="41" fontId="37" fillId="9" borderId="52" xfId="0" applyNumberFormat="1" applyFont="1" applyFill="1" applyBorder="1" applyAlignment="1">
      <alignment horizontal="center" vertical="center" wrapText="1"/>
    </xf>
    <xf numFmtId="0" fontId="37" fillId="9" borderId="0" xfId="0" applyNumberFormat="1" applyFont="1" applyFill="1" applyAlignment="1">
      <alignment vertical="top"/>
    </xf>
    <xf numFmtId="0" fontId="37" fillId="9" borderId="0" xfId="0" applyFont="1" applyFill="1" applyAlignment="1">
      <alignment horizontal="center" vertical="top"/>
    </xf>
    <xf numFmtId="0" fontId="30" fillId="9" borderId="0" xfId="0" applyNumberFormat="1" applyFont="1" applyFill="1" applyAlignment="1">
      <alignment horizontal="left" vertical="top"/>
    </xf>
    <xf numFmtId="165" fontId="30" fillId="9" borderId="0" xfId="3" applyNumberFormat="1" applyFont="1" applyFill="1" applyAlignment="1">
      <alignment horizontal="centerContinuous" vertical="top"/>
    </xf>
    <xf numFmtId="165" fontId="30" fillId="9" borderId="0" xfId="0" applyNumberFormat="1" applyFont="1" applyFill="1" applyAlignment="1">
      <alignment horizontal="center" vertical="top"/>
    </xf>
    <xf numFmtId="0" fontId="30" fillId="9" borderId="0" xfId="0" applyNumberFormat="1" applyFont="1" applyFill="1" applyAlignment="1">
      <alignment horizontal="left" vertical="top"/>
    </xf>
    <xf numFmtId="165" fontId="30" fillId="9" borderId="0" xfId="3" applyNumberFormat="1" applyFont="1" applyFill="1" applyAlignment="1">
      <alignment horizontal="center" vertical="top"/>
    </xf>
    <xf numFmtId="165" fontId="30" fillId="9" borderId="2" xfId="0" applyNumberFormat="1" applyFont="1" applyFill="1" applyBorder="1" applyAlignment="1">
      <alignment horizontal="center" vertical="top"/>
    </xf>
    <xf numFmtId="0" fontId="30" fillId="9" borderId="0" xfId="0" applyNumberFormat="1" applyFont="1" applyFill="1" applyAlignment="1">
      <alignment vertical="top"/>
    </xf>
    <xf numFmtId="165" fontId="30" fillId="9" borderId="9" xfId="3" applyNumberFormat="1" applyFont="1" applyFill="1" applyBorder="1" applyAlignment="1">
      <alignment horizontal="center" vertical="top"/>
    </xf>
    <xf numFmtId="165" fontId="30" fillId="9" borderId="9" xfId="0" applyNumberFormat="1" applyFont="1" applyFill="1" applyBorder="1" applyAlignment="1">
      <alignment horizontal="center" vertical="top"/>
    </xf>
    <xf numFmtId="165" fontId="30" fillId="9" borderId="0" xfId="0" applyNumberFormat="1" applyFont="1" applyFill="1" applyBorder="1" applyAlignment="1">
      <alignment horizontal="center" vertical="top"/>
    </xf>
    <xf numFmtId="0" fontId="37" fillId="9" borderId="0" xfId="0" applyNumberFormat="1" applyFont="1" applyFill="1" applyBorder="1" applyAlignment="1">
      <alignment vertical="center"/>
    </xf>
    <xf numFmtId="0" fontId="37" fillId="9" borderId="0" xfId="0" applyNumberFormat="1" applyFont="1" applyFill="1" applyAlignment="1">
      <alignment horizontal="left" vertical="top"/>
    </xf>
    <xf numFmtId="0" fontId="30" fillId="9" borderId="0" xfId="0" applyNumberFormat="1" applyFont="1" applyFill="1" applyAlignment="1">
      <alignment horizontal="left" vertical="top"/>
    </xf>
    <xf numFmtId="0" fontId="30" fillId="9" borderId="0" xfId="0" applyFont="1" applyFill="1" applyAlignment="1">
      <alignment horizontal="left" vertical="top" indent="1"/>
    </xf>
    <xf numFmtId="0" fontId="30" fillId="9" borderId="0" xfId="0" applyFont="1" applyFill="1" applyAlignment="1">
      <alignment horizontal="left" vertical="top"/>
    </xf>
    <xf numFmtId="0" fontId="24" fillId="9" borderId="0" xfId="0" applyFont="1" applyFill="1" applyAlignment="1">
      <alignment vertical="top"/>
    </xf>
    <xf numFmtId="0" fontId="24" fillId="9" borderId="0" xfId="0" applyFont="1" applyFill="1" applyAlignment="1">
      <alignment horizontal="justify" vertical="top"/>
    </xf>
    <xf numFmtId="0" fontId="23" fillId="9" borderId="0" xfId="0" applyNumberFormat="1" applyFont="1" applyFill="1" applyAlignment="1">
      <alignment horizontal="left" vertical="top"/>
    </xf>
    <xf numFmtId="0" fontId="23" fillId="9" borderId="0" xfId="0" applyFont="1" applyFill="1" applyAlignment="1">
      <alignment horizontal="left" vertical="top"/>
    </xf>
    <xf numFmtId="0" fontId="24" fillId="9" borderId="0" xfId="0" applyNumberFormat="1" applyFont="1" applyFill="1" applyAlignment="1">
      <alignment horizontal="justify" vertical="top"/>
    </xf>
    <xf numFmtId="0" fontId="41" fillId="9" borderId="0" xfId="0" applyFont="1" applyFill="1" applyAlignment="1">
      <alignment horizontal="justify" vertical="top"/>
    </xf>
    <xf numFmtId="0" fontId="41" fillId="9" borderId="0" xfId="0" applyFont="1" applyFill="1" applyAlignment="1">
      <alignment horizontal="center"/>
    </xf>
    <xf numFmtId="0" fontId="49" fillId="9" borderId="0" xfId="0" applyFont="1" applyFill="1"/>
    <xf numFmtId="165" fontId="49" fillId="9" borderId="0" xfId="3" quotePrefix="1" applyNumberFormat="1" applyFont="1" applyFill="1" applyAlignment="1">
      <alignment horizontal="center" vertical="center"/>
    </xf>
    <xf numFmtId="165" fontId="49" fillId="9" borderId="0" xfId="3" quotePrefix="1" applyNumberFormat="1" applyFont="1" applyFill="1" applyAlignment="1">
      <alignment horizontal="center"/>
    </xf>
    <xf numFmtId="165" fontId="49" fillId="9" borderId="0" xfId="3" applyNumberFormat="1" applyFont="1" applyFill="1"/>
    <xf numFmtId="165" fontId="41" fillId="9" borderId="41" xfId="3" applyNumberFormat="1" applyFont="1" applyFill="1" applyBorder="1"/>
    <xf numFmtId="165" fontId="41" fillId="9" borderId="16" xfId="3" applyNumberFormat="1" applyFont="1" applyFill="1" applyBorder="1"/>
    <xf numFmtId="165" fontId="41" fillId="9" borderId="58" xfId="3" applyNumberFormat="1" applyFont="1" applyFill="1" applyBorder="1"/>
    <xf numFmtId="0" fontId="41" fillId="9" borderId="0" xfId="0" applyFont="1" applyFill="1" applyAlignment="1">
      <alignment horizontal="left"/>
    </xf>
    <xf numFmtId="165" fontId="41" fillId="9" borderId="51" xfId="3" applyNumberFormat="1" applyFont="1" applyFill="1" applyBorder="1"/>
    <xf numFmtId="165" fontId="41" fillId="9" borderId="0" xfId="3" applyNumberFormat="1" applyFont="1" applyFill="1" applyBorder="1"/>
    <xf numFmtId="165" fontId="41" fillId="9" borderId="5" xfId="3" applyNumberFormat="1" applyFont="1" applyFill="1" applyBorder="1"/>
    <xf numFmtId="165" fontId="41" fillId="9" borderId="42" xfId="3" applyNumberFormat="1" applyFont="1" applyFill="1" applyBorder="1"/>
    <xf numFmtId="165" fontId="41" fillId="9" borderId="2" xfId="3" applyNumberFormat="1" applyFont="1" applyFill="1" applyBorder="1"/>
    <xf numFmtId="165" fontId="41" fillId="9" borderId="52" xfId="3" applyNumberFormat="1" applyFont="1" applyFill="1" applyBorder="1"/>
    <xf numFmtId="165" fontId="41" fillId="9" borderId="16" xfId="0" applyNumberFormat="1" applyFont="1" applyFill="1" applyBorder="1"/>
    <xf numFmtId="165" fontId="41" fillId="9" borderId="0" xfId="0" applyNumberFormat="1" applyFont="1" applyFill="1" applyBorder="1"/>
    <xf numFmtId="0" fontId="41" fillId="9" borderId="0" xfId="0" applyFont="1" applyFill="1" applyBorder="1"/>
    <xf numFmtId="0" fontId="41" fillId="9" borderId="0" xfId="0" applyFont="1" applyFill="1" applyAlignment="1"/>
    <xf numFmtId="0" fontId="41" fillId="9" borderId="0" xfId="0" applyFont="1" applyFill="1" applyAlignment="1">
      <alignment horizontal="left" indent="1"/>
    </xf>
    <xf numFmtId="0" fontId="41" fillId="9" borderId="51" xfId="0" applyFont="1" applyFill="1" applyBorder="1"/>
    <xf numFmtId="0" fontId="41" fillId="9" borderId="5" xfId="0" applyFont="1" applyFill="1" applyBorder="1"/>
    <xf numFmtId="165" fontId="41" fillId="9" borderId="9" xfId="0" applyNumberFormat="1" applyFont="1" applyFill="1" applyBorder="1"/>
    <xf numFmtId="0" fontId="41" fillId="9" borderId="0" xfId="0" applyNumberFormat="1" applyFont="1" applyFill="1" applyAlignment="1">
      <alignment vertical="top" wrapText="1"/>
    </xf>
    <xf numFmtId="165" fontId="41" fillId="9" borderId="4" xfId="0" applyNumberFormat="1" applyFont="1" applyFill="1" applyBorder="1"/>
    <xf numFmtId="165" fontId="41" fillId="9" borderId="8" xfId="0" applyNumberFormat="1" applyFont="1" applyFill="1" applyBorder="1"/>
    <xf numFmtId="0" fontId="37" fillId="9" borderId="0" xfId="0" applyFont="1" applyFill="1"/>
    <xf numFmtId="165" fontId="30" fillId="9" borderId="0" xfId="0" applyNumberFormat="1" applyFont="1" applyFill="1" applyBorder="1"/>
    <xf numFmtId="165" fontId="30" fillId="9" borderId="8" xfId="0" applyNumberFormat="1" applyFont="1" applyFill="1" applyBorder="1"/>
    <xf numFmtId="0" fontId="24" fillId="9" borderId="0" xfId="0" applyFont="1" applyFill="1" applyAlignment="1">
      <alignment horizontal="left" vertical="top"/>
    </xf>
    <xf numFmtId="0" fontId="37" fillId="9" borderId="0" xfId="0" applyFont="1" applyFill="1" applyBorder="1" applyAlignment="1">
      <alignment horizontal="left" vertical="top"/>
    </xf>
    <xf numFmtId="0" fontId="37" fillId="9" borderId="0" xfId="0" applyFont="1" applyFill="1" applyBorder="1" applyAlignment="1">
      <alignment vertical="center" wrapText="1"/>
    </xf>
    <xf numFmtId="0" fontId="61" fillId="9" borderId="0" xfId="0" applyFont="1" applyFill="1" applyBorder="1" applyAlignment="1" applyProtection="1">
      <alignment horizontal="center"/>
    </xf>
    <xf numFmtId="0" fontId="61" fillId="9" borderId="0" xfId="0" applyFont="1" applyFill="1" applyBorder="1" applyAlignment="1" applyProtection="1">
      <alignment vertical="center"/>
    </xf>
    <xf numFmtId="0" fontId="61" fillId="9" borderId="0" xfId="0" applyFont="1" applyFill="1" applyBorder="1" applyAlignment="1" applyProtection="1">
      <alignment horizontal="center" vertical="center"/>
    </xf>
    <xf numFmtId="10" fontId="30" fillId="9" borderId="0" xfId="4" applyNumberFormat="1" applyFont="1" applyFill="1" applyBorder="1" applyAlignment="1">
      <alignment horizontal="center"/>
    </xf>
    <xf numFmtId="10" fontId="30" fillId="9" borderId="0" xfId="4" applyNumberFormat="1" applyFont="1" applyFill="1" applyBorder="1" applyAlignment="1">
      <alignment horizontal="center" vertical="top"/>
    </xf>
    <xf numFmtId="0" fontId="61" fillId="9" borderId="0" xfId="0" applyFont="1" applyFill="1" applyBorder="1" applyProtection="1"/>
    <xf numFmtId="10" fontId="30" fillId="9" borderId="0" xfId="0" applyNumberFormat="1" applyFont="1" applyFill="1" applyBorder="1" applyAlignment="1">
      <alignment horizontal="center" vertical="top"/>
    </xf>
    <xf numFmtId="0" fontId="24" fillId="9" borderId="0" xfId="0" applyFont="1" applyFill="1" applyAlignment="1">
      <alignment horizontal="center" vertical="top"/>
    </xf>
    <xf numFmtId="165" fontId="24" fillId="9" borderId="0" xfId="3" applyNumberFormat="1" applyFont="1" applyFill="1" applyBorder="1" applyAlignment="1">
      <alignment horizontal="center" vertical="top"/>
    </xf>
    <xf numFmtId="0" fontId="24" fillId="9" borderId="0" xfId="0" applyFont="1" applyFill="1" applyAlignment="1">
      <alignment horizontal="justify"/>
    </xf>
    <xf numFmtId="0" fontId="23" fillId="9" borderId="0" xfId="0" applyFont="1" applyFill="1" applyAlignment="1">
      <alignment horizontal="left"/>
    </xf>
    <xf numFmtId="0" fontId="24" fillId="9" borderId="0" xfId="0" applyFont="1" applyFill="1" applyBorder="1" applyAlignment="1">
      <alignment horizontal="justify" vertical="top" wrapText="1"/>
    </xf>
    <xf numFmtId="165" fontId="30" fillId="9" borderId="0" xfId="0" applyNumberFormat="1" applyFont="1" applyFill="1"/>
    <xf numFmtId="165" fontId="30" fillId="9" borderId="0" xfId="3" applyNumberFormat="1" applyFont="1" applyFill="1"/>
    <xf numFmtId="165" fontId="30" fillId="9" borderId="0" xfId="3" applyNumberFormat="1" applyFont="1" applyFill="1" applyBorder="1"/>
    <xf numFmtId="0" fontId="30" fillId="9" borderId="0" xfId="0" applyFont="1" applyFill="1" applyAlignment="1">
      <alignment horizontal="left" indent="1"/>
    </xf>
    <xf numFmtId="0" fontId="30" fillId="9" borderId="0" xfId="0" applyFont="1" applyFill="1"/>
    <xf numFmtId="165" fontId="30" fillId="9" borderId="0" xfId="3" applyNumberFormat="1" applyFont="1" applyFill="1" applyBorder="1" applyAlignment="1">
      <alignment vertical="top"/>
    </xf>
    <xf numFmtId="165" fontId="30" fillId="9" borderId="9" xfId="0" applyNumberFormat="1" applyFont="1" applyFill="1" applyBorder="1"/>
    <xf numFmtId="0" fontId="24" fillId="9" borderId="0" xfId="0" applyFont="1" applyFill="1" applyBorder="1" applyAlignment="1">
      <alignment horizontal="justify" vertical="top"/>
    </xf>
    <xf numFmtId="0" fontId="24" fillId="9" borderId="0" xfId="0" applyNumberFormat="1" applyFont="1" applyFill="1" applyAlignment="1">
      <alignment horizontal="justify" vertical="top"/>
    </xf>
    <xf numFmtId="0" fontId="24" fillId="9" borderId="0" xfId="0" applyFont="1" applyFill="1" applyBorder="1" applyAlignment="1">
      <alignment vertical="top" wrapText="1"/>
    </xf>
    <xf numFmtId="0" fontId="24" fillId="9" borderId="0" xfId="0" quotePrefix="1" applyFont="1" applyFill="1" applyAlignment="1">
      <alignment horizontal="justify" vertical="top"/>
    </xf>
    <xf numFmtId="165" fontId="24" fillId="9" borderId="0" xfId="0" applyNumberFormat="1" applyFont="1" applyFill="1" applyBorder="1"/>
    <xf numFmtId="165" fontId="24" fillId="9" borderId="0" xfId="3" applyNumberFormat="1" applyFont="1" applyFill="1" applyBorder="1"/>
    <xf numFmtId="0" fontId="30" fillId="9" borderId="0" xfId="0" applyFont="1" applyFill="1" applyAlignment="1">
      <alignment vertical="top" wrapText="1"/>
    </xf>
    <xf numFmtId="0" fontId="37" fillId="9" borderId="0" xfId="0" applyNumberFormat="1" applyFont="1" applyFill="1" applyAlignment="1">
      <alignment vertical="top"/>
    </xf>
    <xf numFmtId="0" fontId="30" fillId="9" borderId="0" xfId="0" applyFont="1" applyFill="1" applyAlignment="1">
      <alignment horizontal="justify" vertical="top" wrapText="1"/>
    </xf>
    <xf numFmtId="0" fontId="37" fillId="9" borderId="1" xfId="0" applyFont="1" applyFill="1" applyBorder="1" applyAlignment="1">
      <alignment horizontal="center" vertical="center"/>
    </xf>
    <xf numFmtId="0" fontId="30" fillId="9" borderId="0" xfId="0" applyNumberFormat="1" applyFont="1" applyFill="1" applyAlignment="1">
      <alignment vertical="top"/>
    </xf>
    <xf numFmtId="0" fontId="37" fillId="9" borderId="0" xfId="0" quotePrefix="1" applyFont="1" applyFill="1" applyAlignment="1">
      <alignment horizontal="center" vertical="top"/>
    </xf>
    <xf numFmtId="0" fontId="30" fillId="9" borderId="0" xfId="0" applyNumberFormat="1" applyFont="1" applyFill="1" applyAlignment="1">
      <alignment horizontal="left" vertical="top" indent="1"/>
    </xf>
    <xf numFmtId="165" fontId="30" fillId="9" borderId="0" xfId="3" applyNumberFormat="1" applyFont="1" applyFill="1" applyBorder="1" applyAlignment="1">
      <alignment horizontal="center" vertical="center"/>
    </xf>
    <xf numFmtId="0" fontId="23" fillId="9" borderId="0" xfId="0" applyFont="1" applyFill="1" applyAlignment="1">
      <alignment vertical="top"/>
    </xf>
    <xf numFmtId="0" fontId="24" fillId="9" borderId="0" xfId="0" applyFont="1" applyFill="1" applyAlignment="1">
      <alignment vertical="top"/>
    </xf>
    <xf numFmtId="0" fontId="23" fillId="0" borderId="0" xfId="0" applyFont="1" applyFill="1"/>
    <xf numFmtId="37" fontId="24" fillId="0" borderId="0" xfId="0" applyNumberFormat="1" applyFont="1" applyFill="1" applyBorder="1" applyAlignment="1" applyProtection="1">
      <alignment horizontal="justify" vertical="top"/>
    </xf>
    <xf numFmtId="0" fontId="24" fillId="0" borderId="0" xfId="3" applyNumberFormat="1" applyFont="1" applyFill="1" applyBorder="1" applyAlignment="1">
      <alignment horizontal="center" wrapText="1"/>
    </xf>
    <xf numFmtId="37" fontId="24" fillId="0" borderId="0" xfId="0" applyNumberFormat="1" applyFont="1" applyFill="1" applyBorder="1" applyAlignment="1" applyProtection="1">
      <alignment horizontal="left" vertical="top" wrapText="1"/>
    </xf>
    <xf numFmtId="0" fontId="24" fillId="0" borderId="0" xfId="0" applyFont="1" applyFill="1" applyAlignment="1">
      <alignment horizontal="justify" vertical="top"/>
    </xf>
    <xf numFmtId="0" fontId="24" fillId="0" borderId="0" xfId="0" applyFont="1" applyFill="1" applyAlignment="1">
      <alignment horizontal="justify" vertical="top"/>
    </xf>
    <xf numFmtId="0" fontId="24" fillId="0" borderId="0" xfId="0" applyFont="1" applyFill="1" applyBorder="1" applyAlignment="1"/>
    <xf numFmtId="0" fontId="23" fillId="0" borderId="0" xfId="0" applyNumberFormat="1" applyFont="1" applyFill="1" applyAlignment="1">
      <alignment horizontal="justify" vertical="justify" wrapText="1"/>
    </xf>
    <xf numFmtId="178" fontId="24" fillId="0" borderId="0" xfId="0" applyNumberFormat="1" applyFont="1" applyFill="1" applyAlignment="1">
      <alignment horizontal="justify" vertical="justify" wrapText="1"/>
    </xf>
    <xf numFmtId="0" fontId="63" fillId="5" borderId="0" xfId="0" applyFont="1" applyFill="1"/>
    <xf numFmtId="0" fontId="63" fillId="0" borderId="0" xfId="0" applyFont="1" applyFill="1" applyBorder="1" applyAlignment="1"/>
    <xf numFmtId="165" fontId="63" fillId="0" borderId="0" xfId="0" applyNumberFormat="1" applyFont="1" applyFill="1" applyBorder="1" applyAlignment="1"/>
    <xf numFmtId="0" fontId="64" fillId="0" borderId="0" xfId="0" applyFont="1" applyFill="1" applyBorder="1" applyAlignment="1">
      <alignment vertical="top"/>
    </xf>
    <xf numFmtId="0" fontId="63" fillId="0" borderId="0" xfId="0" applyFont="1" applyFill="1" applyAlignment="1">
      <alignment vertical="top"/>
    </xf>
    <xf numFmtId="41" fontId="63" fillId="0" borderId="0" xfId="3" applyNumberFormat="1" applyFont="1" applyFill="1" applyBorder="1" applyAlignment="1">
      <alignment vertical="top"/>
    </xf>
    <xf numFmtId="260" fontId="63" fillId="0" borderId="0" xfId="3" applyFont="1" applyFill="1" applyBorder="1" applyAlignment="1">
      <alignment vertical="top"/>
    </xf>
    <xf numFmtId="0" fontId="63" fillId="0" borderId="0" xfId="0" applyFont="1" applyFill="1" applyBorder="1" applyAlignment="1">
      <alignment vertical="top"/>
    </xf>
    <xf numFmtId="0" fontId="63" fillId="0" borderId="0" xfId="0" applyNumberFormat="1" applyFont="1" applyFill="1" applyBorder="1" applyAlignment="1">
      <alignment horizontal="centerContinuous" vertical="center"/>
    </xf>
    <xf numFmtId="165" fontId="63" fillId="0" borderId="0" xfId="3" applyNumberFormat="1" applyFont="1" applyFill="1" applyBorder="1" applyAlignment="1">
      <alignment horizontal="centerContinuous" vertical="center"/>
    </xf>
    <xf numFmtId="43" fontId="63" fillId="0" borderId="0" xfId="3" applyNumberFormat="1" applyFont="1" applyFill="1" applyAlignment="1">
      <alignment horizontal="centerContinuous" vertical="center"/>
    </xf>
    <xf numFmtId="165" fontId="63" fillId="5" borderId="0" xfId="3" applyNumberFormat="1" applyFont="1" applyFill="1" applyAlignment="1">
      <alignment vertical="top"/>
    </xf>
    <xf numFmtId="165" fontId="70" fillId="5" borderId="0" xfId="3" applyNumberFormat="1" applyFont="1" applyFill="1"/>
    <xf numFmtId="0" fontId="63" fillId="0" borderId="0" xfId="0" applyNumberFormat="1" applyFont="1" applyFill="1" applyBorder="1" applyAlignment="1">
      <alignment horizontal="left" vertical="center"/>
    </xf>
    <xf numFmtId="165" fontId="63" fillId="0" borderId="0" xfId="3" applyNumberFormat="1" applyFont="1" applyFill="1" applyBorder="1" applyAlignment="1">
      <alignment vertical="center"/>
    </xf>
    <xf numFmtId="43" fontId="63" fillId="0" borderId="0" xfId="3" applyNumberFormat="1" applyFont="1" applyFill="1" applyAlignment="1">
      <alignment vertical="center"/>
    </xf>
    <xf numFmtId="3" fontId="71" fillId="0" borderId="0" xfId="0" applyNumberFormat="1" applyFont="1"/>
    <xf numFmtId="0" fontId="64" fillId="0" borderId="0" xfId="0" applyFont="1" applyFill="1" applyAlignment="1">
      <alignment horizontal="centerContinuous" vertical="top"/>
    </xf>
    <xf numFmtId="0" fontId="63" fillId="0" borderId="0" xfId="0" applyFont="1" applyFill="1" applyAlignment="1">
      <alignment horizontal="centerContinuous" vertical="top"/>
    </xf>
    <xf numFmtId="0" fontId="72" fillId="0" borderId="0" xfId="0" applyFont="1" applyFill="1" applyAlignment="1">
      <alignment horizontal="centerContinuous" vertical="top"/>
    </xf>
    <xf numFmtId="49" fontId="63" fillId="0" borderId="0" xfId="0" applyNumberFormat="1" applyFont="1" applyFill="1" applyAlignment="1">
      <alignment horizontal="centerContinuous" vertical="top"/>
    </xf>
    <xf numFmtId="0" fontId="73" fillId="0" borderId="0" xfId="0" applyFont="1" applyFill="1" applyBorder="1" applyAlignment="1">
      <alignment vertical="top"/>
    </xf>
    <xf numFmtId="0" fontId="63" fillId="0" borderId="0" xfId="0" applyFont="1" applyFill="1" applyAlignment="1">
      <alignment vertical="top"/>
    </xf>
    <xf numFmtId="0" fontId="63" fillId="5" borderId="0" xfId="0" applyFont="1" applyFill="1" applyAlignment="1">
      <alignment vertical="top"/>
    </xf>
    <xf numFmtId="0" fontId="64" fillId="5" borderId="0" xfId="0" applyFont="1" applyFill="1" applyAlignment="1">
      <alignment vertical="top"/>
    </xf>
    <xf numFmtId="0" fontId="63" fillId="0" borderId="0" xfId="0" applyFont="1" applyFill="1" applyBorder="1" applyAlignment="1">
      <alignment horizontal="center" vertical="center" wrapText="1"/>
    </xf>
    <xf numFmtId="0" fontId="64" fillId="0" borderId="16" xfId="0" applyFont="1" applyFill="1" applyBorder="1" applyAlignment="1">
      <alignment vertical="center"/>
    </xf>
    <xf numFmtId="0" fontId="64" fillId="0" borderId="16" xfId="0" applyFont="1" applyFill="1" applyBorder="1" applyAlignment="1">
      <alignment horizontal="center" vertical="center" wrapText="1"/>
    </xf>
    <xf numFmtId="0" fontId="64" fillId="0" borderId="0" xfId="0" applyNumberFormat="1" applyFont="1" applyFill="1" applyBorder="1" applyAlignment="1">
      <alignment horizontal="left" vertical="center"/>
    </xf>
    <xf numFmtId="165" fontId="63" fillId="0" borderId="0" xfId="3" applyNumberFormat="1" applyFont="1" applyFill="1" applyAlignment="1">
      <alignment vertical="center" wrapText="1"/>
    </xf>
    <xf numFmtId="260" fontId="63" fillId="0" borderId="0" xfId="3" applyFont="1" applyFill="1" applyAlignment="1">
      <alignment vertical="center"/>
    </xf>
    <xf numFmtId="165" fontId="63" fillId="0" borderId="0" xfId="0" applyNumberFormat="1" applyFont="1" applyFill="1" applyBorder="1" applyAlignment="1">
      <alignment horizontal="left" vertical="center"/>
    </xf>
    <xf numFmtId="165" fontId="63" fillId="0" borderId="6" xfId="3" applyNumberFormat="1" applyFont="1" applyFill="1" applyBorder="1" applyAlignment="1">
      <alignment vertical="center"/>
    </xf>
    <xf numFmtId="260" fontId="63" fillId="0" borderId="41" xfId="3" applyFont="1" applyFill="1" applyBorder="1" applyAlignment="1">
      <alignment vertical="center"/>
    </xf>
    <xf numFmtId="260" fontId="63" fillId="0" borderId="6" xfId="3" applyFont="1" applyFill="1" applyBorder="1" applyAlignment="1">
      <alignment vertical="center"/>
    </xf>
    <xf numFmtId="2" fontId="63" fillId="0" borderId="51" xfId="3" applyNumberFormat="1" applyFont="1" applyFill="1" applyBorder="1" applyAlignment="1">
      <alignment vertical="center"/>
    </xf>
    <xf numFmtId="165" fontId="63" fillId="7" borderId="0" xfId="0" applyNumberFormat="1" applyFont="1" applyFill="1"/>
    <xf numFmtId="165" fontId="63" fillId="0" borderId="7" xfId="3" applyNumberFormat="1" applyFont="1" applyFill="1" applyBorder="1" applyAlignment="1">
      <alignment vertical="center"/>
    </xf>
    <xf numFmtId="260" fontId="63" fillId="0" borderId="51" xfId="3" applyFont="1" applyFill="1" applyBorder="1" applyAlignment="1">
      <alignment vertical="center"/>
    </xf>
    <xf numFmtId="260" fontId="63" fillId="0" borderId="7" xfId="3" applyFont="1" applyFill="1" applyBorder="1" applyAlignment="1">
      <alignment vertical="center"/>
    </xf>
    <xf numFmtId="0" fontId="63" fillId="0" borderId="0" xfId="0" applyNumberFormat="1" applyFont="1" applyFill="1" applyAlignment="1">
      <alignment vertical="center"/>
    </xf>
    <xf numFmtId="165" fontId="63" fillId="0" borderId="0" xfId="3" applyNumberFormat="1" applyFont="1" applyFill="1" applyAlignment="1">
      <alignment vertical="center"/>
    </xf>
    <xf numFmtId="0" fontId="63" fillId="0" borderId="0" xfId="0" applyNumberFormat="1" applyFont="1" applyFill="1" applyAlignment="1"/>
    <xf numFmtId="0" fontId="63" fillId="0" borderId="0" xfId="0" applyNumberFormat="1" applyFont="1" applyFill="1" applyAlignment="1">
      <alignment horizontal="left" vertical="center" indent="1"/>
    </xf>
    <xf numFmtId="165" fontId="63" fillId="0" borderId="0" xfId="0" applyNumberFormat="1" applyFont="1"/>
    <xf numFmtId="165" fontId="63" fillId="0" borderId="10" xfId="3" applyNumberFormat="1" applyFont="1" applyFill="1" applyBorder="1" applyAlignment="1">
      <alignment vertical="center"/>
    </xf>
    <xf numFmtId="260" fontId="63" fillId="0" borderId="42" xfId="3" applyFont="1" applyFill="1" applyBorder="1" applyAlignment="1">
      <alignment vertical="center"/>
    </xf>
    <xf numFmtId="260" fontId="63" fillId="0" borderId="10" xfId="3" applyFont="1" applyFill="1" applyBorder="1" applyAlignment="1">
      <alignment vertical="center"/>
    </xf>
    <xf numFmtId="260" fontId="63" fillId="0" borderId="0" xfId="3" applyFont="1" applyFill="1" applyBorder="1" applyAlignment="1">
      <alignment vertical="center"/>
    </xf>
    <xf numFmtId="165" fontId="63" fillId="0" borderId="0" xfId="0" applyNumberFormat="1" applyFont="1" applyFill="1" applyAlignment="1">
      <alignment vertical="center"/>
    </xf>
    <xf numFmtId="0" fontId="64" fillId="0" borderId="0" xfId="0" applyNumberFormat="1" applyFont="1" applyFill="1" applyAlignment="1">
      <alignment vertical="center"/>
    </xf>
    <xf numFmtId="0" fontId="63" fillId="0" borderId="0" xfId="0" applyNumberFormat="1" applyFont="1" applyFill="1" applyBorder="1" applyAlignment="1">
      <alignment vertical="center"/>
    </xf>
    <xf numFmtId="0" fontId="64" fillId="0" borderId="0" xfId="0" applyNumberFormat="1" applyFont="1" applyFill="1" applyBorder="1" applyAlignment="1">
      <alignment vertical="center"/>
    </xf>
    <xf numFmtId="43" fontId="63" fillId="5" borderId="0" xfId="3" applyNumberFormat="1" applyFont="1" applyFill="1" applyAlignment="1">
      <alignment vertical="top"/>
    </xf>
    <xf numFmtId="0" fontId="64" fillId="0" borderId="0" xfId="0" applyNumberFormat="1" applyFont="1" applyFill="1" applyBorder="1" applyAlignment="1">
      <alignment horizontal="left"/>
    </xf>
    <xf numFmtId="165" fontId="64" fillId="0" borderId="53" xfId="3" applyNumberFormat="1" applyFont="1" applyFill="1" applyBorder="1" applyAlignment="1">
      <alignment vertical="center"/>
    </xf>
    <xf numFmtId="43" fontId="64" fillId="0" borderId="53" xfId="3" applyNumberFormat="1" applyFont="1" applyFill="1" applyBorder="1" applyAlignment="1">
      <alignment vertical="center"/>
    </xf>
    <xf numFmtId="43" fontId="63" fillId="0" borderId="0" xfId="3" applyNumberFormat="1" applyFont="1" applyFill="1" applyBorder="1" applyAlignment="1">
      <alignment vertical="center"/>
    </xf>
    <xf numFmtId="0" fontId="63" fillId="0" borderId="0" xfId="0" applyFont="1" applyFill="1"/>
    <xf numFmtId="165" fontId="63" fillId="5" borderId="0" xfId="0" applyNumberFormat="1" applyFont="1" applyFill="1"/>
    <xf numFmtId="0" fontId="64" fillId="0" borderId="0" xfId="0" applyFont="1" applyFill="1" applyBorder="1" applyAlignment="1">
      <alignment vertical="center"/>
    </xf>
    <xf numFmtId="0" fontId="64" fillId="0" borderId="0" xfId="0" applyFont="1" applyFill="1" applyBorder="1" applyAlignment="1">
      <alignment horizontal="center" vertical="center" wrapText="1"/>
    </xf>
    <xf numFmtId="0" fontId="63" fillId="0" borderId="0" xfId="0" quotePrefix="1" applyFont="1" applyFill="1" applyBorder="1" applyAlignment="1">
      <alignment horizontal="center" vertical="center"/>
    </xf>
    <xf numFmtId="0" fontId="63" fillId="0" borderId="0" xfId="0" applyFont="1" applyFill="1" applyAlignment="1">
      <alignment horizontal="center" vertical="center"/>
    </xf>
    <xf numFmtId="165" fontId="64" fillId="0" borderId="0" xfId="3" applyNumberFormat="1" applyFont="1" applyFill="1" applyBorder="1" applyAlignment="1">
      <alignment vertical="center"/>
    </xf>
    <xf numFmtId="43" fontId="64" fillId="0" borderId="0" xfId="3" applyNumberFormat="1" applyFont="1" applyFill="1" applyBorder="1" applyAlignment="1">
      <alignment vertical="center"/>
    </xf>
    <xf numFmtId="0" fontId="63" fillId="0" borderId="0" xfId="0" applyNumberFormat="1" applyFont="1" applyFill="1" applyBorder="1" applyAlignment="1">
      <alignment horizontal="left"/>
    </xf>
    <xf numFmtId="0" fontId="63" fillId="5" borderId="0" xfId="0" applyFont="1" applyFill="1" applyBorder="1"/>
    <xf numFmtId="165" fontId="63" fillId="5" borderId="0" xfId="3" applyNumberFormat="1" applyFont="1" applyFill="1" applyBorder="1" applyAlignment="1">
      <alignment vertical="top"/>
    </xf>
    <xf numFmtId="165" fontId="63" fillId="0" borderId="0" xfId="0" applyNumberFormat="1" applyFont="1" applyFill="1" applyBorder="1" applyAlignment="1">
      <alignment vertical="center"/>
    </xf>
    <xf numFmtId="0" fontId="64" fillId="0" borderId="0" xfId="0" applyFont="1" applyFill="1" applyAlignment="1">
      <alignment vertical="center"/>
    </xf>
    <xf numFmtId="0" fontId="63" fillId="0" borderId="0" xfId="0" applyFont="1" applyFill="1" applyAlignment="1">
      <alignment horizontal="left" vertical="center" indent="1"/>
    </xf>
    <xf numFmtId="0" fontId="63" fillId="0" borderId="0" xfId="0" applyFont="1" applyFill="1" applyAlignment="1">
      <alignment horizontal="left" vertical="center"/>
    </xf>
    <xf numFmtId="0" fontId="64" fillId="0" borderId="0" xfId="0" applyFont="1" applyFill="1" applyAlignment="1">
      <alignment horizontal="left" vertical="center"/>
    </xf>
    <xf numFmtId="165" fontId="63" fillId="0" borderId="7" xfId="3" applyNumberFormat="1" applyFont="1" applyFill="1" applyBorder="1"/>
    <xf numFmtId="0" fontId="64" fillId="0" borderId="0" xfId="0" applyNumberFormat="1" applyFont="1" applyFill="1" applyAlignment="1"/>
    <xf numFmtId="165" fontId="63" fillId="0" borderId="0" xfId="3" applyNumberFormat="1" applyFont="1" applyFill="1" applyBorder="1" applyAlignment="1">
      <alignment vertical="top"/>
    </xf>
    <xf numFmtId="165" fontId="63" fillId="0" borderId="0" xfId="3" applyNumberFormat="1" applyFont="1" applyFill="1" applyBorder="1" applyAlignment="1"/>
    <xf numFmtId="165" fontId="63" fillId="0" borderId="10" xfId="3" applyNumberFormat="1" applyFont="1" applyFill="1" applyBorder="1"/>
    <xf numFmtId="260" fontId="63" fillId="0" borderId="0" xfId="3" applyFont="1" applyFill="1" applyBorder="1"/>
    <xf numFmtId="0" fontId="64" fillId="0" borderId="0" xfId="0" applyFont="1" applyFill="1"/>
    <xf numFmtId="165" fontId="63" fillId="0" borderId="0" xfId="0" applyNumberFormat="1" applyFont="1" applyFill="1"/>
    <xf numFmtId="165" fontId="63" fillId="0" borderId="9" xfId="0" applyNumberFormat="1" applyFont="1" applyFill="1" applyBorder="1" applyAlignment="1">
      <alignment vertical="center"/>
    </xf>
    <xf numFmtId="260" fontId="63" fillId="0" borderId="9" xfId="3" applyFont="1" applyFill="1" applyBorder="1" applyAlignment="1">
      <alignment vertical="center"/>
    </xf>
    <xf numFmtId="165" fontId="63" fillId="0" borderId="0" xfId="0" applyNumberFormat="1" applyFont="1" applyFill="1" applyBorder="1" applyAlignment="1">
      <alignment vertical="top"/>
    </xf>
    <xf numFmtId="0" fontId="63" fillId="0" borderId="0" xfId="0" applyFont="1" applyFill="1" applyBorder="1"/>
    <xf numFmtId="165" fontId="63" fillId="0" borderId="8" xfId="3" applyNumberFormat="1" applyFont="1" applyFill="1" applyBorder="1" applyAlignment="1">
      <alignment vertical="top" wrapText="1"/>
    </xf>
    <xf numFmtId="43" fontId="63" fillId="0" borderId="0" xfId="0" applyNumberFormat="1" applyFont="1" applyFill="1" applyBorder="1" applyAlignment="1"/>
    <xf numFmtId="0" fontId="73" fillId="0" borderId="0" xfId="0" applyFont="1" applyFill="1" applyAlignment="1">
      <alignment vertical="top"/>
    </xf>
    <xf numFmtId="0" fontId="63" fillId="0" borderId="0" xfId="0" applyFont="1" applyFill="1" applyBorder="1" applyAlignment="1">
      <alignment vertical="top"/>
    </xf>
    <xf numFmtId="165" fontId="63" fillId="0" borderId="0" xfId="3" applyNumberFormat="1" applyFont="1" applyFill="1" applyAlignment="1">
      <alignment vertical="top"/>
    </xf>
    <xf numFmtId="0" fontId="62" fillId="11" borderId="62" xfId="0" applyFont="1" applyFill="1" applyBorder="1" applyAlignment="1"/>
    <xf numFmtId="0" fontId="24" fillId="0" borderId="0" xfId="0" applyFont="1" applyFill="1" applyBorder="1"/>
    <xf numFmtId="0" fontId="74" fillId="0" borderId="0" xfId="0" applyFont="1"/>
    <xf numFmtId="0" fontId="74" fillId="0" borderId="0" xfId="0" applyFont="1" applyAlignment="1">
      <alignment horizontal="center" vertical="center" wrapText="1"/>
    </xf>
    <xf numFmtId="165" fontId="58" fillId="0" borderId="0" xfId="0" applyNumberFormat="1" applyFont="1"/>
    <xf numFmtId="0" fontId="58" fillId="0" borderId="0" xfId="0" applyFont="1"/>
    <xf numFmtId="0" fontId="62" fillId="12" borderId="21" xfId="0" applyFont="1" applyFill="1" applyBorder="1" applyAlignment="1">
      <alignment horizontal="center"/>
    </xf>
    <xf numFmtId="0" fontId="62" fillId="12" borderId="21" xfId="0" applyFont="1" applyFill="1" applyBorder="1" applyAlignment="1">
      <alignment horizontal="center" vertical="center" wrapText="1"/>
    </xf>
    <xf numFmtId="165" fontId="58" fillId="0" borderId="2" xfId="0" applyNumberFormat="1" applyFont="1" applyBorder="1"/>
    <xf numFmtId="0" fontId="58" fillId="0" borderId="0" xfId="0" applyFont="1" applyAlignment="1">
      <alignment wrapText="1"/>
    </xf>
    <xf numFmtId="170" fontId="58" fillId="0" borderId="0" xfId="0" applyNumberFormat="1" applyFont="1"/>
    <xf numFmtId="0" fontId="58" fillId="0" borderId="0" xfId="0" applyFont="1" applyAlignment="1">
      <alignment vertical="center" wrapText="1"/>
    </xf>
    <xf numFmtId="165" fontId="74" fillId="0" borderId="9" xfId="0" applyNumberFormat="1" applyFont="1" applyBorder="1" applyAlignment="1">
      <alignment vertical="center"/>
    </xf>
    <xf numFmtId="165" fontId="58" fillId="0" borderId="9" xfId="0" applyNumberFormat="1" applyFont="1" applyBorder="1"/>
    <xf numFmtId="2" fontId="66" fillId="0" borderId="0" xfId="3" applyNumberFormat="1" applyFont="1" applyFill="1" applyBorder="1" applyAlignment="1">
      <alignment vertical="center"/>
    </xf>
    <xf numFmtId="0" fontId="74" fillId="0" borderId="0" xfId="0" applyFont="1"/>
    <xf numFmtId="0" fontId="74" fillId="0" borderId="0" xfId="0" applyFont="1" applyAlignment="1">
      <alignment horizontal="center" vertical="center" wrapText="1"/>
    </xf>
    <xf numFmtId="165" fontId="58" fillId="0" borderId="0" xfId="0" applyNumberFormat="1" applyFont="1"/>
    <xf numFmtId="0" fontId="58" fillId="0" borderId="0" xfId="0" applyFont="1"/>
    <xf numFmtId="0" fontId="62" fillId="12" borderId="21" xfId="0" applyFont="1" applyFill="1" applyBorder="1" applyAlignment="1">
      <alignment horizontal="center"/>
    </xf>
    <xf numFmtId="0" fontId="62" fillId="12" borderId="21" xfId="0" applyFont="1" applyFill="1" applyBorder="1" applyAlignment="1">
      <alignment horizontal="center" vertical="center" wrapText="1"/>
    </xf>
    <xf numFmtId="165" fontId="58" fillId="0" borderId="2" xfId="0" applyNumberFormat="1" applyFont="1" applyBorder="1"/>
    <xf numFmtId="0" fontId="58" fillId="0" borderId="0" xfId="0" applyFont="1" applyAlignment="1">
      <alignment wrapText="1"/>
    </xf>
    <xf numFmtId="170" fontId="58" fillId="0" borderId="0" xfId="0" applyNumberFormat="1" applyFont="1"/>
    <xf numFmtId="0" fontId="58" fillId="0" borderId="0" xfId="0" applyFont="1" applyAlignment="1">
      <alignment vertical="center" wrapText="1"/>
    </xf>
    <xf numFmtId="165" fontId="58" fillId="0" borderId="9" xfId="0" applyNumberFormat="1" applyFont="1" applyBorder="1"/>
    <xf numFmtId="0" fontId="75" fillId="0" borderId="0" xfId="0" applyFont="1"/>
    <xf numFmtId="166" fontId="23" fillId="0" borderId="0" xfId="0" applyNumberFormat="1" applyFont="1" applyFill="1" applyAlignment="1">
      <alignment horizontal="left" vertical="top"/>
    </xf>
    <xf numFmtId="165" fontId="37" fillId="0" borderId="0" xfId="3" applyNumberFormat="1" applyFont="1" applyFill="1" applyAlignment="1">
      <alignment horizontal="centerContinuous"/>
    </xf>
    <xf numFmtId="49" fontId="37" fillId="0" borderId="0" xfId="0" quotePrefix="1" applyNumberFormat="1" applyFont="1" applyFill="1" applyBorder="1" applyAlignment="1">
      <alignment horizontal="center" vertical="center"/>
    </xf>
    <xf numFmtId="0" fontId="24" fillId="0" borderId="0" xfId="0" applyFont="1" applyFill="1" applyAlignment="1">
      <alignment horizontal="left" indent="1"/>
    </xf>
    <xf numFmtId="0" fontId="24" fillId="0" borderId="0" xfId="0" applyFont="1" applyFill="1"/>
    <xf numFmtId="0" fontId="24" fillId="0" borderId="0" xfId="0" applyFont="1" applyFill="1" applyAlignment="1">
      <alignment horizontal="left"/>
    </xf>
    <xf numFmtId="165" fontId="58" fillId="0" borderId="0" xfId="3" applyNumberFormat="1" applyFont="1"/>
    <xf numFmtId="170" fontId="58" fillId="0" borderId="0" xfId="3" applyNumberFormat="1" applyFont="1"/>
    <xf numFmtId="165" fontId="74" fillId="0" borderId="9" xfId="3" applyNumberFormat="1" applyFont="1" applyFill="1" applyBorder="1" applyAlignment="1">
      <alignment vertical="center"/>
    </xf>
    <xf numFmtId="165" fontId="58" fillId="0" borderId="9" xfId="3" applyNumberFormat="1" applyFont="1" applyFill="1" applyBorder="1"/>
    <xf numFmtId="165" fontId="66" fillId="0" borderId="51" xfId="3" applyNumberFormat="1" applyFont="1" applyFill="1" applyBorder="1" applyAlignment="1">
      <alignment vertical="center"/>
    </xf>
    <xf numFmtId="165" fontId="66" fillId="0" borderId="42" xfId="3" applyNumberFormat="1" applyFont="1" applyFill="1" applyBorder="1" applyAlignment="1">
      <alignment vertical="center"/>
    </xf>
    <xf numFmtId="165" fontId="66" fillId="0" borderId="49" xfId="3" applyNumberFormat="1" applyFont="1" applyFill="1" applyBorder="1" applyAlignment="1">
      <alignment vertical="center"/>
    </xf>
    <xf numFmtId="43" fontId="66" fillId="0" borderId="58" xfId="3" applyNumberFormat="1" applyFont="1" applyFill="1" applyBorder="1" applyAlignment="1">
      <alignment vertical="center"/>
    </xf>
    <xf numFmtId="43" fontId="66" fillId="0" borderId="59" xfId="3" applyNumberFormat="1" applyFont="1" applyFill="1" applyBorder="1" applyAlignment="1">
      <alignment vertical="center"/>
    </xf>
    <xf numFmtId="43" fontId="66" fillId="0" borderId="49" xfId="3" applyNumberFormat="1" applyFont="1" applyFill="1" applyBorder="1" applyAlignment="1">
      <alignment vertical="center"/>
    </xf>
    <xf numFmtId="43" fontId="66" fillId="0" borderId="51" xfId="3" applyNumberFormat="1" applyFont="1" applyFill="1" applyBorder="1" applyAlignment="1">
      <alignment vertical="center"/>
    </xf>
    <xf numFmtId="43" fontId="66" fillId="0" borderId="5" xfId="3" applyNumberFormat="1" applyFont="1" applyFill="1" applyBorder="1" applyAlignment="1">
      <alignment vertical="center"/>
    </xf>
    <xf numFmtId="43" fontId="66" fillId="0" borderId="42" xfId="3" applyNumberFormat="1" applyFont="1" applyFill="1" applyBorder="1" applyAlignment="1">
      <alignment vertical="center"/>
    </xf>
    <xf numFmtId="43" fontId="66" fillId="0" borderId="52" xfId="3" applyNumberFormat="1" applyFont="1" applyFill="1" applyBorder="1" applyAlignment="1">
      <alignment vertical="center"/>
    </xf>
    <xf numFmtId="43" fontId="66" fillId="0" borderId="51" xfId="3" applyNumberFormat="1" applyFont="1" applyFill="1" applyBorder="1"/>
    <xf numFmtId="43" fontId="66" fillId="0" borderId="42" xfId="3" applyNumberFormat="1" applyFont="1" applyFill="1" applyBorder="1"/>
    <xf numFmtId="165" fontId="66" fillId="0" borderId="9" xfId="3" applyNumberFormat="1" applyFont="1" applyFill="1" applyBorder="1" applyAlignment="1">
      <alignment vertical="center"/>
    </xf>
    <xf numFmtId="0" fontId="24" fillId="0" borderId="0" xfId="0" applyFont="1" applyFill="1" applyAlignment="1">
      <alignment horizontal="justify" vertical="justify" wrapText="1"/>
    </xf>
    <xf numFmtId="0" fontId="66" fillId="0" borderId="0" xfId="0" quotePrefix="1" applyFont="1" applyFill="1" applyBorder="1" applyAlignment="1">
      <alignment horizontal="center" vertical="center"/>
    </xf>
    <xf numFmtId="0" fontId="66" fillId="0" borderId="0" xfId="0" applyFont="1" applyFill="1" applyAlignment="1">
      <alignment horizontal="center" vertical="center"/>
    </xf>
    <xf numFmtId="0" fontId="66" fillId="0" borderId="0" xfId="0" applyFont="1" applyFill="1" applyAlignment="1">
      <alignment vertical="top"/>
    </xf>
    <xf numFmtId="0" fontId="67" fillId="0" borderId="0" xfId="0" applyFont="1" applyFill="1" applyAlignment="1">
      <alignment vertical="top"/>
    </xf>
    <xf numFmtId="165" fontId="66" fillId="0" borderId="0" xfId="3" applyNumberFormat="1" applyFont="1" applyFill="1" applyAlignment="1">
      <alignment vertical="top"/>
    </xf>
    <xf numFmtId="165" fontId="68" fillId="0" borderId="0" xfId="3" applyNumberFormat="1" applyFont="1" applyFill="1"/>
    <xf numFmtId="165" fontId="30" fillId="0" borderId="0" xfId="0" applyNumberFormat="1" applyFont="1" applyFill="1"/>
    <xf numFmtId="43" fontId="66" fillId="0" borderId="0" xfId="3" applyNumberFormat="1" applyFont="1" applyFill="1" applyAlignment="1">
      <alignment vertical="top"/>
    </xf>
    <xf numFmtId="165" fontId="65" fillId="0" borderId="0" xfId="3" applyNumberFormat="1" applyFont="1" applyFill="1"/>
    <xf numFmtId="43" fontId="66" fillId="0" borderId="0" xfId="0" applyNumberFormat="1" applyFont="1" applyFill="1"/>
    <xf numFmtId="3" fontId="69" fillId="0" borderId="0" xfId="0" applyNumberFormat="1" applyFont="1" applyFill="1"/>
    <xf numFmtId="0" fontId="24" fillId="0" borderId="0" xfId="0" applyFont="1"/>
    <xf numFmtId="0" fontId="67" fillId="5" borderId="0" xfId="0" applyNumberFormat="1" applyFont="1" applyFill="1" applyBorder="1" applyAlignment="1">
      <alignment horizontal="left" vertical="center"/>
    </xf>
    <xf numFmtId="0" fontId="66" fillId="5" borderId="0" xfId="0" applyNumberFormat="1" applyFont="1" applyFill="1" applyBorder="1" applyAlignment="1">
      <alignment horizontal="left" vertical="center"/>
    </xf>
    <xf numFmtId="0" fontId="66" fillId="5" borderId="0" xfId="0" applyFont="1" applyFill="1"/>
    <xf numFmtId="165" fontId="66" fillId="5" borderId="0" xfId="3" applyNumberFormat="1" applyFont="1" applyFill="1" applyBorder="1" applyAlignment="1">
      <alignment vertical="center"/>
    </xf>
    <xf numFmtId="165" fontId="66" fillId="5" borderId="0" xfId="3" applyNumberFormat="1" applyFont="1" applyFill="1" applyAlignment="1">
      <alignment vertical="center" wrapText="1"/>
    </xf>
    <xf numFmtId="260" fontId="66" fillId="5" borderId="0" xfId="3" applyFont="1" applyFill="1" applyAlignment="1">
      <alignment vertical="center"/>
    </xf>
    <xf numFmtId="165" fontId="66" fillId="5" borderId="0" xfId="0" applyNumberFormat="1" applyFont="1" applyFill="1" applyBorder="1" applyAlignment="1">
      <alignment horizontal="left" vertical="center"/>
    </xf>
    <xf numFmtId="165" fontId="66" fillId="5" borderId="49" xfId="3" applyNumberFormat="1" applyFont="1" applyFill="1" applyBorder="1" applyAlignment="1">
      <alignment vertical="center"/>
    </xf>
    <xf numFmtId="43" fontId="66" fillId="5" borderId="59" xfId="3" applyNumberFormat="1" applyFont="1" applyFill="1" applyBorder="1" applyAlignment="1">
      <alignment vertical="center"/>
    </xf>
    <xf numFmtId="2" fontId="66" fillId="5" borderId="0" xfId="3" applyNumberFormat="1" applyFont="1" applyFill="1" applyBorder="1" applyAlignment="1">
      <alignment vertical="center"/>
    </xf>
    <xf numFmtId="165" fontId="66" fillId="5" borderId="51" xfId="3" applyNumberFormat="1" applyFont="1" applyFill="1" applyBorder="1" applyAlignment="1">
      <alignment vertical="center"/>
    </xf>
    <xf numFmtId="43" fontId="66" fillId="5" borderId="7" xfId="3" applyNumberFormat="1" applyFont="1" applyFill="1" applyBorder="1" applyAlignment="1">
      <alignment vertical="center"/>
    </xf>
    <xf numFmtId="0" fontId="66" fillId="5" borderId="0" xfId="0" applyNumberFormat="1" applyFont="1" applyFill="1" applyAlignment="1">
      <alignment vertical="center"/>
    </xf>
    <xf numFmtId="165" fontId="66" fillId="5" borderId="0" xfId="3" applyNumberFormat="1" applyFont="1" applyFill="1" applyAlignment="1">
      <alignment vertical="center"/>
    </xf>
    <xf numFmtId="0" fontId="66" fillId="5" borderId="0" xfId="0" applyNumberFormat="1" applyFont="1" applyFill="1" applyAlignment="1"/>
    <xf numFmtId="0" fontId="66" fillId="5" borderId="0" xfId="0" applyNumberFormat="1" applyFont="1" applyFill="1" applyAlignment="1">
      <alignment horizontal="left" vertical="center" indent="1"/>
    </xf>
    <xf numFmtId="165" fontId="66" fillId="5" borderId="42" xfId="3" applyNumberFormat="1" applyFont="1" applyFill="1" applyBorder="1" applyAlignment="1">
      <alignment vertical="center"/>
    </xf>
    <xf numFmtId="43" fontId="66" fillId="5" borderId="10" xfId="3" applyNumberFormat="1" applyFont="1" applyFill="1" applyBorder="1" applyAlignment="1">
      <alignment vertical="center"/>
    </xf>
    <xf numFmtId="0" fontId="66" fillId="5" borderId="0" xfId="0" applyFont="1" applyFill="1" applyBorder="1" applyAlignment="1">
      <alignment horizontal="center" vertical="center" wrapText="1"/>
    </xf>
    <xf numFmtId="43" fontId="66" fillId="5" borderId="0" xfId="3" applyNumberFormat="1" applyFont="1" applyFill="1" applyBorder="1" applyAlignment="1">
      <alignment vertical="center"/>
    </xf>
    <xf numFmtId="260" fontId="66" fillId="5" borderId="0" xfId="3" applyFont="1" applyFill="1" applyBorder="1" applyAlignment="1">
      <alignment vertical="center"/>
    </xf>
    <xf numFmtId="0" fontId="20" fillId="0" borderId="0" xfId="23"/>
    <xf numFmtId="165" fontId="0" fillId="0" borderId="0" xfId="24" applyNumberFormat="1" applyFont="1"/>
    <xf numFmtId="0" fontId="20" fillId="0" borderId="0" xfId="23" quotePrefix="1"/>
    <xf numFmtId="165" fontId="20" fillId="0" borderId="0" xfId="23" applyNumberFormat="1"/>
    <xf numFmtId="165" fontId="0" fillId="0" borderId="0" xfId="24" applyNumberFormat="1" applyFont="1" applyFill="1"/>
    <xf numFmtId="0" fontId="20" fillId="8" borderId="0" xfId="23" applyFill="1"/>
    <xf numFmtId="165" fontId="0" fillId="0" borderId="0" xfId="3" applyNumberFormat="1" applyFont="1"/>
    <xf numFmtId="0" fontId="62" fillId="13" borderId="0" xfId="23" applyFont="1" applyFill="1" applyAlignment="1">
      <alignment horizontal="center"/>
    </xf>
    <xf numFmtId="165" fontId="62" fillId="13" borderId="0" xfId="24" applyNumberFormat="1" applyFont="1" applyFill="1" applyAlignment="1">
      <alignment horizontal="center"/>
    </xf>
    <xf numFmtId="0" fontId="20" fillId="0" borderId="0" xfId="23" applyFill="1"/>
    <xf numFmtId="165" fontId="0" fillId="0" borderId="0" xfId="3" applyNumberFormat="1" applyFont="1" applyFill="1"/>
    <xf numFmtId="165" fontId="20" fillId="0" borderId="0" xfId="3" applyNumberFormat="1" applyFont="1"/>
    <xf numFmtId="165" fontId="62" fillId="8" borderId="0" xfId="24" applyNumberFormat="1" applyFont="1" applyFill="1" applyAlignment="1">
      <alignment horizontal="center"/>
    </xf>
    <xf numFmtId="0" fontId="74" fillId="8" borderId="0" xfId="23" quotePrefix="1" applyFont="1" applyFill="1"/>
    <xf numFmtId="0" fontId="20" fillId="0" borderId="0" xfId="23" quotePrefix="1" applyFill="1"/>
    <xf numFmtId="43" fontId="0" fillId="0" borderId="0" xfId="24" applyNumberFormat="1" applyFont="1" applyFill="1"/>
    <xf numFmtId="49" fontId="37" fillId="0" borderId="0" xfId="0" applyNumberFormat="1" applyFont="1" applyFill="1" applyBorder="1" applyAlignment="1">
      <alignment vertical="center"/>
    </xf>
    <xf numFmtId="165" fontId="30" fillId="0" borderId="0" xfId="3" applyNumberFormat="1" applyFont="1" applyFill="1" applyAlignment="1">
      <alignment horizontal="center"/>
    </xf>
    <xf numFmtId="0" fontId="30" fillId="0" borderId="0" xfId="0" applyFont="1" applyFill="1" applyAlignment="1" applyProtection="1">
      <alignment vertical="top"/>
      <protection locked="0"/>
    </xf>
    <xf numFmtId="0" fontId="30" fillId="0" borderId="0" xfId="0" applyFont="1" applyFill="1" applyAlignment="1" applyProtection="1">
      <alignment horizontal="left" vertical="top" indent="1"/>
      <protection locked="0"/>
    </xf>
    <xf numFmtId="0" fontId="30" fillId="0" borderId="0" xfId="32" applyFont="1" applyFill="1" applyAlignment="1">
      <alignment horizontal="left" indent="1"/>
    </xf>
    <xf numFmtId="165" fontId="30" fillId="0" borderId="0" xfId="3" applyNumberFormat="1" applyFont="1" applyFill="1" applyBorder="1" applyAlignment="1">
      <alignment horizontal="centerContinuous"/>
    </xf>
    <xf numFmtId="0" fontId="30" fillId="0" borderId="0" xfId="33" applyFont="1" applyFill="1" applyAlignment="1">
      <alignment horizontal="left"/>
    </xf>
    <xf numFmtId="0" fontId="30" fillId="0" borderId="0" xfId="33" applyFont="1" applyFill="1" applyAlignment="1">
      <alignment horizontal="left" indent="1"/>
    </xf>
    <xf numFmtId="0" fontId="40" fillId="0" borderId="0" xfId="0" quotePrefix="1" applyFont="1" applyFill="1" applyAlignment="1" applyProtection="1">
      <alignment horizontal="left" indent="2"/>
      <protection locked="0"/>
    </xf>
    <xf numFmtId="0" fontId="40" fillId="0" borderId="0" xfId="0" applyFont="1" applyFill="1" applyAlignment="1" applyProtection="1">
      <alignment horizontal="left" indent="3"/>
      <protection locked="0"/>
    </xf>
    <xf numFmtId="0" fontId="40" fillId="0" borderId="0" xfId="0" applyFont="1" applyFill="1" applyAlignment="1" applyProtection="1">
      <alignment horizontal="left" indent="4"/>
      <protection locked="0"/>
    </xf>
    <xf numFmtId="0" fontId="30" fillId="0" borderId="0" xfId="33" applyFont="1" applyFill="1"/>
    <xf numFmtId="0" fontId="30" fillId="0" borderId="0" xfId="33" applyFont="1" applyFill="1" applyBorder="1" applyAlignment="1">
      <alignment horizontal="left" indent="1"/>
    </xf>
    <xf numFmtId="0" fontId="40" fillId="0" borderId="0" xfId="131" applyFont="1" applyFill="1" applyAlignment="1">
      <alignment horizontal="left" indent="1"/>
      <protection locked="0"/>
    </xf>
    <xf numFmtId="0" fontId="40" fillId="0" borderId="0" xfId="2258" applyFont="1" applyFill="1" applyAlignment="1">
      <alignment horizontal="left"/>
      <protection locked="0"/>
    </xf>
    <xf numFmtId="0" fontId="40" fillId="0" borderId="0" xfId="4850" applyFont="1" applyFill="1" applyAlignment="1">
      <protection locked="0"/>
    </xf>
    <xf numFmtId="0" fontId="14" fillId="0" borderId="0" xfId="23" applyFont="1"/>
    <xf numFmtId="260" fontId="20" fillId="0" borderId="0" xfId="3" applyFont="1"/>
    <xf numFmtId="43" fontId="20" fillId="0" borderId="0" xfId="23" applyNumberFormat="1"/>
    <xf numFmtId="43" fontId="20" fillId="0" borderId="0" xfId="23" applyNumberFormat="1" applyFill="1"/>
    <xf numFmtId="165" fontId="20" fillId="0" borderId="0" xfId="23" applyNumberFormat="1" applyFill="1"/>
    <xf numFmtId="165" fontId="20" fillId="0" borderId="0" xfId="3" applyNumberFormat="1" applyFont="1" applyFill="1"/>
    <xf numFmtId="165" fontId="13" fillId="0" borderId="0" xfId="3" applyNumberFormat="1" applyFont="1"/>
    <xf numFmtId="0" fontId="13" fillId="0" borderId="0" xfId="23" applyFont="1" applyFill="1"/>
    <xf numFmtId="0" fontId="23" fillId="0" borderId="0" xfId="0" applyFont="1"/>
    <xf numFmtId="49" fontId="23" fillId="0" borderId="103" xfId="0" applyNumberFormat="1" applyFont="1" applyFill="1" applyBorder="1" applyAlignment="1">
      <alignment horizontal="center" vertical="center" wrapText="1"/>
    </xf>
    <xf numFmtId="165" fontId="23" fillId="0" borderId="103" xfId="3" applyNumberFormat="1" applyFont="1" applyFill="1" applyBorder="1" applyAlignment="1">
      <alignment horizontal="center"/>
    </xf>
    <xf numFmtId="165" fontId="23" fillId="0" borderId="102" xfId="3" applyNumberFormat="1" applyFont="1" applyFill="1" applyBorder="1"/>
    <xf numFmtId="165" fontId="24" fillId="7" borderId="0" xfId="3" applyNumberFormat="1" applyFont="1" applyFill="1"/>
    <xf numFmtId="165" fontId="24" fillId="0" borderId="0" xfId="0" applyNumberFormat="1" applyFont="1"/>
    <xf numFmtId="165" fontId="23" fillId="0" borderId="0" xfId="3" applyNumberFormat="1" applyFont="1" applyFill="1" applyBorder="1"/>
    <xf numFmtId="0" fontId="30" fillId="0" borderId="0" xfId="0" applyFont="1" applyFill="1" applyBorder="1"/>
    <xf numFmtId="165" fontId="30" fillId="0" borderId="0" xfId="0" applyNumberFormat="1" applyFont="1" applyFill="1" applyBorder="1"/>
    <xf numFmtId="49" fontId="37" fillId="0" borderId="0" xfId="0" applyNumberFormat="1" applyFont="1" applyFill="1" applyBorder="1" applyAlignment="1">
      <alignment horizontal="center" vertical="center"/>
    </xf>
    <xf numFmtId="49" fontId="37" fillId="0" borderId="0" xfId="0" applyNumberFormat="1" applyFont="1" applyFill="1" applyBorder="1" applyAlignment="1">
      <alignment horizontal="center" vertical="top"/>
    </xf>
    <xf numFmtId="37" fontId="30" fillId="0" borderId="0" xfId="0" applyNumberFormat="1" applyFont="1" applyFill="1" applyBorder="1"/>
    <xf numFmtId="165" fontId="30" fillId="0" borderId="59" xfId="3" applyNumberFormat="1" applyFont="1" applyFill="1" applyBorder="1"/>
    <xf numFmtId="165" fontId="30" fillId="0" borderId="0" xfId="3" applyNumberFormat="1" applyFont="1" applyFill="1" applyBorder="1"/>
    <xf numFmtId="37" fontId="30" fillId="0" borderId="0" xfId="3" applyNumberFormat="1" applyFont="1" applyFill="1" applyBorder="1"/>
    <xf numFmtId="165" fontId="30" fillId="0" borderId="7" xfId="3" applyNumberFormat="1" applyFont="1" applyFill="1" applyBorder="1"/>
    <xf numFmtId="37" fontId="30" fillId="0" borderId="7" xfId="0" applyNumberFormat="1" applyFont="1" applyFill="1" applyBorder="1"/>
    <xf numFmtId="165" fontId="30" fillId="0" borderId="64" xfId="3" applyNumberFormat="1" applyFont="1" applyFill="1" applyBorder="1"/>
    <xf numFmtId="165" fontId="30" fillId="0" borderId="10" xfId="3" applyNumberFormat="1" applyFont="1" applyFill="1" applyBorder="1"/>
    <xf numFmtId="37" fontId="30" fillId="0" borderId="0" xfId="3" applyNumberFormat="1" applyFont="1" applyFill="1"/>
    <xf numFmtId="0" fontId="30" fillId="0" borderId="0" xfId="0" applyFont="1" applyFill="1" applyAlignment="1">
      <alignment horizontal="left" indent="1"/>
    </xf>
    <xf numFmtId="37" fontId="37" fillId="0" borderId="0" xfId="0" applyNumberFormat="1" applyFont="1" applyFill="1"/>
    <xf numFmtId="165" fontId="30" fillId="0" borderId="9" xfId="3" applyNumberFormat="1" applyFont="1" applyFill="1" applyBorder="1"/>
    <xf numFmtId="43" fontId="30" fillId="0" borderId="0" xfId="0" applyNumberFormat="1" applyFont="1" applyFill="1"/>
    <xf numFmtId="37" fontId="30" fillId="0" borderId="9" xfId="0" applyNumberFormat="1" applyFont="1" applyFill="1" applyBorder="1"/>
    <xf numFmtId="165" fontId="30" fillId="0" borderId="16" xfId="3" applyNumberFormat="1" applyFont="1" applyFill="1" applyBorder="1"/>
    <xf numFmtId="165" fontId="30" fillId="0" borderId="0" xfId="3" applyNumberFormat="1" applyFont="1" applyFill="1" applyBorder="1" applyAlignment="1">
      <alignment horizontal="center"/>
    </xf>
    <xf numFmtId="3" fontId="30" fillId="0" borderId="0" xfId="0" applyNumberFormat="1" applyFont="1" applyFill="1" applyAlignment="1">
      <alignment vertical="top"/>
    </xf>
    <xf numFmtId="41" fontId="30" fillId="0" borderId="0" xfId="3" applyNumberFormat="1" applyFont="1" applyFill="1" applyBorder="1"/>
    <xf numFmtId="0" fontId="39" fillId="0" borderId="0" xfId="30" applyFont="1" applyFill="1" applyBorder="1" applyAlignment="1"/>
    <xf numFmtId="165" fontId="39" fillId="0" borderId="0" xfId="27" applyNumberFormat="1" applyFont="1" applyFill="1" applyBorder="1" applyAlignment="1"/>
    <xf numFmtId="41" fontId="30" fillId="0" borderId="0" xfId="3" applyNumberFormat="1" applyFont="1" applyFill="1"/>
    <xf numFmtId="165" fontId="39" fillId="0" borderId="0" xfId="30" applyNumberFormat="1" applyFont="1" applyFill="1" applyBorder="1" applyAlignment="1"/>
    <xf numFmtId="165" fontId="30" fillId="0" borderId="67" xfId="0" applyNumberFormat="1" applyFont="1" applyFill="1" applyBorder="1"/>
    <xf numFmtId="0" fontId="30" fillId="0" borderId="67" xfId="0" applyFont="1" applyFill="1" applyBorder="1"/>
    <xf numFmtId="0" fontId="30" fillId="0" borderId="6" xfId="0" applyFont="1" applyFill="1" applyBorder="1"/>
    <xf numFmtId="3" fontId="30" fillId="0" borderId="0" xfId="0" applyNumberFormat="1" applyFont="1" applyFill="1"/>
    <xf numFmtId="165" fontId="30" fillId="7" borderId="64" xfId="31" applyNumberFormat="1" applyFont="1" applyFill="1" applyBorder="1" applyAlignment="1"/>
    <xf numFmtId="165" fontId="30" fillId="0" borderId="7" xfId="0" applyNumberFormat="1" applyFont="1" applyFill="1" applyBorder="1"/>
    <xf numFmtId="0" fontId="30" fillId="0" borderId="7" xfId="0" applyFont="1" applyFill="1" applyBorder="1"/>
    <xf numFmtId="0" fontId="30" fillId="0" borderId="0" xfId="0" applyFont="1" applyFill="1" applyBorder="1" applyAlignment="1">
      <alignment horizontal="left"/>
    </xf>
    <xf numFmtId="165" fontId="30" fillId="7" borderId="7" xfId="31" applyNumberFormat="1" applyFont="1" applyFill="1" applyBorder="1"/>
    <xf numFmtId="165" fontId="30" fillId="7" borderId="64" xfId="31" applyNumberFormat="1" applyFont="1" applyFill="1" applyBorder="1"/>
    <xf numFmtId="165" fontId="30" fillId="0" borderId="64" xfId="0" applyNumberFormat="1" applyFont="1" applyFill="1" applyBorder="1"/>
    <xf numFmtId="165" fontId="30" fillId="0" borderId="9" xfId="0" applyNumberFormat="1" applyFont="1" applyFill="1" applyBorder="1"/>
    <xf numFmtId="0" fontId="209" fillId="0" borderId="0" xfId="0" applyFont="1" applyFill="1" applyBorder="1" applyAlignment="1"/>
    <xf numFmtId="0" fontId="209" fillId="0" borderId="0" xfId="0" applyFont="1" applyFill="1"/>
    <xf numFmtId="165" fontId="209" fillId="0" borderId="0" xfId="3" applyNumberFormat="1" applyFont="1" applyFill="1"/>
    <xf numFmtId="165" fontId="209" fillId="0" borderId="0" xfId="0" applyNumberFormat="1" applyFont="1" applyFill="1"/>
    <xf numFmtId="260" fontId="209" fillId="0" borderId="0" xfId="3" applyFont="1" applyFill="1"/>
    <xf numFmtId="0" fontId="209" fillId="0" borderId="0" xfId="0" applyFont="1" applyFill="1" applyBorder="1"/>
    <xf numFmtId="0" fontId="210" fillId="0" borderId="0" xfId="0" applyFont="1" applyFill="1"/>
    <xf numFmtId="0" fontId="210" fillId="0" borderId="0" xfId="0" applyNumberFormat="1" applyFont="1" applyFill="1" applyAlignment="1"/>
    <xf numFmtId="260" fontId="209" fillId="0" borderId="0" xfId="3" applyFont="1" applyFill="1" applyBorder="1"/>
    <xf numFmtId="260" fontId="209" fillId="0" borderId="0" xfId="3" applyFont="1" applyFill="1" applyBorder="1" applyAlignment="1">
      <alignment vertical="top"/>
    </xf>
    <xf numFmtId="3" fontId="209" fillId="0" borderId="0" xfId="0" applyNumberFormat="1" applyFont="1" applyFill="1" applyBorder="1"/>
    <xf numFmtId="228" fontId="209" fillId="0" borderId="0" xfId="3" applyNumberFormat="1" applyFont="1" applyFill="1" applyAlignment="1"/>
    <xf numFmtId="0" fontId="30" fillId="0" borderId="0" xfId="0" quotePrefix="1" applyFont="1" applyFill="1"/>
    <xf numFmtId="170" fontId="30" fillId="0" borderId="0" xfId="0" applyNumberFormat="1" applyFont="1" applyFill="1"/>
    <xf numFmtId="0" fontId="30" fillId="0" borderId="0" xfId="0" applyFont="1"/>
    <xf numFmtId="0" fontId="23" fillId="0" borderId="0" xfId="0" applyFont="1" applyFill="1" applyBorder="1" applyAlignment="1" applyProtection="1">
      <protection locked="0"/>
    </xf>
    <xf numFmtId="0" fontId="24" fillId="0" borderId="0" xfId="0" applyFont="1" applyFill="1" applyAlignment="1" applyProtection="1">
      <protection locked="0"/>
    </xf>
    <xf numFmtId="0" fontId="23" fillId="0" borderId="0" xfId="0" applyFont="1" applyFill="1" applyAlignment="1" applyProtection="1">
      <protection locked="0"/>
    </xf>
    <xf numFmtId="0" fontId="24" fillId="0" borderId="0" xfId="0" applyNumberFormat="1" applyFont="1" applyFill="1" applyBorder="1" applyAlignment="1" applyProtection="1">
      <alignment vertical="center"/>
    </xf>
    <xf numFmtId="0" fontId="23" fillId="0" borderId="0" xfId="0" applyFont="1" applyFill="1" applyAlignment="1" applyProtection="1">
      <alignment horizontal="center" vertical="top"/>
    </xf>
    <xf numFmtId="0" fontId="23" fillId="0" borderId="0" xfId="0" applyFont="1" applyFill="1" applyAlignment="1" applyProtection="1">
      <alignment horizontal="center"/>
      <protection locked="0"/>
    </xf>
    <xf numFmtId="0" fontId="23" fillId="0" borderId="0" xfId="0" applyNumberFormat="1" applyFont="1" applyFill="1" applyAlignment="1" applyProtection="1">
      <alignment horizontal="center"/>
      <protection locked="0"/>
    </xf>
    <xf numFmtId="165" fontId="24" fillId="0" borderId="0" xfId="42" applyNumberFormat="1" applyFont="1" applyFill="1" applyAlignment="1">
      <alignment horizontal="center"/>
    </xf>
    <xf numFmtId="0" fontId="24" fillId="0" borderId="0" xfId="0" applyFont="1" applyFill="1" applyBorder="1" applyProtection="1">
      <protection locked="0"/>
    </xf>
    <xf numFmtId="165" fontId="24" fillId="0" borderId="0" xfId="42" applyNumberFormat="1" applyFont="1" applyFill="1"/>
    <xf numFmtId="0" fontId="23" fillId="0" borderId="0" xfId="0" applyNumberFormat="1" applyFont="1" applyFill="1" applyBorder="1" applyAlignment="1" applyProtection="1"/>
    <xf numFmtId="165" fontId="23" fillId="0" borderId="0" xfId="42" applyNumberFormat="1" applyFont="1" applyFill="1" applyAlignment="1">
      <alignment horizontal="center"/>
    </xf>
    <xf numFmtId="0" fontId="23" fillId="0" borderId="0" xfId="0" applyFont="1" applyFill="1" applyProtection="1">
      <protection locked="0"/>
    </xf>
    <xf numFmtId="165" fontId="23" fillId="0" borderId="0" xfId="42" applyNumberFormat="1" applyFont="1" applyFill="1"/>
    <xf numFmtId="0" fontId="24" fillId="0" borderId="0" xfId="0" applyFont="1" applyFill="1" applyProtection="1">
      <protection locked="0"/>
    </xf>
    <xf numFmtId="0" fontId="0" fillId="0" borderId="0" xfId="0" quotePrefix="1" applyFill="1"/>
    <xf numFmtId="165" fontId="0" fillId="8" borderId="0" xfId="24" applyNumberFormat="1" applyFont="1" applyFill="1"/>
    <xf numFmtId="165" fontId="0" fillId="8" borderId="0" xfId="3" applyNumberFormat="1" applyFont="1" applyFill="1"/>
    <xf numFmtId="0" fontId="14" fillId="0" borderId="0" xfId="23" applyFont="1" applyAlignment="1">
      <alignment horizontal="center"/>
    </xf>
    <xf numFmtId="179" fontId="0" fillId="0" borderId="0" xfId="24" applyNumberFormat="1" applyFont="1" applyFill="1"/>
    <xf numFmtId="3" fontId="20" fillId="0" borderId="0" xfId="23" applyNumberFormat="1" applyFill="1"/>
    <xf numFmtId="0" fontId="0" fillId="0" borderId="0" xfId="0" applyFill="1"/>
    <xf numFmtId="0" fontId="19" fillId="0" borderId="0" xfId="23" applyFont="1" applyFill="1"/>
    <xf numFmtId="43" fontId="0" fillId="0" borderId="0" xfId="3" applyNumberFormat="1" applyFont="1" applyFill="1"/>
    <xf numFmtId="0" fontId="64" fillId="8" borderId="0" xfId="23" applyFont="1" applyFill="1" applyAlignment="1"/>
    <xf numFmtId="0" fontId="14" fillId="0" borderId="0" xfId="23" applyFont="1" applyAlignment="1"/>
    <xf numFmtId="0" fontId="20" fillId="0" borderId="0" xfId="23" applyAlignment="1"/>
    <xf numFmtId="0" fontId="74" fillId="8" borderId="0" xfId="23" quotePrefix="1" applyFont="1" applyFill="1" applyAlignment="1"/>
    <xf numFmtId="0" fontId="9" fillId="0" borderId="0" xfId="23" applyFont="1" applyFill="1"/>
    <xf numFmtId="0" fontId="0" fillId="0" borderId="0" xfId="0" quotePrefix="1"/>
    <xf numFmtId="0" fontId="0" fillId="5" borderId="0" xfId="0" quotePrefix="1" applyFill="1"/>
    <xf numFmtId="0" fontId="20" fillId="5" borderId="0" xfId="23" quotePrefix="1" applyFill="1"/>
    <xf numFmtId="0" fontId="9" fillId="5" borderId="0" xfId="23" quotePrefix="1" applyFont="1" applyFill="1"/>
    <xf numFmtId="49" fontId="37" fillId="0" borderId="0" xfId="0" applyNumberFormat="1" applyFont="1" applyFill="1" applyBorder="1" applyAlignment="1">
      <alignment horizontal="center" vertical="center"/>
    </xf>
    <xf numFmtId="49" fontId="37" fillId="0" borderId="0" xfId="0" applyNumberFormat="1" applyFont="1" applyFill="1" applyBorder="1" applyAlignment="1">
      <alignment horizontal="center" vertical="top"/>
    </xf>
    <xf numFmtId="37" fontId="30" fillId="0" borderId="102" xfId="0" applyNumberFormat="1" applyFont="1" applyFill="1" applyBorder="1"/>
    <xf numFmtId="165" fontId="0" fillId="100" borderId="0" xfId="24" applyNumberFormat="1" applyFont="1" applyFill="1"/>
    <xf numFmtId="183" fontId="20" fillId="0" borderId="0" xfId="3" applyNumberFormat="1" applyFont="1" applyFill="1"/>
    <xf numFmtId="165" fontId="209" fillId="0" borderId="0" xfId="3" applyNumberFormat="1" applyFont="1" applyFill="1" applyBorder="1"/>
    <xf numFmtId="49" fontId="37" fillId="0" borderId="0" xfId="0" applyNumberFormat="1" applyFont="1" applyFill="1" applyBorder="1" applyAlignment="1">
      <alignment horizontal="center" vertical="center"/>
    </xf>
    <xf numFmtId="49" fontId="37" fillId="0" borderId="0" xfId="0" applyNumberFormat="1" applyFont="1" applyFill="1" applyBorder="1" applyAlignment="1">
      <alignment horizontal="center" vertical="top"/>
    </xf>
    <xf numFmtId="3" fontId="24" fillId="0" borderId="0" xfId="0" applyNumberFormat="1" applyFont="1" applyFill="1"/>
    <xf numFmtId="0" fontId="30" fillId="0" borderId="0" xfId="33" applyFont="1" applyFill="1" applyAlignment="1"/>
    <xf numFmtId="0" fontId="37" fillId="0" borderId="0" xfId="33" applyFont="1" applyFill="1" applyAlignment="1"/>
    <xf numFmtId="165" fontId="30" fillId="0" borderId="102" xfId="3" applyNumberFormat="1" applyFont="1" applyFill="1" applyBorder="1"/>
    <xf numFmtId="165" fontId="30" fillId="0" borderId="119" xfId="3" applyNumberFormat="1" applyFont="1" applyFill="1" applyBorder="1"/>
    <xf numFmtId="43" fontId="30" fillId="0" borderId="0" xfId="3" applyNumberFormat="1" applyFont="1" applyFill="1"/>
    <xf numFmtId="165" fontId="30" fillId="0" borderId="120" xfId="0" applyNumberFormat="1" applyFont="1" applyFill="1" applyBorder="1"/>
    <xf numFmtId="37" fontId="236" fillId="0" borderId="0" xfId="0" applyNumberFormat="1" applyFont="1" applyFill="1" applyAlignment="1">
      <alignment horizontal="centerContinuous" vertical="top"/>
    </xf>
    <xf numFmtId="0" fontId="236" fillId="0" borderId="0" xfId="0" applyFont="1" applyFill="1" applyAlignment="1">
      <alignment vertical="top"/>
    </xf>
    <xf numFmtId="165" fontId="236" fillId="0" borderId="0" xfId="3" applyNumberFormat="1" applyFont="1" applyFill="1" applyAlignment="1">
      <alignment vertical="top"/>
    </xf>
    <xf numFmtId="0" fontId="210" fillId="0" borderId="0" xfId="30" applyFont="1" applyFill="1" applyBorder="1" applyAlignment="1">
      <alignment horizontal="left" vertical="top" wrapText="1"/>
    </xf>
    <xf numFmtId="165" fontId="210" fillId="0" borderId="0" xfId="40391" quotePrefix="1" applyNumberFormat="1" applyFont="1" applyFill="1" applyBorder="1" applyAlignment="1">
      <alignment horizontal="center" vertical="center"/>
    </xf>
    <xf numFmtId="0" fontId="237" fillId="0" borderId="0" xfId="30" applyFont="1" applyFill="1" applyBorder="1" applyAlignment="1">
      <alignment horizontal="left" vertical="top" wrapText="1"/>
    </xf>
    <xf numFmtId="0" fontId="237" fillId="0" borderId="0" xfId="30" applyFont="1" applyFill="1" applyBorder="1" applyAlignment="1">
      <alignment vertical="top" wrapText="1"/>
    </xf>
    <xf numFmtId="0" fontId="237" fillId="0" borderId="0" xfId="30" applyFont="1" applyFill="1" applyBorder="1" applyAlignment="1">
      <alignment horizontal="center" vertical="top" wrapText="1"/>
    </xf>
    <xf numFmtId="0" fontId="238" fillId="0" borderId="0" xfId="23827" applyFont="1" applyFill="1" applyBorder="1" applyAlignment="1" applyProtection="1">
      <alignment horizontal="center" vertical="top" wrapText="1"/>
      <protection locked="0"/>
    </xf>
    <xf numFmtId="165" fontId="237" fillId="0" borderId="0" xfId="31" applyNumberFormat="1" applyFont="1" applyFill="1" applyBorder="1" applyAlignment="1">
      <alignment horizontal="center" vertical="top" wrapText="1"/>
    </xf>
    <xf numFmtId="165" fontId="237" fillId="0" borderId="0" xfId="3" applyNumberFormat="1" applyFont="1" applyFill="1" applyBorder="1" applyAlignment="1">
      <alignment vertical="top" wrapText="1"/>
    </xf>
    <xf numFmtId="165" fontId="238" fillId="0" borderId="0" xfId="3" applyNumberFormat="1" applyFont="1" applyFill="1" applyBorder="1" applyAlignment="1" applyProtection="1">
      <alignment horizontal="center" vertical="top" wrapText="1"/>
      <protection locked="0"/>
    </xf>
    <xf numFmtId="165" fontId="238" fillId="0" borderId="102" xfId="3" applyNumberFormat="1" applyFont="1" applyFill="1" applyBorder="1" applyAlignment="1" applyProtection="1">
      <alignment horizontal="center" vertical="top" wrapText="1"/>
      <protection locked="0"/>
    </xf>
    <xf numFmtId="165" fontId="237" fillId="0" borderId="0" xfId="3" applyNumberFormat="1" applyFont="1" applyFill="1" applyBorder="1" applyAlignment="1">
      <alignment horizontal="center" vertical="top" wrapText="1"/>
    </xf>
    <xf numFmtId="165" fontId="238" fillId="0" borderId="8" xfId="3" applyNumberFormat="1" applyFont="1" applyFill="1" applyBorder="1" applyAlignment="1" applyProtection="1">
      <alignment horizontal="center" vertical="top" wrapText="1"/>
      <protection locked="0"/>
    </xf>
    <xf numFmtId="165" fontId="237" fillId="0" borderId="8" xfId="3" applyNumberFormat="1" applyFont="1" applyFill="1" applyBorder="1" applyAlignment="1">
      <alignment horizontal="center" vertical="top" wrapText="1"/>
    </xf>
    <xf numFmtId="260" fontId="209" fillId="0" borderId="120" xfId="3" applyFont="1" applyFill="1" applyBorder="1" applyAlignment="1">
      <alignment vertical="top"/>
    </xf>
    <xf numFmtId="260" fontId="209" fillId="0" borderId="7" xfId="3" applyFont="1" applyFill="1" applyBorder="1" applyAlignment="1">
      <alignment vertical="top"/>
    </xf>
    <xf numFmtId="260" fontId="209" fillId="0" borderId="10" xfId="3" applyFont="1" applyFill="1" applyBorder="1" applyAlignment="1">
      <alignment vertical="top"/>
    </xf>
    <xf numFmtId="260" fontId="209" fillId="0" borderId="119" xfId="3" applyFont="1" applyFill="1" applyBorder="1" applyAlignment="1">
      <alignment vertical="top"/>
    </xf>
    <xf numFmtId="0" fontId="210" fillId="0" borderId="0" xfId="40392" applyNumberFormat="1" applyFont="1" applyFill="1" applyAlignment="1">
      <alignment vertical="top"/>
    </xf>
    <xf numFmtId="0" fontId="209" fillId="0" borderId="0" xfId="40394" applyFont="1" applyFill="1"/>
    <xf numFmtId="0" fontId="209" fillId="0" borderId="0" xfId="40392" applyFont="1" applyFill="1"/>
    <xf numFmtId="0" fontId="209" fillId="0" borderId="0" xfId="0" applyFont="1"/>
    <xf numFmtId="167" fontId="210" fillId="0" borderId="0" xfId="173" applyNumberFormat="1" applyFont="1" applyFill="1" applyAlignment="1">
      <alignment horizontal="justify" vertical="top"/>
    </xf>
    <xf numFmtId="0" fontId="210" fillId="0" borderId="0" xfId="40392" applyNumberFormat="1" applyFont="1" applyFill="1" applyAlignment="1">
      <alignment horizontal="center" vertical="top"/>
    </xf>
    <xf numFmtId="0" fontId="210" fillId="0" borderId="0" xfId="40392" applyNumberFormat="1" applyFont="1" applyFill="1" applyAlignment="1">
      <alignment horizontal="center" vertical="center" wrapText="1"/>
    </xf>
    <xf numFmtId="0" fontId="210" fillId="0" borderId="0" xfId="0" applyFont="1"/>
    <xf numFmtId="165" fontId="209" fillId="0" borderId="0" xfId="3" applyNumberFormat="1" applyFont="1"/>
    <xf numFmtId="0" fontId="210" fillId="0" borderId="0" xfId="40392" applyFont="1" applyFill="1"/>
    <xf numFmtId="170" fontId="209" fillId="0" borderId="0" xfId="3" applyNumberFormat="1" applyFont="1"/>
    <xf numFmtId="0" fontId="209" fillId="0" borderId="0" xfId="0" quotePrefix="1" applyFont="1" applyFill="1"/>
    <xf numFmtId="4" fontId="209" fillId="0" borderId="0" xfId="0" applyNumberFormat="1" applyFont="1"/>
    <xf numFmtId="43" fontId="209" fillId="0" borderId="0" xfId="3" applyNumberFormat="1" applyFont="1"/>
    <xf numFmtId="165" fontId="209" fillId="0" borderId="0" xfId="0" applyNumberFormat="1" applyFont="1"/>
    <xf numFmtId="260" fontId="209" fillId="0" borderId="0" xfId="3" applyFont="1"/>
    <xf numFmtId="260" fontId="210" fillId="0" borderId="0" xfId="3" applyFont="1"/>
    <xf numFmtId="43" fontId="24" fillId="0" borderId="0" xfId="0" applyNumberFormat="1" applyFont="1"/>
    <xf numFmtId="165" fontId="30" fillId="0" borderId="120" xfId="3" applyNumberFormat="1" applyFont="1" applyFill="1" applyBorder="1"/>
    <xf numFmtId="260" fontId="23" fillId="0" borderId="0" xfId="3" applyFont="1" applyFill="1"/>
    <xf numFmtId="0" fontId="40" fillId="0" borderId="0" xfId="2258" quotePrefix="1" applyFont="1" applyFill="1" applyAlignment="1">
      <alignment horizontal="left"/>
      <protection locked="0"/>
    </xf>
    <xf numFmtId="0" fontId="37" fillId="0" borderId="0" xfId="0" applyFont="1" applyFill="1" applyAlignment="1">
      <alignment vertical="top"/>
    </xf>
    <xf numFmtId="49" fontId="37" fillId="0" borderId="0" xfId="0" applyNumberFormat="1" applyFont="1" applyFill="1" applyBorder="1" applyAlignment="1">
      <alignment horizontal="center" vertical="top"/>
    </xf>
    <xf numFmtId="0" fontId="37" fillId="0" borderId="0" xfId="0" applyFont="1" applyFill="1" applyBorder="1" applyAlignment="1" applyProtection="1">
      <protection locked="0"/>
    </xf>
    <xf numFmtId="0" fontId="37" fillId="0" borderId="0" xfId="0" applyFont="1" applyFill="1" applyAlignment="1" applyProtection="1">
      <protection locked="0"/>
    </xf>
    <xf numFmtId="0" fontId="37" fillId="0" borderId="0" xfId="0" applyFont="1" applyFill="1" applyAlignment="1" applyProtection="1">
      <alignment horizontal="center"/>
      <protection locked="0"/>
    </xf>
    <xf numFmtId="260" fontId="37" fillId="0" borderId="0" xfId="3" applyFont="1" applyFill="1"/>
    <xf numFmtId="3" fontId="30" fillId="0" borderId="0" xfId="0" applyNumberFormat="1" applyFont="1" applyFill="1" applyBorder="1"/>
    <xf numFmtId="0" fontId="30" fillId="0" borderId="0" xfId="0" applyFont="1" applyFill="1" applyAlignment="1" applyProtection="1">
      <protection locked="0"/>
    </xf>
    <xf numFmtId="0" fontId="37" fillId="0" borderId="0" xfId="0" applyFont="1" applyFill="1" applyProtection="1">
      <protection locked="0"/>
    </xf>
    <xf numFmtId="165" fontId="30" fillId="0" borderId="0" xfId="42" applyNumberFormat="1" applyFont="1" applyFill="1"/>
    <xf numFmtId="165" fontId="37" fillId="0" borderId="0" xfId="42" applyNumberFormat="1" applyFont="1" applyFill="1"/>
    <xf numFmtId="0" fontId="30" fillId="0" borderId="0" xfId="0" applyFont="1" applyFill="1" applyProtection="1">
      <protection locked="0"/>
    </xf>
    <xf numFmtId="0" fontId="30" fillId="0" borderId="0" xfId="0" applyNumberFormat="1" applyFont="1" applyFill="1" applyBorder="1" applyAlignment="1" applyProtection="1">
      <alignment vertical="center"/>
    </xf>
    <xf numFmtId="0" fontId="37" fillId="0" borderId="0" xfId="0" applyFont="1" applyFill="1" applyAlignment="1" applyProtection="1">
      <alignment horizontal="center" vertical="top"/>
    </xf>
    <xf numFmtId="0" fontId="37" fillId="0" borderId="0" xfId="0" applyNumberFormat="1" applyFont="1" applyFill="1" applyBorder="1" applyAlignment="1" applyProtection="1"/>
    <xf numFmtId="260" fontId="30" fillId="0" borderId="0" xfId="3" applyFont="1" applyFill="1"/>
    <xf numFmtId="260" fontId="37" fillId="0" borderId="0" xfId="3" applyFont="1" applyFill="1" applyBorder="1" applyAlignment="1" applyProtection="1">
      <protection locked="0"/>
    </xf>
    <xf numFmtId="260" fontId="37" fillId="0" borderId="0" xfId="3" applyFont="1" applyFill="1" applyAlignment="1" applyProtection="1">
      <protection locked="0"/>
    </xf>
    <xf numFmtId="0" fontId="37" fillId="0" borderId="0" xfId="0" applyNumberFormat="1" applyFont="1" applyFill="1" applyAlignment="1" applyProtection="1">
      <alignment horizontal="center"/>
      <protection locked="0"/>
    </xf>
    <xf numFmtId="0" fontId="30" fillId="0" borderId="0" xfId="0" applyFont="1" applyFill="1" applyBorder="1" applyProtection="1">
      <protection locked="0"/>
    </xf>
    <xf numFmtId="165" fontId="30" fillId="0" borderId="0" xfId="42" applyNumberFormat="1" applyFont="1" applyFill="1" applyAlignment="1">
      <alignment horizontal="center"/>
    </xf>
    <xf numFmtId="165" fontId="37" fillId="0" borderId="0" xfId="42" applyNumberFormat="1" applyFont="1" applyFill="1" applyAlignment="1">
      <alignment horizontal="center"/>
    </xf>
    <xf numFmtId="165" fontId="30" fillId="0" borderId="119" xfId="0" applyNumberFormat="1" applyFont="1" applyFill="1" applyBorder="1"/>
    <xf numFmtId="43" fontId="30" fillId="0" borderId="0" xfId="3" applyNumberFormat="1" applyFont="1" applyFill="1" applyBorder="1"/>
    <xf numFmtId="43" fontId="30" fillId="0" borderId="2" xfId="3" applyNumberFormat="1" applyFont="1" applyFill="1" applyBorder="1"/>
    <xf numFmtId="260" fontId="37" fillId="0" borderId="0" xfId="3" applyFont="1" applyFill="1" applyBorder="1" applyAlignment="1">
      <alignment horizontal="right" vertical="center"/>
    </xf>
    <xf numFmtId="0" fontId="210" fillId="0" borderId="0" xfId="1732" applyFont="1" applyFill="1" applyBorder="1" applyAlignment="1" applyProtection="1">
      <alignment horizontal="center" vertical="top"/>
    </xf>
    <xf numFmtId="260" fontId="210" fillId="0" borderId="0" xfId="3" applyFont="1" applyFill="1" applyBorder="1" applyAlignment="1" applyProtection="1">
      <alignment horizontal="right" vertical="top"/>
    </xf>
    <xf numFmtId="49" fontId="210" fillId="0" borderId="0" xfId="0" applyNumberFormat="1" applyFont="1" applyFill="1" applyBorder="1" applyAlignment="1">
      <alignment horizontal="center" vertical="center"/>
    </xf>
    <xf numFmtId="43" fontId="209" fillId="0" borderId="0" xfId="0" applyNumberFormat="1" applyFont="1" applyFill="1"/>
    <xf numFmtId="3" fontId="209" fillId="0" borderId="0" xfId="0" applyNumberFormat="1" applyFont="1" applyFill="1"/>
    <xf numFmtId="0" fontId="210" fillId="0" borderId="0" xfId="1732" quotePrefix="1" applyFont="1" applyFill="1" applyBorder="1" applyAlignment="1" applyProtection="1">
      <alignment horizontal="center" vertical="top"/>
    </xf>
    <xf numFmtId="260" fontId="210" fillId="0" borderId="0" xfId="3" quotePrefix="1" applyFont="1" applyFill="1" applyBorder="1" applyAlignment="1" applyProtection="1">
      <alignment horizontal="center" vertical="top"/>
    </xf>
    <xf numFmtId="49" fontId="210" fillId="0" borderId="0" xfId="0" quotePrefix="1" applyNumberFormat="1" applyFont="1" applyFill="1" applyBorder="1" applyAlignment="1">
      <alignment horizontal="center" vertical="center"/>
    </xf>
    <xf numFmtId="0" fontId="210" fillId="0" borderId="104" xfId="849" applyNumberFormat="1" applyFont="1" applyFill="1" applyBorder="1" applyAlignment="1">
      <alignment horizontal="center" vertical="center" wrapText="1"/>
    </xf>
    <xf numFmtId="0" fontId="210" fillId="0" borderId="0" xfId="849" applyNumberFormat="1" applyFont="1" applyFill="1" applyBorder="1" applyAlignment="1">
      <alignment horizontal="center" vertical="center" wrapText="1"/>
    </xf>
    <xf numFmtId="165" fontId="210" fillId="0" borderId="0" xfId="3" applyNumberFormat="1" applyFont="1" applyFill="1" applyAlignment="1">
      <alignment horizontal="centerContinuous"/>
    </xf>
    <xf numFmtId="0" fontId="209" fillId="0" borderId="0" xfId="0" applyFont="1" applyFill="1" applyAlignment="1">
      <alignment vertical="top"/>
    </xf>
    <xf numFmtId="165" fontId="210" fillId="0" borderId="0" xfId="3" applyNumberFormat="1" applyFont="1" applyFill="1"/>
    <xf numFmtId="0" fontId="239" fillId="0" borderId="0" xfId="2258" applyFont="1" applyFill="1" applyAlignment="1">
      <alignment horizontal="left"/>
      <protection locked="0"/>
    </xf>
    <xf numFmtId="165" fontId="209" fillId="0" borderId="120" xfId="40395" applyNumberFormat="1" applyFont="1" applyFill="1" applyBorder="1" applyAlignment="1">
      <alignment vertical="top"/>
    </xf>
    <xf numFmtId="165" fontId="209" fillId="0" borderId="67" xfId="0" applyNumberFormat="1" applyFont="1" applyFill="1" applyBorder="1"/>
    <xf numFmtId="0" fontId="209" fillId="0" borderId="6" xfId="0" applyFont="1" applyFill="1" applyBorder="1"/>
    <xf numFmtId="165" fontId="209" fillId="0" borderId="7" xfId="40395" applyNumberFormat="1" applyFont="1" applyFill="1" applyBorder="1" applyAlignment="1">
      <alignment vertical="top"/>
    </xf>
    <xf numFmtId="261" fontId="209" fillId="0" borderId="0" xfId="3" applyNumberFormat="1" applyFont="1" applyFill="1"/>
    <xf numFmtId="165" fontId="209" fillId="0" borderId="120" xfId="0" applyNumberFormat="1" applyFont="1" applyFill="1" applyBorder="1"/>
    <xf numFmtId="165" fontId="209" fillId="0" borderId="7" xfId="3" applyNumberFormat="1" applyFont="1" applyFill="1" applyBorder="1"/>
    <xf numFmtId="165" fontId="209" fillId="0" borderId="10" xfId="40395" applyNumberFormat="1" applyFont="1" applyFill="1" applyBorder="1" applyAlignment="1">
      <alignment vertical="top"/>
    </xf>
    <xf numFmtId="260" fontId="209" fillId="0" borderId="52" xfId="3" applyFont="1" applyFill="1" applyBorder="1" applyAlignment="1">
      <alignment vertical="top"/>
    </xf>
    <xf numFmtId="165" fontId="209" fillId="0" borderId="64" xfId="3" applyNumberFormat="1" applyFont="1" applyFill="1" applyBorder="1"/>
    <xf numFmtId="0" fontId="239" fillId="0" borderId="0" xfId="131" applyFont="1" applyFill="1" applyAlignment="1">
      <alignment horizontal="left" indent="1"/>
      <protection locked="0"/>
    </xf>
    <xf numFmtId="165" fontId="209" fillId="0" borderId="0" xfId="40395" applyNumberFormat="1" applyFont="1" applyFill="1" applyBorder="1" applyAlignment="1">
      <alignment vertical="top"/>
    </xf>
    <xf numFmtId="0" fontId="239" fillId="0" borderId="0" xfId="4850" applyFont="1" applyFill="1" applyAlignment="1">
      <protection locked="0"/>
    </xf>
    <xf numFmtId="260" fontId="209" fillId="0" borderId="120" xfId="3" applyFont="1" applyFill="1" applyBorder="1"/>
    <xf numFmtId="165" fontId="209" fillId="0" borderId="10" xfId="3" applyNumberFormat="1" applyFont="1" applyFill="1" applyBorder="1"/>
    <xf numFmtId="0" fontId="239" fillId="0" borderId="0" xfId="2258" quotePrefix="1" applyFont="1" applyFill="1" applyAlignment="1">
      <alignment horizontal="left"/>
      <protection locked="0"/>
    </xf>
    <xf numFmtId="260" fontId="209" fillId="0" borderId="7" xfId="3" applyFont="1" applyFill="1" applyBorder="1"/>
    <xf numFmtId="165" fontId="209" fillId="0" borderId="0" xfId="0" applyNumberFormat="1" applyFont="1" applyFill="1" applyBorder="1"/>
    <xf numFmtId="260" fontId="209" fillId="0" borderId="64" xfId="3" applyFont="1" applyFill="1" applyBorder="1"/>
    <xf numFmtId="260" fontId="209" fillId="0" borderId="10" xfId="3" applyFont="1" applyFill="1" applyBorder="1"/>
    <xf numFmtId="165" fontId="209" fillId="0" borderId="0" xfId="849" applyNumberFormat="1" applyFont="1" applyFill="1" applyBorder="1" applyAlignment="1" applyProtection="1">
      <alignment vertical="top"/>
      <protection locked="0"/>
    </xf>
    <xf numFmtId="43" fontId="209" fillId="0" borderId="0" xfId="849" applyFont="1" applyFill="1" applyBorder="1" applyAlignment="1" applyProtection="1">
      <alignment vertical="top"/>
      <protection locked="0"/>
    </xf>
    <xf numFmtId="0" fontId="209" fillId="0" borderId="0" xfId="33" applyFont="1" applyFill="1" applyAlignment="1">
      <alignment horizontal="left"/>
    </xf>
    <xf numFmtId="260" fontId="209" fillId="0" borderId="119" xfId="3" applyFont="1" applyFill="1" applyBorder="1"/>
    <xf numFmtId="0" fontId="209" fillId="0" borderId="0" xfId="33" applyFont="1" applyFill="1" applyAlignment="1">
      <alignment horizontal="left" indent="1"/>
    </xf>
    <xf numFmtId="0" fontId="239" fillId="0" borderId="0" xfId="0" applyFont="1" applyFill="1" applyAlignment="1" applyProtection="1">
      <alignment horizontal="left" indent="4"/>
      <protection locked="0"/>
    </xf>
    <xf numFmtId="0" fontId="209" fillId="0" borderId="0" xfId="33" applyFont="1" applyFill="1"/>
    <xf numFmtId="0" fontId="239" fillId="0" borderId="0" xfId="0" applyFont="1" applyFill="1" applyAlignment="1" applyProtection="1">
      <protection locked="0"/>
    </xf>
    <xf numFmtId="165" fontId="209" fillId="0" borderId="120" xfId="592" applyNumberFormat="1" applyFont="1" applyFill="1" applyBorder="1" applyAlignment="1">
      <alignment vertical="top"/>
    </xf>
    <xf numFmtId="165" fontId="209" fillId="0" borderId="0" xfId="592" applyNumberFormat="1" applyFont="1" applyFill="1" applyBorder="1" applyAlignment="1">
      <alignment vertical="top"/>
    </xf>
    <xf numFmtId="165" fontId="209" fillId="0" borderId="10" xfId="592" applyNumberFormat="1" applyFont="1" applyFill="1" applyBorder="1" applyAlignment="1">
      <alignment vertical="top"/>
    </xf>
    <xf numFmtId="0" fontId="210" fillId="0" borderId="0" xfId="33" applyFont="1" applyFill="1" applyAlignment="1"/>
    <xf numFmtId="260" fontId="210" fillId="0" borderId="102" xfId="3" applyFont="1" applyFill="1" applyBorder="1"/>
    <xf numFmtId="165" fontId="210" fillId="0" borderId="102" xfId="3" applyNumberFormat="1" applyFont="1" applyFill="1" applyBorder="1"/>
    <xf numFmtId="165" fontId="209" fillId="0" borderId="102" xfId="3" applyNumberFormat="1" applyFont="1" applyFill="1" applyBorder="1"/>
    <xf numFmtId="43" fontId="209" fillId="0" borderId="0" xfId="3" applyNumberFormat="1" applyFont="1" applyFill="1"/>
    <xf numFmtId="0" fontId="209" fillId="0" borderId="0" xfId="33" applyFont="1" applyFill="1" applyAlignment="1"/>
    <xf numFmtId="176" fontId="209" fillId="0" borderId="0" xfId="3" applyNumberFormat="1" applyFont="1" applyFill="1"/>
    <xf numFmtId="260" fontId="209" fillId="0" borderId="101" xfId="3" applyFont="1" applyFill="1" applyBorder="1"/>
    <xf numFmtId="260" fontId="210" fillId="0" borderId="0" xfId="3" applyFont="1" applyFill="1"/>
    <xf numFmtId="165" fontId="210" fillId="0" borderId="119" xfId="3" applyNumberFormat="1" applyFont="1" applyFill="1" applyBorder="1"/>
    <xf numFmtId="165" fontId="209" fillId="0" borderId="119" xfId="3" applyNumberFormat="1" applyFont="1" applyFill="1" applyBorder="1"/>
    <xf numFmtId="260" fontId="209" fillId="0" borderId="102" xfId="3" applyFont="1" applyFill="1" applyBorder="1"/>
    <xf numFmtId="0" fontId="209" fillId="0" borderId="0" xfId="0" applyFont="1" applyFill="1" applyAlignment="1">
      <alignment horizontal="left" indent="1"/>
    </xf>
    <xf numFmtId="0" fontId="239" fillId="0" borderId="0" xfId="0" quotePrefix="1" applyFont="1" applyFill="1" applyAlignment="1" applyProtection="1">
      <alignment horizontal="left" indent="2"/>
      <protection locked="0"/>
    </xf>
    <xf numFmtId="165" fontId="209" fillId="0" borderId="59" xfId="3" applyNumberFormat="1" applyFont="1" applyFill="1" applyBorder="1"/>
    <xf numFmtId="0" fontId="239" fillId="0" borderId="0" xfId="0" applyFont="1" applyFill="1" applyAlignment="1" applyProtection="1">
      <alignment horizontal="left" indent="3"/>
      <protection locked="0"/>
    </xf>
    <xf numFmtId="0" fontId="209" fillId="0" borderId="0" xfId="33" applyFont="1" applyFill="1" applyBorder="1" applyAlignment="1">
      <alignment horizontal="left" indent="1"/>
    </xf>
    <xf numFmtId="170" fontId="209" fillId="0" borderId="0" xfId="0" applyNumberFormat="1" applyFont="1" applyFill="1"/>
    <xf numFmtId="165" fontId="209" fillId="0" borderId="7" xfId="0" applyNumberFormat="1" applyFont="1" applyFill="1" applyBorder="1"/>
    <xf numFmtId="0" fontId="209" fillId="0" borderId="7" xfId="0" applyFont="1" applyFill="1" applyBorder="1"/>
    <xf numFmtId="37" fontId="209" fillId="0" borderId="0" xfId="0" applyNumberFormat="1" applyFont="1" applyFill="1" applyBorder="1"/>
    <xf numFmtId="37" fontId="209" fillId="0" borderId="7" xfId="0" applyNumberFormat="1" applyFont="1" applyFill="1" applyBorder="1"/>
    <xf numFmtId="0" fontId="209" fillId="0" borderId="0" xfId="0" applyFont="1" applyFill="1" applyBorder="1" applyAlignment="1">
      <alignment horizontal="left"/>
    </xf>
    <xf numFmtId="37" fontId="209" fillId="0" borderId="0" xfId="3" applyNumberFormat="1" applyFont="1" applyFill="1" applyBorder="1"/>
    <xf numFmtId="165" fontId="209" fillId="7" borderId="7" xfId="31" applyNumberFormat="1" applyFont="1" applyFill="1" applyBorder="1"/>
    <xf numFmtId="165" fontId="209" fillId="7" borderId="64" xfId="31" applyNumberFormat="1" applyFont="1" applyFill="1" applyBorder="1"/>
    <xf numFmtId="165" fontId="209" fillId="0" borderId="64" xfId="0" applyNumberFormat="1" applyFont="1" applyFill="1" applyBorder="1"/>
    <xf numFmtId="37" fontId="209" fillId="0" borderId="0" xfId="3" applyNumberFormat="1" applyFont="1" applyFill="1"/>
    <xf numFmtId="165" fontId="209" fillId="0" borderId="16" xfId="3" applyNumberFormat="1" applyFont="1" applyFill="1" applyBorder="1"/>
    <xf numFmtId="165" fontId="209" fillId="0" borderId="9" xfId="0" applyNumberFormat="1" applyFont="1" applyFill="1" applyBorder="1"/>
    <xf numFmtId="37" fontId="209" fillId="0" borderId="9" xfId="0" applyNumberFormat="1" applyFont="1" applyFill="1" applyBorder="1"/>
    <xf numFmtId="37" fontId="209" fillId="0" borderId="102" xfId="0" applyNumberFormat="1" applyFont="1" applyFill="1" applyBorder="1"/>
    <xf numFmtId="0" fontId="210" fillId="0" borderId="0" xfId="1732" applyFont="1" applyFill="1" applyAlignment="1" applyProtection="1">
      <alignment horizontal="center" vertical="top"/>
      <protection locked="0"/>
    </xf>
    <xf numFmtId="43" fontId="209" fillId="0" borderId="0" xfId="3" applyNumberFormat="1" applyFont="1" applyFill="1" applyBorder="1"/>
    <xf numFmtId="0" fontId="210" fillId="0" borderId="0" xfId="0" applyNumberFormat="1" applyFont="1" applyFill="1" applyAlignment="1">
      <alignment horizontal="center" vertical="center"/>
    </xf>
    <xf numFmtId="43" fontId="209" fillId="0" borderId="126" xfId="3" applyNumberFormat="1" applyFont="1" applyFill="1" applyBorder="1"/>
    <xf numFmtId="260" fontId="210" fillId="0" borderId="0" xfId="3" applyFont="1" applyFill="1" applyBorder="1"/>
    <xf numFmtId="260" fontId="209" fillId="0" borderId="9" xfId="3" applyFont="1" applyFill="1" applyBorder="1"/>
    <xf numFmtId="0" fontId="37" fillId="5" borderId="0" xfId="0" applyNumberFormat="1" applyFont="1" applyFill="1" applyAlignment="1"/>
    <xf numFmtId="0" fontId="37" fillId="5" borderId="0" xfId="0" applyFont="1" applyFill="1"/>
    <xf numFmtId="0" fontId="23" fillId="7" borderId="0" xfId="0" applyFont="1" applyFill="1"/>
    <xf numFmtId="165" fontId="240" fillId="0" borderId="0" xfId="40396" applyNumberFormat="1" applyFont="1"/>
    <xf numFmtId="0" fontId="240" fillId="0" borderId="0" xfId="40397" applyFont="1"/>
    <xf numFmtId="165" fontId="241" fillId="101" borderId="117" xfId="40396" applyNumberFormat="1" applyFont="1" applyFill="1" applyBorder="1" applyAlignment="1">
      <alignment horizontal="center" vertical="center"/>
    </xf>
    <xf numFmtId="165" fontId="241" fillId="101" borderId="112" xfId="40396" applyNumberFormat="1" applyFont="1" applyFill="1" applyBorder="1" applyAlignment="1">
      <alignment horizontal="center"/>
    </xf>
    <xf numFmtId="165" fontId="241" fillId="101" borderId="117" xfId="40396" applyNumberFormat="1" applyFont="1" applyFill="1" applyBorder="1" applyAlignment="1">
      <alignment horizontal="center"/>
    </xf>
    <xf numFmtId="165" fontId="240" fillId="0" borderId="0" xfId="40396" quotePrefix="1" applyNumberFormat="1" applyFont="1"/>
    <xf numFmtId="165" fontId="241" fillId="7" borderId="0" xfId="40396" applyNumberFormat="1" applyFont="1" applyFill="1" applyBorder="1" applyAlignment="1">
      <alignment horizontal="center"/>
    </xf>
    <xf numFmtId="0" fontId="240" fillId="7" borderId="0" xfId="40397" applyFont="1" applyFill="1" applyBorder="1"/>
    <xf numFmtId="0" fontId="241" fillId="0" borderId="0" xfId="40397" applyFont="1"/>
    <xf numFmtId="165" fontId="241" fillId="0" borderId="0" xfId="40397" applyNumberFormat="1" applyFont="1"/>
    <xf numFmtId="165" fontId="240" fillId="0" borderId="0" xfId="40397" applyNumberFormat="1" applyFont="1"/>
    <xf numFmtId="260" fontId="240" fillId="0" borderId="0" xfId="3" applyFont="1"/>
    <xf numFmtId="165" fontId="240" fillId="7" borderId="0" xfId="40396" applyNumberFormat="1" applyFont="1" applyFill="1"/>
    <xf numFmtId="0" fontId="25" fillId="0" borderId="0" xfId="0" applyFont="1" applyFill="1" applyBorder="1" applyAlignment="1">
      <alignment horizontal="centerContinuous" vertical="top"/>
    </xf>
    <xf numFmtId="37" fontId="25" fillId="0" borderId="0" xfId="0" applyNumberFormat="1" applyFont="1" applyFill="1" applyBorder="1" applyAlignment="1">
      <alignment horizontal="centerContinuous"/>
    </xf>
    <xf numFmtId="228" fontId="25" fillId="0" borderId="0" xfId="0" applyNumberFormat="1" applyFont="1" applyFill="1" applyBorder="1" applyAlignment="1">
      <alignment horizontal="centerContinuous"/>
    </xf>
    <xf numFmtId="165" fontId="25" fillId="0" borderId="0" xfId="3" applyNumberFormat="1" applyFont="1" applyFill="1" applyBorder="1" applyAlignment="1">
      <alignment horizontal="centerContinuous"/>
    </xf>
    <xf numFmtId="0" fontId="25" fillId="0" borderId="0" xfId="0" applyFont="1" applyFill="1"/>
    <xf numFmtId="0" fontId="36" fillId="0" borderId="0" xfId="0" applyNumberFormat="1" applyFont="1" applyFill="1" applyBorder="1" applyAlignment="1"/>
    <xf numFmtId="228" fontId="25" fillId="0" borderId="0" xfId="0" applyNumberFormat="1" applyFont="1" applyFill="1" applyBorder="1" applyAlignment="1"/>
    <xf numFmtId="0" fontId="25" fillId="0" borderId="0" xfId="0" applyFont="1" applyFill="1" applyAlignment="1">
      <alignment vertical="top"/>
    </xf>
    <xf numFmtId="228" fontId="36" fillId="0" borderId="0" xfId="0" applyNumberFormat="1" applyFont="1" applyFill="1" applyBorder="1" applyAlignment="1">
      <alignment vertical="top"/>
    </xf>
    <xf numFmtId="228" fontId="25" fillId="0" borderId="0" xfId="0" applyNumberFormat="1" applyFont="1" applyFill="1" applyAlignment="1">
      <alignment vertical="top"/>
    </xf>
    <xf numFmtId="228" fontId="25" fillId="0" borderId="0" xfId="3" applyNumberFormat="1" applyFont="1" applyFill="1" applyBorder="1" applyAlignment="1">
      <alignment vertical="top"/>
    </xf>
    <xf numFmtId="260" fontId="25" fillId="0" borderId="0" xfId="3" applyFont="1" applyFill="1" applyBorder="1" applyAlignment="1">
      <alignment vertical="top"/>
    </xf>
    <xf numFmtId="165" fontId="25" fillId="0" borderId="0" xfId="3" applyNumberFormat="1" applyFont="1" applyFill="1" applyAlignment="1">
      <alignment vertical="top"/>
    </xf>
    <xf numFmtId="165" fontId="25" fillId="0" borderId="0" xfId="3" applyNumberFormat="1" applyFont="1" applyFill="1"/>
    <xf numFmtId="0" fontId="25" fillId="0" borderId="0" xfId="0" applyFont="1" applyFill="1" applyBorder="1" applyAlignment="1"/>
    <xf numFmtId="228" fontId="25" fillId="0" borderId="0" xfId="0" applyNumberFormat="1" applyFont="1" applyFill="1" applyAlignment="1"/>
    <xf numFmtId="228" fontId="25" fillId="0" borderId="0" xfId="0" applyNumberFormat="1" applyFont="1" applyFill="1" applyBorder="1" applyAlignment="1">
      <alignment vertical="top"/>
    </xf>
    <xf numFmtId="0" fontId="242" fillId="0" borderId="0" xfId="0" applyNumberFormat="1" applyFont="1" applyFill="1" applyBorder="1" applyAlignment="1"/>
    <xf numFmtId="0" fontId="243" fillId="0" borderId="0" xfId="3" applyNumberFormat="1" applyFont="1" applyFill="1" applyBorder="1" applyAlignment="1">
      <alignment horizontal="center" vertical="center" wrapText="1"/>
    </xf>
    <xf numFmtId="165" fontId="243" fillId="0" borderId="0" xfId="3" applyNumberFormat="1" applyFont="1" applyFill="1" applyBorder="1" applyAlignment="1">
      <alignment horizontal="center" vertical="center" wrapText="1"/>
    </xf>
    <xf numFmtId="0" fontId="242" fillId="0" borderId="0" xfId="0" applyNumberFormat="1" applyFont="1" applyFill="1"/>
    <xf numFmtId="0" fontId="243" fillId="0" borderId="0" xfId="0" applyNumberFormat="1" applyFont="1" applyFill="1" applyAlignment="1">
      <alignment vertical="top"/>
    </xf>
    <xf numFmtId="260" fontId="242" fillId="0" borderId="0" xfId="3" applyFont="1" applyFill="1" applyAlignment="1">
      <alignment vertical="top"/>
    </xf>
    <xf numFmtId="0" fontId="242" fillId="0" borderId="0" xfId="0" applyNumberFormat="1" applyFont="1" applyFill="1" applyAlignment="1">
      <alignment vertical="top"/>
    </xf>
    <xf numFmtId="0" fontId="243" fillId="0" borderId="0" xfId="0" applyNumberFormat="1" applyFont="1" applyFill="1" applyAlignment="1">
      <alignment vertical="center"/>
    </xf>
    <xf numFmtId="260" fontId="242" fillId="0" borderId="0" xfId="3" applyFont="1" applyFill="1" applyAlignment="1">
      <alignment vertical="center"/>
    </xf>
    <xf numFmtId="0" fontId="242" fillId="0" borderId="0" xfId="3" applyNumberFormat="1" applyFont="1" applyFill="1" applyAlignment="1">
      <alignment vertical="top"/>
    </xf>
    <xf numFmtId="0" fontId="242" fillId="0" borderId="0" xfId="3" applyNumberFormat="1" applyFont="1" applyFill="1"/>
    <xf numFmtId="0" fontId="242" fillId="0" borderId="0" xfId="0" applyNumberFormat="1" applyFont="1" applyFill="1" applyBorder="1" applyAlignment="1">
      <alignment horizontal="center" vertical="center" wrapText="1"/>
    </xf>
    <xf numFmtId="0" fontId="242" fillId="0" borderId="0" xfId="0" applyNumberFormat="1" applyFont="1" applyFill="1" applyAlignment="1">
      <alignment horizontal="center" vertical="center"/>
    </xf>
    <xf numFmtId="165" fontId="242" fillId="0" borderId="0" xfId="3" applyNumberFormat="1" applyFont="1" applyFill="1" applyAlignment="1">
      <alignment horizontal="center" vertical="center"/>
    </xf>
    <xf numFmtId="228" fontId="243" fillId="0" borderId="0" xfId="0" applyNumberFormat="1" applyFont="1" applyFill="1" applyBorder="1" applyAlignment="1">
      <alignment vertical="center"/>
    </xf>
    <xf numFmtId="0" fontId="78" fillId="0" borderId="0" xfId="0" applyFont="1" applyAlignment="1">
      <alignment vertical="center"/>
    </xf>
    <xf numFmtId="0" fontId="242" fillId="0" borderId="0" xfId="0" quotePrefix="1" applyNumberFormat="1" applyFont="1" applyFill="1" applyBorder="1" applyAlignment="1">
      <alignment horizontal="center" vertical="center"/>
    </xf>
    <xf numFmtId="0" fontId="242" fillId="0" borderId="0" xfId="0" applyFont="1" applyFill="1" applyBorder="1" applyAlignment="1"/>
    <xf numFmtId="0" fontId="243" fillId="0" borderId="0" xfId="0" applyFont="1" applyFill="1" applyBorder="1" applyAlignment="1">
      <alignment horizontal="left" vertical="center"/>
    </xf>
    <xf numFmtId="228" fontId="242" fillId="0" borderId="0" xfId="0" applyNumberFormat="1" applyFont="1" applyFill="1" applyBorder="1" applyAlignment="1">
      <alignment vertical="center"/>
    </xf>
    <xf numFmtId="228" fontId="242" fillId="0" borderId="0" xfId="0" applyNumberFormat="1" applyFont="1" applyFill="1" applyAlignment="1"/>
    <xf numFmtId="228" fontId="242" fillId="0" borderId="0" xfId="3" applyNumberFormat="1" applyFont="1" applyFill="1" applyBorder="1" applyAlignment="1">
      <alignment vertical="center"/>
    </xf>
    <xf numFmtId="228" fontId="242" fillId="0" borderId="0" xfId="3" applyNumberFormat="1" applyFont="1" applyFill="1" applyAlignment="1">
      <alignment vertical="center"/>
    </xf>
    <xf numFmtId="165" fontId="242" fillId="0" borderId="0" xfId="3" applyNumberFormat="1" applyFont="1" applyFill="1" applyAlignment="1">
      <alignment vertical="center"/>
    </xf>
    <xf numFmtId="165" fontId="242" fillId="0" borderId="0" xfId="3" applyNumberFormat="1" applyFont="1" applyFill="1" applyAlignment="1">
      <alignment vertical="top"/>
    </xf>
    <xf numFmtId="165" fontId="244" fillId="0" borderId="0" xfId="3" applyNumberFormat="1" applyFont="1" applyFill="1"/>
    <xf numFmtId="165" fontId="242" fillId="0" borderId="0" xfId="3" applyNumberFormat="1" applyFont="1" applyFill="1"/>
    <xf numFmtId="0" fontId="242" fillId="0" borderId="0" xfId="0" applyFont="1" applyFill="1"/>
    <xf numFmtId="0" fontId="242" fillId="0" borderId="0" xfId="0" applyFont="1" applyFill="1" applyBorder="1" applyAlignment="1">
      <alignment horizontal="left" vertical="center"/>
    </xf>
    <xf numFmtId="260" fontId="242" fillId="0" borderId="0" xfId="3" applyFont="1" applyFill="1" applyBorder="1" applyAlignment="1">
      <alignment vertical="top"/>
    </xf>
    <xf numFmtId="260" fontId="242" fillId="0" borderId="120" xfId="3" applyFont="1" applyFill="1" applyBorder="1" applyAlignment="1">
      <alignment vertical="top"/>
    </xf>
    <xf numFmtId="260" fontId="242" fillId="0" borderId="125" xfId="3" applyFont="1" applyFill="1" applyBorder="1" applyAlignment="1">
      <alignment vertical="center"/>
    </xf>
    <xf numFmtId="260" fontId="242" fillId="0" borderId="120" xfId="3" applyFont="1" applyFill="1" applyBorder="1" applyAlignment="1">
      <alignment vertical="center"/>
    </xf>
    <xf numFmtId="10" fontId="242" fillId="0" borderId="0" xfId="4" applyNumberFormat="1" applyFont="1" applyFill="1" applyBorder="1" applyAlignment="1">
      <alignment vertical="center"/>
    </xf>
    <xf numFmtId="190" fontId="242" fillId="0" borderId="0" xfId="4" applyNumberFormat="1" applyFont="1" applyFill="1" applyBorder="1" applyAlignment="1">
      <alignment vertical="center"/>
    </xf>
    <xf numFmtId="9" fontId="242" fillId="0" borderId="0" xfId="4" applyNumberFormat="1" applyFont="1" applyFill="1" applyBorder="1" applyAlignment="1">
      <alignment vertical="center"/>
    </xf>
    <xf numFmtId="165" fontId="242" fillId="0" borderId="0" xfId="3" applyNumberFormat="1" applyFont="1" applyFill="1" applyBorder="1" applyAlignment="1">
      <alignment vertical="center"/>
    </xf>
    <xf numFmtId="2" fontId="242" fillId="0" borderId="0" xfId="3" applyNumberFormat="1" applyFont="1" applyFill="1" applyBorder="1" applyAlignment="1">
      <alignment vertical="center"/>
    </xf>
    <xf numFmtId="165" fontId="242" fillId="0" borderId="0" xfId="0" applyNumberFormat="1" applyFont="1" applyFill="1"/>
    <xf numFmtId="260" fontId="242" fillId="0" borderId="0" xfId="3" applyFont="1" applyFill="1"/>
    <xf numFmtId="0" fontId="242" fillId="0" borderId="0" xfId="0" applyFont="1" applyFill="1" applyAlignment="1">
      <alignment vertical="center"/>
    </xf>
    <xf numFmtId="260" fontId="242" fillId="0" borderId="7" xfId="3" applyFont="1" applyFill="1" applyBorder="1" applyAlignment="1">
      <alignment vertical="top"/>
    </xf>
    <xf numFmtId="260" fontId="242" fillId="0" borderId="51" xfId="3" applyFont="1" applyFill="1" applyBorder="1" applyAlignment="1">
      <alignment vertical="center"/>
    </xf>
    <xf numFmtId="260" fontId="242" fillId="0" borderId="7" xfId="3" applyFont="1" applyFill="1" applyBorder="1" applyAlignment="1">
      <alignment vertical="center"/>
    </xf>
    <xf numFmtId="190" fontId="242" fillId="0" borderId="51" xfId="4" applyNumberFormat="1" applyFont="1" applyFill="1" applyBorder="1" applyAlignment="1">
      <alignment vertical="center"/>
    </xf>
    <xf numFmtId="190" fontId="242" fillId="0" borderId="7" xfId="4" applyNumberFormat="1" applyFont="1" applyFill="1" applyBorder="1" applyAlignment="1">
      <alignment vertical="center"/>
    </xf>
    <xf numFmtId="260" fontId="242" fillId="0" borderId="0" xfId="3" applyFont="1" applyFill="1" applyBorder="1" applyAlignment="1">
      <alignment vertical="center"/>
    </xf>
    <xf numFmtId="260" fontId="242" fillId="0" borderId="10" xfId="3" applyFont="1" applyFill="1" applyBorder="1" applyAlignment="1">
      <alignment vertical="top"/>
    </xf>
    <xf numFmtId="190" fontId="242" fillId="0" borderId="42" xfId="4" applyNumberFormat="1" applyFont="1" applyFill="1" applyBorder="1" applyAlignment="1">
      <alignment vertical="center"/>
    </xf>
    <xf numFmtId="190" fontId="242" fillId="0" borderId="10" xfId="4" applyNumberFormat="1" applyFont="1" applyFill="1" applyBorder="1" applyAlignment="1">
      <alignment vertical="center"/>
    </xf>
    <xf numFmtId="190" fontId="242" fillId="0" borderId="0" xfId="4" applyNumberFormat="1" applyFont="1" applyFill="1" applyAlignment="1"/>
    <xf numFmtId="9" fontId="242" fillId="0" borderId="0" xfId="4" applyNumberFormat="1" applyFont="1" applyFill="1"/>
    <xf numFmtId="10" fontId="242" fillId="0" borderId="0" xfId="4" applyNumberFormat="1" applyFont="1" applyFill="1"/>
    <xf numFmtId="183" fontId="242" fillId="0" borderId="0" xfId="3" applyNumberFormat="1" applyFont="1" applyFill="1"/>
    <xf numFmtId="190" fontId="242" fillId="0" borderId="0" xfId="4" applyNumberFormat="1" applyFont="1" applyFill="1"/>
    <xf numFmtId="0" fontId="242" fillId="0" borderId="0" xfId="0" applyFont="1" applyFill="1" applyAlignment="1"/>
    <xf numFmtId="260" fontId="242" fillId="0" borderId="1" xfId="3" applyFont="1" applyFill="1" applyBorder="1" applyAlignment="1">
      <alignment vertical="top"/>
    </xf>
    <xf numFmtId="260" fontId="242" fillId="0" borderId="60" xfId="3" applyFont="1" applyFill="1" applyBorder="1" applyAlignment="1">
      <alignment vertical="top"/>
    </xf>
    <xf numFmtId="190" fontId="242" fillId="0" borderId="1" xfId="4" applyNumberFormat="1" applyFont="1" applyFill="1" applyBorder="1" applyAlignment="1">
      <alignment vertical="center"/>
    </xf>
    <xf numFmtId="190" fontId="242" fillId="0" borderId="104" xfId="4" applyNumberFormat="1" applyFont="1" applyFill="1" applyBorder="1" applyAlignment="1">
      <alignment vertical="center"/>
    </xf>
    <xf numFmtId="0" fontId="242" fillId="0" borderId="0" xfId="0" applyFont="1" applyFill="1" applyBorder="1" applyAlignment="1">
      <alignment horizontal="center" vertical="center" wrapText="1"/>
    </xf>
    <xf numFmtId="190" fontId="242" fillId="0" borderId="0" xfId="3" applyNumberFormat="1" applyFont="1" applyFill="1" applyBorder="1" applyAlignment="1">
      <alignment vertical="center"/>
    </xf>
    <xf numFmtId="260" fontId="242" fillId="0" borderId="59" xfId="3" applyFont="1" applyFill="1" applyBorder="1" applyAlignment="1">
      <alignment vertical="top"/>
    </xf>
    <xf numFmtId="260" fontId="242" fillId="0" borderId="49" xfId="3" applyFont="1" applyFill="1" applyBorder="1" applyAlignment="1">
      <alignment vertical="top"/>
    </xf>
    <xf numFmtId="190" fontId="242" fillId="0" borderId="120" xfId="4" applyNumberFormat="1" applyFont="1" applyFill="1" applyBorder="1" applyAlignment="1">
      <alignment vertical="center"/>
    </xf>
    <xf numFmtId="190" fontId="242" fillId="0" borderId="121" xfId="4" applyNumberFormat="1" applyFont="1" applyFill="1" applyBorder="1" applyAlignment="1">
      <alignment vertical="center"/>
    </xf>
    <xf numFmtId="260" fontId="242" fillId="0" borderId="64" xfId="3" applyFont="1" applyFill="1" applyBorder="1" applyAlignment="1">
      <alignment vertical="top"/>
    </xf>
    <xf numFmtId="260" fontId="242" fillId="0" borderId="65" xfId="3" applyFont="1" applyFill="1" applyBorder="1" applyAlignment="1">
      <alignment vertical="top"/>
    </xf>
    <xf numFmtId="260" fontId="242" fillId="0" borderId="10" xfId="3" applyFont="1" applyFill="1" applyBorder="1" applyAlignment="1">
      <alignment vertical="center"/>
    </xf>
    <xf numFmtId="260" fontId="242" fillId="0" borderId="127" xfId="3" applyFont="1" applyFill="1" applyBorder="1" applyAlignment="1">
      <alignment vertical="center"/>
    </xf>
    <xf numFmtId="260" fontId="243" fillId="0" borderId="0" xfId="3" applyFont="1" applyFill="1" applyBorder="1" applyAlignment="1">
      <alignment vertical="top"/>
    </xf>
    <xf numFmtId="9" fontId="242" fillId="0" borderId="0" xfId="4" applyFont="1" applyFill="1"/>
    <xf numFmtId="227" fontId="242" fillId="0" borderId="0" xfId="4" applyNumberFormat="1" applyFont="1" applyFill="1"/>
    <xf numFmtId="0" fontId="242" fillId="0" borderId="0" xfId="0" applyFont="1" applyFill="1" applyBorder="1" applyAlignment="1">
      <alignment horizontal="right"/>
    </xf>
    <xf numFmtId="0" fontId="243" fillId="0" borderId="0" xfId="0" applyNumberFormat="1" applyFont="1" applyFill="1" applyBorder="1" applyAlignment="1">
      <alignment horizontal="left"/>
    </xf>
    <xf numFmtId="228" fontId="243" fillId="0" borderId="0" xfId="3" applyNumberFormat="1" applyFont="1" applyFill="1" applyBorder="1" applyAlignment="1">
      <alignment vertical="center"/>
    </xf>
    <xf numFmtId="43" fontId="242" fillId="0" borderId="0" xfId="3" applyNumberFormat="1" applyFont="1" applyFill="1" applyAlignment="1">
      <alignment vertical="center"/>
    </xf>
    <xf numFmtId="0" fontId="25" fillId="0" borderId="0" xfId="0" applyFont="1" applyFill="1" applyBorder="1" applyAlignment="1">
      <alignment horizontal="center" vertical="center" wrapText="1"/>
    </xf>
    <xf numFmtId="228" fontId="25" fillId="0" borderId="0" xfId="0" applyNumberFormat="1" applyFont="1" applyFill="1" applyBorder="1" applyAlignment="1">
      <alignment vertical="center"/>
    </xf>
    <xf numFmtId="228" fontId="36" fillId="0" borderId="0" xfId="0" applyNumberFormat="1" applyFont="1" applyFill="1" applyBorder="1" applyAlignment="1">
      <alignment vertical="center"/>
    </xf>
    <xf numFmtId="0" fontId="25" fillId="0" borderId="0" xfId="0" quotePrefix="1" applyFont="1" applyFill="1" applyBorder="1" applyAlignment="1">
      <alignment horizontal="center" vertical="center"/>
    </xf>
    <xf numFmtId="0" fontId="25" fillId="0" borderId="0" xfId="0" applyFont="1" applyFill="1" applyAlignment="1">
      <alignment horizontal="center" vertical="center"/>
    </xf>
    <xf numFmtId="165" fontId="25" fillId="0" borderId="0" xfId="3" applyNumberFormat="1" applyFont="1" applyFill="1" applyAlignment="1">
      <alignment horizontal="center" vertical="center"/>
    </xf>
    <xf numFmtId="9" fontId="242" fillId="0" borderId="0" xfId="4" applyFont="1" applyFill="1" applyAlignment="1">
      <alignment vertical="center"/>
    </xf>
    <xf numFmtId="227" fontId="242" fillId="0" borderId="0" xfId="4" applyNumberFormat="1" applyFont="1" applyFill="1" applyAlignment="1">
      <alignment vertical="center"/>
    </xf>
    <xf numFmtId="190" fontId="242" fillId="0" borderId="52" xfId="4" applyNumberFormat="1" applyFont="1" applyFill="1" applyBorder="1" applyAlignment="1">
      <alignment vertical="center"/>
    </xf>
    <xf numFmtId="0" fontId="242" fillId="0" borderId="0" xfId="0" applyNumberFormat="1" applyFont="1" applyFill="1" applyBorder="1" applyAlignment="1">
      <alignment horizontal="left" vertical="center"/>
    </xf>
    <xf numFmtId="0" fontId="243" fillId="0" borderId="0" xfId="0" applyFont="1" applyFill="1" applyAlignment="1">
      <alignment vertical="center"/>
    </xf>
    <xf numFmtId="190" fontId="242" fillId="0" borderId="59" xfId="4" applyNumberFormat="1" applyFont="1" applyFill="1" applyBorder="1" applyAlignment="1">
      <alignment vertical="center"/>
    </xf>
    <xf numFmtId="190" fontId="242" fillId="0" borderId="120" xfId="3" applyNumberFormat="1" applyFont="1" applyFill="1" applyBorder="1" applyAlignment="1">
      <alignment vertical="center"/>
    </xf>
    <xf numFmtId="190" fontId="242" fillId="0" borderId="7" xfId="3" applyNumberFormat="1" applyFont="1" applyFill="1" applyBorder="1" applyAlignment="1">
      <alignment vertical="center"/>
    </xf>
    <xf numFmtId="260" fontId="242" fillId="0" borderId="7" xfId="4" applyNumberFormat="1" applyFont="1" applyFill="1" applyBorder="1" applyAlignment="1">
      <alignment vertical="center"/>
    </xf>
    <xf numFmtId="0" fontId="242" fillId="0" borderId="0" xfId="0" applyFont="1" applyFill="1" applyBorder="1" applyAlignment="1">
      <alignment vertical="center"/>
    </xf>
    <xf numFmtId="190" fontId="242" fillId="0" borderId="64" xfId="4" applyNumberFormat="1" applyFont="1" applyFill="1" applyBorder="1" applyAlignment="1">
      <alignment vertical="center"/>
    </xf>
    <xf numFmtId="190" fontId="242" fillId="0" borderId="10" xfId="3" applyNumberFormat="1" applyFont="1" applyFill="1" applyBorder="1" applyAlignment="1">
      <alignment vertical="center"/>
    </xf>
    <xf numFmtId="43" fontId="242" fillId="0" borderId="0" xfId="3" applyNumberFormat="1" applyFont="1" applyFill="1" applyAlignment="1">
      <alignment vertical="top"/>
    </xf>
    <xf numFmtId="190" fontId="242" fillId="0" borderId="0" xfId="4" applyNumberFormat="1" applyFont="1" applyFill="1" applyAlignment="1">
      <alignment vertical="center"/>
    </xf>
    <xf numFmtId="260" fontId="242" fillId="0" borderId="120" xfId="4" applyNumberFormat="1" applyFont="1" applyFill="1" applyBorder="1" applyAlignment="1">
      <alignment vertical="center"/>
    </xf>
    <xf numFmtId="260" fontId="242" fillId="0" borderId="10" xfId="4" applyNumberFormat="1" applyFont="1" applyFill="1" applyBorder="1" applyAlignment="1">
      <alignment vertical="center"/>
    </xf>
    <xf numFmtId="10" fontId="242" fillId="0" borderId="0" xfId="4" applyNumberFormat="1" applyFont="1" applyFill="1" applyAlignment="1">
      <alignment vertical="center"/>
    </xf>
    <xf numFmtId="260" fontId="242" fillId="0" borderId="125" xfId="3" applyFont="1" applyFill="1" applyBorder="1" applyAlignment="1">
      <alignment vertical="top"/>
    </xf>
    <xf numFmtId="10" fontId="242" fillId="0" borderId="0" xfId="4" applyNumberFormat="1" applyFont="1" applyFill="1" applyAlignment="1">
      <alignment horizontal="right" vertical="center"/>
    </xf>
    <xf numFmtId="2" fontId="242" fillId="0" borderId="0" xfId="3" applyNumberFormat="1" applyFont="1" applyFill="1" applyAlignment="1">
      <alignment horizontal="right" vertical="center"/>
    </xf>
    <xf numFmtId="260" fontId="242" fillId="0" borderId="51" xfId="3" applyFont="1" applyFill="1" applyBorder="1" applyAlignment="1">
      <alignment vertical="top"/>
    </xf>
    <xf numFmtId="260" fontId="242" fillId="0" borderId="42" xfId="3" applyFont="1" applyFill="1" applyBorder="1" applyAlignment="1">
      <alignment vertical="top"/>
    </xf>
    <xf numFmtId="260" fontId="242" fillId="0" borderId="104" xfId="3" applyFont="1" applyFill="1" applyBorder="1" applyAlignment="1">
      <alignment vertical="top"/>
    </xf>
    <xf numFmtId="190" fontId="242" fillId="0" borderId="104" xfId="4" applyNumberFormat="1" applyFont="1" applyFill="1" applyBorder="1" applyAlignment="1">
      <alignment horizontal="right" vertical="center"/>
    </xf>
    <xf numFmtId="190" fontId="242" fillId="0" borderId="0" xfId="4" applyNumberFormat="1" applyFont="1" applyFill="1" applyAlignment="1">
      <alignment horizontal="center" vertical="center"/>
    </xf>
    <xf numFmtId="10" fontId="242" fillId="0" borderId="0" xfId="4" applyNumberFormat="1" applyFont="1" applyFill="1" applyAlignment="1">
      <alignment horizontal="center" vertical="center"/>
    </xf>
    <xf numFmtId="0" fontId="242" fillId="0" borderId="0" xfId="0" applyFont="1" applyFill="1" applyAlignment="1">
      <alignment horizontal="center" vertical="center"/>
    </xf>
    <xf numFmtId="0" fontId="242" fillId="0" borderId="0" xfId="0" applyFont="1" applyFill="1" applyBorder="1"/>
    <xf numFmtId="260" fontId="242" fillId="0" borderId="119" xfId="3" applyFont="1" applyFill="1" applyBorder="1" applyAlignment="1">
      <alignment vertical="top"/>
    </xf>
    <xf numFmtId="190" fontId="242" fillId="0" borderId="120" xfId="4" applyNumberFormat="1" applyFont="1" applyFill="1" applyBorder="1" applyAlignment="1">
      <alignment horizontal="right" vertical="center"/>
    </xf>
    <xf numFmtId="3" fontId="242" fillId="0" borderId="0" xfId="0" applyNumberFormat="1" applyFont="1" applyFill="1" applyAlignment="1">
      <alignment horizontal="center" vertical="center"/>
    </xf>
    <xf numFmtId="260" fontId="242" fillId="0" borderId="68" xfId="3" applyFont="1" applyFill="1" applyBorder="1" applyAlignment="1">
      <alignment vertical="top"/>
    </xf>
    <xf numFmtId="190" fontId="242" fillId="0" borderId="10" xfId="4" applyNumberFormat="1" applyFont="1" applyFill="1" applyBorder="1" applyAlignment="1">
      <alignment horizontal="right" vertical="center"/>
    </xf>
    <xf numFmtId="2" fontId="242" fillId="0" borderId="0" xfId="3" applyNumberFormat="1" applyFont="1" applyFill="1" applyAlignment="1">
      <alignment vertical="center"/>
    </xf>
    <xf numFmtId="165" fontId="242" fillId="0" borderId="0" xfId="3" applyNumberFormat="1" applyFont="1" applyFill="1" applyBorder="1" applyAlignment="1">
      <alignment vertical="top"/>
    </xf>
    <xf numFmtId="0" fontId="242" fillId="0" borderId="0" xfId="0" applyNumberFormat="1" applyFont="1" applyFill="1" applyAlignment="1">
      <alignment vertical="center"/>
    </xf>
    <xf numFmtId="0" fontId="242" fillId="0" borderId="0" xfId="0" applyFont="1" applyFill="1" applyAlignment="1">
      <alignment horizontal="left" vertical="center"/>
    </xf>
    <xf numFmtId="260" fontId="242" fillId="0" borderId="1" xfId="3" applyFont="1" applyFill="1" applyBorder="1" applyAlignment="1">
      <alignment vertical="center"/>
    </xf>
    <xf numFmtId="260" fontId="242" fillId="0" borderId="104" xfId="3" applyFont="1" applyFill="1" applyBorder="1" applyAlignment="1">
      <alignment vertical="center"/>
    </xf>
    <xf numFmtId="0" fontId="243" fillId="0" borderId="0" xfId="0" applyFont="1" applyFill="1" applyAlignment="1">
      <alignment horizontal="left" vertical="center"/>
    </xf>
    <xf numFmtId="0" fontId="243" fillId="0" borderId="0" xfId="0" applyFont="1" applyFill="1"/>
    <xf numFmtId="190" fontId="242" fillId="0" borderId="1" xfId="4" applyNumberFormat="1" applyFont="1" applyFill="1" applyBorder="1"/>
    <xf numFmtId="260" fontId="242" fillId="0" borderId="121" xfId="3" applyFont="1" applyFill="1" applyBorder="1" applyAlignment="1">
      <alignment vertical="center"/>
    </xf>
    <xf numFmtId="190" fontId="242" fillId="0" borderId="5" xfId="4" applyNumberFormat="1" applyFont="1" applyFill="1" applyBorder="1" applyAlignment="1">
      <alignment vertical="center"/>
    </xf>
    <xf numFmtId="190" fontId="242" fillId="0" borderId="127" xfId="4" applyNumberFormat="1" applyFont="1" applyFill="1" applyBorder="1" applyAlignment="1">
      <alignment vertical="center"/>
    </xf>
    <xf numFmtId="10" fontId="242" fillId="0" borderId="0" xfId="4" applyNumberFormat="1" applyFont="1" applyFill="1" applyBorder="1"/>
    <xf numFmtId="190" fontId="242" fillId="0" borderId="125" xfId="4" applyNumberFormat="1" applyFont="1" applyFill="1" applyBorder="1" applyAlignment="1">
      <alignment vertical="center"/>
    </xf>
    <xf numFmtId="260" fontId="242" fillId="0" borderId="5" xfId="3" applyFont="1" applyFill="1" applyBorder="1" applyAlignment="1">
      <alignment vertical="center"/>
    </xf>
    <xf numFmtId="260" fontId="242" fillId="0" borderId="42" xfId="3" applyFont="1" applyFill="1" applyBorder="1" applyAlignment="1">
      <alignment vertical="center"/>
    </xf>
    <xf numFmtId="190" fontId="242" fillId="0" borderId="0" xfId="4" applyNumberFormat="1" applyFont="1" applyFill="1" applyBorder="1"/>
    <xf numFmtId="165" fontId="242" fillId="0" borderId="0" xfId="3" applyNumberFormat="1" applyFont="1" applyFill="1" applyBorder="1"/>
    <xf numFmtId="260" fontId="242" fillId="0" borderId="0" xfId="3" applyFont="1" applyFill="1" applyBorder="1"/>
    <xf numFmtId="190" fontId="242" fillId="0" borderId="104" xfId="4" applyNumberFormat="1" applyFont="1" applyFill="1" applyBorder="1"/>
    <xf numFmtId="190" fontId="242" fillId="0" borderId="0" xfId="3" applyNumberFormat="1" applyFont="1" applyFill="1" applyBorder="1"/>
    <xf numFmtId="190" fontId="242" fillId="0" borderId="0" xfId="3" applyNumberFormat="1" applyFont="1" applyFill="1"/>
    <xf numFmtId="260" fontId="242" fillId="0" borderId="10" xfId="3" applyFont="1" applyFill="1" applyBorder="1"/>
    <xf numFmtId="9" fontId="242" fillId="0" borderId="0" xfId="4" applyFont="1" applyFill="1" applyBorder="1" applyAlignment="1">
      <alignment vertical="center"/>
    </xf>
    <xf numFmtId="3" fontId="245" fillId="0" borderId="0" xfId="0" applyNumberFormat="1" applyFont="1" applyFill="1"/>
    <xf numFmtId="0" fontId="242" fillId="0" borderId="0" xfId="0" applyFont="1" applyFill="1" applyAlignment="1">
      <alignment horizontal="right"/>
    </xf>
    <xf numFmtId="260" fontId="242" fillId="0" borderId="7" xfId="3" applyFont="1" applyFill="1" applyBorder="1"/>
    <xf numFmtId="260" fontId="242" fillId="0" borderId="51" xfId="3" applyFont="1" applyFill="1" applyBorder="1"/>
    <xf numFmtId="260" fontId="242" fillId="0" borderId="64" xfId="3" applyFont="1" applyFill="1" applyBorder="1"/>
    <xf numFmtId="260" fontId="242" fillId="0" borderId="42" xfId="3" applyFont="1" applyFill="1" applyBorder="1"/>
    <xf numFmtId="190" fontId="242" fillId="0" borderId="120" xfId="4" applyNumberFormat="1" applyFont="1" applyFill="1" applyBorder="1"/>
    <xf numFmtId="190" fontId="242" fillId="0" borderId="121" xfId="4" applyNumberFormat="1" applyFont="1" applyFill="1" applyBorder="1"/>
    <xf numFmtId="260" fontId="242" fillId="0" borderId="5" xfId="3" applyFont="1" applyFill="1" applyBorder="1"/>
    <xf numFmtId="190" fontId="242" fillId="0" borderId="10" xfId="4" applyNumberFormat="1" applyFont="1" applyFill="1" applyBorder="1"/>
    <xf numFmtId="190" fontId="242" fillId="0" borderId="52" xfId="4" applyNumberFormat="1" applyFont="1" applyFill="1" applyBorder="1"/>
    <xf numFmtId="190" fontId="242" fillId="0" borderId="64" xfId="4" applyNumberFormat="1" applyFont="1" applyFill="1" applyBorder="1"/>
    <xf numFmtId="0" fontId="243" fillId="0" borderId="0" xfId="0" applyNumberFormat="1" applyFont="1" applyFill="1" applyAlignment="1"/>
    <xf numFmtId="260" fontId="242" fillId="0" borderId="9" xfId="3" applyFont="1" applyFill="1" applyBorder="1" applyAlignment="1">
      <alignment vertical="top"/>
    </xf>
    <xf numFmtId="9" fontId="242" fillId="0" borderId="9" xfId="3" applyNumberFormat="1" applyFont="1" applyFill="1" applyBorder="1" applyAlignment="1">
      <alignment vertical="center"/>
    </xf>
    <xf numFmtId="9" fontId="242" fillId="0" borderId="9" xfId="4" applyNumberFormat="1" applyFont="1" applyFill="1" applyBorder="1" applyAlignment="1">
      <alignment vertical="center"/>
    </xf>
    <xf numFmtId="190" fontId="242" fillId="0" borderId="0" xfId="3" applyNumberFormat="1" applyFont="1" applyFill="1" applyBorder="1" applyAlignment="1">
      <alignment vertical="top"/>
    </xf>
    <xf numFmtId="227" fontId="242" fillId="0" borderId="0" xfId="4" applyNumberFormat="1" applyFont="1" applyFill="1" applyBorder="1"/>
    <xf numFmtId="260" fontId="242" fillId="0" borderId="8" xfId="3" applyFont="1" applyFill="1" applyBorder="1" applyAlignment="1">
      <alignment vertical="top"/>
    </xf>
    <xf numFmtId="9" fontId="242" fillId="0" borderId="8" xfId="4" applyNumberFormat="1" applyFont="1" applyFill="1" applyBorder="1" applyAlignment="1"/>
    <xf numFmtId="9" fontId="242" fillId="0" borderId="8" xfId="0" applyNumberFormat="1" applyFont="1" applyFill="1" applyBorder="1"/>
    <xf numFmtId="190" fontId="242" fillId="0" borderId="0" xfId="0" applyNumberFormat="1" applyFont="1" applyFill="1"/>
    <xf numFmtId="37" fontId="25" fillId="0" borderId="0" xfId="0" applyNumberFormat="1" applyFont="1" applyFill="1" applyAlignment="1">
      <alignment horizontal="centerContinuous" vertical="top"/>
    </xf>
    <xf numFmtId="228" fontId="246" fillId="0" borderId="0" xfId="0" applyNumberFormat="1" applyFont="1" applyFill="1" applyAlignment="1">
      <alignment vertical="top"/>
    </xf>
    <xf numFmtId="228" fontId="43" fillId="0" borderId="0" xfId="0" applyNumberFormat="1" applyFont="1" applyFill="1" applyBorder="1" applyAlignment="1">
      <alignment vertical="top"/>
    </xf>
    <xf numFmtId="260" fontId="242" fillId="0" borderId="121" xfId="3" applyFont="1" applyFill="1" applyBorder="1" applyAlignment="1">
      <alignment vertical="top"/>
    </xf>
    <xf numFmtId="260" fontId="242" fillId="0" borderId="128" xfId="3" applyFont="1" applyFill="1" applyBorder="1" applyAlignment="1">
      <alignment vertical="top"/>
    </xf>
    <xf numFmtId="260" fontId="242" fillId="0" borderId="127" xfId="3" applyFont="1" applyFill="1" applyBorder="1" applyAlignment="1">
      <alignment vertical="top"/>
    </xf>
    <xf numFmtId="49" fontId="247" fillId="7" borderId="0" xfId="0" applyNumberFormat="1" applyFont="1" applyFill="1" applyBorder="1" applyAlignment="1">
      <alignment vertical="center"/>
    </xf>
    <xf numFmtId="0" fontId="242" fillId="7" borderId="0" xfId="0" applyFont="1" applyFill="1" applyBorder="1"/>
    <xf numFmtId="49" fontId="248" fillId="7" borderId="0" xfId="0" applyNumberFormat="1" applyFont="1" applyFill="1" applyBorder="1" applyAlignment="1">
      <alignment vertical="center"/>
    </xf>
    <xf numFmtId="49" fontId="249" fillId="7" borderId="0" xfId="0" applyNumberFormat="1" applyFont="1" applyFill="1" applyBorder="1" applyAlignment="1">
      <alignment vertical="center"/>
    </xf>
    <xf numFmtId="0" fontId="242" fillId="0" borderId="10" xfId="4" applyNumberFormat="1" applyFont="1" applyFill="1" applyBorder="1" applyAlignment="1">
      <alignment vertical="center"/>
    </xf>
    <xf numFmtId="190" fontId="242" fillId="7" borderId="0" xfId="4" applyNumberFormat="1" applyFont="1" applyFill="1" applyBorder="1" applyAlignment="1">
      <alignment vertical="center"/>
    </xf>
    <xf numFmtId="9" fontId="242" fillId="7" borderId="0" xfId="4" applyNumberFormat="1" applyFont="1" applyFill="1" applyBorder="1" applyAlignment="1">
      <alignment vertical="center"/>
    </xf>
    <xf numFmtId="260" fontId="242" fillId="0" borderId="5" xfId="4" applyNumberFormat="1" applyFont="1" applyFill="1" applyBorder="1" applyAlignment="1">
      <alignment vertical="center"/>
    </xf>
    <xf numFmtId="260" fontId="242" fillId="0" borderId="127" xfId="4" applyNumberFormat="1" applyFont="1" applyFill="1" applyBorder="1" applyAlignment="1">
      <alignment vertical="center"/>
    </xf>
    <xf numFmtId="43" fontId="240" fillId="0" borderId="0" xfId="40397" applyNumberFormat="1" applyFont="1"/>
    <xf numFmtId="0" fontId="36" fillId="0" borderId="0" xfId="0" applyFont="1" applyFill="1" applyAlignment="1">
      <alignment horizontal="center" vertical="top"/>
    </xf>
    <xf numFmtId="43" fontId="240" fillId="101" borderId="0" xfId="40397" applyNumberFormat="1" applyFont="1" applyFill="1"/>
    <xf numFmtId="43" fontId="240" fillId="7" borderId="0" xfId="40397" applyNumberFormat="1" applyFont="1" applyFill="1"/>
    <xf numFmtId="263" fontId="250" fillId="0" borderId="0" xfId="40403" quotePrefix="1" applyNumberFormat="1" applyFont="1" applyFill="1" applyAlignment="1">
      <alignment horizontal="left" vertical="top"/>
    </xf>
    <xf numFmtId="0" fontId="250" fillId="0" borderId="0" xfId="1373" applyFont="1" applyFill="1" applyAlignment="1">
      <alignment vertical="top"/>
    </xf>
    <xf numFmtId="165" fontId="252" fillId="0" borderId="0" xfId="40404" applyNumberFormat="1" applyFont="1" applyFill="1"/>
    <xf numFmtId="165" fontId="250" fillId="0" borderId="0" xfId="40404" applyNumberFormat="1" applyFont="1" applyFill="1" applyAlignment="1">
      <alignment horizontal="center"/>
    </xf>
    <xf numFmtId="0" fontId="254" fillId="0" borderId="0" xfId="40405" applyFont="1" applyFill="1" applyAlignment="1">
      <alignment vertical="top"/>
    </xf>
    <xf numFmtId="0" fontId="185" fillId="0" borderId="0" xfId="40405" applyFont="1" applyFill="1"/>
    <xf numFmtId="0" fontId="252" fillId="0" borderId="0" xfId="40407" applyNumberFormat="1" applyFont="1" applyFill="1" applyAlignment="1">
      <alignment horizontal="left" vertical="justify" wrapText="1"/>
    </xf>
    <xf numFmtId="165" fontId="250" fillId="0" borderId="0" xfId="40404" applyNumberFormat="1" applyFont="1" applyFill="1" applyAlignment="1">
      <alignment vertical="top"/>
    </xf>
    <xf numFmtId="0" fontId="185" fillId="0" borderId="0" xfId="40405" applyFont="1" applyFill="1" applyBorder="1" applyAlignment="1"/>
    <xf numFmtId="37" fontId="252" fillId="0" borderId="0" xfId="40407" applyNumberFormat="1" applyFont="1" applyFill="1" applyAlignment="1" applyProtection="1">
      <alignment vertical="top"/>
    </xf>
    <xf numFmtId="0" fontId="252" fillId="0" borderId="0" xfId="40404" applyNumberFormat="1" applyFont="1" applyFill="1"/>
    <xf numFmtId="0" fontId="252" fillId="0" borderId="0" xfId="40406" applyFont="1" applyFill="1" applyAlignment="1">
      <alignment horizontal="center"/>
    </xf>
    <xf numFmtId="37" fontId="252" fillId="0" borderId="0" xfId="1373" applyNumberFormat="1" applyFont="1" applyFill="1" applyAlignment="1" applyProtection="1">
      <alignment vertical="top"/>
    </xf>
    <xf numFmtId="37" fontId="252" fillId="0" borderId="0" xfId="40407" applyNumberFormat="1" applyFont="1" applyFill="1" applyAlignment="1" applyProtection="1">
      <alignment vertical="top" wrapText="1"/>
    </xf>
    <xf numFmtId="37" fontId="250" fillId="0" borderId="0" xfId="40407" quotePrefix="1" applyNumberFormat="1" applyFont="1" applyFill="1" applyAlignment="1" applyProtection="1">
      <alignment vertical="top" wrapText="1"/>
    </xf>
    <xf numFmtId="37" fontId="250" fillId="0" borderId="0" xfId="40408" applyNumberFormat="1" applyFont="1" applyFill="1" applyAlignment="1" applyProtection="1">
      <alignment horizontal="left"/>
    </xf>
    <xf numFmtId="0" fontId="250" fillId="0" borderId="0" xfId="40407" quotePrefix="1" applyFont="1" applyFill="1" applyAlignment="1">
      <alignment horizontal="center"/>
    </xf>
    <xf numFmtId="37" fontId="250" fillId="0" borderId="0" xfId="40407" applyNumberFormat="1" applyFont="1" applyFill="1" applyAlignment="1" applyProtection="1">
      <alignment horizontal="left" vertical="top" indent="1"/>
    </xf>
    <xf numFmtId="37" fontId="252" fillId="0" borderId="0" xfId="40409" applyNumberFormat="1" applyFont="1" applyFill="1" applyAlignment="1" applyProtection="1">
      <alignment horizontal="left" vertical="top" indent="1"/>
    </xf>
    <xf numFmtId="165" fontId="250" fillId="0" borderId="0" xfId="663" applyNumberFormat="1" applyFont="1" applyFill="1" applyBorder="1"/>
    <xf numFmtId="165" fontId="252" fillId="0" borderId="0" xfId="663" applyNumberFormat="1" applyFont="1" applyFill="1" applyBorder="1"/>
    <xf numFmtId="165" fontId="252" fillId="0" borderId="0" xfId="40404" applyNumberFormat="1" applyFont="1" applyFill="1" applyAlignment="1" applyProtection="1">
      <alignment vertical="top"/>
    </xf>
    <xf numFmtId="165" fontId="252" fillId="0" borderId="0" xfId="40404" applyNumberFormat="1" applyFont="1" applyFill="1" applyAlignment="1" applyProtection="1">
      <alignment horizontal="left" vertical="top"/>
    </xf>
    <xf numFmtId="165" fontId="252" fillId="0" borderId="0" xfId="40404" applyNumberFormat="1" applyFont="1" applyFill="1" applyBorder="1" applyAlignment="1">
      <alignment vertical="top"/>
    </xf>
    <xf numFmtId="165" fontId="252" fillId="0" borderId="0" xfId="40404" applyNumberFormat="1" applyFont="1" applyFill="1" applyAlignment="1">
      <alignment horizontal="left" vertical="justify"/>
    </xf>
    <xf numFmtId="165" fontId="252" fillId="0" borderId="0" xfId="40404" applyNumberFormat="1" applyFont="1" applyFill="1" applyAlignment="1">
      <alignment vertical="top"/>
    </xf>
    <xf numFmtId="0" fontId="210" fillId="0" borderId="0" xfId="40392" quotePrefix="1" applyFont="1" applyFill="1" applyAlignment="1">
      <alignment horizontal="center" vertical="top"/>
    </xf>
    <xf numFmtId="165" fontId="250" fillId="0" borderId="126" xfId="663" applyNumberFormat="1" applyFont="1" applyFill="1" applyBorder="1"/>
    <xf numFmtId="165" fontId="252" fillId="0" borderId="126" xfId="663" applyNumberFormat="1" applyFont="1" applyFill="1" applyBorder="1"/>
    <xf numFmtId="165" fontId="240" fillId="102" borderId="0" xfId="40397" applyNumberFormat="1" applyFont="1" applyFill="1"/>
    <xf numFmtId="0" fontId="185" fillId="0" borderId="0" xfId="68" applyFont="1" applyFill="1" applyAlignment="1">
      <alignment horizontal="left" vertical="top"/>
    </xf>
    <xf numFmtId="167" fontId="250" fillId="0" borderId="0" xfId="30" quotePrefix="1" applyNumberFormat="1" applyFont="1" applyFill="1" applyAlignment="1">
      <alignment horizontal="left" vertical="top"/>
    </xf>
    <xf numFmtId="0" fontId="252" fillId="0" borderId="0" xfId="40406" applyFont="1" applyFill="1" applyAlignment="1">
      <alignment horizontal="left" indent="1"/>
    </xf>
    <xf numFmtId="37" fontId="252" fillId="0" borderId="0" xfId="40407" quotePrefix="1" applyNumberFormat="1" applyFont="1" applyFill="1" applyAlignment="1" applyProtection="1">
      <alignment horizontal="center" vertical="top" wrapText="1"/>
    </xf>
    <xf numFmtId="0" fontId="250" fillId="0" borderId="0" xfId="0" applyFont="1" applyFill="1"/>
    <xf numFmtId="0" fontId="252" fillId="0" borderId="0" xfId="0" applyFont="1" applyFill="1"/>
    <xf numFmtId="0" fontId="250" fillId="0" borderId="0" xfId="0" applyFont="1" applyFill="1" applyAlignment="1">
      <alignment horizontal="center" vertical="center" wrapText="1"/>
    </xf>
    <xf numFmtId="0" fontId="252" fillId="0" borderId="0" xfId="0" applyFont="1" applyFill="1" applyBorder="1" applyAlignment="1">
      <alignment horizontal="center"/>
    </xf>
    <xf numFmtId="0" fontId="252" fillId="0" borderId="0" xfId="0" applyFont="1" applyFill="1" applyBorder="1"/>
    <xf numFmtId="0" fontId="250" fillId="0" borderId="0" xfId="0" applyFont="1" applyFill="1" applyBorder="1" applyAlignment="1">
      <alignment horizontal="center"/>
    </xf>
    <xf numFmtId="0" fontId="250" fillId="0" borderId="0" xfId="0" applyFont="1" applyFill="1" applyAlignment="1">
      <alignment horizontal="center"/>
    </xf>
    <xf numFmtId="165" fontId="250" fillId="0" borderId="0" xfId="3" applyNumberFormat="1" applyFont="1" applyFill="1" applyAlignment="1">
      <alignment horizontal="center"/>
    </xf>
    <xf numFmtId="37" fontId="250" fillId="0" borderId="0" xfId="3" applyNumberFormat="1" applyFont="1" applyFill="1" applyAlignment="1">
      <alignment horizontal="center"/>
    </xf>
    <xf numFmtId="0" fontId="252" fillId="0" borderId="0" xfId="0" applyFont="1" applyFill="1" applyAlignment="1">
      <alignment horizontal="center"/>
    </xf>
    <xf numFmtId="0" fontId="252" fillId="0" borderId="0" xfId="0" applyFont="1" applyFill="1" applyAlignment="1">
      <alignment horizontal="right"/>
    </xf>
    <xf numFmtId="165" fontId="252" fillId="0" borderId="120" xfId="0" applyNumberFormat="1" applyFont="1" applyFill="1" applyBorder="1" applyAlignment="1">
      <alignment horizontal="left"/>
    </xf>
    <xf numFmtId="37" fontId="252" fillId="0" borderId="0" xfId="0" applyNumberFormat="1" applyFont="1" applyFill="1" applyBorder="1"/>
    <xf numFmtId="4" fontId="252" fillId="0" borderId="0" xfId="0" applyNumberFormat="1" applyFont="1" applyFill="1" applyBorder="1"/>
    <xf numFmtId="260" fontId="252" fillId="0" borderId="0" xfId="3" applyFont="1" applyFill="1" applyBorder="1"/>
    <xf numFmtId="37" fontId="250" fillId="0" borderId="7" xfId="0" applyNumberFormat="1" applyFont="1" applyFill="1" applyBorder="1"/>
    <xf numFmtId="165" fontId="252" fillId="0" borderId="7" xfId="0" applyNumberFormat="1" applyFont="1" applyFill="1" applyBorder="1" applyAlignment="1">
      <alignment horizontal="left"/>
    </xf>
    <xf numFmtId="190" fontId="252" fillId="0" borderId="0" xfId="4" applyNumberFormat="1" applyFont="1" applyFill="1" applyBorder="1"/>
    <xf numFmtId="0" fontId="252" fillId="0" borderId="0" xfId="0" applyFont="1" applyFill="1" applyAlignment="1">
      <alignment horizontal="left"/>
    </xf>
    <xf numFmtId="165" fontId="256" fillId="0" borderId="7" xfId="0" applyNumberFormat="1" applyFont="1" applyFill="1" applyBorder="1" applyAlignment="1">
      <alignment horizontal="left"/>
    </xf>
    <xf numFmtId="37" fontId="256" fillId="0" borderId="0" xfId="0" applyNumberFormat="1" applyFont="1" applyFill="1" applyBorder="1"/>
    <xf numFmtId="165" fontId="256" fillId="0" borderId="10" xfId="0" applyNumberFormat="1" applyFont="1" applyFill="1" applyBorder="1" applyAlignment="1">
      <alignment horizontal="left"/>
    </xf>
    <xf numFmtId="165" fontId="252" fillId="9" borderId="0" xfId="3" applyNumberFormat="1" applyFont="1" applyFill="1" applyBorder="1"/>
    <xf numFmtId="37" fontId="257" fillId="0" borderId="0" xfId="0" applyNumberFormat="1" applyFont="1" applyFill="1"/>
    <xf numFmtId="37" fontId="256" fillId="0" borderId="0" xfId="0" applyNumberFormat="1" applyFont="1" applyFill="1"/>
    <xf numFmtId="0" fontId="250" fillId="0" borderId="0" xfId="0" applyFont="1" applyFill="1" applyBorder="1"/>
    <xf numFmtId="165" fontId="252" fillId="9" borderId="0" xfId="3" applyNumberFormat="1" applyFont="1" applyFill="1" applyBorder="1" applyAlignment="1"/>
    <xf numFmtId="0" fontId="252" fillId="0" borderId="0" xfId="0" applyFont="1" applyFill="1" applyAlignment="1">
      <alignment horizontal="left" vertical="center"/>
    </xf>
    <xf numFmtId="37" fontId="256" fillId="0" borderId="0" xfId="0" applyNumberFormat="1" applyFont="1" applyFill="1" applyBorder="1" applyAlignment="1">
      <alignment horizontal="center"/>
    </xf>
    <xf numFmtId="37" fontId="250" fillId="0" borderId="120" xfId="0" applyNumberFormat="1" applyFont="1" applyFill="1" applyBorder="1"/>
    <xf numFmtId="165" fontId="252" fillId="0" borderId="120" xfId="0" applyNumberFormat="1" applyFont="1" applyFill="1" applyBorder="1"/>
    <xf numFmtId="0" fontId="258" fillId="0" borderId="0" xfId="0" applyFont="1" applyFill="1"/>
    <xf numFmtId="37" fontId="252" fillId="0" borderId="0" xfId="0" applyNumberFormat="1" applyFont="1" applyFill="1" applyAlignment="1">
      <alignment horizontal="center"/>
    </xf>
    <xf numFmtId="165" fontId="252" fillId="0" borderId="7" xfId="0" applyNumberFormat="1" applyFont="1" applyFill="1" applyBorder="1"/>
    <xf numFmtId="37" fontId="252" fillId="0" borderId="0" xfId="0" applyNumberFormat="1" applyFont="1" applyFill="1"/>
    <xf numFmtId="165" fontId="252" fillId="0" borderId="7" xfId="3" applyNumberFormat="1" applyFont="1" applyFill="1" applyBorder="1" applyAlignment="1"/>
    <xf numFmtId="165" fontId="252" fillId="0" borderId="0" xfId="3" applyNumberFormat="1" applyFont="1" applyFill="1" applyBorder="1" applyAlignment="1"/>
    <xf numFmtId="43" fontId="256" fillId="0" borderId="0" xfId="3" applyNumberFormat="1" applyFont="1" applyFill="1" applyBorder="1"/>
    <xf numFmtId="165" fontId="256" fillId="0" borderId="0" xfId="3" applyNumberFormat="1" applyFont="1" applyFill="1" applyBorder="1"/>
    <xf numFmtId="165" fontId="252" fillId="0" borderId="0" xfId="3" applyNumberFormat="1" applyFont="1" applyFill="1" applyBorder="1"/>
    <xf numFmtId="37" fontId="250" fillId="0" borderId="0" xfId="0" applyNumberFormat="1" applyFont="1" applyFill="1"/>
    <xf numFmtId="37" fontId="250" fillId="0" borderId="0" xfId="0" applyNumberFormat="1" applyFont="1" applyFill="1" applyBorder="1"/>
    <xf numFmtId="37" fontId="250" fillId="0" borderId="9" xfId="0" applyNumberFormat="1" applyFont="1" applyFill="1" applyBorder="1"/>
    <xf numFmtId="37" fontId="252" fillId="0" borderId="9" xfId="0" applyNumberFormat="1" applyFont="1" applyFill="1" applyBorder="1"/>
    <xf numFmtId="172" fontId="252" fillId="0" borderId="0" xfId="0" applyNumberFormat="1" applyFont="1" applyFill="1" applyBorder="1"/>
    <xf numFmtId="37" fontId="250" fillId="0" borderId="8" xfId="0" quotePrefix="1" applyNumberFormat="1" applyFont="1" applyFill="1" applyBorder="1"/>
    <xf numFmtId="37" fontId="252" fillId="0" borderId="8" xfId="0" applyNumberFormat="1" applyFont="1" applyFill="1" applyBorder="1"/>
    <xf numFmtId="170" fontId="252" fillId="0" borderId="0" xfId="0" applyNumberFormat="1" applyFont="1" applyFill="1" applyBorder="1"/>
    <xf numFmtId="165" fontId="250" fillId="0" borderId="0" xfId="3" applyNumberFormat="1" applyFont="1" applyFill="1" applyBorder="1" applyAlignment="1">
      <alignment horizontal="center"/>
    </xf>
    <xf numFmtId="37" fontId="250" fillId="0" borderId="0" xfId="0" applyNumberFormat="1" applyFont="1" applyFill="1" applyAlignment="1">
      <alignment horizontal="center" wrapText="1"/>
    </xf>
    <xf numFmtId="37" fontId="250" fillId="0" borderId="0" xfId="0" applyNumberFormat="1" applyFont="1" applyFill="1" applyBorder="1" applyAlignment="1">
      <alignment horizontal="center" wrapText="1"/>
    </xf>
    <xf numFmtId="37" fontId="250" fillId="0" borderId="8" xfId="0" applyNumberFormat="1" applyFont="1" applyFill="1" applyBorder="1"/>
    <xf numFmtId="165" fontId="252" fillId="0" borderId="8" xfId="0" applyNumberFormat="1" applyFont="1" applyFill="1" applyBorder="1"/>
    <xf numFmtId="43" fontId="250" fillId="0" borderId="0" xfId="3" applyNumberFormat="1" applyFont="1" applyFill="1" applyBorder="1" applyAlignment="1">
      <alignment horizontal="center"/>
    </xf>
    <xf numFmtId="0" fontId="257" fillId="0" borderId="0" xfId="0" applyFont="1" applyFill="1"/>
    <xf numFmtId="0" fontId="259" fillId="0" borderId="0" xfId="0" applyFont="1" applyFill="1"/>
    <xf numFmtId="170" fontId="257" fillId="0" borderId="8" xfId="3" applyNumberFormat="1" applyFont="1" applyFill="1" applyBorder="1"/>
    <xf numFmtId="170" fontId="256" fillId="0" borderId="8" xfId="3" applyNumberFormat="1" applyFont="1" applyFill="1" applyBorder="1"/>
    <xf numFmtId="170" fontId="256" fillId="0" borderId="0" xfId="3" applyNumberFormat="1" applyFont="1" applyFill="1" applyBorder="1"/>
    <xf numFmtId="0" fontId="252" fillId="0" borderId="0" xfId="0" applyFont="1" applyFill="1" applyAlignment="1"/>
    <xf numFmtId="0" fontId="250" fillId="0" borderId="0" xfId="0" applyFont="1" applyFill="1" applyBorder="1" applyAlignment="1" applyProtection="1">
      <protection locked="0"/>
    </xf>
    <xf numFmtId="0" fontId="252" fillId="0" borderId="0" xfId="0" applyFont="1" applyFill="1" applyAlignment="1" applyProtection="1">
      <protection locked="0"/>
    </xf>
    <xf numFmtId="0" fontId="250" fillId="0" borderId="0" xfId="0" applyFont="1" applyFill="1" applyAlignment="1" applyProtection="1">
      <protection locked="0"/>
    </xf>
    <xf numFmtId="0" fontId="250" fillId="0" borderId="0" xfId="0" applyFont="1" applyFill="1" applyProtection="1">
      <protection locked="0"/>
    </xf>
    <xf numFmtId="0" fontId="250" fillId="0" borderId="0" xfId="0" applyFont="1" applyFill="1" applyAlignment="1" applyProtection="1">
      <alignment horizontal="center"/>
      <protection locked="0"/>
    </xf>
    <xf numFmtId="0" fontId="250" fillId="0" borderId="0" xfId="0" applyNumberFormat="1" applyFont="1" applyFill="1" applyAlignment="1" applyProtection="1">
      <alignment horizontal="center"/>
      <protection locked="0"/>
    </xf>
    <xf numFmtId="165" fontId="252" fillId="0" borderId="0" xfId="42" applyNumberFormat="1" applyFont="1" applyFill="1"/>
    <xf numFmtId="0" fontId="252" fillId="0" borderId="0" xfId="0" applyFont="1" applyFill="1" applyBorder="1" applyProtection="1">
      <protection locked="0"/>
    </xf>
    <xf numFmtId="0" fontId="252" fillId="0" borderId="0" xfId="0" applyFont="1" applyFill="1" applyProtection="1">
      <protection locked="0"/>
    </xf>
    <xf numFmtId="0" fontId="252" fillId="0" borderId="0" xfId="0" applyNumberFormat="1" applyFont="1" applyFill="1" applyBorder="1" applyAlignment="1" applyProtection="1">
      <alignment vertical="center"/>
    </xf>
    <xf numFmtId="0" fontId="250" fillId="0" borderId="0" xfId="0" applyFont="1" applyFill="1" applyAlignment="1" applyProtection="1">
      <alignment horizontal="center" vertical="top"/>
    </xf>
    <xf numFmtId="165" fontId="252" fillId="0" borderId="0" xfId="42" applyNumberFormat="1" applyFont="1" applyFill="1" applyAlignment="1">
      <alignment horizontal="center"/>
    </xf>
    <xf numFmtId="0" fontId="250" fillId="0" borderId="0" xfId="0" applyNumberFormat="1" applyFont="1" applyFill="1" applyBorder="1" applyAlignment="1" applyProtection="1"/>
    <xf numFmtId="165" fontId="250" fillId="0" borderId="0" xfId="42" applyNumberFormat="1" applyFont="1" applyFill="1" applyAlignment="1">
      <alignment horizontal="center"/>
    </xf>
    <xf numFmtId="0" fontId="250" fillId="0" borderId="0" xfId="0" applyNumberFormat="1" applyFont="1" applyFill="1" applyBorder="1" applyAlignment="1" applyProtection="1">
      <alignment horizontal="centerContinuous"/>
    </xf>
    <xf numFmtId="0" fontId="250" fillId="0" borderId="0" xfId="0" applyFont="1" applyFill="1" applyAlignment="1" applyProtection="1">
      <alignment horizontal="centerContinuous" vertical="top"/>
    </xf>
    <xf numFmtId="0" fontId="250" fillId="0" borderId="0" xfId="0" applyFont="1" applyFill="1" applyAlignment="1" applyProtection="1">
      <alignment horizontal="centerContinuous"/>
      <protection locked="0"/>
    </xf>
    <xf numFmtId="0" fontId="250" fillId="0" borderId="0" xfId="0" applyNumberFormat="1" applyFont="1" applyFill="1" applyAlignment="1" applyProtection="1">
      <alignment horizontal="centerContinuous"/>
      <protection locked="0"/>
    </xf>
    <xf numFmtId="165" fontId="250" fillId="0" borderId="0" xfId="42" applyNumberFormat="1" applyFont="1" applyFill="1" applyAlignment="1">
      <alignment horizontal="centerContinuous"/>
    </xf>
    <xf numFmtId="0" fontId="252" fillId="0" borderId="0" xfId="0" applyFont="1" applyFill="1" applyBorder="1" applyAlignment="1" applyProtection="1">
      <alignment horizontal="centerContinuous"/>
      <protection locked="0"/>
    </xf>
    <xf numFmtId="49" fontId="250" fillId="0" borderId="0" xfId="0" applyNumberFormat="1" applyFont="1" applyFill="1" applyAlignment="1">
      <alignment vertical="center" wrapText="1"/>
    </xf>
    <xf numFmtId="49" fontId="250" fillId="0" borderId="0" xfId="0" applyNumberFormat="1" applyFont="1" applyFill="1" applyBorder="1" applyAlignment="1">
      <alignment horizontal="center" vertical="center"/>
    </xf>
    <xf numFmtId="49" fontId="250" fillId="0" borderId="0" xfId="0" applyNumberFormat="1" applyFont="1" applyFill="1" applyBorder="1" applyAlignment="1">
      <alignment horizontal="center" vertical="top"/>
    </xf>
    <xf numFmtId="0" fontId="250" fillId="0" borderId="0" xfId="0" applyFont="1" applyFill="1" applyAlignment="1">
      <alignment horizontal="center" vertical="center"/>
    </xf>
    <xf numFmtId="1" fontId="250" fillId="0" borderId="0" xfId="0" applyNumberFormat="1" applyFont="1" applyFill="1" applyBorder="1" applyAlignment="1">
      <alignment horizontal="center" vertical="center"/>
    </xf>
    <xf numFmtId="165" fontId="250" fillId="0" borderId="0" xfId="3" applyNumberFormat="1" applyFont="1" applyFill="1" applyAlignment="1">
      <alignment horizontal="left"/>
    </xf>
    <xf numFmtId="0" fontId="250" fillId="0" borderId="0" xfId="0" applyNumberFormat="1" applyFont="1" applyFill="1"/>
    <xf numFmtId="0" fontId="250" fillId="0" borderId="0" xfId="0" applyFont="1" applyFill="1" applyAlignment="1">
      <alignment vertical="center"/>
    </xf>
    <xf numFmtId="37" fontId="252" fillId="0" borderId="120" xfId="0" applyNumberFormat="1" applyFont="1" applyFill="1" applyBorder="1"/>
    <xf numFmtId="165" fontId="252" fillId="0" borderId="121" xfId="3" applyNumberFormat="1" applyFont="1" applyFill="1" applyBorder="1"/>
    <xf numFmtId="165" fontId="252" fillId="0" borderId="0" xfId="0" applyNumberFormat="1" applyFont="1" applyFill="1"/>
    <xf numFmtId="37" fontId="250" fillId="0" borderId="7" xfId="3" applyNumberFormat="1" applyFont="1" applyFill="1" applyBorder="1"/>
    <xf numFmtId="37" fontId="252" fillId="0" borderId="0" xfId="3" applyNumberFormat="1" applyFont="1" applyFill="1" applyBorder="1"/>
    <xf numFmtId="37" fontId="252" fillId="0" borderId="7" xfId="3" applyNumberFormat="1" applyFont="1" applyFill="1" applyBorder="1"/>
    <xf numFmtId="3" fontId="252" fillId="0" borderId="5" xfId="3" applyNumberFormat="1" applyFont="1" applyFill="1" applyBorder="1"/>
    <xf numFmtId="37" fontId="252" fillId="0" borderId="5" xfId="0" applyNumberFormat="1" applyFont="1" applyFill="1" applyBorder="1"/>
    <xf numFmtId="165" fontId="252" fillId="0" borderId="5" xfId="3" applyNumberFormat="1" applyFont="1" applyFill="1" applyBorder="1"/>
    <xf numFmtId="0" fontId="252" fillId="0" borderId="0" xfId="0" quotePrefix="1" applyFont="1" applyFill="1" applyAlignment="1">
      <alignment horizontal="left" indent="1"/>
    </xf>
    <xf numFmtId="0" fontId="252" fillId="0" borderId="0" xfId="0" applyNumberFormat="1" applyFont="1" applyFill="1" applyBorder="1" applyAlignment="1">
      <alignment horizontal="center"/>
    </xf>
    <xf numFmtId="165" fontId="252" fillId="0" borderId="66" xfId="3" applyNumberFormat="1" applyFont="1" applyFill="1" applyBorder="1"/>
    <xf numFmtId="260" fontId="250" fillId="0" borderId="64" xfId="3" applyFont="1" applyFill="1" applyBorder="1"/>
    <xf numFmtId="165" fontId="252" fillId="5" borderId="0" xfId="3" applyNumberFormat="1" applyFont="1" applyFill="1" applyBorder="1"/>
    <xf numFmtId="165" fontId="252" fillId="0" borderId="0" xfId="3" applyNumberFormat="1" applyFont="1" applyFill="1"/>
    <xf numFmtId="37" fontId="250" fillId="0" borderId="0" xfId="3" applyNumberFormat="1" applyFont="1" applyFill="1"/>
    <xf numFmtId="37" fontId="252" fillId="0" borderId="0" xfId="3" applyNumberFormat="1" applyFont="1" applyFill="1"/>
    <xf numFmtId="166" fontId="252" fillId="0" borderId="0" xfId="0" applyNumberFormat="1" applyFont="1" applyFill="1" applyBorder="1" applyAlignment="1">
      <alignment horizontal="center"/>
    </xf>
    <xf numFmtId="37" fontId="250" fillId="0" borderId="120" xfId="3" applyNumberFormat="1" applyFont="1" applyFill="1" applyBorder="1"/>
    <xf numFmtId="165" fontId="252" fillId="0" borderId="120" xfId="3" applyNumberFormat="1" applyFont="1" applyFill="1" applyBorder="1"/>
    <xf numFmtId="3" fontId="185" fillId="0" borderId="5" xfId="3" applyNumberFormat="1" applyFont="1" applyFill="1" applyBorder="1"/>
    <xf numFmtId="165" fontId="250" fillId="0" borderId="0" xfId="0" applyNumberFormat="1" applyFont="1" applyFill="1" applyBorder="1"/>
    <xf numFmtId="165" fontId="252" fillId="0" borderId="7" xfId="3" applyNumberFormat="1" applyFont="1" applyFill="1" applyBorder="1"/>
    <xf numFmtId="3" fontId="185" fillId="10" borderId="5" xfId="3" applyNumberFormat="1" applyFont="1" applyFill="1" applyBorder="1"/>
    <xf numFmtId="0" fontId="185" fillId="0" borderId="5" xfId="3" applyNumberFormat="1" applyFont="1" applyFill="1" applyBorder="1"/>
    <xf numFmtId="37" fontId="252" fillId="0" borderId="0" xfId="0" applyNumberFormat="1" applyFont="1" applyFill="1" applyBorder="1" applyAlignment="1">
      <alignment horizontal="center"/>
    </xf>
    <xf numFmtId="1" fontId="185" fillId="0" borderId="5" xfId="3" applyNumberFormat="1" applyFont="1" applyFill="1" applyBorder="1"/>
    <xf numFmtId="165" fontId="185" fillId="0" borderId="5" xfId="3" applyNumberFormat="1" applyFont="1" applyFill="1" applyBorder="1"/>
    <xf numFmtId="165" fontId="252" fillId="0" borderId="10" xfId="3" applyNumberFormat="1" applyFont="1" applyFill="1" applyBorder="1"/>
    <xf numFmtId="260" fontId="252" fillId="0" borderId="0" xfId="3" applyFont="1" applyFill="1"/>
    <xf numFmtId="165" fontId="252" fillId="0" borderId="2" xfId="3" applyNumberFormat="1" applyFont="1" applyFill="1" applyBorder="1"/>
    <xf numFmtId="165" fontId="250" fillId="0" borderId="120" xfId="3" applyNumberFormat="1" applyFont="1" applyFill="1" applyBorder="1"/>
    <xf numFmtId="165" fontId="252" fillId="0" borderId="59" xfId="3" applyNumberFormat="1" applyFont="1" applyFill="1" applyBorder="1"/>
    <xf numFmtId="165" fontId="250" fillId="0" borderId="10" xfId="3" applyNumberFormat="1" applyFont="1" applyFill="1" applyBorder="1"/>
    <xf numFmtId="165" fontId="252" fillId="0" borderId="64" xfId="3" applyNumberFormat="1" applyFont="1" applyFill="1" applyBorder="1"/>
    <xf numFmtId="165" fontId="250" fillId="0" borderId="0" xfId="3" applyNumberFormat="1" applyFont="1" applyFill="1"/>
    <xf numFmtId="260" fontId="250" fillId="0" borderId="0" xfId="3" applyFont="1" applyFill="1"/>
    <xf numFmtId="165" fontId="252" fillId="0" borderId="9" xfId="3" applyNumberFormat="1" applyFont="1" applyFill="1" applyBorder="1"/>
    <xf numFmtId="43" fontId="252" fillId="0" borderId="0" xfId="0" applyNumberFormat="1" applyFont="1" applyFill="1"/>
    <xf numFmtId="0" fontId="252" fillId="0" borderId="0" xfId="0" applyFont="1" applyFill="1" applyAlignment="1">
      <alignment horizontal="left" indent="1"/>
    </xf>
    <xf numFmtId="165" fontId="252" fillId="0" borderId="0" xfId="5313" applyNumberFormat="1" applyFont="1" applyFill="1"/>
    <xf numFmtId="165" fontId="250" fillId="0" borderId="0" xfId="5313" applyNumberFormat="1" applyFont="1" applyFill="1" applyAlignment="1">
      <alignment vertical="top"/>
    </xf>
    <xf numFmtId="0" fontId="252" fillId="0" borderId="0" xfId="5313" applyNumberFormat="1" applyFont="1" applyAlignment="1">
      <alignment vertical="top"/>
    </xf>
    <xf numFmtId="165" fontId="250" fillId="0" borderId="0" xfId="5313" applyNumberFormat="1" applyFont="1" applyFill="1" applyAlignment="1">
      <alignment horizontal="center" vertical="top"/>
    </xf>
    <xf numFmtId="165" fontId="250" fillId="0" borderId="0" xfId="5313" applyNumberFormat="1" applyFont="1" applyFill="1" applyBorder="1" applyAlignment="1">
      <alignment horizontal="center" vertical="top"/>
    </xf>
    <xf numFmtId="165" fontId="250" fillId="0" borderId="0" xfId="5313" applyNumberFormat="1" applyFont="1" applyFill="1" applyAlignment="1" applyProtection="1">
      <alignment horizontal="center"/>
    </xf>
    <xf numFmtId="165" fontId="252" fillId="0" borderId="0" xfId="5313" applyNumberFormat="1" applyFont="1" applyFill="1" applyBorder="1"/>
    <xf numFmtId="0" fontId="250" fillId="0" borderId="0" xfId="0" applyFont="1"/>
    <xf numFmtId="0" fontId="252" fillId="0" borderId="0" xfId="5313" applyNumberFormat="1" applyFont="1" applyFill="1" applyAlignment="1">
      <alignment vertical="top"/>
    </xf>
    <xf numFmtId="0" fontId="256" fillId="0" borderId="0" xfId="26659" applyFont="1"/>
    <xf numFmtId="0" fontId="250" fillId="0" borderId="0" xfId="0" applyFont="1" applyAlignment="1"/>
    <xf numFmtId="0" fontId="256" fillId="0" borderId="0" xfId="26659" applyFont="1" applyBorder="1"/>
    <xf numFmtId="0" fontId="250" fillId="0" borderId="0" xfId="0" applyFont="1" applyAlignment="1">
      <alignment horizontal="center"/>
    </xf>
    <xf numFmtId="37" fontId="250" fillId="0" borderId="0" xfId="1373" applyNumberFormat="1" applyFont="1" applyFill="1" applyAlignment="1">
      <alignment vertical="top"/>
    </xf>
    <xf numFmtId="165" fontId="252" fillId="0" borderId="0" xfId="5313" applyNumberFormat="1" applyFont="1" applyFill="1" applyBorder="1" applyAlignment="1">
      <alignment horizontal="center"/>
    </xf>
    <xf numFmtId="0" fontId="252" fillId="0" borderId="0" xfId="5313" applyNumberFormat="1" applyFont="1" applyFill="1" applyBorder="1" applyAlignment="1">
      <alignment vertical="top"/>
    </xf>
    <xf numFmtId="0" fontId="250" fillId="0" borderId="0" xfId="5313" applyNumberFormat="1" applyFont="1" applyFill="1" applyBorder="1" applyAlignment="1">
      <alignment vertical="top"/>
    </xf>
    <xf numFmtId="0" fontId="252" fillId="0" borderId="0" xfId="39" applyFont="1" applyFill="1"/>
    <xf numFmtId="0" fontId="252" fillId="0" borderId="0" xfId="5313" quotePrefix="1" applyNumberFormat="1" applyFont="1" applyFill="1" applyBorder="1" applyAlignment="1">
      <alignment horizontal="left" indent="1"/>
    </xf>
    <xf numFmtId="0" fontId="79" fillId="0" borderId="0" xfId="0" applyFont="1"/>
    <xf numFmtId="165" fontId="252" fillId="0" borderId="0" xfId="5313" quotePrefix="1" applyNumberFormat="1" applyFont="1" applyFill="1" applyBorder="1" applyAlignment="1" applyProtection="1">
      <alignment horizontal="center" vertical="top"/>
    </xf>
    <xf numFmtId="0" fontId="252" fillId="0" borderId="0" xfId="39" applyFont="1" applyFill="1" applyBorder="1" applyAlignment="1">
      <alignment horizontal="center"/>
    </xf>
    <xf numFmtId="0" fontId="250" fillId="0" borderId="0" xfId="39" applyFont="1" applyFill="1" applyAlignment="1"/>
    <xf numFmtId="165" fontId="252" fillId="0" borderId="102" xfId="800" applyNumberFormat="1" applyFont="1" applyFill="1" applyBorder="1" applyAlignment="1">
      <alignment horizontal="center" vertical="top" wrapText="1"/>
    </xf>
    <xf numFmtId="0" fontId="252" fillId="0" borderId="0" xfId="5313" applyNumberFormat="1" applyFont="1" applyFill="1" applyBorder="1" applyAlignment="1" applyProtection="1">
      <alignment vertical="top"/>
    </xf>
    <xf numFmtId="0" fontId="250" fillId="0" borderId="0" xfId="39" applyFont="1" applyFill="1" applyAlignment="1" applyProtection="1">
      <alignment horizontal="left" vertical="top"/>
    </xf>
    <xf numFmtId="165" fontId="252" fillId="0" borderId="0" xfId="5313" applyNumberFormat="1" applyFont="1" applyFill="1" applyAlignment="1">
      <alignment horizontal="center"/>
    </xf>
    <xf numFmtId="165" fontId="250" fillId="0" borderId="0" xfId="5313" applyNumberFormat="1" applyFont="1" applyAlignment="1">
      <alignment horizontal="center" vertical="top"/>
    </xf>
    <xf numFmtId="0" fontId="256" fillId="0" borderId="0" xfId="26659" applyFont="1" applyFill="1"/>
    <xf numFmtId="0" fontId="252" fillId="0" borderId="0" xfId="0" applyNumberFormat="1" applyFont="1" applyFill="1" applyAlignment="1"/>
    <xf numFmtId="165" fontId="252" fillId="0" borderId="16" xfId="3" applyNumberFormat="1" applyFont="1" applyFill="1" applyBorder="1"/>
    <xf numFmtId="165" fontId="252" fillId="0" borderId="53" xfId="3" applyNumberFormat="1" applyFont="1" applyFill="1" applyBorder="1"/>
    <xf numFmtId="0" fontId="250" fillId="0" borderId="0" xfId="0" applyNumberFormat="1" applyFont="1" applyFill="1" applyAlignment="1"/>
    <xf numFmtId="165" fontId="252" fillId="0" borderId="6" xfId="3" applyNumberFormat="1" applyFont="1" applyFill="1" applyBorder="1"/>
    <xf numFmtId="181" fontId="252" fillId="0" borderId="0" xfId="0" applyNumberFormat="1" applyFont="1" applyFill="1"/>
    <xf numFmtId="0" fontId="252" fillId="0" borderId="0" xfId="0" quotePrefix="1" applyFont="1" applyFill="1"/>
    <xf numFmtId="37" fontId="259" fillId="0" borderId="0" xfId="0" applyNumberFormat="1" applyFont="1" applyFill="1" applyAlignment="1">
      <alignment horizontal="center"/>
    </xf>
    <xf numFmtId="165" fontId="252" fillId="0" borderId="0" xfId="0" applyNumberFormat="1" applyFont="1" applyFill="1" applyBorder="1"/>
    <xf numFmtId="165" fontId="252" fillId="0" borderId="0" xfId="3" applyNumberFormat="1" applyFont="1" applyFill="1" applyAlignment="1" applyProtection="1">
      <protection locked="0"/>
    </xf>
    <xf numFmtId="165" fontId="252" fillId="0" borderId="0" xfId="3" applyNumberFormat="1" applyFont="1" applyFill="1" applyProtection="1">
      <protection locked="0"/>
    </xf>
    <xf numFmtId="3" fontId="252" fillId="0" borderId="0" xfId="0" applyNumberFormat="1" applyFont="1" applyFill="1" applyBorder="1"/>
    <xf numFmtId="260" fontId="250" fillId="0" borderId="0" xfId="3" applyFont="1" applyFill="1" applyBorder="1" applyAlignment="1">
      <alignment horizontal="right" vertical="center"/>
    </xf>
    <xf numFmtId="3" fontId="252" fillId="0" borderId="0" xfId="0" applyNumberFormat="1" applyFont="1" applyFill="1"/>
    <xf numFmtId="0" fontId="250" fillId="0" borderId="0" xfId="1732" applyFont="1" applyFill="1" applyBorder="1" applyAlignment="1" applyProtection="1">
      <alignment horizontal="center" vertical="top"/>
    </xf>
    <xf numFmtId="0" fontId="250" fillId="0" borderId="0" xfId="1732" applyFont="1" applyFill="1" applyBorder="1" applyAlignment="1" applyProtection="1">
      <alignment horizontal="center" vertical="center" wrapText="1"/>
    </xf>
    <xf numFmtId="260" fontId="250" fillId="0" borderId="0" xfId="3" applyFont="1" applyFill="1" applyBorder="1" applyAlignment="1" applyProtection="1">
      <alignment horizontal="right" vertical="top"/>
    </xf>
    <xf numFmtId="0" fontId="250" fillId="0" borderId="0" xfId="1732" quotePrefix="1" applyFont="1" applyFill="1" applyBorder="1" applyAlignment="1" applyProtection="1">
      <alignment horizontal="center" vertical="top"/>
    </xf>
    <xf numFmtId="260" fontId="250" fillId="0" borderId="0" xfId="3" quotePrefix="1" applyFont="1" applyFill="1" applyBorder="1" applyAlignment="1" applyProtection="1">
      <alignment horizontal="center" vertical="top"/>
    </xf>
    <xf numFmtId="0" fontId="250" fillId="0" borderId="0" xfId="849" applyNumberFormat="1" applyFont="1" applyFill="1" applyBorder="1" applyAlignment="1">
      <alignment horizontal="center" vertical="center" wrapText="1"/>
    </xf>
    <xf numFmtId="49" fontId="250" fillId="0" borderId="0" xfId="0" quotePrefix="1" applyNumberFormat="1" applyFont="1" applyFill="1" applyBorder="1" applyAlignment="1">
      <alignment horizontal="center" vertical="center"/>
    </xf>
    <xf numFmtId="165" fontId="250" fillId="0" borderId="0" xfId="3" applyNumberFormat="1" applyFont="1" applyFill="1" applyAlignment="1">
      <alignment horizontal="centerContinuous"/>
    </xf>
    <xf numFmtId="0" fontId="252" fillId="0" borderId="0" xfId="0" applyFont="1" applyFill="1" applyAlignment="1">
      <alignment vertical="top"/>
    </xf>
    <xf numFmtId="228" fontId="252" fillId="0" borderId="0" xfId="3" applyNumberFormat="1" applyFont="1" applyFill="1" applyAlignment="1"/>
    <xf numFmtId="260" fontId="252" fillId="0" borderId="0" xfId="3" applyFont="1" applyFill="1" applyAlignment="1"/>
    <xf numFmtId="260" fontId="252" fillId="0" borderId="0" xfId="0" applyNumberFormat="1" applyFont="1" applyFill="1"/>
    <xf numFmtId="228" fontId="252" fillId="0" borderId="120" xfId="40395" applyNumberFormat="1" applyFont="1" applyFill="1" applyBorder="1" applyAlignment="1">
      <alignment vertical="top"/>
    </xf>
    <xf numFmtId="228" fontId="252" fillId="0" borderId="120" xfId="3" applyNumberFormat="1" applyFont="1" applyFill="1" applyBorder="1" applyAlignment="1">
      <alignment vertical="top"/>
    </xf>
    <xf numFmtId="228" fontId="252" fillId="0" borderId="119" xfId="3" applyNumberFormat="1" applyFont="1" applyFill="1" applyBorder="1" applyAlignment="1">
      <alignment vertical="top"/>
    </xf>
    <xf numFmtId="228" fontId="252" fillId="0" borderId="0" xfId="3" applyNumberFormat="1" applyFont="1" applyFill="1" applyBorder="1" applyAlignment="1"/>
    <xf numFmtId="261" fontId="252" fillId="0" borderId="0" xfId="3" applyNumberFormat="1" applyFont="1" applyFill="1"/>
    <xf numFmtId="228" fontId="252" fillId="0" borderId="10" xfId="40395" applyNumberFormat="1" applyFont="1" applyFill="1" applyBorder="1" applyAlignment="1">
      <alignment vertical="top"/>
    </xf>
    <xf numFmtId="228" fontId="252" fillId="0" borderId="10" xfId="3" applyNumberFormat="1" applyFont="1" applyFill="1" applyBorder="1" applyAlignment="1">
      <alignment vertical="top"/>
    </xf>
    <xf numFmtId="228" fontId="252" fillId="0" borderId="127" xfId="3" applyNumberFormat="1" applyFont="1" applyFill="1" applyBorder="1" applyAlignment="1">
      <alignment vertical="top"/>
    </xf>
    <xf numFmtId="0" fontId="256" fillId="0" borderId="0" xfId="131" applyFont="1" applyFill="1" applyAlignment="1">
      <alignment horizontal="left" indent="1"/>
      <protection locked="0"/>
    </xf>
    <xf numFmtId="228" fontId="252" fillId="0" borderId="10" xfId="3" applyNumberFormat="1" applyFont="1" applyFill="1" applyBorder="1" applyAlignment="1"/>
    <xf numFmtId="0" fontId="256" fillId="0" borderId="0" xfId="0" applyFont="1" applyFill="1" applyAlignment="1" applyProtection="1">
      <alignment horizontal="left" indent="4"/>
      <protection locked="0"/>
    </xf>
    <xf numFmtId="0" fontId="252" fillId="0" borderId="0" xfId="33" applyFont="1" applyFill="1"/>
    <xf numFmtId="0" fontId="256" fillId="0" borderId="0" xfId="0" applyFont="1" applyFill="1" applyAlignment="1" applyProtection="1">
      <protection locked="0"/>
    </xf>
    <xf numFmtId="228" fontId="252" fillId="0" borderId="120" xfId="592" applyNumberFormat="1" applyFont="1" applyFill="1" applyBorder="1" applyAlignment="1">
      <alignment vertical="top"/>
    </xf>
    <xf numFmtId="228" fontId="252" fillId="0" borderId="120" xfId="3" applyNumberFormat="1" applyFont="1" applyFill="1" applyBorder="1" applyAlignment="1"/>
    <xf numFmtId="228" fontId="252" fillId="0" borderId="0" xfId="592" applyNumberFormat="1" applyFont="1" applyFill="1" applyBorder="1" applyAlignment="1">
      <alignment vertical="top"/>
    </xf>
    <xf numFmtId="228" fontId="252" fillId="0" borderId="10" xfId="592" applyNumberFormat="1" applyFont="1" applyFill="1" applyBorder="1" applyAlignment="1">
      <alignment vertical="top"/>
    </xf>
    <xf numFmtId="165" fontId="252" fillId="0" borderId="0" xfId="592" applyNumberFormat="1" applyFont="1" applyFill="1" applyBorder="1" applyAlignment="1">
      <alignment vertical="top"/>
    </xf>
    <xf numFmtId="43" fontId="252" fillId="0" borderId="0" xfId="3" applyNumberFormat="1" applyFont="1" applyFill="1"/>
    <xf numFmtId="0" fontId="250" fillId="0" borderId="0" xfId="33" applyFont="1" applyFill="1" applyAlignment="1"/>
    <xf numFmtId="228" fontId="252" fillId="0" borderId="102" xfId="3" applyNumberFormat="1" applyFont="1" applyFill="1" applyBorder="1" applyAlignment="1"/>
    <xf numFmtId="0" fontId="252" fillId="0" borderId="0" xfId="33" applyFont="1" applyFill="1" applyAlignment="1"/>
    <xf numFmtId="228" fontId="252" fillId="0" borderId="101" xfId="3" applyNumberFormat="1" applyFont="1" applyFill="1" applyBorder="1" applyAlignment="1"/>
    <xf numFmtId="176" fontId="252" fillId="0" borderId="0" xfId="3" applyNumberFormat="1" applyFont="1" applyFill="1"/>
    <xf numFmtId="0" fontId="252" fillId="0" borderId="0" xfId="0" applyFont="1" applyFill="1" applyBorder="1" applyAlignment="1"/>
    <xf numFmtId="0" fontId="250" fillId="0" borderId="0" xfId="1732" applyFont="1" applyFill="1" applyAlignment="1" applyProtection="1">
      <alignment horizontal="center" vertical="top"/>
      <protection locked="0"/>
    </xf>
    <xf numFmtId="260" fontId="250" fillId="0" borderId="0" xfId="3" applyFont="1" applyFill="1" applyBorder="1"/>
    <xf numFmtId="43" fontId="252" fillId="0" borderId="0" xfId="3" applyNumberFormat="1" applyFont="1" applyFill="1" applyBorder="1"/>
    <xf numFmtId="260" fontId="250" fillId="0" borderId="0" xfId="3" applyFont="1" applyFill="1" applyAlignment="1" applyProtection="1">
      <protection locked="0"/>
    </xf>
    <xf numFmtId="165" fontId="250" fillId="0" borderId="0" xfId="42" applyNumberFormat="1" applyFont="1" applyFill="1"/>
    <xf numFmtId="0" fontId="250" fillId="0" borderId="0" xfId="0" applyFont="1" applyFill="1" applyBorder="1" applyAlignment="1">
      <alignment vertical="top"/>
    </xf>
    <xf numFmtId="0" fontId="252" fillId="0" borderId="0" xfId="0" applyFont="1" applyFill="1" applyBorder="1" applyAlignment="1">
      <alignment vertical="top"/>
    </xf>
    <xf numFmtId="0" fontId="250" fillId="0" borderId="0" xfId="0" quotePrefix="1" applyFont="1" applyFill="1" applyBorder="1" applyAlignment="1">
      <alignment horizontal="left" vertical="top"/>
    </xf>
    <xf numFmtId="0" fontId="250" fillId="0" borderId="0" xfId="0" applyFont="1" applyFill="1" applyBorder="1" applyAlignment="1">
      <alignment horizontal="left" vertical="top"/>
    </xf>
    <xf numFmtId="0" fontId="250" fillId="0" borderId="0" xfId="0" applyFont="1" applyFill="1" applyBorder="1" applyAlignment="1" applyProtection="1">
      <alignment horizontal="left" vertical="top"/>
    </xf>
    <xf numFmtId="49" fontId="250" fillId="0" borderId="0" xfId="0" applyNumberFormat="1" applyFont="1" applyFill="1" applyBorder="1" applyAlignment="1" applyProtection="1">
      <alignment horizontal="left" vertical="top"/>
    </xf>
    <xf numFmtId="0" fontId="252" fillId="0" borderId="0" xfId="0" applyFont="1" applyFill="1" applyBorder="1" applyAlignment="1">
      <alignment horizontal="justify" vertical="top" wrapText="1"/>
    </xf>
    <xf numFmtId="0" fontId="252" fillId="0" borderId="0" xfId="3" applyNumberFormat="1" applyFont="1" applyFill="1" applyBorder="1" applyAlignment="1">
      <alignment vertical="top"/>
    </xf>
    <xf numFmtId="37" fontId="252" fillId="0" borderId="0" xfId="0" applyNumberFormat="1" applyFont="1" applyFill="1" applyBorder="1" applyAlignment="1" applyProtection="1">
      <alignment vertical="top" wrapText="1"/>
    </xf>
    <xf numFmtId="37" fontId="252" fillId="0" borderId="0" xfId="0" applyNumberFormat="1" applyFont="1" applyFill="1" applyBorder="1" applyAlignment="1" applyProtection="1">
      <alignment vertical="top"/>
    </xf>
    <xf numFmtId="165" fontId="252" fillId="0" borderId="0" xfId="3" applyNumberFormat="1" applyFont="1" applyFill="1" applyBorder="1" applyAlignment="1">
      <alignment vertical="top"/>
    </xf>
    <xf numFmtId="0" fontId="252" fillId="0" borderId="0" xfId="0" applyFont="1" applyFill="1" applyBorder="1" applyAlignment="1" applyProtection="1">
      <alignment horizontal="left" vertical="top" wrapText="1"/>
    </xf>
    <xf numFmtId="37" fontId="252" fillId="0" borderId="0" xfId="0" applyNumberFormat="1" applyFont="1" applyFill="1" applyBorder="1" applyAlignment="1" applyProtection="1">
      <alignment horizontal="justify" vertical="top"/>
    </xf>
    <xf numFmtId="0" fontId="250" fillId="0" borderId="0" xfId="0" applyNumberFormat="1" applyFont="1" applyFill="1" applyBorder="1" applyAlignment="1">
      <alignment vertical="top"/>
    </xf>
    <xf numFmtId="0" fontId="258" fillId="0" borderId="0" xfId="0" applyFont="1" applyFill="1" applyBorder="1" applyAlignment="1">
      <alignment vertical="top"/>
    </xf>
    <xf numFmtId="0" fontId="185" fillId="0" borderId="0" xfId="68" applyFont="1" applyFill="1" applyAlignment="1">
      <alignment vertical="top"/>
    </xf>
    <xf numFmtId="0" fontId="185" fillId="0" borderId="0" xfId="68" applyFont="1" applyFill="1" applyAlignment="1">
      <alignment vertical="top" wrapText="1"/>
    </xf>
    <xf numFmtId="0" fontId="250" fillId="0" borderId="0" xfId="0" applyNumberFormat="1" applyFont="1" applyFill="1" applyAlignment="1">
      <alignment vertical="top"/>
    </xf>
    <xf numFmtId="0" fontId="250" fillId="0" borderId="0" xfId="0" applyNumberFormat="1" applyFont="1" applyFill="1" applyAlignment="1">
      <alignment horizontal="left" vertical="top" wrapText="1"/>
    </xf>
    <xf numFmtId="0" fontId="250" fillId="0" borderId="0" xfId="25179" quotePrefix="1" applyFont="1" applyFill="1" applyAlignment="1">
      <alignment horizontal="left" vertical="top"/>
    </xf>
    <xf numFmtId="0" fontId="250" fillId="0" borderId="0" xfId="0" applyFont="1" applyFill="1" applyAlignment="1">
      <alignment horizontal="left" vertical="top"/>
    </xf>
    <xf numFmtId="178" fontId="252" fillId="0" borderId="0" xfId="0" applyNumberFormat="1" applyFont="1" applyFill="1" applyAlignment="1">
      <alignment vertical="top"/>
    </xf>
    <xf numFmtId="0" fontId="250" fillId="0" borderId="0" xfId="0" applyFont="1" applyFill="1" applyAlignment="1" applyProtection="1">
      <alignment vertical="top"/>
    </xf>
    <xf numFmtId="0" fontId="252" fillId="0" borderId="0" xfId="0" applyNumberFormat="1" applyFont="1" applyFill="1" applyAlignment="1">
      <alignment vertical="top"/>
    </xf>
    <xf numFmtId="0" fontId="252" fillId="0" borderId="0" xfId="0" applyNumberFormat="1" applyFont="1" applyFill="1" applyAlignment="1">
      <alignment horizontal="left" vertical="top" wrapText="1"/>
    </xf>
    <xf numFmtId="0" fontId="252" fillId="0" borderId="0" xfId="0" applyFont="1" applyFill="1" applyAlignment="1">
      <alignment horizontal="center" vertical="top"/>
    </xf>
    <xf numFmtId="0" fontId="250" fillId="0" borderId="0" xfId="0" applyFont="1" applyFill="1" applyAlignment="1">
      <alignment horizontal="center" vertical="top"/>
    </xf>
    <xf numFmtId="49" fontId="257" fillId="0" borderId="0" xfId="0" quotePrefix="1" applyNumberFormat="1" applyFont="1" applyFill="1" applyBorder="1" applyAlignment="1">
      <alignment horizontal="center" vertical="top" wrapText="1"/>
    </xf>
    <xf numFmtId="0" fontId="252" fillId="0" borderId="0" xfId="0" applyFont="1" applyFill="1" applyAlignment="1">
      <alignment horizontal="center" vertical="top" wrapText="1"/>
    </xf>
    <xf numFmtId="0" fontId="250" fillId="0" borderId="0" xfId="0" quotePrefix="1" applyFont="1" applyFill="1" applyBorder="1" applyAlignment="1">
      <alignment horizontal="center" vertical="top"/>
    </xf>
    <xf numFmtId="0" fontId="250" fillId="0" borderId="0" xfId="0" applyFont="1" applyFill="1" applyBorder="1" applyAlignment="1">
      <alignment horizontal="center" vertical="top"/>
    </xf>
    <xf numFmtId="0" fontId="250" fillId="0" borderId="0" xfId="0" applyFont="1" applyFill="1" applyAlignment="1">
      <alignment vertical="top"/>
    </xf>
    <xf numFmtId="165" fontId="252" fillId="0" borderId="0" xfId="3" applyNumberFormat="1" applyFont="1" applyFill="1" applyAlignment="1">
      <alignment vertical="top"/>
    </xf>
    <xf numFmtId="165" fontId="252" fillId="0" borderId="9" xfId="3" applyNumberFormat="1" applyFont="1" applyFill="1" applyBorder="1" applyAlignment="1">
      <alignment vertical="top"/>
    </xf>
    <xf numFmtId="228" fontId="252" fillId="0" borderId="0" xfId="0" applyNumberFormat="1" applyFont="1" applyFill="1" applyAlignment="1"/>
    <xf numFmtId="165" fontId="250" fillId="0" borderId="0" xfId="3" quotePrefix="1" applyNumberFormat="1" applyFont="1" applyFill="1" applyAlignment="1">
      <alignment horizontal="center" vertical="top"/>
    </xf>
    <xf numFmtId="165" fontId="250" fillId="0" borderId="0" xfId="3" applyNumberFormat="1" applyFont="1" applyFill="1" applyAlignment="1">
      <alignment horizontal="center" vertical="top"/>
    </xf>
    <xf numFmtId="0" fontId="252" fillId="0" borderId="0" xfId="0" quotePrefix="1" applyFont="1" applyFill="1" applyAlignment="1">
      <alignment horizontal="left" vertical="top"/>
    </xf>
    <xf numFmtId="0" fontId="250" fillId="0" borderId="0" xfId="0" applyNumberFormat="1" applyFont="1" applyFill="1" applyBorder="1" applyAlignment="1"/>
    <xf numFmtId="228" fontId="252" fillId="0" borderId="0" xfId="0" applyNumberFormat="1" applyFont="1" applyFill="1" applyBorder="1" applyAlignment="1"/>
    <xf numFmtId="37" fontId="252" fillId="0" borderId="0" xfId="0" applyNumberFormat="1" applyFont="1" applyFill="1" applyBorder="1" applyAlignment="1">
      <alignment horizontal="centerContinuous"/>
    </xf>
    <xf numFmtId="228" fontId="252" fillId="0" borderId="0" xfId="0" applyNumberFormat="1" applyFont="1" applyFill="1" applyAlignment="1">
      <alignment vertical="top"/>
    </xf>
    <xf numFmtId="228" fontId="252" fillId="0" borderId="0" xfId="3" applyNumberFormat="1" applyFont="1" applyFill="1" applyBorder="1" applyAlignment="1">
      <alignment vertical="top"/>
    </xf>
    <xf numFmtId="260" fontId="252" fillId="0" borderId="0" xfId="3" applyFont="1" applyFill="1" applyBorder="1" applyAlignment="1">
      <alignment vertical="top"/>
    </xf>
    <xf numFmtId="0" fontId="252" fillId="0" borderId="0" xfId="0" applyFont="1" applyFill="1" applyBorder="1" applyAlignment="1">
      <alignment horizontal="center" vertical="center" wrapText="1"/>
    </xf>
    <xf numFmtId="228" fontId="252" fillId="0" borderId="0" xfId="0" applyNumberFormat="1" applyFont="1" applyFill="1" applyBorder="1" applyAlignment="1">
      <alignment vertical="center"/>
    </xf>
    <xf numFmtId="228" fontId="250" fillId="0" borderId="0" xfId="0" applyNumberFormat="1" applyFont="1" applyFill="1" applyBorder="1" applyAlignment="1">
      <alignment vertical="center"/>
    </xf>
    <xf numFmtId="0" fontId="252" fillId="0" borderId="0" xfId="0" applyFont="1" applyFill="1" applyAlignment="1">
      <alignment horizontal="center" vertical="center"/>
    </xf>
    <xf numFmtId="165" fontId="252" fillId="0" borderId="0" xfId="3" applyNumberFormat="1" applyFont="1" applyFill="1" applyAlignment="1">
      <alignment horizontal="center" vertical="center"/>
    </xf>
    <xf numFmtId="37" fontId="252" fillId="0" borderId="0" xfId="0" applyNumberFormat="1" applyFont="1" applyFill="1" applyAlignment="1">
      <alignment horizontal="centerContinuous" vertical="top"/>
    </xf>
    <xf numFmtId="228" fontId="259" fillId="0" borderId="0" xfId="0" applyNumberFormat="1" applyFont="1" applyFill="1" applyAlignment="1">
      <alignment vertical="top"/>
    </xf>
    <xf numFmtId="228" fontId="250" fillId="0" borderId="0" xfId="0" applyNumberFormat="1" applyFont="1" applyFill="1" applyAlignment="1">
      <alignment horizontal="center"/>
    </xf>
    <xf numFmtId="1" fontId="250" fillId="0" borderId="0" xfId="0" applyNumberFormat="1" applyFont="1" applyFill="1" applyAlignment="1">
      <alignment horizontal="center"/>
    </xf>
    <xf numFmtId="37" fontId="257" fillId="0" borderId="0" xfId="0" quotePrefix="1" applyNumberFormat="1" applyFont="1" applyFill="1" applyAlignment="1">
      <alignment horizontal="left" vertical="top"/>
    </xf>
    <xf numFmtId="0" fontId="257" fillId="0" borderId="0" xfId="0" applyFont="1" applyFill="1" applyAlignment="1">
      <alignment vertical="top"/>
    </xf>
    <xf numFmtId="165" fontId="250" fillId="0" borderId="0" xfId="3" quotePrefix="1" applyNumberFormat="1" applyFont="1" applyFill="1" applyAlignment="1">
      <alignment vertical="top"/>
    </xf>
    <xf numFmtId="0" fontId="256" fillId="0" borderId="0" xfId="0" applyFont="1" applyFill="1" applyAlignment="1">
      <alignment vertical="top"/>
    </xf>
    <xf numFmtId="165" fontId="256" fillId="0" borderId="0" xfId="3" applyNumberFormat="1" applyFont="1" applyFill="1" applyBorder="1" applyAlignment="1">
      <alignment vertical="top"/>
    </xf>
    <xf numFmtId="165" fontId="256" fillId="0" borderId="0" xfId="3" applyNumberFormat="1" applyFont="1" applyFill="1" applyAlignment="1">
      <alignment vertical="top"/>
    </xf>
    <xf numFmtId="166" fontId="252" fillId="0" borderId="0" xfId="0" applyNumberFormat="1" applyFont="1" applyFill="1" applyAlignment="1">
      <alignment horizontal="center" vertical="top"/>
    </xf>
    <xf numFmtId="165" fontId="252" fillId="0" borderId="0" xfId="0" applyNumberFormat="1" applyFont="1" applyFill="1" applyBorder="1" applyAlignment="1">
      <alignment vertical="top"/>
    </xf>
    <xf numFmtId="165" fontId="252" fillId="0" borderId="0" xfId="0" applyNumberFormat="1" applyFont="1" applyFill="1" applyAlignment="1">
      <alignment vertical="top"/>
    </xf>
    <xf numFmtId="0" fontId="257" fillId="0" borderId="0" xfId="0" applyFont="1" applyFill="1" applyAlignment="1">
      <alignment horizontal="left" vertical="top"/>
    </xf>
    <xf numFmtId="165" fontId="256" fillId="0" borderId="0" xfId="0" applyNumberFormat="1" applyFont="1" applyFill="1" applyBorder="1" applyAlignment="1">
      <alignment vertical="top"/>
    </xf>
    <xf numFmtId="1" fontId="252" fillId="0" borderId="0" xfId="0" applyNumberFormat="1" applyFont="1" applyFill="1" applyBorder="1" applyAlignment="1">
      <alignment vertical="top"/>
    </xf>
    <xf numFmtId="0" fontId="250" fillId="0" borderId="0" xfId="0" applyNumberFormat="1" applyFont="1" applyFill="1" applyAlignment="1">
      <alignment horizontal="center" vertical="top"/>
    </xf>
    <xf numFmtId="0" fontId="252" fillId="0" borderId="0" xfId="0" applyNumberFormat="1" applyFont="1" applyFill="1" applyAlignment="1">
      <alignment vertical="top" wrapText="1"/>
    </xf>
    <xf numFmtId="37" fontId="250" fillId="0" borderId="0" xfId="0" applyNumberFormat="1" applyFont="1" applyFill="1" applyAlignment="1">
      <alignment horizontal="left" vertical="top"/>
    </xf>
    <xf numFmtId="0" fontId="250" fillId="0" borderId="0" xfId="0" applyNumberFormat="1" applyFont="1" applyFill="1" applyAlignment="1">
      <alignment horizontal="left" vertical="top"/>
    </xf>
    <xf numFmtId="0" fontId="252" fillId="0" borderId="0" xfId="0" applyFont="1" applyFill="1" applyAlignment="1">
      <alignment horizontal="centerContinuous" vertical="top"/>
    </xf>
    <xf numFmtId="0" fontId="258" fillId="0" borderId="0" xfId="0" applyFont="1" applyFill="1" applyAlignment="1">
      <alignment horizontal="centerContinuous" vertical="top"/>
    </xf>
    <xf numFmtId="49" fontId="252" fillId="0" borderId="0" xfId="0" applyNumberFormat="1" applyFont="1" applyFill="1" applyAlignment="1">
      <alignment horizontal="centerContinuous" vertical="top"/>
    </xf>
    <xf numFmtId="0" fontId="252" fillId="0" borderId="0" xfId="0" applyNumberFormat="1" applyFont="1" applyFill="1" applyAlignment="1">
      <alignment horizontal="left" vertical="top"/>
    </xf>
    <xf numFmtId="49" fontId="252" fillId="0" borderId="0" xfId="0" applyNumberFormat="1" applyFont="1" applyFill="1" applyAlignment="1">
      <alignment horizontal="center" vertical="top"/>
    </xf>
    <xf numFmtId="165" fontId="252" fillId="0" borderId="0" xfId="0" applyNumberFormat="1" applyFont="1" applyFill="1" applyBorder="1" applyAlignment="1">
      <alignment horizontal="center" vertical="top"/>
    </xf>
    <xf numFmtId="0" fontId="250" fillId="0" borderId="0" xfId="21" applyNumberFormat="1" applyFont="1" applyFill="1" applyAlignment="1">
      <alignment vertical="top"/>
    </xf>
    <xf numFmtId="166" fontId="250" fillId="0" borderId="0" xfId="0" applyNumberFormat="1" applyFont="1" applyFill="1" applyAlignment="1">
      <alignment horizontal="left" vertical="top"/>
    </xf>
    <xf numFmtId="0" fontId="252" fillId="0" borderId="0" xfId="0" applyNumberFormat="1" applyFont="1" applyFill="1" applyAlignment="1">
      <alignment horizontal="justify" vertical="top" wrapText="1"/>
    </xf>
    <xf numFmtId="0" fontId="252" fillId="0" borderId="0" xfId="0" applyFont="1" applyFill="1" applyAlignment="1">
      <alignment horizontal="left" vertical="top"/>
    </xf>
    <xf numFmtId="0" fontId="258" fillId="0" borderId="0" xfId="0" applyFont="1" applyFill="1" applyAlignment="1">
      <alignment vertical="top"/>
    </xf>
    <xf numFmtId="165" fontId="252" fillId="0" borderId="0" xfId="0" applyNumberFormat="1" applyFont="1" applyFill="1" applyAlignment="1">
      <alignment horizontal="center" vertical="top"/>
    </xf>
    <xf numFmtId="0" fontId="252" fillId="0" borderId="0" xfId="0" quotePrefix="1" applyFont="1" applyFill="1" applyAlignment="1">
      <alignment vertical="top"/>
    </xf>
    <xf numFmtId="260" fontId="252" fillId="0" borderId="0" xfId="3" applyFont="1" applyFill="1" applyAlignment="1">
      <alignment vertical="top"/>
    </xf>
    <xf numFmtId="179" fontId="252" fillId="0" borderId="0" xfId="3" applyNumberFormat="1" applyFont="1" applyFill="1" applyAlignment="1">
      <alignment vertical="top"/>
    </xf>
    <xf numFmtId="0" fontId="252" fillId="0" borderId="0" xfId="3" applyNumberFormat="1" applyFont="1" applyFill="1" applyAlignment="1">
      <alignment vertical="top"/>
    </xf>
    <xf numFmtId="49" fontId="250" fillId="0" borderId="0" xfId="0" applyNumberFormat="1" applyFont="1" applyFill="1" applyAlignment="1">
      <alignment horizontal="center" vertical="top"/>
    </xf>
    <xf numFmtId="0" fontId="250" fillId="0" borderId="0" xfId="0" applyNumberFormat="1" applyFont="1" applyFill="1" applyBorder="1" applyAlignment="1">
      <alignment vertical="top" wrapText="1"/>
    </xf>
    <xf numFmtId="0" fontId="79" fillId="0" borderId="0" xfId="0" applyFont="1" applyFill="1" applyAlignment="1">
      <alignment vertical="top" wrapText="1"/>
    </xf>
    <xf numFmtId="37" fontId="252" fillId="0" borderId="0" xfId="0" applyNumberFormat="1" applyFont="1" applyFill="1" applyBorder="1" applyAlignment="1">
      <alignment vertical="top"/>
    </xf>
    <xf numFmtId="37" fontId="252" fillId="0" borderId="0" xfId="0" applyNumberFormat="1" applyFont="1" applyFill="1" applyAlignment="1">
      <alignment horizontal="center" vertical="top"/>
    </xf>
    <xf numFmtId="165" fontId="258" fillId="0" borderId="0" xfId="3" applyNumberFormat="1" applyFont="1" applyFill="1" applyAlignment="1">
      <alignment vertical="top"/>
    </xf>
    <xf numFmtId="3" fontId="252" fillId="0" borderId="0" xfId="0" applyNumberFormat="1" applyFont="1" applyFill="1" applyAlignment="1">
      <alignment vertical="top"/>
    </xf>
    <xf numFmtId="167" fontId="252" fillId="0" borderId="0" xfId="3" applyNumberFormat="1" applyFont="1" applyFill="1" applyAlignment="1">
      <alignment horizontal="center" vertical="center"/>
    </xf>
    <xf numFmtId="0" fontId="252" fillId="0" borderId="0" xfId="0" applyFont="1" applyFill="1" applyBorder="1" applyAlignment="1">
      <alignment horizontal="left" vertical="top"/>
    </xf>
    <xf numFmtId="1" fontId="250" fillId="0" borderId="0" xfId="0" quotePrefix="1" applyNumberFormat="1" applyFont="1" applyFill="1" applyAlignment="1">
      <alignment horizontal="left" vertical="top"/>
    </xf>
    <xf numFmtId="0" fontId="252" fillId="0" borderId="0" xfId="0" applyFont="1" applyAlignment="1">
      <alignment vertical="top"/>
    </xf>
    <xf numFmtId="166" fontId="250" fillId="0" borderId="0" xfId="0" quotePrefix="1" applyNumberFormat="1" applyFont="1" applyFill="1" applyAlignment="1">
      <alignment horizontal="left" vertical="top"/>
    </xf>
    <xf numFmtId="0" fontId="256" fillId="0" borderId="0" xfId="0" applyFont="1" applyFill="1" applyAlignment="1">
      <alignment horizontal="left" vertical="top" wrapText="1"/>
    </xf>
    <xf numFmtId="2" fontId="252" fillId="0" borderId="0" xfId="1373" applyNumberFormat="1" applyFont="1" applyFill="1" applyAlignment="1">
      <alignment vertical="top"/>
    </xf>
    <xf numFmtId="165" fontId="250" fillId="0" borderId="0" xfId="3" applyNumberFormat="1" applyFont="1" applyFill="1" applyAlignment="1">
      <alignment vertical="top"/>
    </xf>
    <xf numFmtId="0" fontId="259" fillId="0" borderId="0" xfId="0" applyFont="1" applyFill="1" applyAlignment="1">
      <alignment vertical="top"/>
    </xf>
    <xf numFmtId="49" fontId="250" fillId="0" borderId="0" xfId="0" applyNumberFormat="1" applyFont="1" applyFill="1" applyBorder="1" applyAlignment="1">
      <alignment horizontal="center" vertical="top"/>
    </xf>
    <xf numFmtId="165" fontId="250" fillId="0" borderId="0" xfId="3" quotePrefix="1" applyNumberFormat="1" applyFont="1" applyFill="1" applyAlignment="1"/>
    <xf numFmtId="0" fontId="252" fillId="0" borderId="0" xfId="0" applyFont="1" applyFill="1" applyAlignment="1">
      <alignment horizontal="justify" vertical="top"/>
    </xf>
    <xf numFmtId="0" fontId="252" fillId="0" borderId="0" xfId="0" applyNumberFormat="1" applyFont="1" applyFill="1" applyAlignment="1">
      <alignment horizontal="left" vertical="top" wrapText="1"/>
    </xf>
    <xf numFmtId="0" fontId="252" fillId="0" borderId="0" xfId="40410" applyFont="1" applyFill="1" applyAlignment="1">
      <alignment horizontal="left" vertical="top" wrapText="1"/>
    </xf>
    <xf numFmtId="0" fontId="250" fillId="0" borderId="0" xfId="0" applyNumberFormat="1" applyFont="1" applyFill="1" applyBorder="1" applyAlignment="1">
      <alignment horizontal="center" vertical="top" wrapText="1"/>
    </xf>
    <xf numFmtId="0" fontId="79" fillId="0" borderId="0" xfId="0" applyFont="1" applyFill="1" applyAlignment="1">
      <alignment horizontal="center" vertical="top" wrapText="1"/>
    </xf>
    <xf numFmtId="37" fontId="252" fillId="0" borderId="0" xfId="40407" applyNumberFormat="1" applyFont="1" applyFill="1" applyAlignment="1" applyProtection="1">
      <alignment horizontal="left" vertical="top" wrapText="1"/>
    </xf>
    <xf numFmtId="16" fontId="254" fillId="0" borderId="0" xfId="31" quotePrefix="1" applyNumberFormat="1" applyFont="1" applyFill="1" applyAlignment="1">
      <alignment horizontal="center"/>
    </xf>
    <xf numFmtId="186" fontId="252" fillId="0" borderId="0" xfId="19" applyNumberFormat="1" applyFont="1" applyFill="1"/>
    <xf numFmtId="0" fontId="254" fillId="0" borderId="0" xfId="31" quotePrefix="1" applyNumberFormat="1" applyFont="1" applyFill="1" applyAlignment="1">
      <alignment horizontal="center"/>
    </xf>
    <xf numFmtId="164" fontId="250" fillId="0" borderId="0" xfId="660" quotePrefix="1" applyNumberFormat="1" applyFont="1" applyFill="1" applyAlignment="1">
      <alignment horizontal="center" vertical="center" wrapText="1"/>
    </xf>
    <xf numFmtId="165" fontId="250" fillId="0" borderId="9" xfId="3" applyNumberFormat="1" applyFont="1" applyFill="1" applyBorder="1" applyAlignment="1">
      <alignment vertical="top"/>
    </xf>
    <xf numFmtId="0" fontId="252" fillId="0" borderId="0" xfId="0" applyFont="1" applyFill="1" applyAlignment="1">
      <alignment horizontal="left" vertical="center" indent="1"/>
    </xf>
    <xf numFmtId="49" fontId="250" fillId="0" borderId="0" xfId="0" applyNumberFormat="1" applyFont="1" applyFill="1" applyBorder="1" applyAlignment="1">
      <alignment horizontal="center" vertical="top"/>
    </xf>
    <xf numFmtId="165" fontId="250" fillId="0" borderId="7" xfId="3" applyNumberFormat="1" applyFont="1" applyFill="1" applyBorder="1"/>
    <xf numFmtId="0" fontId="252" fillId="0" borderId="0" xfId="0" applyFont="1" applyFill="1" applyAlignment="1">
      <alignment vertical="center"/>
    </xf>
    <xf numFmtId="0" fontId="250" fillId="0" borderId="0" xfId="0" applyFont="1" applyFill="1" applyAlignment="1" applyProtection="1">
      <alignment horizontal="center"/>
      <protection locked="0"/>
    </xf>
    <xf numFmtId="0" fontId="252" fillId="0" borderId="0" xfId="0" applyFont="1" applyFill="1" applyAlignment="1" applyProtection="1">
      <alignment horizontal="center"/>
      <protection locked="0"/>
    </xf>
    <xf numFmtId="0" fontId="252" fillId="0" borderId="0" xfId="0" applyFont="1" applyFill="1" applyAlignment="1" applyProtection="1">
      <alignment horizontal="left"/>
      <protection locked="0"/>
    </xf>
    <xf numFmtId="0" fontId="250" fillId="0" borderId="0" xfId="0" applyFont="1" applyFill="1" applyAlignment="1" applyProtection="1">
      <alignment horizontal="left"/>
      <protection locked="0"/>
    </xf>
    <xf numFmtId="165" fontId="250" fillId="0" borderId="102" xfId="800" applyNumberFormat="1" applyFont="1" applyFill="1" applyBorder="1" applyAlignment="1">
      <alignment horizontal="center" vertical="top" wrapText="1"/>
    </xf>
    <xf numFmtId="0" fontId="250" fillId="0" borderId="0" xfId="39" applyFont="1" applyFill="1" applyAlignment="1">
      <alignment horizontal="center"/>
    </xf>
    <xf numFmtId="165" fontId="250" fillId="0" borderId="0" xfId="5313" applyNumberFormat="1" applyFont="1" applyFill="1"/>
    <xf numFmtId="165" fontId="250" fillId="0" borderId="0" xfId="5313" applyNumberFormat="1" applyFont="1" applyFill="1" applyBorder="1" applyAlignment="1">
      <alignment horizontal="center"/>
    </xf>
    <xf numFmtId="165" fontId="250" fillId="0" borderId="0" xfId="5313" applyNumberFormat="1" applyFont="1" applyFill="1" applyBorder="1"/>
    <xf numFmtId="165" fontId="250" fillId="0" borderId="0" xfId="3" applyNumberFormat="1" applyFont="1" applyFill="1" applyBorder="1"/>
    <xf numFmtId="165" fontId="250" fillId="0" borderId="16" xfId="3" applyNumberFormat="1" applyFont="1" applyFill="1" applyBorder="1"/>
    <xf numFmtId="165" fontId="250" fillId="0" borderId="6" xfId="3" applyNumberFormat="1" applyFont="1" applyFill="1" applyBorder="1"/>
    <xf numFmtId="165" fontId="250" fillId="0" borderId="59" xfId="3" applyNumberFormat="1" applyFont="1" applyFill="1" applyBorder="1"/>
    <xf numFmtId="165" fontId="250" fillId="0" borderId="9" xfId="3" applyNumberFormat="1" applyFont="1" applyFill="1" applyBorder="1"/>
    <xf numFmtId="165" fontId="250" fillId="0" borderId="0" xfId="0" applyNumberFormat="1" applyFont="1" applyFill="1"/>
    <xf numFmtId="0" fontId="250" fillId="0" borderId="0" xfId="0" applyFont="1" applyFill="1" applyAlignment="1">
      <alignment horizontal="left" indent="1"/>
    </xf>
    <xf numFmtId="0" fontId="250" fillId="0" borderId="0" xfId="0" applyFont="1" applyFill="1" applyAlignment="1"/>
    <xf numFmtId="165" fontId="250" fillId="7" borderId="0" xfId="3" applyNumberFormat="1" applyFont="1" applyFill="1" applyAlignment="1"/>
    <xf numFmtId="0" fontId="250" fillId="0" borderId="104" xfId="849" applyNumberFormat="1" applyFont="1" applyFill="1" applyBorder="1" applyAlignment="1">
      <alignment horizontal="center" wrapText="1"/>
    </xf>
    <xf numFmtId="0" fontId="250" fillId="0" borderId="0" xfId="849" applyNumberFormat="1" applyFont="1" applyFill="1" applyBorder="1" applyAlignment="1">
      <alignment horizontal="center" wrapText="1"/>
    </xf>
    <xf numFmtId="228" fontId="252" fillId="0" borderId="7" xfId="40395" applyNumberFormat="1" applyFont="1" applyFill="1" applyBorder="1" applyAlignment="1">
      <alignment vertical="top"/>
    </xf>
    <xf numFmtId="228" fontId="252" fillId="0" borderId="7" xfId="3" applyNumberFormat="1" applyFont="1" applyFill="1" applyBorder="1" applyAlignment="1">
      <alignment vertical="top"/>
    </xf>
    <xf numFmtId="228" fontId="250" fillId="0" borderId="0" xfId="3" applyNumberFormat="1" applyFont="1" applyFill="1" applyAlignment="1"/>
    <xf numFmtId="228" fontId="250" fillId="0" borderId="0" xfId="40395" applyNumberFormat="1" applyFont="1" applyFill="1" applyBorder="1" applyAlignment="1">
      <alignment vertical="top"/>
    </xf>
    <xf numFmtId="228" fontId="250" fillId="0" borderId="120" xfId="40395" applyNumberFormat="1" applyFont="1" applyFill="1" applyBorder="1" applyAlignment="1">
      <alignment vertical="top"/>
    </xf>
    <xf numFmtId="228" fontId="250" fillId="0" borderId="120" xfId="3" applyNumberFormat="1" applyFont="1" applyFill="1" applyBorder="1" applyAlignment="1">
      <alignment vertical="top"/>
    </xf>
    <xf numFmtId="228" fontId="250" fillId="0" borderId="119" xfId="3" applyNumberFormat="1" applyFont="1" applyFill="1" applyBorder="1" applyAlignment="1">
      <alignment vertical="top"/>
    </xf>
    <xf numFmtId="228" fontId="250" fillId="0" borderId="7" xfId="40395" applyNumberFormat="1" applyFont="1" applyFill="1" applyBorder="1" applyAlignment="1">
      <alignment vertical="top"/>
    </xf>
    <xf numFmtId="228" fontId="250" fillId="0" borderId="7" xfId="3" applyNumberFormat="1" applyFont="1" applyFill="1" applyBorder="1" applyAlignment="1">
      <alignment vertical="top"/>
    </xf>
    <xf numFmtId="228" fontId="250" fillId="0" borderId="0" xfId="3" applyNumberFormat="1" applyFont="1" applyFill="1" applyBorder="1" applyAlignment="1">
      <alignment vertical="top"/>
    </xf>
    <xf numFmtId="228" fontId="250" fillId="0" borderId="10" xfId="40395" applyNumberFormat="1" applyFont="1" applyFill="1" applyBorder="1" applyAlignment="1">
      <alignment vertical="top"/>
    </xf>
    <xf numFmtId="228" fontId="250" fillId="0" borderId="10" xfId="3" applyNumberFormat="1" applyFont="1" applyFill="1" applyBorder="1" applyAlignment="1">
      <alignment vertical="top"/>
    </xf>
    <xf numFmtId="228" fontId="250" fillId="0" borderId="127" xfId="3" applyNumberFormat="1" applyFont="1" applyFill="1" applyBorder="1" applyAlignment="1">
      <alignment vertical="top"/>
    </xf>
    <xf numFmtId="228" fontId="250" fillId="0" borderId="10" xfId="3" applyNumberFormat="1" applyFont="1" applyFill="1" applyBorder="1" applyAlignment="1"/>
    <xf numFmtId="228" fontId="250" fillId="0" borderId="0" xfId="849" applyNumberFormat="1" applyFont="1" applyFill="1" applyBorder="1" applyAlignment="1" applyProtection="1">
      <alignment vertical="top"/>
      <protection locked="0"/>
    </xf>
    <xf numFmtId="228" fontId="250" fillId="0" borderId="120" xfId="592" applyNumberFormat="1" applyFont="1" applyFill="1" applyBorder="1" applyAlignment="1">
      <alignment vertical="top"/>
    </xf>
    <xf numFmtId="228" fontId="250" fillId="0" borderId="10" xfId="592" applyNumberFormat="1" applyFont="1" applyFill="1" applyBorder="1" applyAlignment="1">
      <alignment vertical="top"/>
    </xf>
    <xf numFmtId="228" fontId="250" fillId="0" borderId="102" xfId="3" applyNumberFormat="1" applyFont="1" applyFill="1" applyBorder="1" applyAlignment="1"/>
    <xf numFmtId="0" fontId="256" fillId="0" borderId="0" xfId="2258" quotePrefix="1" applyFont="1" applyFill="1" applyAlignment="1">
      <alignment horizontal="left" indent="1"/>
      <protection locked="0"/>
    </xf>
    <xf numFmtId="0" fontId="256" fillId="0" borderId="0" xfId="2258" applyFont="1" applyFill="1" applyAlignment="1">
      <alignment horizontal="left" indent="1"/>
      <protection locked="0"/>
    </xf>
    <xf numFmtId="228" fontId="252" fillId="0" borderId="0" xfId="3" applyNumberFormat="1" applyFont="1" applyFill="1" applyAlignment="1">
      <alignment vertical="center"/>
    </xf>
    <xf numFmtId="228" fontId="250" fillId="0" borderId="101" xfId="3" applyNumberFormat="1" applyFont="1" applyFill="1" applyBorder="1" applyAlignment="1"/>
    <xf numFmtId="260" fontId="252" fillId="0" borderId="0" xfId="3" applyFont="1" applyFill="1" applyAlignment="1">
      <alignment vertical="center"/>
    </xf>
    <xf numFmtId="165" fontId="252" fillId="0" borderId="0" xfId="3" applyNumberFormat="1" applyFont="1" applyFill="1" applyAlignment="1">
      <alignment vertical="center"/>
    </xf>
    <xf numFmtId="165" fontId="252" fillId="0" borderId="0" xfId="3" applyNumberFormat="1" applyFont="1" applyFill="1" applyBorder="1" applyAlignment="1">
      <alignment vertical="center"/>
    </xf>
    <xf numFmtId="43" fontId="252" fillId="0" borderId="0" xfId="0" applyNumberFormat="1" applyFont="1" applyFill="1" applyAlignment="1">
      <alignment vertical="center"/>
    </xf>
    <xf numFmtId="228" fontId="250" fillId="0" borderId="0" xfId="3" applyNumberFormat="1" applyFont="1" applyFill="1" applyAlignment="1">
      <alignment vertical="center"/>
    </xf>
    <xf numFmtId="228" fontId="250" fillId="0" borderId="120" xfId="3" applyNumberFormat="1" applyFont="1" applyFill="1" applyBorder="1" applyAlignment="1"/>
    <xf numFmtId="170" fontId="252" fillId="0" borderId="126" xfId="3" applyNumberFormat="1" applyFont="1" applyFill="1" applyBorder="1"/>
    <xf numFmtId="171" fontId="250" fillId="0" borderId="0" xfId="3" applyNumberFormat="1" applyFont="1" applyFill="1"/>
    <xf numFmtId="0" fontId="252" fillId="0" borderId="0" xfId="0" quotePrefix="1" applyFont="1" applyFill="1" applyAlignment="1">
      <alignment horizontal="left" vertical="top" indent="1"/>
    </xf>
    <xf numFmtId="165" fontId="250" fillId="0" borderId="0" xfId="3" applyNumberFormat="1" applyFont="1" applyFill="1" applyBorder="1" applyAlignment="1">
      <alignment vertical="top"/>
    </xf>
    <xf numFmtId="0" fontId="252" fillId="0" borderId="0" xfId="0" applyNumberFormat="1" applyFont="1" applyFill="1" applyBorder="1" applyAlignment="1"/>
    <xf numFmtId="0" fontId="250" fillId="0" borderId="0" xfId="3" applyNumberFormat="1" applyFont="1" applyFill="1" applyBorder="1" applyAlignment="1">
      <alignment horizontal="center" vertical="center" wrapText="1"/>
    </xf>
    <xf numFmtId="165" fontId="250" fillId="0" borderId="0" xfId="3" applyNumberFormat="1" applyFont="1" applyFill="1" applyBorder="1" applyAlignment="1">
      <alignment horizontal="center" vertical="center" wrapText="1"/>
    </xf>
    <xf numFmtId="0" fontId="252" fillId="0" borderId="0" xfId="0" applyNumberFormat="1" applyFont="1" applyFill="1"/>
    <xf numFmtId="0" fontId="250" fillId="0" borderId="0" xfId="0" applyNumberFormat="1" applyFont="1" applyFill="1" applyAlignment="1">
      <alignment vertical="center"/>
    </xf>
    <xf numFmtId="0" fontId="252" fillId="0" borderId="0" xfId="3" applyNumberFormat="1" applyFont="1" applyFill="1"/>
    <xf numFmtId="0" fontId="252" fillId="0" borderId="0" xfId="0" applyNumberFormat="1" applyFont="1" applyFill="1" applyBorder="1" applyAlignment="1">
      <alignment horizontal="center" vertical="center" wrapText="1"/>
    </xf>
    <xf numFmtId="0" fontId="250" fillId="0" borderId="101" xfId="0" quotePrefix="1" applyNumberFormat="1" applyFont="1" applyFill="1" applyBorder="1" applyAlignment="1">
      <alignment vertical="center"/>
    </xf>
    <xf numFmtId="0" fontId="250" fillId="0" borderId="101" xfId="0" applyNumberFormat="1" applyFont="1" applyFill="1" applyBorder="1" applyAlignment="1">
      <alignment vertical="center"/>
    </xf>
    <xf numFmtId="0" fontId="252" fillId="0" borderId="0" xfId="0" applyNumberFormat="1" applyFont="1" applyFill="1" applyAlignment="1">
      <alignment horizontal="center" vertical="center"/>
    </xf>
    <xf numFmtId="0" fontId="250" fillId="0" borderId="0" xfId="0" applyFont="1" applyFill="1" applyBorder="1" applyAlignment="1">
      <alignment horizontal="left" vertical="center"/>
    </xf>
    <xf numFmtId="228" fontId="252" fillId="0" borderId="0" xfId="3" applyNumberFormat="1" applyFont="1" applyFill="1" applyBorder="1" applyAlignment="1">
      <alignment vertical="center"/>
    </xf>
    <xf numFmtId="165" fontId="260" fillId="0" borderId="0" xfId="3" applyNumberFormat="1" applyFont="1" applyFill="1"/>
    <xf numFmtId="0" fontId="252" fillId="0" borderId="0" xfId="0" applyFont="1" applyFill="1" applyBorder="1" applyAlignment="1">
      <alignment horizontal="left" vertical="center"/>
    </xf>
    <xf numFmtId="183" fontId="252" fillId="0" borderId="0" xfId="3" applyNumberFormat="1" applyFont="1" applyFill="1"/>
    <xf numFmtId="190" fontId="252" fillId="0" borderId="0" xfId="4" applyNumberFormat="1" applyFont="1" applyFill="1"/>
    <xf numFmtId="10" fontId="252" fillId="0" borderId="0" xfId="4" applyNumberFormat="1" applyFont="1" applyFill="1"/>
    <xf numFmtId="190" fontId="252" fillId="0" borderId="0" xfId="3" applyNumberFormat="1" applyFont="1" applyFill="1" applyBorder="1" applyAlignment="1">
      <alignment vertical="center"/>
    </xf>
    <xf numFmtId="190" fontId="252" fillId="0" borderId="0" xfId="4" applyNumberFormat="1" applyFont="1" applyFill="1" applyBorder="1" applyAlignment="1">
      <alignment vertical="center"/>
    </xf>
    <xf numFmtId="10" fontId="252" fillId="0" borderId="0" xfId="4" applyNumberFormat="1" applyFont="1" applyFill="1" applyBorder="1" applyAlignment="1">
      <alignment vertical="center"/>
    </xf>
    <xf numFmtId="260" fontId="250" fillId="0" borderId="0" xfId="3" applyFont="1" applyFill="1" applyBorder="1" applyAlignment="1">
      <alignment vertical="top"/>
    </xf>
    <xf numFmtId="0" fontId="252" fillId="0" borderId="0" xfId="0" applyFont="1" applyFill="1" applyBorder="1" applyAlignment="1">
      <alignment horizontal="right"/>
    </xf>
    <xf numFmtId="0" fontId="252" fillId="0" borderId="0" xfId="0" applyNumberFormat="1" applyFont="1" applyFill="1" applyBorder="1" applyAlignment="1">
      <alignment horizontal="left" vertical="center"/>
    </xf>
    <xf numFmtId="10" fontId="252" fillId="0" borderId="0" xfId="4" applyNumberFormat="1" applyFont="1" applyFill="1" applyAlignment="1">
      <alignment vertical="center"/>
    </xf>
    <xf numFmtId="190" fontId="252" fillId="0" borderId="0" xfId="3" applyNumberFormat="1" applyFont="1" applyFill="1" applyBorder="1" applyAlignment="1">
      <alignment vertical="top"/>
    </xf>
    <xf numFmtId="10" fontId="252" fillId="0" borderId="0" xfId="4" applyNumberFormat="1" applyFont="1" applyFill="1" applyAlignment="1">
      <alignment horizontal="center" vertical="center"/>
    </xf>
    <xf numFmtId="260" fontId="252" fillId="0" borderId="0" xfId="3" applyFont="1" applyFill="1" applyBorder="1" applyAlignment="1">
      <alignment vertical="center"/>
    </xf>
    <xf numFmtId="10" fontId="252" fillId="0" borderId="0" xfId="3" applyNumberFormat="1" applyFont="1" applyFill="1" applyBorder="1" applyAlignment="1">
      <alignment vertical="center"/>
    </xf>
    <xf numFmtId="10" fontId="252" fillId="0" borderId="0" xfId="4" applyNumberFormat="1" applyFont="1" applyFill="1" applyBorder="1"/>
    <xf numFmtId="190" fontId="252" fillId="0" borderId="0" xfId="3" applyNumberFormat="1" applyFont="1" applyFill="1" applyBorder="1"/>
    <xf numFmtId="0" fontId="250" fillId="0" borderId="0" xfId="0" applyNumberFormat="1" applyFont="1" applyFill="1" applyBorder="1" applyAlignment="1">
      <alignment horizontal="left"/>
    </xf>
    <xf numFmtId="228" fontId="250" fillId="0" borderId="0" xfId="3" applyNumberFormat="1" applyFont="1" applyFill="1" applyBorder="1" applyAlignment="1">
      <alignment vertical="center"/>
    </xf>
    <xf numFmtId="260" fontId="252" fillId="0" borderId="9" xfId="3" applyFont="1" applyFill="1" applyBorder="1" applyAlignment="1">
      <alignment vertical="top"/>
    </xf>
    <xf numFmtId="260" fontId="252" fillId="0" borderId="126" xfId="3" applyFont="1" applyFill="1" applyBorder="1" applyAlignment="1">
      <alignment vertical="top"/>
    </xf>
    <xf numFmtId="9" fontId="252" fillId="0" borderId="0" xfId="4" applyFont="1" applyFill="1"/>
    <xf numFmtId="228" fontId="250" fillId="0" borderId="0" xfId="0" applyNumberFormat="1" applyFont="1" applyFill="1" applyAlignment="1">
      <alignment horizontal="right"/>
    </xf>
    <xf numFmtId="228" fontId="250" fillId="0" borderId="0" xfId="0" applyNumberFormat="1" applyFont="1" applyFill="1" applyAlignment="1"/>
    <xf numFmtId="262" fontId="250" fillId="0" borderId="0" xfId="0" applyNumberFormat="1" applyFont="1" applyFill="1"/>
    <xf numFmtId="262" fontId="252" fillId="0" borderId="0" xfId="0" applyNumberFormat="1" applyFont="1" applyFill="1" applyAlignment="1"/>
    <xf numFmtId="260" fontId="252" fillId="0" borderId="9" xfId="0" applyNumberFormat="1" applyFont="1" applyFill="1" applyBorder="1"/>
    <xf numFmtId="49" fontId="252" fillId="0" borderId="0" xfId="40411" quotePrefix="1" applyNumberFormat="1" applyFont="1" applyFill="1" applyBorder="1" applyAlignment="1"/>
    <xf numFmtId="10" fontId="250" fillId="0" borderId="128" xfId="4" applyNumberFormat="1" applyFont="1" applyFill="1" applyBorder="1" applyAlignment="1">
      <alignment vertical="center"/>
    </xf>
    <xf numFmtId="10" fontId="250" fillId="0" borderId="108" xfId="4" applyNumberFormat="1" applyFont="1" applyFill="1" applyBorder="1" applyAlignment="1">
      <alignment vertical="center"/>
    </xf>
    <xf numFmtId="0" fontId="250" fillId="0" borderId="0" xfId="0" quotePrefix="1" applyNumberFormat="1" applyFont="1" applyFill="1" applyBorder="1" applyAlignment="1">
      <alignment horizontal="center" vertical="center"/>
    </xf>
    <xf numFmtId="10" fontId="250" fillId="0" borderId="128" xfId="3" applyNumberFormat="1" applyFont="1" applyFill="1" applyBorder="1" applyAlignment="1">
      <alignment vertical="center"/>
    </xf>
    <xf numFmtId="10" fontId="250" fillId="0" borderId="108" xfId="4" applyNumberFormat="1" applyFont="1" applyFill="1" applyBorder="1"/>
    <xf numFmtId="10" fontId="252" fillId="0" borderId="0" xfId="3" applyNumberFormat="1" applyFont="1" applyFill="1" applyBorder="1"/>
    <xf numFmtId="10" fontId="250" fillId="0" borderId="128" xfId="4" applyNumberFormat="1" applyFont="1" applyFill="1" applyBorder="1"/>
    <xf numFmtId="260" fontId="250" fillId="0" borderId="9" xfId="3" applyFont="1" applyFill="1" applyBorder="1" applyAlignment="1">
      <alignment vertical="top"/>
    </xf>
    <xf numFmtId="10" fontId="252" fillId="0" borderId="0" xfId="3" applyNumberFormat="1" applyFont="1" applyFill="1" applyAlignment="1">
      <alignment vertical="center"/>
    </xf>
    <xf numFmtId="2" fontId="252" fillId="0" borderId="0" xfId="3" applyNumberFormat="1" applyFont="1" applyFill="1" applyBorder="1" applyAlignment="1">
      <alignment vertical="center"/>
    </xf>
    <xf numFmtId="43" fontId="260" fillId="0" borderId="0" xfId="3" applyNumberFormat="1" applyFont="1" applyFill="1"/>
    <xf numFmtId="228" fontId="252" fillId="0" borderId="0" xfId="0" applyNumberFormat="1" applyFont="1" applyFill="1" applyAlignment="1">
      <alignment vertical="center"/>
    </xf>
    <xf numFmtId="10" fontId="252" fillId="0" borderId="0" xfId="4" applyNumberFormat="1" applyFont="1" applyFill="1" applyBorder="1" applyAlignment="1">
      <alignment horizontal="center" vertical="center"/>
    </xf>
    <xf numFmtId="165" fontId="252" fillId="0" borderId="0" xfId="3" applyNumberFormat="1" applyFont="1" applyFill="1" applyBorder="1" applyAlignment="1">
      <alignment horizontal="center" vertical="center"/>
    </xf>
    <xf numFmtId="0" fontId="252" fillId="0" borderId="0" xfId="0" applyFont="1" applyFill="1" applyBorder="1" applyAlignment="1">
      <alignment horizontal="center" vertical="center"/>
    </xf>
    <xf numFmtId="3" fontId="262" fillId="0" borderId="0" xfId="0" applyNumberFormat="1" applyFont="1" applyFill="1"/>
    <xf numFmtId="228" fontId="252" fillId="0" borderId="8" xfId="3" applyNumberFormat="1" applyFont="1" applyFill="1" applyBorder="1" applyAlignment="1"/>
    <xf numFmtId="228" fontId="252" fillId="0" borderId="8" xfId="3" applyNumberFormat="1" applyFont="1" applyFill="1" applyBorder="1" applyAlignment="1">
      <alignment vertical="top"/>
    </xf>
    <xf numFmtId="190" fontId="252" fillId="0" borderId="0" xfId="0" applyNumberFormat="1" applyFont="1" applyFill="1"/>
    <xf numFmtId="0" fontId="250" fillId="0" borderId="0" xfId="30" applyFont="1" applyFill="1" applyBorder="1" applyAlignment="1">
      <alignment horizontal="left" vertical="top" wrapText="1"/>
    </xf>
    <xf numFmtId="0" fontId="250" fillId="0" borderId="0" xfId="30" applyFont="1" applyFill="1" applyBorder="1" applyAlignment="1">
      <alignment vertical="top" wrapText="1"/>
    </xf>
    <xf numFmtId="0" fontId="250" fillId="0" borderId="0" xfId="30" applyFont="1" applyFill="1" applyBorder="1" applyAlignment="1">
      <alignment horizontal="center" vertical="top" wrapText="1"/>
    </xf>
    <xf numFmtId="0" fontId="252" fillId="0" borderId="0" xfId="23827" applyFont="1" applyFill="1" applyBorder="1" applyAlignment="1" applyProtection="1">
      <alignment horizontal="center" vertical="top" wrapText="1"/>
      <protection locked="0"/>
    </xf>
    <xf numFmtId="165" fontId="250" fillId="0" borderId="0" xfId="31" applyNumberFormat="1" applyFont="1" applyFill="1" applyBorder="1" applyAlignment="1">
      <alignment horizontal="center" vertical="top" wrapText="1"/>
    </xf>
    <xf numFmtId="165" fontId="250" fillId="0" borderId="0" xfId="3" applyNumberFormat="1" applyFont="1" applyFill="1" applyBorder="1" applyAlignment="1">
      <alignment vertical="top" wrapText="1"/>
    </xf>
    <xf numFmtId="165" fontId="252" fillId="0" borderId="0" xfId="3" applyNumberFormat="1" applyFont="1" applyFill="1" applyBorder="1" applyAlignment="1" applyProtection="1">
      <alignment horizontal="center" vertical="top" wrapText="1"/>
      <protection locked="0"/>
    </xf>
    <xf numFmtId="165" fontId="250" fillId="0" borderId="0" xfId="3" applyNumberFormat="1" applyFont="1" applyFill="1" applyBorder="1" applyAlignment="1">
      <alignment horizontal="center" vertical="top" wrapText="1"/>
    </xf>
    <xf numFmtId="0" fontId="250" fillId="0" borderId="0" xfId="0" applyFont="1" applyFill="1" applyAlignment="1">
      <alignment horizontal="left"/>
    </xf>
    <xf numFmtId="0" fontId="252" fillId="0" borderId="0" xfId="0" applyNumberFormat="1" applyFont="1" applyFill="1" applyBorder="1" applyAlignment="1">
      <alignment horizontal="left"/>
    </xf>
    <xf numFmtId="0" fontId="250" fillId="0" borderId="0" xfId="0" applyNumberFormat="1" applyFont="1" applyFill="1" applyBorder="1" applyAlignment="1">
      <alignment horizontal="center" vertical="center"/>
    </xf>
    <xf numFmtId="0" fontId="252" fillId="0" borderId="0" xfId="0" quotePrefix="1" applyNumberFormat="1" applyFont="1" applyFill="1" applyBorder="1" applyAlignment="1">
      <alignment horizontal="center" vertical="center"/>
    </xf>
    <xf numFmtId="0" fontId="250" fillId="0" borderId="53" xfId="0" quotePrefix="1" applyNumberFormat="1" applyFont="1" applyFill="1" applyBorder="1" applyAlignment="1">
      <alignment vertical="center"/>
    </xf>
    <xf numFmtId="0" fontId="250" fillId="0" borderId="53" xfId="0" applyNumberFormat="1" applyFont="1" applyFill="1" applyBorder="1" applyAlignment="1">
      <alignment vertical="center"/>
    </xf>
    <xf numFmtId="0" fontId="250" fillId="0" borderId="119" xfId="0" applyNumberFormat="1" applyFont="1" applyFill="1" applyBorder="1" applyAlignment="1">
      <alignment vertical="center"/>
    </xf>
    <xf numFmtId="228" fontId="250" fillId="0" borderId="128" xfId="3" applyNumberFormat="1" applyFont="1" applyFill="1" applyBorder="1" applyAlignment="1">
      <alignment vertical="center"/>
    </xf>
    <xf numFmtId="260" fontId="250" fillId="0" borderId="128" xfId="3" applyFont="1" applyFill="1" applyBorder="1" applyAlignment="1">
      <alignment vertical="center"/>
    </xf>
    <xf numFmtId="228" fontId="250" fillId="0" borderId="108" xfId="3" applyNumberFormat="1" applyFont="1" applyFill="1" applyBorder="1" applyAlignment="1">
      <alignment vertical="center"/>
    </xf>
    <xf numFmtId="260" fontId="250" fillId="0" borderId="108" xfId="3" applyFont="1" applyFill="1" applyBorder="1" applyAlignment="1">
      <alignment vertical="center"/>
    </xf>
    <xf numFmtId="10" fontId="250" fillId="0" borderId="128" xfId="3" applyNumberFormat="1" applyFont="1" applyFill="1" applyBorder="1"/>
    <xf numFmtId="228" fontId="250" fillId="0" borderId="128" xfId="0" applyNumberFormat="1" applyFont="1" applyFill="1" applyBorder="1" applyAlignment="1"/>
    <xf numFmtId="260" fontId="250" fillId="0" borderId="128" xfId="3" applyFont="1" applyFill="1" applyBorder="1"/>
    <xf numFmtId="228" fontId="250" fillId="0" borderId="108" xfId="0" applyNumberFormat="1" applyFont="1" applyFill="1" applyBorder="1" applyAlignment="1"/>
    <xf numFmtId="228" fontId="250" fillId="0" borderId="9" xfId="0" applyNumberFormat="1" applyFont="1" applyFill="1" applyBorder="1" applyAlignment="1">
      <alignment vertical="center"/>
    </xf>
    <xf numFmtId="260" fontId="252" fillId="0" borderId="8" xfId="3" applyFont="1" applyFill="1" applyBorder="1" applyAlignment="1"/>
    <xf numFmtId="260" fontId="256" fillId="0" borderId="0" xfId="3" applyFont="1" applyFill="1" applyAlignment="1">
      <alignment horizontal="centerContinuous" vertical="top"/>
    </xf>
    <xf numFmtId="260" fontId="256" fillId="0" borderId="0" xfId="3" applyFont="1" applyFill="1" applyBorder="1" applyAlignment="1">
      <alignment horizontal="centerContinuous" vertical="top"/>
    </xf>
    <xf numFmtId="260" fontId="256" fillId="0" borderId="0" xfId="3" applyFont="1" applyFill="1" applyBorder="1" applyAlignment="1">
      <alignment vertical="top"/>
    </xf>
    <xf numFmtId="0" fontId="252" fillId="0" borderId="0" xfId="0" applyNumberFormat="1" applyFont="1" applyFill="1" applyAlignment="1">
      <alignment horizontal="justify" vertical="top"/>
    </xf>
    <xf numFmtId="0" fontId="250" fillId="0" borderId="0" xfId="40392" quotePrefix="1" applyFont="1" applyFill="1" applyAlignment="1">
      <alignment horizontal="center" vertical="top"/>
    </xf>
    <xf numFmtId="166" fontId="250" fillId="0" borderId="0" xfId="40410" quotePrefix="1" applyNumberFormat="1" applyFont="1" applyFill="1" applyAlignment="1">
      <alignment horizontal="left" vertical="top"/>
    </xf>
    <xf numFmtId="179" fontId="250" fillId="0" borderId="0" xfId="3" applyNumberFormat="1" applyFont="1" applyFill="1" applyAlignment="1">
      <alignment vertical="top"/>
    </xf>
    <xf numFmtId="0" fontId="250" fillId="0" borderId="0" xfId="0" applyFont="1" applyFill="1" applyAlignment="1">
      <alignment horizontal="right" vertical="top"/>
    </xf>
    <xf numFmtId="0" fontId="250" fillId="0" borderId="0" xfId="40412" applyNumberFormat="1" applyFont="1" applyFill="1" applyAlignment="1">
      <alignment vertical="top"/>
    </xf>
    <xf numFmtId="265" fontId="252" fillId="0" borderId="0" xfId="40406" applyNumberFormat="1" applyFont="1" applyFill="1" applyAlignment="1">
      <alignment horizontal="center"/>
    </xf>
    <xf numFmtId="265" fontId="252" fillId="0" borderId="0" xfId="1373" applyNumberFormat="1" applyFont="1" applyFill="1" applyAlignment="1" applyProtection="1">
      <alignment vertical="top"/>
    </xf>
    <xf numFmtId="265" fontId="252" fillId="0" borderId="0" xfId="40407" applyNumberFormat="1" applyFont="1" applyFill="1" applyAlignment="1" applyProtection="1">
      <alignment vertical="top" wrapText="1"/>
    </xf>
    <xf numFmtId="265" fontId="252" fillId="0" borderId="0" xfId="40407" applyNumberFormat="1" applyFont="1" applyFill="1" applyAlignment="1" applyProtection="1">
      <alignment horizontal="left" vertical="top" wrapText="1"/>
    </xf>
    <xf numFmtId="265" fontId="250" fillId="0" borderId="0" xfId="40407" applyNumberFormat="1" applyFont="1" applyFill="1" applyAlignment="1">
      <alignment horizontal="center"/>
    </xf>
    <xf numFmtId="265" fontId="252" fillId="0" borderId="0" xfId="40407" applyNumberFormat="1" applyFont="1" applyFill="1" applyAlignment="1" applyProtection="1">
      <alignment horizontal="left" wrapText="1"/>
    </xf>
    <xf numFmtId="265" fontId="252" fillId="0" borderId="0" xfId="40407" applyNumberFormat="1" applyFont="1" applyFill="1" applyAlignment="1">
      <alignment horizontal="left" wrapText="1"/>
    </xf>
    <xf numFmtId="165" fontId="252" fillId="0" borderId="9" xfId="663" applyNumberFormat="1" applyFont="1" applyFill="1" applyBorder="1"/>
    <xf numFmtId="0" fontId="256" fillId="0" borderId="0" xfId="40407" applyNumberFormat="1" applyFont="1" applyFill="1" applyBorder="1" applyAlignment="1" applyProtection="1">
      <alignment vertical="top"/>
    </xf>
    <xf numFmtId="265" fontId="256" fillId="0" borderId="0" xfId="40407" applyNumberFormat="1" applyFont="1" applyFill="1" applyAlignment="1">
      <alignment horizontal="center" wrapText="1"/>
    </xf>
    <xf numFmtId="265" fontId="256" fillId="0" borderId="0" xfId="40407" applyNumberFormat="1" applyFont="1" applyFill="1" applyAlignment="1">
      <alignment wrapText="1"/>
    </xf>
    <xf numFmtId="0" fontId="252" fillId="0" borderId="0" xfId="40406" applyFont="1" applyFill="1"/>
    <xf numFmtId="265" fontId="252" fillId="0" borderId="0" xfId="40406" applyNumberFormat="1" applyFont="1" applyFill="1"/>
    <xf numFmtId="0" fontId="7" fillId="0" borderId="0" xfId="40405" applyFont="1" applyFill="1" applyAlignment="1">
      <alignment vertical="top"/>
    </xf>
    <xf numFmtId="37" fontId="252" fillId="0" borderId="0" xfId="0" applyNumberFormat="1" applyFont="1" applyFill="1" applyAlignment="1">
      <alignment horizontal="centerContinuous"/>
    </xf>
    <xf numFmtId="165" fontId="250" fillId="0" borderId="9" xfId="3" applyNumberFormat="1" applyFont="1" applyFill="1" applyBorder="1" applyAlignment="1" applyProtection="1">
      <alignment horizontal="center" vertical="top" wrapText="1"/>
      <protection locked="0"/>
    </xf>
    <xf numFmtId="266" fontId="252" fillId="0" borderId="0" xfId="40411" quotePrefix="1" applyNumberFormat="1" applyFont="1" applyFill="1" applyBorder="1" applyAlignment="1">
      <alignment horizontal="center"/>
    </xf>
    <xf numFmtId="0" fontId="252" fillId="0" borderId="0" xfId="40404" applyNumberFormat="1" applyFont="1" applyFill="1" applyAlignment="1">
      <alignment horizontal="justify" vertical="top"/>
    </xf>
    <xf numFmtId="49" fontId="250" fillId="0" borderId="0" xfId="0" applyNumberFormat="1" applyFont="1" applyFill="1" applyBorder="1" applyAlignment="1">
      <alignment horizontal="center" vertical="center"/>
    </xf>
    <xf numFmtId="0" fontId="263" fillId="0" borderId="0" xfId="19" applyFont="1" applyFill="1" applyAlignment="1">
      <alignment horizontal="center"/>
    </xf>
    <xf numFmtId="165" fontId="250" fillId="0" borderId="0" xfId="3" applyNumberFormat="1" applyFont="1" applyFill="1" applyAlignment="1">
      <alignment horizontal="center"/>
    </xf>
    <xf numFmtId="165" fontId="250" fillId="0" borderId="0" xfId="31" applyNumberFormat="1" applyFont="1" applyFill="1" applyAlignment="1">
      <alignment horizontal="center"/>
    </xf>
    <xf numFmtId="165" fontId="250" fillId="0" borderId="0" xfId="19" quotePrefix="1" applyNumberFormat="1" applyFont="1" applyFill="1" applyAlignment="1">
      <alignment horizontal="center"/>
    </xf>
    <xf numFmtId="260" fontId="252" fillId="0" borderId="0" xfId="3" applyFont="1" applyFill="1" applyAlignment="1" applyProtection="1">
      <protection locked="0"/>
    </xf>
    <xf numFmtId="260" fontId="252" fillId="0" borderId="0" xfId="3" applyFont="1" applyFill="1" applyProtection="1">
      <protection locked="0"/>
    </xf>
    <xf numFmtId="0" fontId="250" fillId="0" borderId="7" xfId="0" applyFont="1" applyFill="1" applyBorder="1"/>
    <xf numFmtId="0" fontId="185" fillId="0" borderId="0" xfId="3" applyNumberFormat="1" applyFont="1" applyFill="1" applyBorder="1"/>
    <xf numFmtId="37" fontId="41" fillId="0" borderId="120" xfId="3" applyNumberFormat="1" applyFont="1" applyFill="1" applyBorder="1"/>
    <xf numFmtId="37" fontId="41" fillId="0" borderId="7" xfId="3" applyNumberFormat="1" applyFont="1" applyFill="1" applyBorder="1"/>
    <xf numFmtId="37" fontId="41" fillId="0" borderId="10" xfId="3" applyNumberFormat="1" applyFont="1" applyFill="1" applyBorder="1"/>
    <xf numFmtId="0" fontId="36" fillId="0" borderId="0" xfId="0" applyFont="1" applyFill="1" applyAlignment="1">
      <alignment vertical="top"/>
    </xf>
    <xf numFmtId="3" fontId="264" fillId="0" borderId="0" xfId="660" applyNumberFormat="1" applyFont="1" applyFill="1" applyAlignment="1">
      <alignment vertical="center"/>
    </xf>
    <xf numFmtId="3" fontId="25" fillId="0" borderId="0" xfId="660" applyNumberFormat="1" applyFont="1" applyFill="1" applyAlignment="1">
      <alignment vertical="center"/>
    </xf>
    <xf numFmtId="0" fontId="97" fillId="0" borderId="0" xfId="0" applyFont="1" applyFill="1" applyAlignment="1">
      <alignment vertical="top"/>
    </xf>
    <xf numFmtId="0" fontId="264" fillId="0" borderId="0" xfId="1476" applyFont="1" applyFill="1" applyBorder="1" applyAlignment="1" applyProtection="1">
      <alignment horizontal="center" vertical="center"/>
      <protection locked="0"/>
    </xf>
    <xf numFmtId="0" fontId="25" fillId="0" borderId="0" xfId="1476" applyFont="1" applyFill="1" applyBorder="1" applyAlignment="1" applyProtection="1">
      <alignment horizontal="center" vertical="center"/>
      <protection locked="0"/>
    </xf>
    <xf numFmtId="165" fontId="25" fillId="0" borderId="102" xfId="1476" applyNumberFormat="1" applyFont="1" applyFill="1" applyBorder="1" applyAlignment="1" applyProtection="1">
      <alignment horizontal="center" vertical="center"/>
      <protection locked="0"/>
    </xf>
    <xf numFmtId="165" fontId="25" fillId="0" borderId="10" xfId="1476" applyNumberFormat="1" applyFont="1" applyFill="1" applyBorder="1" applyAlignment="1" applyProtection="1">
      <alignment horizontal="center" vertical="center"/>
      <protection locked="0"/>
    </xf>
    <xf numFmtId="49" fontId="257" fillId="0" borderId="0" xfId="0" applyNumberFormat="1" applyFont="1" applyFill="1" applyBorder="1" applyAlignment="1">
      <alignment horizontal="center" vertical="top" wrapText="1"/>
    </xf>
    <xf numFmtId="0" fontId="250" fillId="0" borderId="0" xfId="40392" quotePrefix="1" applyFont="1" applyFill="1" applyBorder="1" applyAlignment="1">
      <alignment horizontal="center" vertical="top"/>
    </xf>
    <xf numFmtId="260" fontId="240" fillId="0" borderId="0" xfId="3" applyNumberFormat="1" applyFont="1"/>
    <xf numFmtId="260" fontId="240" fillId="0" borderId="0" xfId="40397" applyNumberFormat="1" applyFont="1"/>
    <xf numFmtId="37" fontId="250" fillId="0" borderId="10" xfId="0" applyNumberFormat="1" applyFont="1" applyFill="1" applyBorder="1"/>
    <xf numFmtId="260" fontId="250" fillId="0" borderId="0" xfId="3" applyNumberFormat="1" applyFont="1" applyFill="1" applyAlignment="1">
      <alignment vertical="center" wrapText="1"/>
    </xf>
    <xf numFmtId="260" fontId="252" fillId="0" borderId="0" xfId="3" applyNumberFormat="1" applyFont="1" applyFill="1"/>
    <xf numFmtId="260" fontId="250" fillId="0" borderId="120" xfId="3" applyNumberFormat="1" applyFont="1" applyFill="1" applyBorder="1"/>
    <xf numFmtId="260" fontId="250" fillId="0" borderId="7" xfId="3" applyNumberFormat="1" applyFont="1" applyFill="1" applyBorder="1"/>
    <xf numFmtId="260" fontId="250" fillId="0" borderId="10" xfId="3" applyNumberFormat="1" applyFont="1" applyFill="1" applyBorder="1"/>
    <xf numFmtId="260" fontId="250" fillId="0" borderId="0" xfId="3" applyNumberFormat="1" applyFont="1" applyFill="1" applyBorder="1"/>
    <xf numFmtId="260" fontId="250" fillId="0" borderId="0" xfId="3" applyNumberFormat="1" applyFont="1" applyFill="1"/>
    <xf numFmtId="260" fontId="250" fillId="0" borderId="2" xfId="3" applyNumberFormat="1" applyFont="1" applyFill="1" applyBorder="1"/>
    <xf numFmtId="260" fontId="250" fillId="0" borderId="0" xfId="3" applyNumberFormat="1" applyFont="1" applyFill="1" applyAlignment="1">
      <alignment horizontal="center"/>
    </xf>
    <xf numFmtId="260" fontId="250" fillId="0" borderId="0" xfId="3" applyNumberFormat="1" applyFont="1" applyFill="1" applyAlignment="1" applyProtection="1">
      <protection locked="0"/>
    </xf>
    <xf numFmtId="260" fontId="250" fillId="0" borderId="0" xfId="3" applyNumberFormat="1" applyFont="1" applyFill="1" applyAlignment="1" applyProtection="1">
      <alignment horizontal="center"/>
      <protection locked="0"/>
    </xf>
    <xf numFmtId="165" fontId="252" fillId="0" borderId="0" xfId="0" applyNumberFormat="1" applyFont="1" applyFill="1" applyBorder="1" applyAlignment="1">
      <alignment horizontal="left"/>
    </xf>
    <xf numFmtId="37" fontId="79" fillId="0" borderId="0" xfId="0" applyNumberFormat="1" applyFont="1"/>
    <xf numFmtId="178" fontId="252" fillId="0" borderId="0" xfId="0" applyNumberFormat="1" applyFont="1" applyFill="1" applyAlignment="1">
      <alignment horizontal="justify" vertical="top"/>
    </xf>
    <xf numFmtId="0" fontId="250" fillId="0" borderId="5" xfId="0" applyNumberFormat="1" applyFont="1" applyFill="1" applyBorder="1" applyAlignment="1">
      <alignment horizontal="center" wrapText="1"/>
    </xf>
    <xf numFmtId="0" fontId="250" fillId="0" borderId="127" xfId="0" applyNumberFormat="1" applyFont="1" applyFill="1" applyBorder="1" applyAlignment="1">
      <alignment horizontal="center" wrapText="1"/>
    </xf>
    <xf numFmtId="267" fontId="256" fillId="0" borderId="0" xfId="3" applyNumberFormat="1" applyFont="1" applyFill="1" applyBorder="1"/>
    <xf numFmtId="165" fontId="240" fillId="5" borderId="0" xfId="40396" applyNumberFormat="1" applyFont="1" applyFill="1"/>
    <xf numFmtId="4" fontId="250" fillId="0" borderId="0" xfId="0" applyNumberFormat="1" applyFont="1" applyFill="1"/>
    <xf numFmtId="4" fontId="250" fillId="0" borderId="0" xfId="849" applyNumberFormat="1" applyFont="1" applyFill="1" applyBorder="1" applyAlignment="1">
      <alignment horizontal="center" vertical="center" wrapText="1"/>
    </xf>
    <xf numFmtId="260" fontId="250" fillId="0" borderId="0" xfId="3" applyFont="1" applyFill="1" applyBorder="1" applyAlignment="1" applyProtection="1">
      <alignment horizontal="center" vertical="center" wrapText="1"/>
    </xf>
    <xf numFmtId="260" fontId="250" fillId="0" borderId="0" xfId="3" applyFont="1" applyFill="1" applyBorder="1" applyAlignment="1">
      <alignment horizontal="center" vertical="center" wrapText="1"/>
    </xf>
    <xf numFmtId="0" fontId="250" fillId="0" borderId="0" xfId="0" applyNumberFormat="1" applyFont="1" applyFill="1" applyBorder="1" applyAlignment="1">
      <alignment vertical="center"/>
    </xf>
    <xf numFmtId="0" fontId="252" fillId="0" borderId="0" xfId="0" applyNumberFormat="1" applyFont="1" applyFill="1" applyAlignment="1">
      <alignment vertical="center"/>
    </xf>
    <xf numFmtId="165" fontId="256" fillId="0" borderId="7" xfId="3" applyNumberFormat="1" applyFont="1" applyFill="1" applyBorder="1"/>
    <xf numFmtId="165" fontId="256" fillId="0" borderId="10" xfId="0" applyNumberFormat="1" applyFont="1" applyFill="1" applyBorder="1"/>
    <xf numFmtId="9" fontId="79" fillId="0" borderId="0" xfId="0" applyNumberFormat="1" applyFont="1"/>
    <xf numFmtId="0" fontId="250" fillId="0" borderId="58" xfId="0" applyNumberFormat="1" applyFont="1" applyFill="1" applyBorder="1" applyAlignment="1">
      <alignment horizontal="center" wrapText="1"/>
    </xf>
    <xf numFmtId="4" fontId="252" fillId="0" borderId="0" xfId="0" applyNumberFormat="1" applyFont="1" applyFill="1" applyAlignment="1">
      <alignment vertical="top"/>
    </xf>
    <xf numFmtId="165" fontId="240" fillId="8" borderId="0" xfId="40396" applyNumberFormat="1" applyFont="1" applyFill="1"/>
    <xf numFmtId="0" fontId="250" fillId="0" borderId="0" xfId="0" quotePrefix="1" applyFont="1" applyFill="1" applyBorder="1" applyAlignment="1">
      <alignment horizontal="right" vertical="top"/>
    </xf>
    <xf numFmtId="260" fontId="252" fillId="0" borderId="0" xfId="3" applyFont="1" applyFill="1" applyAlignment="1">
      <alignment horizontal="center"/>
    </xf>
    <xf numFmtId="0" fontId="250" fillId="0" borderId="0" xfId="0" applyFont="1" applyFill="1" applyAlignment="1" applyProtection="1">
      <alignment horizontal="center"/>
      <protection locked="0"/>
    </xf>
    <xf numFmtId="0" fontId="250" fillId="0" borderId="0" xfId="0" applyFont="1" applyFill="1" applyAlignment="1">
      <alignment horizontal="center"/>
    </xf>
    <xf numFmtId="49" fontId="250" fillId="0" borderId="0" xfId="0" applyNumberFormat="1" applyFont="1" applyFill="1" applyBorder="1" applyAlignment="1">
      <alignment horizontal="center" vertical="center"/>
    </xf>
    <xf numFmtId="49" fontId="250" fillId="0" borderId="0" xfId="0" applyNumberFormat="1" applyFont="1" applyFill="1" applyBorder="1" applyAlignment="1">
      <alignment horizontal="center" vertical="top"/>
    </xf>
    <xf numFmtId="0" fontId="252" fillId="0" borderId="0" xfId="0" applyFont="1" applyFill="1" applyAlignment="1">
      <alignment horizontal="left" vertical="top" wrapText="1"/>
    </xf>
    <xf numFmtId="0" fontId="252" fillId="0" borderId="0" xfId="1732" applyFont="1" applyFill="1" applyAlignment="1" applyProtection="1">
      <alignment horizontal="center" vertical="top"/>
      <protection locked="0"/>
    </xf>
    <xf numFmtId="170" fontId="252" fillId="0" borderId="0" xfId="3" applyNumberFormat="1" applyFont="1" applyFill="1"/>
    <xf numFmtId="0" fontId="252" fillId="0" borderId="104" xfId="849" applyNumberFormat="1" applyFont="1" applyFill="1" applyBorder="1" applyAlignment="1">
      <alignment horizontal="center" wrapText="1"/>
    </xf>
    <xf numFmtId="0" fontId="252" fillId="0" borderId="0" xfId="849" applyNumberFormat="1" applyFont="1" applyFill="1" applyBorder="1" applyAlignment="1">
      <alignment horizontal="center" vertical="center" wrapText="1"/>
    </xf>
    <xf numFmtId="228" fontId="252" fillId="0" borderId="0" xfId="40395" applyNumberFormat="1" applyFont="1" applyFill="1" applyBorder="1" applyAlignment="1">
      <alignment vertical="top"/>
    </xf>
    <xf numFmtId="228" fontId="252" fillId="0" borderId="0" xfId="849" applyNumberFormat="1" applyFont="1" applyFill="1" applyBorder="1" applyAlignment="1" applyProtection="1">
      <alignment vertical="top"/>
      <protection locked="0"/>
    </xf>
    <xf numFmtId="170" fontId="252" fillId="0" borderId="0" xfId="3" applyNumberFormat="1" applyFont="1" applyFill="1" applyBorder="1"/>
    <xf numFmtId="165" fontId="250" fillId="0" borderId="0" xfId="0" applyNumberFormat="1" applyFont="1" applyFill="1" applyAlignment="1"/>
    <xf numFmtId="260" fontId="250" fillId="0" borderId="0" xfId="3" applyFont="1" applyFill="1" applyAlignment="1"/>
    <xf numFmtId="260" fontId="252" fillId="0" borderId="0" xfId="3" applyFont="1" applyFill="1" applyBorder="1" applyAlignment="1">
      <alignment horizontal="centerContinuous"/>
    </xf>
    <xf numFmtId="260" fontId="252" fillId="0" borderId="0" xfId="3" applyFont="1" applyFill="1" applyAlignment="1">
      <alignment horizontal="center" vertical="center"/>
    </xf>
    <xf numFmtId="260" fontId="254" fillId="0" borderId="0" xfId="3" quotePrefix="1" applyFont="1" applyFill="1" applyAlignment="1">
      <alignment horizontal="center"/>
    </xf>
    <xf numFmtId="228" fontId="250" fillId="0" borderId="0" xfId="1732" applyNumberFormat="1" applyFont="1" applyFill="1" applyBorder="1" applyAlignment="1" applyProtection="1">
      <alignment horizontal="center" vertical="center" wrapText="1"/>
    </xf>
    <xf numFmtId="37" fontId="0" fillId="0" borderId="0" xfId="0" applyNumberFormat="1" applyFill="1"/>
    <xf numFmtId="261" fontId="0" fillId="0" borderId="0" xfId="3" applyNumberFormat="1" applyFont="1" applyFill="1"/>
    <xf numFmtId="0" fontId="250" fillId="0" borderId="0" xfId="0" applyFont="1" applyFill="1" applyAlignment="1" applyProtection="1">
      <alignment horizontal="center"/>
      <protection locked="0"/>
    </xf>
    <xf numFmtId="0" fontId="252" fillId="0" borderId="0" xfId="0" applyNumberFormat="1" applyFont="1" applyFill="1" applyAlignment="1">
      <alignment horizontal="justify" vertical="top" wrapText="1"/>
    </xf>
    <xf numFmtId="0" fontId="252" fillId="0" borderId="0" xfId="0" applyFont="1" applyFill="1" applyAlignment="1">
      <alignment horizontal="justify" vertical="top"/>
    </xf>
    <xf numFmtId="0" fontId="250" fillId="0" borderId="0" xfId="0" applyFont="1" applyFill="1" applyAlignment="1" applyProtection="1">
      <alignment horizontal="center"/>
      <protection locked="0"/>
    </xf>
    <xf numFmtId="0" fontId="250" fillId="0" borderId="0" xfId="0" applyFont="1" applyFill="1" applyAlignment="1">
      <alignment horizontal="center"/>
    </xf>
    <xf numFmtId="0" fontId="79" fillId="0" borderId="0" xfId="0" applyFont="1" applyFill="1"/>
    <xf numFmtId="0" fontId="261" fillId="0" borderId="0" xfId="0" applyFont="1" applyFill="1" applyAlignment="1">
      <alignment horizontal="left" indent="1"/>
    </xf>
    <xf numFmtId="260" fontId="250" fillId="0" borderId="102" xfId="3" applyNumberFormat="1" applyFont="1" applyFill="1" applyBorder="1"/>
    <xf numFmtId="260" fontId="252" fillId="0" borderId="102" xfId="3" applyNumberFormat="1" applyFont="1" applyFill="1" applyBorder="1"/>
    <xf numFmtId="0" fontId="250" fillId="0" borderId="101" xfId="0" applyFont="1" applyFill="1" applyBorder="1" applyAlignment="1" applyProtection="1">
      <alignment horizontal="center"/>
      <protection locked="0"/>
    </xf>
    <xf numFmtId="0" fontId="250" fillId="0" borderId="101" xfId="0" applyFont="1" applyFill="1" applyBorder="1" applyAlignment="1" applyProtection="1">
      <alignment horizontal="left"/>
      <protection locked="0"/>
    </xf>
    <xf numFmtId="0" fontId="250" fillId="0" borderId="101" xfId="0" applyNumberFormat="1" applyFont="1" applyFill="1" applyBorder="1" applyAlignment="1" applyProtection="1">
      <alignment horizontal="center"/>
      <protection locked="0"/>
    </xf>
    <xf numFmtId="0" fontId="250" fillId="0" borderId="101" xfId="0" applyFont="1" applyFill="1" applyBorder="1" applyProtection="1">
      <protection locked="0"/>
    </xf>
    <xf numFmtId="0" fontId="250" fillId="0" borderId="101" xfId="0" applyFont="1" applyFill="1" applyBorder="1" applyAlignment="1" applyProtection="1">
      <alignment horizontal="center" vertical="top"/>
    </xf>
    <xf numFmtId="260" fontId="252" fillId="0" borderId="120" xfId="3" applyFont="1" applyFill="1" applyBorder="1" applyAlignment="1"/>
    <xf numFmtId="260" fontId="252" fillId="0" borderId="10" xfId="3" applyFont="1" applyFill="1" applyBorder="1" applyAlignment="1"/>
    <xf numFmtId="260" fontId="252" fillId="0" borderId="102" xfId="3" applyFont="1" applyFill="1" applyBorder="1"/>
    <xf numFmtId="260" fontId="250" fillId="0" borderId="102" xfId="3" applyFont="1" applyFill="1" applyBorder="1"/>
    <xf numFmtId="0" fontId="252" fillId="0" borderId="101" xfId="0" applyFont="1" applyFill="1" applyBorder="1" applyAlignment="1" applyProtection="1">
      <alignment horizontal="center"/>
      <protection locked="0"/>
    </xf>
    <xf numFmtId="0" fontId="250" fillId="0" borderId="0" xfId="0" quotePrefix="1" applyNumberFormat="1" applyFont="1" applyFill="1" applyAlignment="1">
      <alignment horizontal="justify" vertical="top" wrapText="1"/>
    </xf>
    <xf numFmtId="0" fontId="261" fillId="0" borderId="0" xfId="0" applyFont="1" applyAlignment="1">
      <alignment horizontal="left" vertical="top" wrapText="1"/>
    </xf>
    <xf numFmtId="0" fontId="252" fillId="0" borderId="0" xfId="0" applyNumberFormat="1" applyFont="1" applyFill="1" applyAlignment="1">
      <alignment horizontal="justify" vertical="top" wrapText="1"/>
    </xf>
    <xf numFmtId="0" fontId="252" fillId="0" borderId="0" xfId="0" applyFont="1" applyFill="1" applyAlignment="1">
      <alignment horizontal="left" vertical="top" wrapText="1"/>
    </xf>
    <xf numFmtId="0" fontId="261" fillId="0" borderId="0" xfId="0" applyFont="1" applyFill="1" applyAlignment="1">
      <alignment horizontal="left" vertical="top" wrapText="1"/>
    </xf>
    <xf numFmtId="0" fontId="252" fillId="0" borderId="0" xfId="40410" applyFont="1" applyFill="1" applyAlignment="1">
      <alignment horizontal="justify" vertical="top"/>
    </xf>
    <xf numFmtId="0" fontId="252" fillId="0" borderId="0" xfId="0" applyFont="1" applyFill="1" applyAlignment="1">
      <alignment horizontal="justify" vertical="top"/>
    </xf>
    <xf numFmtId="260" fontId="252" fillId="0" borderId="10" xfId="3" applyFont="1" applyFill="1" applyBorder="1"/>
    <xf numFmtId="228" fontId="250" fillId="0" borderId="7" xfId="592" applyNumberFormat="1" applyFont="1" applyFill="1" applyBorder="1" applyAlignment="1">
      <alignment vertical="top"/>
    </xf>
    <xf numFmtId="228" fontId="252" fillId="0" borderId="7" xfId="592" applyNumberFormat="1" applyFont="1" applyFill="1" applyBorder="1" applyAlignment="1">
      <alignment vertical="top"/>
    </xf>
    <xf numFmtId="37" fontId="250" fillId="0" borderId="0" xfId="0" applyNumberFormat="1" applyFont="1" applyFill="1" applyBorder="1" applyAlignment="1" applyProtection="1">
      <alignment vertical="top"/>
    </xf>
    <xf numFmtId="0" fontId="250" fillId="0" borderId="0" xfId="0" applyFont="1" applyFill="1" applyBorder="1" applyAlignment="1">
      <alignment horizontal="center" vertical="center"/>
    </xf>
    <xf numFmtId="178" fontId="252" fillId="0" borderId="0" xfId="0" quotePrefix="1" applyNumberFormat="1" applyFont="1" applyFill="1" applyAlignment="1">
      <alignment vertical="top"/>
    </xf>
    <xf numFmtId="178" fontId="250" fillId="0" borderId="0" xfId="0" applyNumberFormat="1" applyFont="1" applyFill="1" applyAlignment="1">
      <alignment vertical="top"/>
    </xf>
    <xf numFmtId="0" fontId="273" fillId="0" borderId="0" xfId="0" applyFont="1" applyAlignment="1">
      <alignment horizontal="center" vertical="center" wrapText="1"/>
    </xf>
    <xf numFmtId="0" fontId="252" fillId="0" borderId="0" xfId="0" quotePrefix="1" applyFont="1" applyFill="1" applyAlignment="1">
      <alignment horizontal="left" vertical="top" wrapText="1"/>
    </xf>
    <xf numFmtId="0" fontId="252" fillId="0" borderId="0" xfId="0" quotePrefix="1" applyFont="1" applyAlignment="1">
      <alignment vertical="top"/>
    </xf>
    <xf numFmtId="260" fontId="250" fillId="0" borderId="0" xfId="3" applyNumberFormat="1" applyFont="1" applyFill="1" applyAlignment="1">
      <alignment horizontal="right"/>
    </xf>
    <xf numFmtId="260" fontId="252" fillId="0" borderId="0" xfId="3" applyNumberFormat="1" applyFont="1" applyFill="1" applyAlignment="1">
      <alignment horizontal="center" vertical="center"/>
    </xf>
    <xf numFmtId="260" fontId="252" fillId="0" borderId="0" xfId="3" applyNumberFormat="1" applyFont="1" applyFill="1" applyAlignment="1">
      <alignment horizontal="right"/>
    </xf>
    <xf numFmtId="260" fontId="250" fillId="0" borderId="102" xfId="3" applyNumberFormat="1" applyFont="1" applyFill="1" applyBorder="1" applyAlignment="1">
      <alignment horizontal="right"/>
    </xf>
    <xf numFmtId="260" fontId="252" fillId="0" borderId="102" xfId="3" applyNumberFormat="1" applyFont="1" applyFill="1" applyBorder="1" applyAlignment="1">
      <alignment horizontal="right"/>
    </xf>
    <xf numFmtId="49" fontId="250" fillId="0" borderId="0" xfId="0" applyNumberFormat="1" applyFont="1" applyFill="1" applyBorder="1" applyAlignment="1">
      <alignment horizontal="center" vertical="top"/>
    </xf>
    <xf numFmtId="0" fontId="252" fillId="0" borderId="0" xfId="0" applyFont="1" applyFill="1" applyAlignment="1">
      <alignment horizontal="justify" vertical="justify"/>
    </xf>
    <xf numFmtId="0" fontId="256" fillId="0" borderId="0" xfId="0" applyFont="1" applyFill="1" applyAlignment="1">
      <alignment horizontal="justify" vertical="justify" wrapText="1"/>
    </xf>
    <xf numFmtId="0" fontId="250" fillId="0" borderId="0" xfId="0" quotePrefix="1" applyFont="1" applyFill="1" applyAlignment="1">
      <alignment vertical="top"/>
    </xf>
    <xf numFmtId="260" fontId="252" fillId="0" borderId="102" xfId="3" applyFont="1" applyFill="1" applyBorder="1" applyAlignment="1">
      <alignment vertical="top"/>
    </xf>
    <xf numFmtId="260" fontId="250" fillId="0" borderId="0" xfId="3" applyFont="1" applyFill="1" applyAlignment="1">
      <alignment horizontal="right" wrapText="1"/>
    </xf>
    <xf numFmtId="260" fontId="250" fillId="0" borderId="102" xfId="40410" applyNumberFormat="1" applyFont="1" applyFill="1" applyBorder="1" applyAlignment="1">
      <alignment horizontal="right" wrapText="1"/>
    </xf>
    <xf numFmtId="0" fontId="252" fillId="0" borderId="0" xfId="40410" applyFont="1" applyFill="1" applyAlignment="1">
      <alignment horizontal="left" vertical="top" wrapText="1"/>
    </xf>
    <xf numFmtId="260" fontId="250" fillId="0" borderId="0" xfId="40410" applyNumberFormat="1" applyFont="1" applyFill="1" applyBorder="1" applyAlignment="1">
      <alignment horizontal="right" wrapText="1"/>
    </xf>
    <xf numFmtId="260" fontId="250" fillId="0" borderId="0" xfId="3" applyNumberFormat="1" applyFont="1" applyFill="1" applyBorder="1" applyAlignment="1">
      <alignment horizontal="right"/>
    </xf>
    <xf numFmtId="260" fontId="252" fillId="0" borderId="0" xfId="3" applyNumberFormat="1" applyFont="1" applyFill="1" applyBorder="1" applyAlignment="1">
      <alignment horizontal="right"/>
    </xf>
    <xf numFmtId="0" fontId="252" fillId="0" borderId="0" xfId="0" applyNumberFormat="1" applyFont="1" applyFill="1" applyAlignment="1">
      <alignment horizontal="left" vertical="top" wrapText="1"/>
    </xf>
    <xf numFmtId="37" fontId="252" fillId="0" borderId="0" xfId="0" applyNumberFormat="1" applyFont="1" applyFill="1" applyBorder="1" applyAlignment="1" applyProtection="1">
      <alignment horizontal="justify" vertical="justify" wrapText="1"/>
    </xf>
    <xf numFmtId="0" fontId="261" fillId="0" borderId="0" xfId="0" applyFont="1" applyFill="1" applyAlignment="1">
      <alignment horizontal="justify" vertical="justify" wrapText="1"/>
    </xf>
    <xf numFmtId="165" fontId="250" fillId="0" borderId="101" xfId="3" applyNumberFormat="1" applyFont="1" applyFill="1" applyBorder="1"/>
    <xf numFmtId="165" fontId="252" fillId="0" borderId="101" xfId="3" applyNumberFormat="1" applyFont="1" applyFill="1" applyBorder="1"/>
    <xf numFmtId="0" fontId="250" fillId="0" borderId="0" xfId="0" applyFont="1" applyFill="1" applyAlignment="1" applyProtection="1">
      <alignment horizontal="center"/>
      <protection locked="0"/>
    </xf>
    <xf numFmtId="49" fontId="250" fillId="0" borderId="0" xfId="0" applyNumberFormat="1" applyFont="1" applyFill="1" applyBorder="1" applyAlignment="1">
      <alignment horizontal="center" vertical="center"/>
    </xf>
    <xf numFmtId="260" fontId="252" fillId="5" borderId="0" xfId="3" applyFont="1" applyFill="1"/>
    <xf numFmtId="260" fontId="250" fillId="0" borderId="0" xfId="0" applyNumberFormat="1" applyFont="1" applyFill="1"/>
    <xf numFmtId="228" fontId="250" fillId="0" borderId="102" xfId="3" applyNumberFormat="1" applyFont="1" applyFill="1" applyBorder="1" applyAlignment="1">
      <alignment vertical="center"/>
    </xf>
    <xf numFmtId="228" fontId="252" fillId="0" borderId="102" xfId="3" applyNumberFormat="1" applyFont="1" applyFill="1" applyBorder="1" applyAlignment="1">
      <alignment vertical="center"/>
    </xf>
    <xf numFmtId="269" fontId="240" fillId="0" borderId="0" xfId="3" applyNumberFormat="1" applyFont="1"/>
    <xf numFmtId="0" fontId="252" fillId="0" borderId="0" xfId="0" applyNumberFormat="1" applyFont="1" applyFill="1" applyAlignment="1">
      <alignment horizontal="justify" vertical="justify" wrapText="1"/>
    </xf>
    <xf numFmtId="0" fontId="252" fillId="0" borderId="0" xfId="40410" applyFont="1" applyFill="1" applyAlignment="1">
      <alignment horizontal="left" vertical="top" wrapText="1"/>
    </xf>
    <xf numFmtId="186" fontId="7" fillId="0" borderId="0" xfId="40417" applyFont="1" applyFill="1" applyAlignment="1">
      <alignment vertical="top"/>
    </xf>
    <xf numFmtId="0" fontId="254" fillId="0" borderId="0" xfId="40417" applyNumberFormat="1" applyFont="1" applyFill="1" applyAlignment="1">
      <alignment horizontal="left" vertical="top"/>
    </xf>
    <xf numFmtId="0" fontId="254" fillId="0" borderId="0" xfId="30" quotePrefix="1" applyNumberFormat="1" applyFont="1" applyFill="1" applyAlignment="1">
      <alignment horizontal="left" vertical="top"/>
    </xf>
    <xf numFmtId="0" fontId="254" fillId="0" borderId="0" xfId="30" applyFont="1" applyFill="1" applyAlignment="1">
      <alignment vertical="top"/>
    </xf>
    <xf numFmtId="186" fontId="7" fillId="0" borderId="0" xfId="40417" applyFont="1" applyFill="1" applyAlignment="1">
      <alignment horizontal="justify" vertical="top"/>
    </xf>
    <xf numFmtId="0" fontId="7" fillId="0" borderId="0" xfId="40417" applyNumberFormat="1" applyFont="1" applyFill="1" applyAlignment="1">
      <alignment horizontal="justify" vertical="top"/>
    </xf>
    <xf numFmtId="2" fontId="7" fillId="0" borderId="0" xfId="40417" applyNumberFormat="1" applyFont="1" applyFill="1" applyAlignment="1">
      <alignment vertical="top"/>
    </xf>
    <xf numFmtId="2" fontId="254" fillId="0" borderId="0" xfId="30" quotePrefix="1" applyNumberFormat="1" applyFont="1" applyFill="1" applyAlignment="1">
      <alignment horizontal="left" vertical="top"/>
    </xf>
    <xf numFmtId="2" fontId="7" fillId="0" borderId="0" xfId="40417" applyNumberFormat="1" applyFont="1" applyFill="1" applyAlignment="1">
      <alignment horizontal="justify" vertical="top"/>
    </xf>
    <xf numFmtId="2" fontId="254" fillId="0" borderId="0" xfId="40417" applyNumberFormat="1" applyFont="1" applyFill="1" applyAlignment="1">
      <alignment horizontal="left" vertical="top"/>
    </xf>
    <xf numFmtId="2" fontId="7" fillId="0" borderId="0" xfId="40417" applyNumberFormat="1" applyFont="1" applyFill="1" applyAlignment="1">
      <alignment horizontal="justify" vertical="top" wrapText="1"/>
    </xf>
    <xf numFmtId="0" fontId="254" fillId="0" borderId="0" xfId="68" quotePrefix="1" applyFont="1" applyFill="1" applyAlignment="1">
      <alignment vertical="center"/>
    </xf>
    <xf numFmtId="0" fontId="254" fillId="0" borderId="0" xfId="68" applyNumberFormat="1" applyFont="1" applyFill="1" applyAlignment="1">
      <alignment vertical="center"/>
    </xf>
    <xf numFmtId="0" fontId="7" fillId="0" borderId="0" xfId="68" applyFont="1" applyFill="1" applyAlignment="1">
      <alignment vertical="center"/>
    </xf>
    <xf numFmtId="0" fontId="7" fillId="0" borderId="0" xfId="68" applyFont="1" applyFill="1" applyAlignment="1">
      <alignment horizontal="center" vertical="center"/>
    </xf>
    <xf numFmtId="186" fontId="7" fillId="5" borderId="0" xfId="40417" applyFont="1" applyFill="1" applyAlignment="1">
      <alignment horizontal="justify" vertical="top"/>
    </xf>
    <xf numFmtId="0" fontId="254" fillId="0" borderId="0" xfId="68" applyFont="1" applyFill="1" applyAlignment="1">
      <alignment vertical="center"/>
    </xf>
    <xf numFmtId="186" fontId="7" fillId="0" borderId="0" xfId="40417" applyFont="1" applyFill="1" applyAlignment="1">
      <alignment vertical="top" wrapText="1"/>
    </xf>
    <xf numFmtId="0" fontId="252" fillId="0" borderId="0" xfId="76" applyFont="1" applyFill="1" applyAlignment="1">
      <alignment vertical="center"/>
    </xf>
    <xf numFmtId="186" fontId="7" fillId="0" borderId="0" xfId="40417" applyFont="1" applyFill="1" applyAlignment="1">
      <alignment horizontal="justify" vertical="top" wrapText="1"/>
    </xf>
    <xf numFmtId="186" fontId="7" fillId="0" borderId="0" xfId="40419" applyNumberFormat="1" applyFont="1" applyFill="1" applyBorder="1" applyAlignment="1">
      <alignment vertical="top"/>
    </xf>
    <xf numFmtId="0" fontId="25" fillId="0" borderId="0" xfId="40420" applyFont="1" applyFill="1" applyAlignment="1">
      <alignment vertical="top"/>
    </xf>
    <xf numFmtId="0" fontId="25" fillId="0" borderId="0" xfId="40420" applyFont="1" applyFill="1" applyAlignment="1">
      <alignment horizontal="left" vertical="top"/>
    </xf>
    <xf numFmtId="0" fontId="25" fillId="0" borderId="0" xfId="0" applyFont="1" applyFill="1" applyAlignment="1">
      <alignment horizontal="left" vertical="top"/>
    </xf>
    <xf numFmtId="0" fontId="252" fillId="0" borderId="0" xfId="0" applyFont="1"/>
    <xf numFmtId="2" fontId="97" fillId="0" borderId="0" xfId="40403" applyNumberFormat="1" applyFont="1" applyFill="1" applyAlignment="1">
      <alignment horizontal="justify" vertical="top"/>
    </xf>
    <xf numFmtId="0" fontId="36" fillId="0" borderId="0" xfId="5784" applyFont="1" applyFill="1" applyAlignment="1">
      <alignment horizontal="center" vertical="top"/>
    </xf>
    <xf numFmtId="186" fontId="7" fillId="0" borderId="0" xfId="40417" quotePrefix="1" applyFont="1" applyFill="1" applyAlignment="1">
      <alignment vertical="top" wrapText="1"/>
    </xf>
    <xf numFmtId="0" fontId="252" fillId="0" borderId="0" xfId="40422" applyNumberFormat="1" applyFont="1" applyFill="1" applyBorder="1" applyAlignment="1">
      <alignment vertical="top"/>
    </xf>
    <xf numFmtId="0" fontId="252" fillId="0" borderId="0" xfId="40422" applyNumberFormat="1" applyFont="1" applyFill="1" applyBorder="1" applyAlignment="1">
      <alignment vertical="top" wrapText="1"/>
    </xf>
    <xf numFmtId="0" fontId="252" fillId="0" borderId="0" xfId="40422" applyNumberFormat="1" applyFont="1" applyFill="1" applyBorder="1" applyAlignment="1">
      <alignment horizontal="left" vertical="top" wrapText="1"/>
    </xf>
    <xf numFmtId="0" fontId="252" fillId="0" borderId="0" xfId="40422" applyNumberFormat="1" applyFont="1" applyFill="1" applyBorder="1" applyAlignment="1">
      <alignment horizontal="center" vertical="top"/>
    </xf>
    <xf numFmtId="0" fontId="7" fillId="0" borderId="0" xfId="40417" applyNumberFormat="1" applyFont="1" applyFill="1" applyAlignment="1">
      <alignment horizontal="justify" vertical="top" wrapText="1"/>
    </xf>
    <xf numFmtId="0" fontId="254" fillId="0" borderId="0" xfId="68" applyFont="1" applyFill="1" applyAlignment="1">
      <alignment vertical="top"/>
    </xf>
    <xf numFmtId="0" fontId="252" fillId="0" borderId="0" xfId="174" applyNumberFormat="1" applyFont="1" applyFill="1" applyAlignment="1">
      <alignment vertical="top"/>
    </xf>
    <xf numFmtId="0" fontId="7" fillId="0" borderId="0" xfId="68" applyFont="1" applyFill="1" applyAlignment="1">
      <alignment horizontal="justify" vertical="top"/>
    </xf>
    <xf numFmtId="186" fontId="7" fillId="0" borderId="0" xfId="40417" applyFont="1" applyFill="1" applyBorder="1" applyAlignment="1">
      <alignment vertical="top"/>
    </xf>
    <xf numFmtId="0" fontId="254" fillId="0" borderId="0" xfId="40417" applyNumberFormat="1" applyFont="1" applyFill="1" applyBorder="1" applyAlignment="1">
      <alignment horizontal="left" vertical="top"/>
    </xf>
    <xf numFmtId="186" fontId="7" fillId="0" borderId="0" xfId="40417" applyFont="1" applyFill="1" applyBorder="1" applyAlignment="1">
      <alignment horizontal="justify" vertical="top"/>
    </xf>
    <xf numFmtId="186" fontId="7" fillId="0" borderId="0" xfId="40417" applyFont="1" applyFill="1" applyBorder="1" applyAlignment="1">
      <alignment vertical="top" wrapText="1"/>
    </xf>
    <xf numFmtId="165" fontId="250" fillId="0" borderId="0" xfId="22" applyNumberFormat="1" applyFont="1" applyFill="1" applyBorder="1" applyAlignment="1" applyProtection="1">
      <alignment horizontal="center"/>
    </xf>
    <xf numFmtId="37" fontId="250" fillId="0" borderId="0" xfId="40393" applyNumberFormat="1" applyFont="1" applyFill="1" applyBorder="1" applyAlignment="1" applyProtection="1">
      <alignment horizontal="center"/>
    </xf>
    <xf numFmtId="0" fontId="7" fillId="0" borderId="0" xfId="40417" applyNumberFormat="1" applyFont="1" applyFill="1" applyBorder="1" applyAlignment="1">
      <alignment horizontal="justify" vertical="top" wrapText="1"/>
    </xf>
    <xf numFmtId="0" fontId="0" fillId="0" borderId="0" xfId="0" applyBorder="1"/>
    <xf numFmtId="186" fontId="254" fillId="0" borderId="0" xfId="40417" applyFont="1" applyFill="1" applyBorder="1" applyAlignment="1">
      <alignment horizontal="center" vertical="top" wrapText="1"/>
    </xf>
    <xf numFmtId="0" fontId="250" fillId="0" borderId="0" xfId="40424" quotePrefix="1" applyNumberFormat="1" applyFont="1" applyFill="1" applyBorder="1" applyAlignment="1">
      <alignment horizontal="center" vertical="top"/>
    </xf>
    <xf numFmtId="0" fontId="250" fillId="0" borderId="0" xfId="40393" applyFont="1" applyFill="1" applyBorder="1" applyAlignment="1"/>
    <xf numFmtId="186" fontId="7" fillId="0" borderId="0" xfId="40417" applyFont="1" applyFill="1" applyBorder="1" applyAlignment="1">
      <alignment horizontal="justify" vertical="top" wrapText="1"/>
    </xf>
    <xf numFmtId="186" fontId="250" fillId="0" borderId="0" xfId="40417" applyFont="1" applyFill="1" applyBorder="1" applyAlignment="1">
      <alignment horizontal="center"/>
    </xf>
    <xf numFmtId="271" fontId="250" fillId="0" borderId="0" xfId="40417" quotePrefix="1" applyNumberFormat="1" applyFont="1" applyFill="1" applyBorder="1" applyAlignment="1">
      <alignment horizontal="left"/>
    </xf>
    <xf numFmtId="186" fontId="250" fillId="0" borderId="0" xfId="40417" applyNumberFormat="1" applyFont="1" applyFill="1" applyBorder="1"/>
    <xf numFmtId="186" fontId="252" fillId="0" borderId="0" xfId="40417" applyFont="1" applyFill="1"/>
    <xf numFmtId="0" fontId="250" fillId="0" borderId="0" xfId="40417" applyNumberFormat="1" applyFont="1" applyFill="1" applyAlignment="1">
      <alignment horizontal="left"/>
    </xf>
    <xf numFmtId="0" fontId="252" fillId="0" borderId="0" xfId="40417" applyNumberFormat="1" applyFont="1" applyFill="1" applyAlignment="1">
      <alignment horizontal="center"/>
    </xf>
    <xf numFmtId="0" fontId="7" fillId="0" borderId="0" xfId="40417" applyNumberFormat="1" applyFont="1" applyFill="1" applyAlignment="1">
      <alignment horizontal="left" vertical="top"/>
    </xf>
    <xf numFmtId="165" fontId="79" fillId="0" borderId="0" xfId="0" applyNumberFormat="1" applyFont="1"/>
    <xf numFmtId="165" fontId="250" fillId="0" borderId="102" xfId="3" applyNumberFormat="1" applyFont="1" applyFill="1" applyBorder="1" applyAlignment="1">
      <alignment vertical="top"/>
    </xf>
    <xf numFmtId="165" fontId="252" fillId="0" borderId="102" xfId="3" applyNumberFormat="1" applyFont="1" applyFill="1" applyBorder="1" applyAlignment="1">
      <alignment vertical="top"/>
    </xf>
    <xf numFmtId="271" fontId="250" fillId="0" borderId="0" xfId="40417" quotePrefix="1" applyNumberFormat="1" applyFont="1" applyFill="1" applyAlignment="1">
      <alignment horizontal="left"/>
    </xf>
    <xf numFmtId="186" fontId="250" fillId="0" borderId="0" xfId="40417" applyNumberFormat="1" applyFont="1" applyFill="1"/>
    <xf numFmtId="165" fontId="252" fillId="0" borderId="128" xfId="3" applyNumberFormat="1" applyFont="1" applyFill="1" applyBorder="1" applyAlignment="1">
      <alignment vertical="top"/>
    </xf>
    <xf numFmtId="165" fontId="250" fillId="0" borderId="0" xfId="22" applyNumberFormat="1" applyFont="1" applyFill="1" applyAlignment="1" applyProtection="1">
      <alignment horizontal="center"/>
    </xf>
    <xf numFmtId="37" fontId="250" fillId="0" borderId="0" xfId="40393" applyNumberFormat="1" applyFont="1" applyFill="1" applyAlignment="1" applyProtection="1">
      <alignment horizontal="center"/>
    </xf>
    <xf numFmtId="0" fontId="250" fillId="0" borderId="0" xfId="40424" quotePrefix="1" applyNumberFormat="1" applyFont="1" applyFill="1" applyAlignment="1">
      <alignment horizontal="center" vertical="top"/>
    </xf>
    <xf numFmtId="0" fontId="250" fillId="0" borderId="0" xfId="40393" applyFont="1" applyFill="1" applyAlignment="1"/>
    <xf numFmtId="260" fontId="250" fillId="0" borderId="102" xfId="3" applyFont="1" applyFill="1" applyBorder="1" applyAlignment="1">
      <alignment vertical="top"/>
    </xf>
    <xf numFmtId="0" fontId="250" fillId="0" borderId="0" xfId="0" quotePrefix="1" applyFont="1" applyFill="1" applyAlignment="1">
      <alignment horizontal="left"/>
    </xf>
    <xf numFmtId="37" fontId="252" fillId="0" borderId="0" xfId="0" applyNumberFormat="1" applyFont="1" applyFill="1" applyAlignment="1">
      <alignment horizontal="left" vertical="top"/>
    </xf>
    <xf numFmtId="165" fontId="250" fillId="0" borderId="0" xfId="0" applyNumberFormat="1" applyFont="1" applyFill="1" applyBorder="1" applyAlignment="1">
      <alignment horizontal="center" vertical="top"/>
    </xf>
    <xf numFmtId="165" fontId="250" fillId="0" borderId="102" xfId="0" applyNumberFormat="1" applyFont="1" applyFill="1" applyBorder="1" applyAlignment="1">
      <alignment horizontal="center" vertical="top"/>
    </xf>
    <xf numFmtId="165" fontId="252" fillId="0" borderId="102" xfId="0" applyNumberFormat="1" applyFont="1" applyFill="1" applyBorder="1" applyAlignment="1">
      <alignment horizontal="center" vertical="top"/>
    </xf>
    <xf numFmtId="1" fontId="250" fillId="0" borderId="0" xfId="40417" quotePrefix="1" applyNumberFormat="1" applyFont="1" applyFill="1" applyAlignment="1" applyProtection="1">
      <alignment horizontal="left"/>
    </xf>
    <xf numFmtId="0" fontId="252" fillId="0" borderId="0" xfId="3180" applyFont="1" applyFill="1"/>
    <xf numFmtId="0" fontId="250" fillId="0" borderId="0" xfId="0" applyFont="1" applyFill="1" applyAlignment="1" applyProtection="1"/>
    <xf numFmtId="260" fontId="252" fillId="0" borderId="0" xfId="3" applyFont="1" applyFill="1" applyAlignment="1">
      <alignment horizontal="right"/>
    </xf>
    <xf numFmtId="260" fontId="250" fillId="0" borderId="9" xfId="3" applyFont="1" applyFill="1" applyBorder="1" applyAlignment="1">
      <alignment horizontal="right"/>
    </xf>
    <xf numFmtId="228" fontId="252" fillId="0" borderId="9" xfId="0" applyNumberFormat="1" applyFont="1" applyFill="1" applyBorder="1" applyAlignment="1"/>
    <xf numFmtId="0" fontId="266" fillId="103" borderId="0" xfId="40425" applyFont="1" applyFill="1" applyAlignment="1">
      <alignment horizontal="left" wrapText="1" readingOrder="1"/>
    </xf>
    <xf numFmtId="0" fontId="3" fillId="103" borderId="0" xfId="40425" applyFill="1" applyAlignment="1">
      <alignment wrapText="1"/>
    </xf>
    <xf numFmtId="0" fontId="3" fillId="104" borderId="0" xfId="40425" applyFill="1"/>
    <xf numFmtId="0" fontId="3" fillId="104" borderId="0" xfId="40425" applyFill="1" applyAlignment="1">
      <alignment horizontal="left" wrapText="1" readingOrder="1"/>
    </xf>
    <xf numFmtId="0" fontId="3" fillId="104" borderId="0" xfId="40425" applyFill="1" applyAlignment="1">
      <alignment wrapText="1"/>
    </xf>
    <xf numFmtId="0" fontId="266" fillId="104" borderId="0" xfId="40425" applyFont="1" applyFill="1" applyAlignment="1">
      <alignment horizontal="left" wrapText="1" readingOrder="1"/>
    </xf>
    <xf numFmtId="0" fontId="3" fillId="103" borderId="0" xfId="40425" applyFill="1" applyAlignment="1">
      <alignment horizontal="right" wrapText="1" readingOrder="1"/>
    </xf>
    <xf numFmtId="0" fontId="270" fillId="103" borderId="0" xfId="40425" applyFont="1" applyFill="1" applyAlignment="1">
      <alignment horizontal="right" wrapText="1" readingOrder="1"/>
    </xf>
    <xf numFmtId="4" fontId="270" fillId="103" borderId="0" xfId="40425" applyNumberFormat="1" applyFont="1" applyFill="1" applyAlignment="1">
      <alignment horizontal="right" wrapText="1" readingOrder="1"/>
    </xf>
    <xf numFmtId="0" fontId="266" fillId="5" borderId="0" xfId="40425" applyFont="1" applyFill="1" applyAlignment="1">
      <alignment horizontal="left" wrapText="1" readingOrder="1"/>
    </xf>
    <xf numFmtId="0" fontId="3" fillId="5" borderId="0" xfId="40425" applyFill="1" applyAlignment="1">
      <alignment wrapText="1"/>
    </xf>
    <xf numFmtId="0" fontId="3" fillId="5" borderId="0" xfId="40425" applyFill="1"/>
    <xf numFmtId="0" fontId="3" fillId="5" borderId="0" xfId="40425" applyFill="1" applyAlignment="1">
      <alignment horizontal="left" wrapText="1" readingOrder="1"/>
    </xf>
    <xf numFmtId="0" fontId="3" fillId="5" borderId="0" xfId="40425" applyFill="1" applyAlignment="1">
      <alignment horizontal="right" wrapText="1" readingOrder="1"/>
    </xf>
    <xf numFmtId="0" fontId="270" fillId="5" borderId="0" xfId="40425" applyFont="1" applyFill="1" applyAlignment="1">
      <alignment horizontal="right" wrapText="1" readingOrder="1"/>
    </xf>
    <xf numFmtId="4" fontId="270" fillId="5" borderId="0" xfId="40425" applyNumberFormat="1" applyFont="1" applyFill="1" applyAlignment="1">
      <alignment horizontal="right" wrapText="1" readingOrder="1"/>
    </xf>
    <xf numFmtId="4" fontId="3" fillId="5" borderId="0" xfId="40425" applyNumberFormat="1" applyFill="1"/>
    <xf numFmtId="3" fontId="270" fillId="103" borderId="0" xfId="40425" applyNumberFormat="1" applyFont="1" applyFill="1" applyAlignment="1">
      <alignment horizontal="right" wrapText="1" readingOrder="1"/>
    </xf>
    <xf numFmtId="268" fontId="3" fillId="5" borderId="0" xfId="40425" applyNumberFormat="1" applyFill="1"/>
    <xf numFmtId="272" fontId="3" fillId="5" borderId="0" xfId="40425" applyNumberFormat="1" applyFill="1"/>
    <xf numFmtId="3" fontId="270" fillId="5" borderId="0" xfId="40425" applyNumberFormat="1" applyFont="1" applyFill="1" applyAlignment="1">
      <alignment horizontal="right" wrapText="1" readingOrder="1"/>
    </xf>
    <xf numFmtId="208" fontId="3" fillId="5" borderId="0" xfId="40425" applyNumberFormat="1" applyFill="1"/>
    <xf numFmtId="186" fontId="7" fillId="0" borderId="0" xfId="40417" applyFont="1" applyFill="1" applyAlignment="1">
      <alignment horizontal="justify" vertical="top"/>
    </xf>
    <xf numFmtId="0" fontId="252" fillId="0" borderId="0" xfId="0" applyFont="1" applyFill="1" applyAlignment="1" applyProtection="1">
      <alignment horizontal="justify" vertical="top"/>
    </xf>
    <xf numFmtId="0" fontId="0" fillId="0" borderId="0" xfId="0" applyAlignment="1">
      <alignment horizontal="justify" vertical="top"/>
    </xf>
    <xf numFmtId="0" fontId="0" fillId="0" borderId="0" xfId="0" applyAlignment="1">
      <alignment horizontal="left" vertical="top"/>
    </xf>
    <xf numFmtId="0" fontId="25" fillId="0" borderId="0" xfId="1373" applyFont="1" applyFill="1" applyAlignment="1">
      <alignment horizontal="left" vertical="top"/>
    </xf>
    <xf numFmtId="0" fontId="36" fillId="0" borderId="0" xfId="40420" applyFont="1" applyFill="1" applyAlignment="1">
      <alignment horizontal="left" vertical="top"/>
    </xf>
    <xf numFmtId="0" fontId="254" fillId="0" borderId="0" xfId="68" applyFont="1" applyFill="1" applyAlignment="1">
      <alignment horizontal="left" vertical="top"/>
    </xf>
    <xf numFmtId="0" fontId="120" fillId="0" borderId="0" xfId="0" quotePrefix="1" applyFont="1" applyAlignment="1">
      <alignment horizontal="left" vertical="top"/>
    </xf>
    <xf numFmtId="0" fontId="80" fillId="0" borderId="0" xfId="0" quotePrefix="1" applyFont="1"/>
    <xf numFmtId="0" fontId="252" fillId="0" borderId="0" xfId="67" applyFont="1" applyFill="1" applyAlignment="1">
      <alignment vertical="top"/>
    </xf>
    <xf numFmtId="0" fontId="252" fillId="0" borderId="0" xfId="5784" quotePrefix="1" applyNumberFormat="1" applyFont="1" applyFill="1" applyAlignment="1" applyProtection="1">
      <alignment vertical="top"/>
      <protection locked="0"/>
    </xf>
    <xf numFmtId="0" fontId="252" fillId="0" borderId="0" xfId="5784" applyNumberFormat="1" applyFont="1" applyFill="1" applyAlignment="1" applyProtection="1">
      <alignment vertical="top"/>
      <protection locked="0"/>
    </xf>
    <xf numFmtId="0" fontId="250" fillId="0" borderId="0" xfId="3180" applyNumberFormat="1" applyFont="1" applyFill="1" applyAlignment="1">
      <alignment vertical="top"/>
    </xf>
    <xf numFmtId="0" fontId="7" fillId="0" borderId="0" xfId="68" applyFont="1" applyFill="1" applyAlignment="1">
      <alignment vertical="top"/>
    </xf>
    <xf numFmtId="0" fontId="252" fillId="0" borderId="0" xfId="0" applyFont="1" applyAlignment="1">
      <alignment horizontal="left" vertical="top"/>
    </xf>
    <xf numFmtId="0" fontId="254" fillId="0" borderId="0" xfId="0" applyFont="1" applyAlignment="1">
      <alignment vertical="top"/>
    </xf>
    <xf numFmtId="0" fontId="252" fillId="0" borderId="0" xfId="40422" applyFont="1" applyFill="1" applyBorder="1" applyAlignment="1">
      <alignment vertical="top" wrapText="1"/>
    </xf>
    <xf numFmtId="0" fontId="254" fillId="0" borderId="0" xfId="0" applyFont="1" applyAlignment="1">
      <alignment vertical="center"/>
    </xf>
    <xf numFmtId="0" fontId="275" fillId="0" borderId="0" xfId="20" applyNumberFormat="1" applyFont="1" applyFill="1" applyAlignment="1">
      <alignment horizontal="center"/>
    </xf>
    <xf numFmtId="0" fontId="97" fillId="0" borderId="0" xfId="20" applyNumberFormat="1" applyFont="1" applyFill="1" applyAlignment="1"/>
    <xf numFmtId="0" fontId="275" fillId="0" borderId="0" xfId="3180" applyFont="1" applyFill="1" applyAlignment="1">
      <alignment horizontal="center"/>
    </xf>
    <xf numFmtId="165" fontId="36" fillId="0" borderId="120" xfId="1469" applyNumberFormat="1" applyFont="1" applyFill="1" applyBorder="1"/>
    <xf numFmtId="165" fontId="36" fillId="0" borderId="10" xfId="1476" applyNumberFormat="1" applyFont="1" applyFill="1" applyBorder="1" applyAlignment="1" applyProtection="1">
      <alignment horizontal="center" vertical="center"/>
      <protection locked="0"/>
    </xf>
    <xf numFmtId="165" fontId="36" fillId="0" borderId="102" xfId="1476" applyNumberFormat="1" applyFont="1" applyFill="1" applyBorder="1" applyAlignment="1" applyProtection="1">
      <alignment horizontal="center" vertical="center"/>
      <protection locked="0"/>
    </xf>
    <xf numFmtId="273" fontId="250" fillId="0" borderId="0" xfId="3" applyNumberFormat="1" applyFont="1" applyFill="1" applyBorder="1" applyAlignment="1">
      <alignment horizontal="center" wrapText="1"/>
    </xf>
    <xf numFmtId="49" fontId="250" fillId="0" borderId="0" xfId="0" applyNumberFormat="1" applyFont="1" applyFill="1" applyBorder="1" applyAlignment="1">
      <alignment horizontal="center" vertical="top"/>
    </xf>
    <xf numFmtId="0" fontId="250" fillId="0" borderId="0" xfId="0" applyFont="1" applyFill="1" applyAlignment="1" applyProtection="1">
      <alignment horizontal="center"/>
      <protection locked="0"/>
    </xf>
    <xf numFmtId="0" fontId="250" fillId="0" borderId="0" xfId="0" applyFont="1" applyFill="1" applyAlignment="1">
      <alignment horizontal="center"/>
    </xf>
    <xf numFmtId="49" fontId="250" fillId="0" borderId="0" xfId="0" applyNumberFormat="1" applyFont="1" applyFill="1" applyBorder="1" applyAlignment="1">
      <alignment horizontal="center" vertical="center"/>
    </xf>
    <xf numFmtId="165" fontId="36" fillId="0" borderId="120" xfId="1476" applyNumberFormat="1" applyFont="1" applyFill="1" applyBorder="1" applyAlignment="1" applyProtection="1">
      <alignment horizontal="center" vertical="center"/>
      <protection locked="0"/>
    </xf>
    <xf numFmtId="165" fontId="36" fillId="0" borderId="10" xfId="660" applyNumberFormat="1" applyFont="1" applyFill="1" applyBorder="1" applyAlignment="1">
      <alignment vertical="top"/>
    </xf>
    <xf numFmtId="260" fontId="250" fillId="0" borderId="0" xfId="3" applyFont="1" applyFill="1" applyBorder="1" applyAlignment="1">
      <alignment horizontal="right"/>
    </xf>
    <xf numFmtId="0" fontId="252" fillId="0" borderId="0" xfId="40392" quotePrefix="1" applyFont="1" applyFill="1" applyAlignment="1">
      <alignment horizontal="center" vertical="top"/>
    </xf>
    <xf numFmtId="260" fontId="36" fillId="0" borderId="129" xfId="3" applyFont="1" applyFill="1" applyBorder="1"/>
    <xf numFmtId="260" fontId="36" fillId="0" borderId="130" xfId="3" applyFont="1" applyFill="1" applyBorder="1"/>
    <xf numFmtId="260" fontId="36" fillId="0" borderId="131" xfId="3" applyFont="1" applyFill="1" applyBorder="1"/>
    <xf numFmtId="41" fontId="25" fillId="0" borderId="0" xfId="5878" applyNumberFormat="1" applyFont="1" applyFill="1" applyBorder="1" applyAlignment="1" applyProtection="1">
      <alignment horizontal="left" vertical="top"/>
      <protection locked="0"/>
    </xf>
    <xf numFmtId="165" fontId="25" fillId="0" borderId="0" xfId="40395" applyNumberFormat="1" applyFont="1" applyFill="1" applyBorder="1" applyAlignment="1">
      <alignment vertical="top"/>
    </xf>
    <xf numFmtId="165" fontId="25" fillId="0" borderId="0" xfId="3" applyNumberFormat="1" applyFont="1" applyFill="1" applyAlignment="1">
      <alignment vertical="center"/>
    </xf>
    <xf numFmtId="260" fontId="25" fillId="0" borderId="0" xfId="3" applyFont="1" applyFill="1"/>
    <xf numFmtId="41" fontId="276" fillId="0" borderId="0" xfId="5878" applyNumberFormat="1" applyFont="1" applyFill="1" applyBorder="1" applyAlignment="1" applyProtection="1">
      <alignment horizontal="left" vertical="top"/>
      <protection locked="0"/>
    </xf>
    <xf numFmtId="165" fontId="25" fillId="0" borderId="0" xfId="40395" applyNumberFormat="1" applyFont="1" applyFill="1" applyAlignment="1">
      <alignment vertical="top"/>
    </xf>
    <xf numFmtId="165" fontId="36" fillId="0" borderId="129" xfId="40426" applyNumberFormat="1" applyFont="1" applyFill="1" applyBorder="1" applyAlignment="1">
      <alignment horizontal="left"/>
    </xf>
    <xf numFmtId="0" fontId="36" fillId="0" borderId="130" xfId="40426" applyFont="1" applyFill="1" applyBorder="1" applyAlignment="1">
      <alignment horizontal="left"/>
    </xf>
    <xf numFmtId="165" fontId="36" fillId="0" borderId="130" xfId="40426" applyNumberFormat="1" applyFont="1" applyFill="1" applyBorder="1" applyAlignment="1">
      <alignment horizontal="left"/>
    </xf>
    <xf numFmtId="260" fontId="36" fillId="0" borderId="131" xfId="3" applyFont="1" applyFill="1" applyBorder="1" applyAlignment="1">
      <alignment horizontal="left"/>
    </xf>
    <xf numFmtId="43" fontId="25" fillId="0" borderId="0" xfId="5878" applyNumberFormat="1" applyFont="1" applyFill="1" applyBorder="1" applyAlignment="1" applyProtection="1">
      <alignment vertical="top"/>
      <protection locked="0"/>
    </xf>
    <xf numFmtId="165" fontId="276" fillId="0" borderId="137" xfId="3" applyNumberFormat="1" applyFont="1" applyFill="1" applyBorder="1" applyAlignment="1" applyProtection="1">
      <alignment horizontal="center" vertical="top"/>
      <protection locked="0"/>
    </xf>
    <xf numFmtId="4" fontId="276" fillId="0" borderId="120" xfId="5878" applyNumberFormat="1" applyFont="1" applyFill="1" applyBorder="1" applyAlignment="1" applyProtection="1">
      <alignment horizontal="center" vertical="top"/>
      <protection locked="0"/>
    </xf>
    <xf numFmtId="165" fontId="276" fillId="0" borderId="120" xfId="3" applyNumberFormat="1" applyFont="1" applyFill="1" applyBorder="1" applyAlignment="1" applyProtection="1">
      <alignment horizontal="center" vertical="top"/>
      <protection locked="0"/>
    </xf>
    <xf numFmtId="4" fontId="276" fillId="0" borderId="138" xfId="5878" applyNumberFormat="1" applyFont="1" applyFill="1" applyBorder="1" applyAlignment="1" applyProtection="1">
      <alignment horizontal="center" vertical="top"/>
      <protection locked="0"/>
    </xf>
    <xf numFmtId="165" fontId="252" fillId="0" borderId="22" xfId="3" applyNumberFormat="1" applyFont="1" applyFill="1" applyBorder="1"/>
    <xf numFmtId="260" fontId="252" fillId="0" borderId="23" xfId="3" applyFont="1" applyFill="1" applyBorder="1"/>
    <xf numFmtId="261" fontId="252" fillId="0" borderId="23" xfId="3" applyNumberFormat="1" applyFont="1" applyFill="1" applyBorder="1"/>
    <xf numFmtId="260" fontId="252" fillId="0" borderId="24" xfId="3" applyFont="1" applyFill="1" applyBorder="1"/>
    <xf numFmtId="261" fontId="252" fillId="0" borderId="24" xfId="3" applyNumberFormat="1" applyFont="1" applyFill="1" applyBorder="1"/>
    <xf numFmtId="43" fontId="36" fillId="0" borderId="139" xfId="5878" applyNumberFormat="1" applyFont="1" applyFill="1" applyBorder="1" applyAlignment="1" applyProtection="1">
      <alignment vertical="top"/>
      <protection locked="0"/>
    </xf>
    <xf numFmtId="165" fontId="250" fillId="0" borderId="22" xfId="3" applyNumberFormat="1" applyFont="1" applyFill="1" applyBorder="1" applyAlignment="1">
      <alignment horizontal="center"/>
    </xf>
    <xf numFmtId="165" fontId="250" fillId="0" borderId="23" xfId="3" applyNumberFormat="1" applyFont="1" applyFill="1" applyBorder="1" applyAlignment="1">
      <alignment horizontal="center"/>
    </xf>
    <xf numFmtId="170" fontId="25" fillId="0" borderId="0" xfId="40395" applyNumberFormat="1" applyFont="1" applyFill="1" applyAlignment="1">
      <alignment vertical="top"/>
    </xf>
    <xf numFmtId="165" fontId="276" fillId="0" borderId="0" xfId="1559" applyNumberFormat="1" applyFont="1" applyFill="1" applyBorder="1" applyAlignment="1" applyProtection="1">
      <alignment vertical="center"/>
      <protection locked="0"/>
    </xf>
    <xf numFmtId="165" fontId="240" fillId="105" borderId="0" xfId="40397" applyNumberFormat="1" applyFont="1" applyFill="1"/>
    <xf numFmtId="165" fontId="240" fillId="105" borderId="0" xfId="40396" applyNumberFormat="1" applyFont="1" applyFill="1"/>
    <xf numFmtId="4" fontId="0" fillId="0" borderId="0" xfId="0" applyNumberFormat="1"/>
    <xf numFmtId="4" fontId="252" fillId="0" borderId="0" xfId="0" applyNumberFormat="1" applyFont="1" applyFill="1"/>
    <xf numFmtId="4" fontId="250" fillId="0" borderId="0" xfId="0" applyNumberFormat="1" applyFont="1" applyFill="1" applyBorder="1"/>
    <xf numFmtId="3" fontId="0" fillId="0" borderId="0" xfId="0" applyNumberFormat="1"/>
    <xf numFmtId="0" fontId="252" fillId="9" borderId="0" xfId="0" applyFont="1" applyFill="1"/>
    <xf numFmtId="260" fontId="252" fillId="0" borderId="0" xfId="0" applyNumberFormat="1" applyFont="1" applyFill="1" applyBorder="1"/>
    <xf numFmtId="37" fontId="252" fillId="0" borderId="0" xfId="0" applyNumberFormat="1" applyFont="1" applyFill="1" applyBorder="1" applyAlignment="1"/>
    <xf numFmtId="0" fontId="0" fillId="9" borderId="0" xfId="0" applyFill="1"/>
    <xf numFmtId="165" fontId="25" fillId="0" borderId="120" xfId="1469" applyNumberFormat="1" applyFont="1" applyFill="1" applyBorder="1"/>
    <xf numFmtId="165" fontId="25" fillId="0" borderId="120" xfId="1476" applyNumberFormat="1" applyFont="1" applyFill="1" applyBorder="1" applyAlignment="1" applyProtection="1">
      <alignment horizontal="center" vertical="center"/>
      <protection locked="0"/>
    </xf>
    <xf numFmtId="0" fontId="277" fillId="0" borderId="0" xfId="0" applyNumberFormat="1" applyFont="1" applyFill="1" applyAlignment="1">
      <alignment vertical="top"/>
    </xf>
    <xf numFmtId="179" fontId="61" fillId="0" borderId="0" xfId="0" applyNumberFormat="1" applyFont="1"/>
    <xf numFmtId="274" fontId="61" fillId="0" borderId="0" xfId="0" applyNumberFormat="1" applyFont="1"/>
    <xf numFmtId="274" fontId="252" fillId="0" borderId="0" xfId="0" applyNumberFormat="1" applyFont="1" applyFill="1" applyAlignment="1">
      <alignment vertical="top"/>
    </xf>
    <xf numFmtId="165" fontId="250" fillId="0" borderId="24" xfId="3" applyNumberFormat="1" applyFont="1" applyFill="1" applyBorder="1" applyAlignment="1">
      <alignment horizontal="center"/>
    </xf>
    <xf numFmtId="0" fontId="95" fillId="0" borderId="0" xfId="0" applyNumberFormat="1" applyFont="1" applyBorder="1"/>
    <xf numFmtId="0" fontId="0" fillId="0" borderId="0" xfId="0" applyBorder="1" applyAlignment="1">
      <alignment horizontal="left" indent="1"/>
    </xf>
    <xf numFmtId="165" fontId="0" fillId="0" borderId="0" xfId="3" applyNumberFormat="1" applyFont="1" applyBorder="1"/>
    <xf numFmtId="43" fontId="0" fillId="0" borderId="0" xfId="3" applyNumberFormat="1" applyFont="1" applyBorder="1"/>
    <xf numFmtId="165" fontId="95" fillId="0" borderId="0" xfId="3" applyNumberFormat="1" applyFont="1" applyBorder="1"/>
    <xf numFmtId="43" fontId="95" fillId="0" borderId="0" xfId="3" applyNumberFormat="1" applyFont="1" applyBorder="1"/>
    <xf numFmtId="165" fontId="0" fillId="0" borderId="0" xfId="0" applyNumberFormat="1" applyBorder="1"/>
    <xf numFmtId="10" fontId="0" fillId="0" borderId="0" xfId="4" applyNumberFormat="1" applyFont="1" applyBorder="1"/>
    <xf numFmtId="10" fontId="95" fillId="0" borderId="0" xfId="4" applyNumberFormat="1" applyFont="1" applyBorder="1"/>
    <xf numFmtId="170" fontId="250" fillId="0" borderId="126" xfId="3" applyNumberFormat="1" applyFont="1" applyFill="1" applyBorder="1"/>
    <xf numFmtId="165" fontId="25" fillId="0" borderId="104" xfId="3" applyNumberFormat="1" applyFont="1" applyFill="1" applyBorder="1" applyAlignment="1" applyProtection="1">
      <alignment horizontal="center" vertical="top" wrapText="1"/>
      <protection locked="0"/>
    </xf>
    <xf numFmtId="165" fontId="25" fillId="0" borderId="104" xfId="30" applyNumberFormat="1" applyFont="1" applyFill="1" applyBorder="1" applyAlignment="1" applyProtection="1">
      <alignment horizontal="center" vertical="top" wrapText="1"/>
      <protection locked="0"/>
    </xf>
    <xf numFmtId="43" fontId="25" fillId="0" borderId="104" xfId="30" applyNumberFormat="1" applyFont="1" applyFill="1" applyBorder="1" applyAlignment="1" applyProtection="1">
      <alignment horizontal="center" vertical="top" wrapText="1"/>
      <protection locked="0"/>
    </xf>
    <xf numFmtId="170" fontId="25" fillId="0" borderId="104" xfId="30" applyNumberFormat="1" applyFont="1" applyFill="1" applyBorder="1" applyAlignment="1" applyProtection="1">
      <alignment horizontal="center" vertical="top" wrapText="1"/>
      <protection locked="0"/>
    </xf>
    <xf numFmtId="0" fontId="256" fillId="0" borderId="0" xfId="2258" applyFont="1" applyFill="1" applyAlignment="1">
      <alignment horizontal="left"/>
      <protection locked="0"/>
    </xf>
    <xf numFmtId="0" fontId="256" fillId="0" borderId="0" xfId="2258" applyFont="1" applyFill="1" applyAlignment="1">
      <alignment horizontal="left" indent="3"/>
      <protection locked="0"/>
    </xf>
    <xf numFmtId="0" fontId="256" fillId="0" borderId="0" xfId="4850" applyFont="1" applyFill="1" applyAlignment="1">
      <protection locked="0"/>
    </xf>
    <xf numFmtId="260" fontId="250" fillId="0" borderId="0" xfId="3" applyFont="1" applyFill="1" applyAlignment="1">
      <alignment vertical="top"/>
    </xf>
    <xf numFmtId="165" fontId="250" fillId="0" borderId="0" xfId="0" applyNumberFormat="1" applyFont="1" applyFill="1" applyAlignment="1">
      <alignment vertical="top"/>
    </xf>
    <xf numFmtId="275" fontId="61" fillId="0" borderId="0" xfId="0" applyNumberFormat="1" applyFont="1"/>
    <xf numFmtId="165" fontId="120" fillId="0" borderId="102" xfId="3" applyNumberFormat="1" applyFont="1" applyBorder="1"/>
    <xf numFmtId="10" fontId="120" fillId="0" borderId="102" xfId="4" applyNumberFormat="1" applyFont="1" applyBorder="1"/>
    <xf numFmtId="260" fontId="250" fillId="0" borderId="0" xfId="3" applyFont="1" applyFill="1" applyAlignment="1">
      <alignment vertical="center"/>
    </xf>
    <xf numFmtId="0" fontId="2" fillId="0" borderId="0" xfId="0" applyFont="1" applyBorder="1" applyAlignment="1">
      <alignment horizontal="left"/>
    </xf>
    <xf numFmtId="0" fontId="278" fillId="0" borderId="0" xfId="0" applyFont="1" applyBorder="1" applyAlignment="1">
      <alignment horizontal="left"/>
    </xf>
    <xf numFmtId="0" fontId="252" fillId="0" borderId="0" xfId="40390" applyFont="1" applyFill="1" applyAlignment="1">
      <alignment horizontal="left" vertical="top" indent="1"/>
    </xf>
    <xf numFmtId="0" fontId="1" fillId="0" borderId="0" xfId="0" applyFont="1" applyBorder="1" applyAlignment="1">
      <alignment horizontal="left"/>
    </xf>
    <xf numFmtId="172" fontId="0" fillId="0" borderId="0" xfId="0" applyNumberFormat="1"/>
    <xf numFmtId="269" fontId="0" fillId="0" borderId="0" xfId="3" applyNumberFormat="1" applyFont="1"/>
    <xf numFmtId="274" fontId="61" fillId="0" borderId="0" xfId="0" applyNumberFormat="1" applyFont="1" applyFill="1"/>
    <xf numFmtId="49" fontId="250" fillId="0" borderId="0" xfId="0" applyNumberFormat="1" applyFont="1" applyFill="1" applyBorder="1" applyAlignment="1">
      <alignment horizontal="center" vertical="top"/>
    </xf>
    <xf numFmtId="260" fontId="252" fillId="9" borderId="0" xfId="0" applyNumberFormat="1" applyFont="1" applyFill="1"/>
    <xf numFmtId="0" fontId="252" fillId="0" borderId="0" xfId="0" applyFont="1" applyFill="1" applyBorder="1" applyAlignment="1">
      <alignment horizontal="left" vertical="top" wrapText="1"/>
    </xf>
    <xf numFmtId="0" fontId="252" fillId="5" borderId="0" xfId="0" applyFont="1" applyFill="1" applyAlignment="1">
      <alignment vertical="top"/>
    </xf>
    <xf numFmtId="0" fontId="250" fillId="5" borderId="0" xfId="0" applyNumberFormat="1" applyFont="1" applyFill="1" applyAlignment="1">
      <alignment vertical="top"/>
    </xf>
    <xf numFmtId="260" fontId="250" fillId="5" borderId="0" xfId="3" applyFont="1" applyFill="1" applyAlignment="1">
      <alignment vertical="top"/>
    </xf>
    <xf numFmtId="260" fontId="250" fillId="5" borderId="0" xfId="3" applyFont="1" applyFill="1"/>
    <xf numFmtId="260" fontId="252" fillId="5" borderId="0" xfId="0" applyNumberFormat="1" applyFont="1" applyFill="1"/>
    <xf numFmtId="0" fontId="252" fillId="5" borderId="0" xfId="0" applyFont="1" applyFill="1"/>
    <xf numFmtId="49" fontId="250" fillId="0" borderId="0" xfId="0" applyNumberFormat="1" applyFont="1" applyFill="1" applyBorder="1" applyAlignment="1">
      <alignment horizontal="center" vertical="top"/>
    </xf>
    <xf numFmtId="37" fontId="250" fillId="0" borderId="0" xfId="40398" quotePrefix="1" applyNumberFormat="1" applyFont="1" applyFill="1" applyAlignment="1" applyProtection="1">
      <alignment horizontal="center" vertical="center" wrapText="1"/>
    </xf>
    <xf numFmtId="37" fontId="250" fillId="0" borderId="0" xfId="40398" quotePrefix="1" applyNumberFormat="1" applyFont="1" applyFill="1" applyAlignment="1" applyProtection="1">
      <alignment horizontal="center" vertical="center" wrapText="1"/>
    </xf>
    <xf numFmtId="43" fontId="252" fillId="0" borderId="0" xfId="0" applyNumberFormat="1" applyFont="1" applyFill="1" applyBorder="1"/>
    <xf numFmtId="260" fontId="250" fillId="0" borderId="0" xfId="3" applyFont="1" applyFill="1" applyAlignment="1">
      <alignment horizontal="right"/>
    </xf>
    <xf numFmtId="165" fontId="0" fillId="0" borderId="0" xfId="0" applyNumberFormat="1" applyFill="1" applyBorder="1"/>
    <xf numFmtId="165" fontId="120" fillId="0" borderId="102" xfId="3" applyNumberFormat="1" applyFont="1" applyFill="1" applyBorder="1"/>
    <xf numFmtId="0" fontId="95" fillId="0" borderId="0" xfId="0" applyNumberFormat="1" applyFont="1" applyFill="1" applyBorder="1"/>
    <xf numFmtId="0" fontId="0" fillId="0" borderId="0" xfId="0" applyNumberFormat="1" applyFill="1" applyBorder="1"/>
    <xf numFmtId="228" fontId="250" fillId="0" borderId="9" xfId="0" applyNumberFormat="1" applyFont="1" applyFill="1" applyBorder="1" applyAlignment="1"/>
    <xf numFmtId="0" fontId="250" fillId="0" borderId="0" xfId="0" applyFont="1" applyFill="1" applyAlignment="1" applyProtection="1">
      <alignment horizontal="center"/>
      <protection locked="0"/>
    </xf>
    <xf numFmtId="165" fontId="250" fillId="0" borderId="0" xfId="19" quotePrefix="1" applyNumberFormat="1" applyFont="1" applyFill="1" applyAlignment="1">
      <alignment horizontal="center"/>
    </xf>
    <xf numFmtId="0" fontId="263" fillId="0" borderId="0" xfId="19" applyFont="1" applyFill="1" applyAlignment="1">
      <alignment horizontal="center"/>
    </xf>
    <xf numFmtId="165" fontId="250" fillId="0" borderId="0" xfId="3" quotePrefix="1" applyNumberFormat="1" applyFont="1" applyFill="1" applyAlignment="1">
      <alignment horizontal="center"/>
    </xf>
    <xf numFmtId="165" fontId="250" fillId="0" borderId="0" xfId="3" applyNumberFormat="1" applyFont="1" applyFill="1" applyAlignment="1">
      <alignment horizontal="center"/>
    </xf>
    <xf numFmtId="165" fontId="250" fillId="0" borderId="0" xfId="31" quotePrefix="1" applyNumberFormat="1" applyFont="1" applyFill="1" applyAlignment="1">
      <alignment horizontal="center"/>
    </xf>
    <xf numFmtId="165" fontId="250" fillId="0" borderId="0" xfId="31" applyNumberFormat="1" applyFont="1" applyFill="1" applyAlignment="1">
      <alignment horizontal="center"/>
    </xf>
    <xf numFmtId="0" fontId="250" fillId="0" borderId="0" xfId="0" applyFont="1" applyFill="1" applyAlignment="1">
      <alignment horizontal="center"/>
    </xf>
    <xf numFmtId="49" fontId="250" fillId="0" borderId="2" xfId="0" applyNumberFormat="1" applyFont="1" applyFill="1" applyBorder="1" applyAlignment="1">
      <alignment horizontal="center" vertical="center"/>
    </xf>
    <xf numFmtId="49" fontId="250" fillId="0" borderId="0" xfId="0" applyNumberFormat="1" applyFont="1" applyFill="1" applyBorder="1" applyAlignment="1">
      <alignment horizontal="center" vertical="center"/>
    </xf>
    <xf numFmtId="0" fontId="250" fillId="0" borderId="0" xfId="0" applyFont="1" applyFill="1" applyAlignment="1">
      <alignment horizontal="center" wrapText="1"/>
    </xf>
    <xf numFmtId="49" fontId="37" fillId="0" borderId="0" xfId="0" applyNumberFormat="1" applyFont="1" applyFill="1" applyBorder="1" applyAlignment="1">
      <alignment horizontal="center" vertical="top"/>
    </xf>
    <xf numFmtId="49" fontId="37" fillId="0" borderId="0" xfId="0" applyNumberFormat="1" applyFont="1" applyFill="1" applyBorder="1" applyAlignment="1">
      <alignment horizontal="center" vertical="center"/>
    </xf>
    <xf numFmtId="165" fontId="37" fillId="0" borderId="0" xfId="3" quotePrefix="1" applyNumberFormat="1" applyFont="1" applyFill="1" applyAlignment="1">
      <alignment horizontal="center"/>
    </xf>
    <xf numFmtId="165" fontId="37" fillId="7" borderId="0" xfId="3" applyNumberFormat="1" applyFont="1" applyFill="1" applyAlignment="1">
      <alignment horizontal="center"/>
    </xf>
    <xf numFmtId="165" fontId="37" fillId="0" borderId="0" xfId="3" quotePrefix="1" applyNumberFormat="1" applyFont="1" applyFill="1" applyAlignment="1"/>
    <xf numFmtId="0" fontId="263" fillId="0" borderId="0" xfId="0" applyFont="1" applyFill="1" applyBorder="1" applyAlignment="1">
      <alignment horizontal="center" vertical="top"/>
    </xf>
    <xf numFmtId="0" fontId="250" fillId="0" borderId="0" xfId="0" quotePrefix="1" applyFont="1" applyFill="1" applyAlignment="1">
      <alignment horizontal="center"/>
    </xf>
    <xf numFmtId="165" fontId="250" fillId="0" borderId="0" xfId="3" quotePrefix="1" applyNumberFormat="1" applyFont="1" applyFill="1" applyAlignment="1"/>
    <xf numFmtId="49" fontId="250" fillId="0" borderId="0" xfId="0" applyNumberFormat="1" applyFont="1" applyFill="1" applyBorder="1" applyAlignment="1">
      <alignment horizontal="center" vertical="top"/>
    </xf>
    <xf numFmtId="0" fontId="250" fillId="0" borderId="122" xfId="1732" applyFont="1" applyFill="1" applyBorder="1" applyAlignment="1" applyProtection="1">
      <alignment horizontal="center"/>
    </xf>
    <xf numFmtId="0" fontId="250" fillId="0" borderId="108" xfId="1732" applyFont="1" applyFill="1" applyBorder="1" applyAlignment="1" applyProtection="1">
      <alignment horizontal="center"/>
    </xf>
    <xf numFmtId="0" fontId="250" fillId="0" borderId="123" xfId="1732" applyFont="1" applyFill="1" applyBorder="1" applyAlignment="1" applyProtection="1">
      <alignment horizontal="center"/>
    </xf>
    <xf numFmtId="0" fontId="252" fillId="0" borderId="122" xfId="1732" applyFont="1" applyFill="1" applyBorder="1" applyAlignment="1" applyProtection="1">
      <alignment horizontal="center"/>
    </xf>
    <xf numFmtId="0" fontId="252" fillId="0" borderId="108" xfId="1732" applyFont="1" applyFill="1" applyBorder="1" applyAlignment="1" applyProtection="1">
      <alignment horizontal="center"/>
    </xf>
    <xf numFmtId="0" fontId="252" fillId="0" borderId="123" xfId="1732" applyFont="1" applyFill="1" applyBorder="1" applyAlignment="1" applyProtection="1">
      <alignment horizontal="center"/>
    </xf>
    <xf numFmtId="165" fontId="276" fillId="7" borderId="132" xfId="944" applyNumberFormat="1" applyFont="1" applyFill="1" applyBorder="1" applyAlignment="1">
      <alignment horizontal="center"/>
    </xf>
    <xf numFmtId="165" fontId="276" fillId="7" borderId="133" xfId="944" applyNumberFormat="1" applyFont="1" applyFill="1" applyBorder="1" applyAlignment="1">
      <alignment horizontal="center"/>
    </xf>
    <xf numFmtId="165" fontId="276" fillId="7" borderId="134" xfId="944" applyNumberFormat="1" applyFont="1" applyFill="1" applyBorder="1" applyAlignment="1">
      <alignment horizontal="center"/>
    </xf>
    <xf numFmtId="165" fontId="276" fillId="0" borderId="135" xfId="3" applyNumberFormat="1" applyFont="1" applyFill="1" applyBorder="1" applyAlignment="1" applyProtection="1">
      <alignment horizontal="center" vertical="top"/>
      <protection locked="0"/>
    </xf>
    <xf numFmtId="165" fontId="276" fillId="0" borderId="11" xfId="3" applyNumberFormat="1" applyFont="1" applyFill="1" applyBorder="1" applyAlignment="1" applyProtection="1">
      <alignment horizontal="center" vertical="top"/>
      <protection locked="0"/>
    </xf>
    <xf numFmtId="165" fontId="276" fillId="0" borderId="18" xfId="3" applyNumberFormat="1" applyFont="1" applyFill="1" applyBorder="1" applyAlignment="1" applyProtection="1">
      <alignment horizontal="center" vertical="top"/>
      <protection locked="0"/>
    </xf>
    <xf numFmtId="165" fontId="276" fillId="0" borderId="136" xfId="3" applyNumberFormat="1" applyFont="1" applyFill="1" applyBorder="1" applyAlignment="1" applyProtection="1">
      <alignment horizontal="center" vertical="top"/>
      <protection locked="0"/>
    </xf>
    <xf numFmtId="186" fontId="7" fillId="0" borderId="0" xfId="40417" applyFont="1" applyFill="1" applyAlignment="1">
      <alignment horizontal="justify" vertical="top" wrapText="1"/>
    </xf>
    <xf numFmtId="0" fontId="7" fillId="0" borderId="0" xfId="40417" quotePrefix="1" applyNumberFormat="1" applyFont="1" applyFill="1" applyAlignment="1">
      <alignment horizontal="justify" vertical="top" wrapText="1"/>
    </xf>
    <xf numFmtId="0" fontId="7" fillId="0" borderId="0" xfId="40417" applyNumberFormat="1" applyFont="1" applyFill="1" applyAlignment="1">
      <alignment horizontal="justify" vertical="top"/>
    </xf>
    <xf numFmtId="0" fontId="7" fillId="0" borderId="0" xfId="40417" applyNumberFormat="1" applyFont="1" applyFill="1" applyAlignment="1">
      <alignment horizontal="justify" vertical="top" wrapText="1"/>
    </xf>
    <xf numFmtId="0" fontId="252" fillId="0" borderId="0" xfId="45" applyFont="1" applyFill="1" applyAlignment="1">
      <alignment horizontal="left" vertical="top" wrapText="1"/>
    </xf>
    <xf numFmtId="0" fontId="252" fillId="0" borderId="0" xfId="0" applyFont="1" applyAlignment="1">
      <alignment horizontal="left" vertical="top" wrapText="1"/>
    </xf>
    <xf numFmtId="0" fontId="7" fillId="0" borderId="0" xfId="3180" applyFont="1" applyFill="1" applyAlignment="1">
      <alignment horizontal="left" vertical="top" wrapText="1"/>
    </xf>
    <xf numFmtId="0" fontId="252" fillId="0" borderId="0" xfId="5784" applyFont="1" applyFill="1" applyAlignment="1" applyProtection="1">
      <alignment horizontal="left" vertical="top" wrapText="1"/>
    </xf>
    <xf numFmtId="186" fontId="274" fillId="0" borderId="0" xfId="40417" applyFont="1" applyFill="1" applyAlignment="1">
      <alignment horizontal="center"/>
    </xf>
    <xf numFmtId="0" fontId="274" fillId="0" borderId="0" xfId="40417" applyNumberFormat="1" applyFont="1" applyFill="1" applyAlignment="1">
      <alignment horizontal="center" vertical="top"/>
    </xf>
    <xf numFmtId="0" fontId="272" fillId="0" borderId="0" xfId="0" applyFont="1" applyFill="1" applyBorder="1" applyAlignment="1">
      <alignment horizontal="center" vertical="top"/>
    </xf>
    <xf numFmtId="186" fontId="7" fillId="0" borderId="0" xfId="40417" applyFont="1" applyFill="1" applyAlignment="1">
      <alignment horizontal="justify" vertical="top"/>
    </xf>
    <xf numFmtId="186" fontId="252" fillId="5" borderId="17" xfId="40417" applyNumberFormat="1" applyFont="1" applyFill="1" applyBorder="1" applyAlignment="1">
      <alignment horizontal="center" vertical="center" wrapText="1"/>
    </xf>
    <xf numFmtId="186" fontId="252" fillId="5" borderId="11" xfId="40417" applyNumberFormat="1" applyFont="1" applyFill="1" applyBorder="1" applyAlignment="1">
      <alignment horizontal="center" vertical="center" wrapText="1"/>
    </xf>
    <xf numFmtId="186" fontId="252" fillId="5" borderId="24" xfId="40417" applyNumberFormat="1" applyFont="1" applyFill="1" applyBorder="1" applyAlignment="1">
      <alignment horizontal="center" vertical="center" wrapText="1"/>
    </xf>
    <xf numFmtId="186" fontId="7" fillId="0" borderId="0" xfId="40417" applyFont="1" applyFill="1" applyBorder="1" applyAlignment="1">
      <alignment horizontal="left" vertical="top" wrapText="1"/>
    </xf>
    <xf numFmtId="0" fontId="252" fillId="0" borderId="0" xfId="5784" quotePrefix="1" applyFont="1" applyFill="1" applyAlignment="1" applyProtection="1">
      <alignment horizontal="left" vertical="top" wrapText="1"/>
    </xf>
    <xf numFmtId="0" fontId="252" fillId="0" borderId="0" xfId="5784" applyFont="1" applyFill="1" applyBorder="1" applyAlignment="1" applyProtection="1">
      <alignment horizontal="left" vertical="top" wrapText="1"/>
    </xf>
    <xf numFmtId="165" fontId="250" fillId="0" borderId="0" xfId="40417" quotePrefix="1" applyNumberFormat="1" applyFont="1" applyFill="1" applyBorder="1" applyAlignment="1">
      <alignment horizontal="center"/>
    </xf>
    <xf numFmtId="37" fontId="252" fillId="0" borderId="0" xfId="0" applyNumberFormat="1" applyFont="1" applyFill="1" applyBorder="1" applyAlignment="1" applyProtection="1">
      <alignment horizontal="justify" vertical="justify" wrapText="1"/>
    </xf>
    <xf numFmtId="178" fontId="252" fillId="0" borderId="0" xfId="0" quotePrefix="1" applyNumberFormat="1" applyFont="1" applyFill="1" applyAlignment="1">
      <alignment horizontal="justify" vertical="justify" wrapText="1"/>
    </xf>
    <xf numFmtId="0" fontId="261" fillId="0" borderId="0" xfId="0" applyFont="1" applyAlignment="1">
      <alignment horizontal="justify" vertical="justify" wrapText="1"/>
    </xf>
    <xf numFmtId="0" fontId="252" fillId="0" borderId="0" xfId="1" quotePrefix="1" applyFont="1" applyFill="1" applyAlignment="1">
      <alignment horizontal="justify" vertical="justify" wrapText="1"/>
    </xf>
    <xf numFmtId="0" fontId="261" fillId="0" borderId="0" xfId="0" applyFont="1" applyFill="1" applyAlignment="1">
      <alignment horizontal="justify" vertical="justify" wrapText="1"/>
    </xf>
    <xf numFmtId="0" fontId="261" fillId="0" borderId="0" xfId="0" applyFont="1" applyAlignment="1">
      <alignment horizontal="left" vertical="top" wrapText="1"/>
    </xf>
    <xf numFmtId="0" fontId="252" fillId="0" borderId="0" xfId="0" applyFont="1" applyFill="1" applyBorder="1" applyAlignment="1" applyProtection="1">
      <alignment horizontal="justify" vertical="justify"/>
    </xf>
    <xf numFmtId="0" fontId="252" fillId="0" borderId="0" xfId="0" applyFont="1" applyFill="1" applyAlignment="1">
      <alignment horizontal="left" vertical="top" wrapText="1"/>
    </xf>
    <xf numFmtId="178" fontId="252" fillId="0" borderId="0" xfId="0" quotePrefix="1" applyNumberFormat="1" applyFont="1" applyFill="1" applyAlignment="1">
      <alignment horizontal="left" vertical="top" wrapText="1"/>
    </xf>
    <xf numFmtId="178" fontId="252" fillId="0" borderId="0" xfId="0" applyNumberFormat="1" applyFont="1" applyFill="1" applyAlignment="1">
      <alignment horizontal="justify" vertical="justify" wrapText="1"/>
    </xf>
    <xf numFmtId="0" fontId="252" fillId="0" borderId="0" xfId="0" applyFont="1" applyFill="1" applyAlignment="1">
      <alignment horizontal="justify" vertical="justify"/>
    </xf>
    <xf numFmtId="0" fontId="252" fillId="0" borderId="0" xfId="0" applyFont="1" applyFill="1" applyAlignment="1">
      <alignment horizontal="justify" vertical="justify" wrapText="1"/>
    </xf>
    <xf numFmtId="0" fontId="252" fillId="0" borderId="0" xfId="0" applyNumberFormat="1" applyFont="1" applyFill="1" applyAlignment="1">
      <alignment horizontal="justify" vertical="justify" wrapText="1"/>
    </xf>
    <xf numFmtId="165" fontId="250" fillId="0" borderId="0" xfId="3" quotePrefix="1" applyNumberFormat="1" applyFont="1" applyFill="1" applyAlignment="1">
      <alignment horizontal="center" vertical="top"/>
    </xf>
    <xf numFmtId="165" fontId="250" fillId="0" borderId="0" xfId="3" applyNumberFormat="1" applyFont="1" applyFill="1" applyAlignment="1">
      <alignment horizontal="center" vertical="top"/>
    </xf>
    <xf numFmtId="0" fontId="250" fillId="0" borderId="104" xfId="0" applyNumberFormat="1" applyFont="1" applyFill="1" applyBorder="1" applyAlignment="1">
      <alignment horizontal="center" wrapText="1"/>
    </xf>
    <xf numFmtId="0" fontId="250" fillId="0" borderId="122" xfId="0" applyNumberFormat="1" applyFont="1" applyFill="1" applyBorder="1" applyAlignment="1">
      <alignment horizontal="center" wrapText="1"/>
    </xf>
    <xf numFmtId="0" fontId="250" fillId="0" borderId="108" xfId="0" applyNumberFormat="1" applyFont="1" applyFill="1" applyBorder="1" applyAlignment="1">
      <alignment horizontal="center" wrapText="1"/>
    </xf>
    <xf numFmtId="0" fontId="250" fillId="0" borderId="123" xfId="0" applyNumberFormat="1" applyFont="1" applyFill="1" applyBorder="1" applyAlignment="1">
      <alignment horizontal="center" wrapText="1"/>
    </xf>
    <xf numFmtId="0" fontId="250" fillId="0" borderId="122" xfId="0" quotePrefix="1" applyNumberFormat="1" applyFont="1" applyFill="1" applyBorder="1" applyAlignment="1">
      <alignment horizontal="center" vertical="center"/>
    </xf>
    <xf numFmtId="0" fontId="250" fillId="0" borderId="108" xfId="0" quotePrefix="1" applyNumberFormat="1" applyFont="1" applyFill="1" applyBorder="1" applyAlignment="1">
      <alignment horizontal="center" vertical="center"/>
    </xf>
    <xf numFmtId="0" fontId="250" fillId="0" borderId="123" xfId="0" quotePrefix="1" applyNumberFormat="1" applyFont="1" applyFill="1" applyBorder="1" applyAlignment="1">
      <alignment horizontal="center" vertical="center"/>
    </xf>
    <xf numFmtId="0" fontId="250" fillId="0" borderId="120" xfId="0" applyNumberFormat="1" applyFont="1" applyFill="1" applyBorder="1" applyAlignment="1">
      <alignment horizontal="center" wrapText="1"/>
    </xf>
    <xf numFmtId="0" fontId="250" fillId="0" borderId="7" xfId="0" applyNumberFormat="1" applyFont="1" applyFill="1" applyBorder="1" applyAlignment="1">
      <alignment horizontal="center" wrapText="1"/>
    </xf>
    <xf numFmtId="0" fontId="250" fillId="0" borderId="10" xfId="0" applyNumberFormat="1" applyFont="1" applyFill="1" applyBorder="1" applyAlignment="1">
      <alignment horizontal="center" wrapText="1"/>
    </xf>
    <xf numFmtId="0" fontId="250" fillId="0" borderId="104" xfId="3" applyNumberFormat="1" applyFont="1" applyFill="1" applyBorder="1" applyAlignment="1">
      <alignment horizontal="center" wrapText="1"/>
    </xf>
    <xf numFmtId="0" fontId="250" fillId="0" borderId="119" xfId="0" quotePrefix="1" applyNumberFormat="1" applyFont="1" applyFill="1" applyBorder="1" applyAlignment="1">
      <alignment horizontal="center" vertical="center"/>
    </xf>
    <xf numFmtId="37" fontId="250" fillId="0" borderId="0" xfId="40398" quotePrefix="1" applyNumberFormat="1" applyFont="1" applyFill="1" applyAlignment="1" applyProtection="1">
      <alignment horizontal="center" vertical="center" wrapText="1"/>
    </xf>
    <xf numFmtId="0" fontId="252" fillId="0" borderId="0" xfId="0" applyFont="1" applyFill="1" applyAlignment="1">
      <alignment horizontal="left" wrapText="1"/>
    </xf>
    <xf numFmtId="0" fontId="252" fillId="0" borderId="0" xfId="0" applyFont="1" applyFill="1" applyAlignment="1">
      <alignment horizontal="left"/>
    </xf>
    <xf numFmtId="0" fontId="250" fillId="0" borderId="0" xfId="0" applyNumberFormat="1" applyFont="1" applyFill="1" applyAlignment="1">
      <alignment horizontal="left" wrapText="1"/>
    </xf>
    <xf numFmtId="0" fontId="250" fillId="0" borderId="122" xfId="30" applyFont="1" applyFill="1" applyBorder="1" applyAlignment="1">
      <alignment horizontal="center"/>
    </xf>
    <xf numFmtId="0" fontId="252" fillId="0" borderId="122" xfId="0" applyFont="1" applyFill="1" applyBorder="1" applyAlignment="1">
      <alignment horizontal="center"/>
    </xf>
    <xf numFmtId="0" fontId="250" fillId="0" borderId="64" xfId="0" applyNumberFormat="1" applyFont="1" applyFill="1" applyBorder="1" applyAlignment="1">
      <alignment horizontal="center" wrapText="1"/>
    </xf>
    <xf numFmtId="0" fontId="250" fillId="0" borderId="101" xfId="0" quotePrefix="1" applyNumberFormat="1" applyFont="1" applyFill="1" applyBorder="1" applyAlignment="1">
      <alignment horizontal="center" vertical="center"/>
    </xf>
    <xf numFmtId="0" fontId="250" fillId="0" borderId="119" xfId="0" applyNumberFormat="1" applyFont="1" applyFill="1" applyBorder="1" applyAlignment="1">
      <alignment horizontal="center" vertical="center"/>
    </xf>
    <xf numFmtId="0" fontId="250" fillId="0" borderId="53" xfId="0" applyNumberFormat="1" applyFont="1" applyFill="1" applyBorder="1" applyAlignment="1">
      <alignment horizontal="center" vertical="center"/>
    </xf>
    <xf numFmtId="0" fontId="250" fillId="0" borderId="121" xfId="0" applyNumberFormat="1" applyFont="1" applyFill="1" applyBorder="1" applyAlignment="1">
      <alignment horizontal="center" wrapText="1"/>
    </xf>
    <xf numFmtId="0" fontId="250" fillId="0" borderId="5" xfId="0" applyNumberFormat="1" applyFont="1" applyFill="1" applyBorder="1" applyAlignment="1">
      <alignment horizontal="center" wrapText="1"/>
    </xf>
    <xf numFmtId="0" fontId="250" fillId="0" borderId="127" xfId="0" applyNumberFormat="1" applyFont="1" applyFill="1" applyBorder="1" applyAlignment="1">
      <alignment horizontal="center" wrapText="1"/>
    </xf>
    <xf numFmtId="0" fontId="250" fillId="0" borderId="120" xfId="30" applyFont="1" applyFill="1" applyBorder="1" applyAlignment="1">
      <alignment horizontal="center" wrapText="1"/>
    </xf>
    <xf numFmtId="0" fontId="250" fillId="0" borderId="7" xfId="30" applyFont="1" applyFill="1" applyBorder="1" applyAlignment="1">
      <alignment horizontal="center" wrapText="1"/>
    </xf>
    <xf numFmtId="0" fontId="250" fillId="0" borderId="10" xfId="30" applyFont="1" applyFill="1" applyBorder="1" applyAlignment="1">
      <alignment horizontal="center" wrapText="1"/>
    </xf>
    <xf numFmtId="165" fontId="250" fillId="0" borderId="122" xfId="40391" applyNumberFormat="1" applyFont="1" applyFill="1" applyBorder="1" applyAlignment="1">
      <alignment horizontal="center"/>
    </xf>
    <xf numFmtId="165" fontId="250" fillId="0" borderId="108" xfId="40391" applyNumberFormat="1" applyFont="1" applyFill="1" applyBorder="1" applyAlignment="1">
      <alignment horizontal="center"/>
    </xf>
    <xf numFmtId="165" fontId="250" fillId="0" borderId="123" xfId="40391" applyNumberFormat="1" applyFont="1" applyFill="1" applyBorder="1" applyAlignment="1">
      <alignment horizontal="center"/>
    </xf>
    <xf numFmtId="0" fontId="250" fillId="0" borderId="59" xfId="3" applyNumberFormat="1" applyFont="1" applyFill="1" applyBorder="1" applyAlignment="1">
      <alignment horizontal="center" wrapText="1"/>
    </xf>
    <xf numFmtId="0" fontId="250" fillId="0" borderId="7" xfId="3" applyNumberFormat="1" applyFont="1" applyFill="1" applyBorder="1" applyAlignment="1">
      <alignment horizontal="center" wrapText="1"/>
    </xf>
    <xf numFmtId="0" fontId="250" fillId="0" borderId="64" xfId="3" applyNumberFormat="1" applyFont="1" applyFill="1" applyBorder="1" applyAlignment="1">
      <alignment horizontal="center" wrapText="1"/>
    </xf>
    <xf numFmtId="0" fontId="252" fillId="0" borderId="0" xfId="0" applyFont="1" applyFill="1" applyAlignment="1">
      <alignment horizontal="justify" vertical="top"/>
    </xf>
    <xf numFmtId="0" fontId="250" fillId="0" borderId="0" xfId="0" applyFont="1" applyFill="1" applyAlignment="1">
      <alignment horizontal="justify" vertical="top"/>
    </xf>
    <xf numFmtId="0" fontId="252" fillId="0" borderId="0" xfId="0" quotePrefix="1" applyFont="1" applyFill="1" applyAlignment="1">
      <alignment horizontal="justify" vertical="top" wrapText="1"/>
    </xf>
    <xf numFmtId="0" fontId="252" fillId="0" borderId="0" xfId="0" applyFont="1" applyFill="1" applyAlignment="1">
      <alignment horizontal="justify" vertical="top" wrapText="1"/>
    </xf>
    <xf numFmtId="37" fontId="252" fillId="0" borderId="0" xfId="0" applyNumberFormat="1" applyFont="1" applyFill="1" applyAlignment="1">
      <alignment vertical="top" wrapText="1"/>
    </xf>
    <xf numFmtId="0" fontId="36" fillId="0" borderId="120" xfId="30" applyNumberFormat="1" applyFont="1" applyFill="1" applyBorder="1" applyAlignment="1" applyProtection="1">
      <alignment horizontal="center" vertical="top" wrapText="1"/>
      <protection locked="0"/>
    </xf>
    <xf numFmtId="0" fontId="36" fillId="0" borderId="10" xfId="30" applyNumberFormat="1" applyFont="1" applyFill="1" applyBorder="1" applyAlignment="1" applyProtection="1">
      <alignment horizontal="center" vertical="top" wrapText="1"/>
      <protection locked="0"/>
    </xf>
    <xf numFmtId="0" fontId="252" fillId="0" borderId="0" xfId="40410" quotePrefix="1" applyFont="1" applyFill="1" applyAlignment="1">
      <alignment horizontal="justify" vertical="top"/>
    </xf>
    <xf numFmtId="0" fontId="252" fillId="0" borderId="0" xfId="40410" applyFont="1" applyFill="1" applyAlignment="1">
      <alignment horizontal="left" vertical="top" wrapText="1"/>
    </xf>
    <xf numFmtId="0" fontId="252" fillId="0" borderId="0" xfId="0" quotePrefix="1" applyFont="1" applyFill="1" applyAlignment="1">
      <alignment horizontal="justify" vertical="justify" wrapText="1"/>
    </xf>
    <xf numFmtId="0" fontId="252" fillId="0" borderId="0" xfId="40410" applyFont="1" applyFill="1" applyAlignment="1">
      <alignment horizontal="justify" vertical="justify"/>
    </xf>
    <xf numFmtId="166" fontId="252" fillId="0" borderId="0" xfId="0" applyNumberFormat="1" applyFont="1" applyFill="1" applyAlignment="1">
      <alignment horizontal="justify" vertical="justify" wrapText="1"/>
    </xf>
    <xf numFmtId="0" fontId="24" fillId="0" borderId="0" xfId="0" applyFont="1" applyFill="1" applyAlignment="1">
      <alignment horizontal="left" wrapText="1"/>
    </xf>
    <xf numFmtId="165" fontId="210" fillId="0" borderId="0" xfId="40391" quotePrefix="1" applyNumberFormat="1" applyFont="1" applyFill="1" applyBorder="1" applyAlignment="1">
      <alignment horizontal="center" vertical="center"/>
    </xf>
    <xf numFmtId="0" fontId="210" fillId="0" borderId="104" xfId="30" applyFont="1" applyFill="1" applyBorder="1" applyAlignment="1">
      <alignment horizontal="center" vertical="center"/>
    </xf>
    <xf numFmtId="0" fontId="209" fillId="0" borderId="104" xfId="0" applyFont="1" applyBorder="1" applyAlignment="1">
      <alignment horizontal="center"/>
    </xf>
    <xf numFmtId="165" fontId="210" fillId="0" borderId="104" xfId="40391" applyNumberFormat="1" applyFont="1" applyFill="1" applyBorder="1" applyAlignment="1">
      <alignment horizontal="center" vertical="center"/>
    </xf>
    <xf numFmtId="0" fontId="210" fillId="0" borderId="104" xfId="30" applyFont="1" applyFill="1" applyBorder="1" applyAlignment="1">
      <alignment horizontal="center" vertical="center" wrapText="1"/>
    </xf>
    <xf numFmtId="0" fontId="209" fillId="0" borderId="104" xfId="0" applyFont="1" applyBorder="1" applyAlignment="1">
      <alignment wrapText="1"/>
    </xf>
    <xf numFmtId="0" fontId="210" fillId="0" borderId="104" xfId="23827" applyNumberFormat="1" applyFont="1" applyFill="1" applyBorder="1" applyAlignment="1" applyProtection="1">
      <alignment horizontal="center" vertical="center" wrapText="1"/>
      <protection locked="0"/>
    </xf>
    <xf numFmtId="0" fontId="252" fillId="0" borderId="0" xfId="0" applyNumberFormat="1" applyFont="1" applyFill="1" applyAlignment="1">
      <alignment horizontal="left" vertical="top" wrapText="1"/>
    </xf>
    <xf numFmtId="0" fontId="252" fillId="0" borderId="122" xfId="40392" quotePrefix="1" applyFont="1" applyFill="1" applyBorder="1" applyAlignment="1">
      <alignment horizontal="center" vertical="top"/>
    </xf>
    <xf numFmtId="0" fontId="252" fillId="0" borderId="108" xfId="40392" quotePrefix="1" applyFont="1" applyFill="1" applyBorder="1" applyAlignment="1">
      <alignment horizontal="center" vertical="top"/>
    </xf>
    <xf numFmtId="0" fontId="252" fillId="0" borderId="123" xfId="40392" quotePrefix="1" applyFont="1" applyFill="1" applyBorder="1" applyAlignment="1">
      <alignment horizontal="center" vertical="top"/>
    </xf>
    <xf numFmtId="15" fontId="250" fillId="0" borderId="2" xfId="40393" quotePrefix="1" applyNumberFormat="1" applyFont="1" applyFill="1" applyBorder="1" applyAlignment="1">
      <alignment horizontal="center" vertical="top"/>
    </xf>
    <xf numFmtId="0" fontId="250" fillId="0" borderId="2" xfId="40393" applyFont="1" applyFill="1" applyBorder="1" applyAlignment="1">
      <alignment horizontal="center" vertical="top"/>
    </xf>
    <xf numFmtId="0" fontId="250" fillId="0" borderId="122" xfId="40392" quotePrefix="1" applyFont="1" applyFill="1" applyBorder="1" applyAlignment="1">
      <alignment horizontal="center" vertical="top"/>
    </xf>
    <xf numFmtId="0" fontId="250" fillId="0" borderId="108" xfId="40392" quotePrefix="1" applyFont="1" applyFill="1" applyBorder="1" applyAlignment="1">
      <alignment horizontal="center" vertical="top"/>
    </xf>
    <xf numFmtId="0" fontId="250" fillId="0" borderId="123" xfId="40392" quotePrefix="1" applyFont="1" applyFill="1" applyBorder="1" applyAlignment="1">
      <alignment horizontal="center" vertical="top"/>
    </xf>
    <xf numFmtId="0" fontId="250" fillId="0" borderId="120" xfId="2497" quotePrefix="1" applyFont="1" applyFill="1" applyBorder="1" applyAlignment="1">
      <alignment horizontal="center" wrapText="1"/>
    </xf>
    <xf numFmtId="0" fontId="250" fillId="0" borderId="7" xfId="2497" quotePrefix="1" applyFont="1" applyFill="1" applyBorder="1" applyAlignment="1">
      <alignment horizontal="center" wrapText="1"/>
    </xf>
    <xf numFmtId="0" fontId="250" fillId="0" borderId="10" xfId="2497" quotePrefix="1" applyFont="1" applyFill="1" applyBorder="1" applyAlignment="1">
      <alignment horizontal="center" wrapText="1"/>
    </xf>
    <xf numFmtId="0" fontId="250" fillId="0" borderId="120" xfId="2497" applyFont="1" applyFill="1" applyBorder="1" applyAlignment="1">
      <alignment horizontal="center" wrapText="1"/>
    </xf>
    <xf numFmtId="0" fontId="250" fillId="0" borderId="7" xfId="2497" applyFont="1" applyFill="1" applyBorder="1" applyAlignment="1">
      <alignment horizontal="center" wrapText="1"/>
    </xf>
    <xf numFmtId="0" fontId="250" fillId="0" borderId="10" xfId="2497" applyFont="1" applyFill="1" applyBorder="1" applyAlignment="1">
      <alignment horizontal="center" wrapText="1"/>
    </xf>
    <xf numFmtId="15" fontId="252" fillId="0" borderId="2" xfId="40393" quotePrefix="1" applyNumberFormat="1" applyFont="1" applyFill="1" applyBorder="1" applyAlignment="1">
      <alignment horizontal="center" vertical="top"/>
    </xf>
    <xf numFmtId="0" fontId="252" fillId="0" borderId="2" xfId="40393" applyFont="1" applyFill="1" applyBorder="1" applyAlignment="1">
      <alignment horizontal="center" vertical="top"/>
    </xf>
    <xf numFmtId="0" fontId="252" fillId="0" borderId="120" xfId="2497" quotePrefix="1" applyFont="1" applyFill="1" applyBorder="1" applyAlignment="1">
      <alignment horizontal="center" wrapText="1"/>
    </xf>
    <xf numFmtId="0" fontId="252" fillId="0" borderId="7" xfId="2497" quotePrefix="1" applyFont="1" applyFill="1" applyBorder="1" applyAlignment="1">
      <alignment horizontal="center" wrapText="1"/>
    </xf>
    <xf numFmtId="0" fontId="252" fillId="0" borderId="10" xfId="2497" quotePrefix="1" applyFont="1" applyFill="1" applyBorder="1" applyAlignment="1">
      <alignment horizontal="center" wrapText="1"/>
    </xf>
    <xf numFmtId="0" fontId="252" fillId="0" borderId="120" xfId="2497" applyFont="1" applyFill="1" applyBorder="1" applyAlignment="1">
      <alignment horizontal="center" wrapText="1"/>
    </xf>
    <xf numFmtId="0" fontId="252" fillId="0" borderId="7" xfId="2497" applyFont="1" applyFill="1" applyBorder="1" applyAlignment="1">
      <alignment horizontal="center" wrapText="1"/>
    </xf>
    <xf numFmtId="0" fontId="252" fillId="0" borderId="10" xfId="2497" applyFont="1" applyFill="1" applyBorder="1" applyAlignment="1">
      <alignment horizontal="center" wrapText="1"/>
    </xf>
    <xf numFmtId="0" fontId="250" fillId="7" borderId="0" xfId="0" applyFont="1" applyFill="1" applyBorder="1" applyAlignment="1">
      <alignment horizontal="center" vertical="center" wrapText="1"/>
    </xf>
    <xf numFmtId="0" fontId="250" fillId="7" borderId="26" xfId="0" applyFont="1" applyFill="1" applyBorder="1" applyAlignment="1">
      <alignment horizontal="center" vertical="center" wrapText="1"/>
    </xf>
    <xf numFmtId="0" fontId="79" fillId="0" borderId="0" xfId="0" applyFont="1" applyFill="1" applyAlignment="1">
      <alignment horizontal="center" vertical="top"/>
    </xf>
    <xf numFmtId="49" fontId="210" fillId="0" borderId="0" xfId="0" applyNumberFormat="1" applyFont="1" applyFill="1" applyBorder="1" applyAlignment="1">
      <alignment horizontal="center" vertical="center"/>
    </xf>
    <xf numFmtId="165" fontId="210" fillId="0" borderId="0" xfId="3" quotePrefix="1" applyNumberFormat="1" applyFont="1" applyFill="1" applyAlignment="1"/>
    <xf numFmtId="0" fontId="210" fillId="0" borderId="125" xfId="1732" applyFont="1" applyFill="1" applyBorder="1" applyAlignment="1" applyProtection="1">
      <alignment horizontal="center" vertical="top"/>
    </xf>
    <xf numFmtId="0" fontId="210" fillId="0" borderId="119" xfId="1732" applyFont="1" applyFill="1" applyBorder="1" applyAlignment="1" applyProtection="1">
      <alignment horizontal="center" vertical="top"/>
    </xf>
    <xf numFmtId="0" fontId="210" fillId="0" borderId="121" xfId="1732" applyFont="1" applyFill="1" applyBorder="1" applyAlignment="1" applyProtection="1">
      <alignment horizontal="center" vertical="top"/>
    </xf>
    <xf numFmtId="0" fontId="210" fillId="0" borderId="42" xfId="1732" applyFont="1" applyFill="1" applyBorder="1" applyAlignment="1" applyProtection="1">
      <alignment horizontal="center" vertical="top"/>
    </xf>
    <xf numFmtId="0" fontId="210" fillId="0" borderId="2" xfId="1732" applyFont="1" applyFill="1" applyBorder="1" applyAlignment="1" applyProtection="1">
      <alignment horizontal="center" vertical="top"/>
    </xf>
    <xf numFmtId="0" fontId="210" fillId="0" borderId="52" xfId="1732" applyFont="1" applyFill="1" applyBorder="1" applyAlignment="1" applyProtection="1">
      <alignment horizontal="center" vertical="top"/>
    </xf>
    <xf numFmtId="0" fontId="210" fillId="0" borderId="0" xfId="1732" quotePrefix="1" applyFont="1" applyFill="1" applyBorder="1" applyAlignment="1" applyProtection="1">
      <alignment horizontal="center" vertical="top"/>
    </xf>
    <xf numFmtId="0" fontId="26" fillId="0" borderId="0" xfId="26659" applyFont="1" applyAlignment="1">
      <alignment horizontal="left" wrapText="1"/>
    </xf>
    <xf numFmtId="49" fontId="37" fillId="0" borderId="2" xfId="0" applyNumberFormat="1" applyFont="1" applyFill="1" applyBorder="1" applyAlignment="1">
      <alignment horizontal="center" vertical="center"/>
    </xf>
    <xf numFmtId="0" fontId="0" fillId="0" borderId="0" xfId="0" applyAlignment="1">
      <alignment horizontal="left" wrapText="1"/>
    </xf>
    <xf numFmtId="0" fontId="25" fillId="0" borderId="0" xfId="0" applyFont="1" applyFill="1" applyAlignment="1">
      <alignment horizontal="left" wrapText="1"/>
    </xf>
    <xf numFmtId="0" fontId="242" fillId="0" borderId="0" xfId="0" quotePrefix="1" applyNumberFormat="1" applyFont="1" applyFill="1" applyBorder="1" applyAlignment="1">
      <alignment horizontal="center" vertical="center"/>
    </xf>
    <xf numFmtId="0" fontId="242" fillId="0" borderId="0" xfId="0" applyNumberFormat="1" applyFont="1" applyFill="1" applyAlignment="1">
      <alignment horizontal="center" vertical="center"/>
    </xf>
    <xf numFmtId="0" fontId="243" fillId="0" borderId="53" xfId="0" quotePrefix="1" applyNumberFormat="1" applyFont="1" applyFill="1" applyBorder="1" applyAlignment="1">
      <alignment horizontal="center" vertical="center"/>
    </xf>
    <xf numFmtId="0" fontId="243" fillId="0" borderId="53" xfId="0" applyNumberFormat="1" applyFont="1" applyFill="1" applyBorder="1" applyAlignment="1">
      <alignment horizontal="center" vertical="center"/>
    </xf>
    <xf numFmtId="0" fontId="243" fillId="0" borderId="59" xfId="0" applyNumberFormat="1" applyFont="1" applyFill="1" applyBorder="1" applyAlignment="1">
      <alignment horizontal="center" vertical="center" wrapText="1"/>
    </xf>
    <xf numFmtId="0" fontId="243" fillId="0" borderId="7" xfId="0" applyNumberFormat="1" applyFont="1" applyFill="1" applyBorder="1" applyAlignment="1">
      <alignment horizontal="center" vertical="center" wrapText="1"/>
    </xf>
    <xf numFmtId="0" fontId="243" fillId="0" borderId="64" xfId="0" applyNumberFormat="1" applyFont="1" applyFill="1" applyBorder="1" applyAlignment="1">
      <alignment horizontal="center" vertical="center" wrapText="1"/>
    </xf>
    <xf numFmtId="0" fontId="242" fillId="0" borderId="7" xfId="0" applyNumberFormat="1" applyFont="1" applyFill="1" applyBorder="1" applyAlignment="1">
      <alignment horizontal="center" vertical="center" wrapText="1"/>
    </xf>
    <xf numFmtId="0" fontId="242" fillId="0" borderId="64" xfId="0" applyNumberFormat="1" applyFont="1" applyFill="1" applyBorder="1" applyAlignment="1">
      <alignment horizontal="center" vertical="center" wrapText="1"/>
    </xf>
    <xf numFmtId="0" fontId="243" fillId="0" borderId="49" xfId="0" applyNumberFormat="1" applyFont="1" applyFill="1" applyBorder="1" applyAlignment="1">
      <alignment horizontal="center" vertical="center" wrapText="1"/>
    </xf>
    <xf numFmtId="0" fontId="243" fillId="0" borderId="58" xfId="0" applyNumberFormat="1" applyFont="1" applyFill="1" applyBorder="1" applyAlignment="1">
      <alignment horizontal="center" vertical="center" wrapText="1"/>
    </xf>
    <xf numFmtId="0" fontId="242" fillId="0" borderId="65" xfId="0" applyNumberFormat="1" applyFont="1" applyFill="1" applyBorder="1" applyAlignment="1">
      <alignment horizontal="center" vertical="center" wrapText="1"/>
    </xf>
    <xf numFmtId="0" fontId="242" fillId="0" borderId="66" xfId="0" applyNumberFormat="1" applyFont="1" applyFill="1" applyBorder="1" applyAlignment="1">
      <alignment horizontal="center" vertical="center" wrapText="1"/>
    </xf>
    <xf numFmtId="0" fontId="243" fillId="0" borderId="59" xfId="3" applyNumberFormat="1" applyFont="1" applyFill="1" applyBorder="1" applyAlignment="1">
      <alignment horizontal="center" vertical="center" wrapText="1"/>
    </xf>
    <xf numFmtId="0" fontId="243" fillId="0" borderId="7" xfId="3" applyNumberFormat="1" applyFont="1" applyFill="1" applyBorder="1" applyAlignment="1">
      <alignment horizontal="center" vertical="center" wrapText="1"/>
    </xf>
    <xf numFmtId="0" fontId="243" fillId="0" borderId="64" xfId="3" applyNumberFormat="1" applyFont="1" applyFill="1" applyBorder="1" applyAlignment="1">
      <alignment horizontal="center" vertical="center" wrapText="1"/>
    </xf>
    <xf numFmtId="0" fontId="243" fillId="0" borderId="53" xfId="0" applyNumberFormat="1" applyFont="1" applyFill="1" applyBorder="1" applyAlignment="1">
      <alignment horizontal="center" vertical="center" wrapText="1"/>
    </xf>
    <xf numFmtId="0" fontId="243" fillId="0" borderId="119" xfId="0" quotePrefix="1" applyNumberFormat="1" applyFont="1" applyFill="1" applyBorder="1" applyAlignment="1">
      <alignment horizontal="center" vertical="center"/>
    </xf>
    <xf numFmtId="0" fontId="78" fillId="0" borderId="119" xfId="0" applyFont="1" applyBorder="1" applyAlignment="1">
      <alignment horizontal="center"/>
    </xf>
    <xf numFmtId="0" fontId="243" fillId="0" borderId="51" xfId="0" applyNumberFormat="1" applyFont="1" applyFill="1" applyBorder="1" applyAlignment="1">
      <alignment horizontal="center" vertical="center" wrapText="1"/>
    </xf>
    <xf numFmtId="0" fontId="243" fillId="0" borderId="65" xfId="0" applyNumberFormat="1" applyFont="1" applyFill="1" applyBorder="1" applyAlignment="1">
      <alignment horizontal="center" vertical="center" wrapText="1"/>
    </xf>
    <xf numFmtId="0" fontId="243" fillId="0" borderId="120" xfId="0" applyNumberFormat="1" applyFont="1" applyFill="1" applyBorder="1" applyAlignment="1">
      <alignment horizontal="center" vertical="center" wrapText="1"/>
    </xf>
    <xf numFmtId="0" fontId="243" fillId="0" borderId="10" xfId="0" applyNumberFormat="1" applyFont="1" applyFill="1" applyBorder="1" applyAlignment="1">
      <alignment horizontal="center" vertical="center" wrapText="1"/>
    </xf>
    <xf numFmtId="0" fontId="242" fillId="0" borderId="119" xfId="0" quotePrefix="1" applyNumberFormat="1" applyFont="1" applyFill="1" applyBorder="1" applyAlignment="1">
      <alignment horizontal="center" vertical="center"/>
    </xf>
    <xf numFmtId="0" fontId="243" fillId="0" borderId="125" xfId="0" applyNumberFormat="1" applyFont="1" applyFill="1" applyBorder="1" applyAlignment="1">
      <alignment horizontal="center" vertical="center" wrapText="1"/>
    </xf>
    <xf numFmtId="0" fontId="243" fillId="0" borderId="121" xfId="0" applyNumberFormat="1" applyFont="1" applyFill="1" applyBorder="1" applyAlignment="1">
      <alignment horizontal="center" vertical="center" wrapText="1"/>
    </xf>
    <xf numFmtId="0" fontId="243" fillId="0" borderId="42" xfId="0" applyNumberFormat="1" applyFont="1" applyFill="1" applyBorder="1" applyAlignment="1">
      <alignment horizontal="center" vertical="center" wrapText="1"/>
    </xf>
    <xf numFmtId="0" fontId="243" fillId="0" borderId="127" xfId="0" applyNumberFormat="1" applyFont="1" applyFill="1" applyBorder="1" applyAlignment="1">
      <alignment horizontal="center" vertical="center" wrapText="1"/>
    </xf>
    <xf numFmtId="0" fontId="243" fillId="0" borderId="120" xfId="3" applyNumberFormat="1" applyFont="1" applyFill="1" applyBorder="1" applyAlignment="1">
      <alignment horizontal="center" vertical="center" wrapText="1"/>
    </xf>
    <xf numFmtId="0" fontId="243" fillId="0" borderId="10" xfId="3" applyNumberFormat="1" applyFont="1" applyFill="1" applyBorder="1" applyAlignment="1">
      <alignment horizontal="center" vertical="center" wrapText="1"/>
    </xf>
    <xf numFmtId="0" fontId="243" fillId="0" borderId="122" xfId="0" applyNumberFormat="1" applyFont="1" applyFill="1" applyBorder="1" applyAlignment="1">
      <alignment horizontal="center" vertical="center" wrapText="1"/>
    </xf>
    <xf numFmtId="0" fontId="243" fillId="0" borderId="108" xfId="0" applyNumberFormat="1" applyFont="1" applyFill="1" applyBorder="1" applyAlignment="1">
      <alignment horizontal="center" vertical="center" wrapText="1"/>
    </xf>
    <xf numFmtId="0" fontId="243" fillId="0" borderId="123" xfId="0" applyNumberFormat="1" applyFont="1" applyFill="1" applyBorder="1" applyAlignment="1">
      <alignment horizontal="center" vertical="center" wrapText="1"/>
    </xf>
    <xf numFmtId="0" fontId="252" fillId="0" borderId="0" xfId="40404" applyNumberFormat="1" applyFont="1" applyFill="1" applyAlignment="1">
      <alignment horizontal="justify" vertical="top"/>
    </xf>
    <xf numFmtId="37" fontId="250" fillId="0" borderId="0" xfId="40407" quotePrefix="1" applyNumberFormat="1" applyFont="1" applyFill="1" applyAlignment="1" applyProtection="1">
      <alignment horizontal="center" vertical="top" wrapText="1"/>
    </xf>
    <xf numFmtId="0" fontId="252" fillId="0" borderId="0" xfId="40404" applyNumberFormat="1" applyFont="1" applyFill="1" applyAlignment="1">
      <alignment horizontal="justify" vertical="top" wrapText="1"/>
    </xf>
    <xf numFmtId="37" fontId="252" fillId="0" borderId="0" xfId="40407" applyNumberFormat="1" applyFont="1" applyFill="1" applyAlignment="1" applyProtection="1">
      <alignment horizontal="justify" vertical="top"/>
    </xf>
    <xf numFmtId="186" fontId="252" fillId="0" borderId="0" xfId="40417" applyFont="1" applyFill="1" applyAlignment="1">
      <alignment horizontal="justify" vertical="top"/>
    </xf>
    <xf numFmtId="0" fontId="252" fillId="0" borderId="0" xfId="0" applyFont="1" applyFill="1" applyBorder="1" applyAlignment="1">
      <alignment horizontal="left" vertical="top" wrapText="1"/>
    </xf>
    <xf numFmtId="0" fontId="252" fillId="0" borderId="0" xfId="0" quotePrefix="1" applyFont="1" applyFill="1" applyBorder="1" applyAlignment="1">
      <alignment horizontal="left" vertical="top" wrapText="1"/>
    </xf>
    <xf numFmtId="0" fontId="250" fillId="0" borderId="0" xfId="0" applyFont="1" applyFill="1" applyBorder="1" applyAlignment="1">
      <alignment horizontal="left" vertical="top" wrapText="1"/>
    </xf>
    <xf numFmtId="0" fontId="26" fillId="0" borderId="0" xfId="39" applyFont="1" applyFill="1" applyAlignment="1">
      <alignment horizontal="left" vertical="top" wrapText="1"/>
    </xf>
    <xf numFmtId="0" fontId="210" fillId="0" borderId="119" xfId="2497" applyFont="1" applyFill="1" applyBorder="1" applyAlignment="1">
      <alignment horizontal="center" vertical="center" wrapText="1"/>
    </xf>
    <xf numFmtId="0" fontId="210" fillId="0" borderId="0" xfId="2497" applyFont="1" applyFill="1" applyBorder="1" applyAlignment="1">
      <alignment horizontal="center" vertical="center" wrapText="1"/>
    </xf>
    <xf numFmtId="0" fontId="210" fillId="0" borderId="0" xfId="2497" applyFont="1" applyFill="1" applyAlignment="1">
      <alignment horizontal="center" vertical="center" wrapText="1"/>
    </xf>
    <xf numFmtId="15" fontId="210" fillId="0" borderId="2" xfId="40393" quotePrefix="1" applyNumberFormat="1" applyFont="1" applyFill="1" applyBorder="1" applyAlignment="1">
      <alignment horizontal="center" vertical="top"/>
    </xf>
    <xf numFmtId="0" fontId="210" fillId="0" borderId="2" xfId="40393" applyFont="1" applyFill="1" applyBorder="1" applyAlignment="1">
      <alignment horizontal="center" vertical="top"/>
    </xf>
    <xf numFmtId="0" fontId="210" fillId="0" borderId="119" xfId="2497" quotePrefix="1" applyFont="1" applyFill="1" applyBorder="1" applyAlignment="1">
      <alignment horizontal="center" vertical="center" wrapText="1"/>
    </xf>
    <xf numFmtId="0" fontId="210" fillId="0" borderId="0" xfId="2497" quotePrefix="1" applyFont="1" applyFill="1" applyBorder="1" applyAlignment="1">
      <alignment horizontal="center" vertical="center" wrapText="1"/>
    </xf>
    <xf numFmtId="0" fontId="210" fillId="0" borderId="0" xfId="40392" quotePrefix="1" applyFont="1" applyFill="1" applyAlignment="1">
      <alignment horizontal="center" vertical="top"/>
    </xf>
    <xf numFmtId="15" fontId="210" fillId="0" borderId="68" xfId="40393" quotePrefix="1" applyNumberFormat="1" applyFont="1" applyFill="1" applyBorder="1" applyAlignment="1">
      <alignment horizontal="center" vertical="top"/>
    </xf>
    <xf numFmtId="0" fontId="271" fillId="103" borderId="0" xfId="40425" applyFont="1" applyFill="1" applyAlignment="1">
      <alignment horizontal="left" wrapText="1" readingOrder="1"/>
    </xf>
    <xf numFmtId="3" fontId="270" fillId="103" borderId="0" xfId="40425" applyNumberFormat="1" applyFont="1" applyFill="1" applyAlignment="1">
      <alignment horizontal="right" wrapText="1" readingOrder="1"/>
    </xf>
    <xf numFmtId="0" fontId="267" fillId="104" borderId="0" xfId="40425" applyFont="1" applyFill="1" applyAlignment="1">
      <alignment horizontal="left" wrapText="1" readingOrder="1"/>
    </xf>
    <xf numFmtId="0" fontId="268" fillId="104" borderId="0" xfId="40425" applyFont="1" applyFill="1" applyAlignment="1">
      <alignment horizontal="right" wrapText="1" readingOrder="1"/>
    </xf>
    <xf numFmtId="0" fontId="266" fillId="104" borderId="0" xfId="40425" applyFont="1" applyFill="1" applyAlignment="1">
      <alignment horizontal="left" wrapText="1" readingOrder="1"/>
    </xf>
    <xf numFmtId="0" fontId="270" fillId="103" borderId="0" xfId="40425" applyFont="1" applyFill="1" applyAlignment="1">
      <alignment horizontal="right" wrapText="1" readingOrder="1"/>
    </xf>
    <xf numFmtId="4" fontId="270" fillId="103" borderId="0" xfId="40425" applyNumberFormat="1" applyFont="1" applyFill="1" applyAlignment="1">
      <alignment horizontal="right" wrapText="1" readingOrder="1"/>
    </xf>
    <xf numFmtId="0" fontId="269" fillId="104" borderId="0" xfId="40425" applyFont="1" applyFill="1" applyAlignment="1">
      <alignment horizontal="right" wrapText="1" readingOrder="1"/>
    </xf>
    <xf numFmtId="4" fontId="268" fillId="104" borderId="0" xfId="40425" applyNumberFormat="1" applyFont="1" applyFill="1" applyAlignment="1">
      <alignment horizontal="right" wrapText="1" readingOrder="1"/>
    </xf>
    <xf numFmtId="0" fontId="3" fillId="103" borderId="0" xfId="40425" applyFill="1" applyAlignment="1">
      <alignment horizontal="left" wrapText="1" readingOrder="1"/>
    </xf>
    <xf numFmtId="0" fontId="3" fillId="104" borderId="0" xfId="40425" applyFill="1" applyAlignment="1">
      <alignment horizontal="right" wrapText="1" readingOrder="1"/>
    </xf>
    <xf numFmtId="0" fontId="267" fillId="5" borderId="0" xfId="40425" applyFont="1" applyFill="1" applyAlignment="1">
      <alignment horizontal="left" wrapText="1" readingOrder="1"/>
    </xf>
    <xf numFmtId="4" fontId="268" fillId="5" borderId="0" xfId="40425" applyNumberFormat="1" applyFont="1" applyFill="1" applyAlignment="1">
      <alignment horizontal="right" wrapText="1" readingOrder="1"/>
    </xf>
    <xf numFmtId="0" fontId="269" fillId="5" borderId="0" xfId="40425" applyFont="1" applyFill="1" applyAlignment="1">
      <alignment horizontal="right" wrapText="1" readingOrder="1"/>
    </xf>
    <xf numFmtId="0" fontId="266" fillId="5" borderId="0" xfId="40425" applyFont="1" applyFill="1" applyAlignment="1">
      <alignment horizontal="left" wrapText="1" readingOrder="1"/>
    </xf>
    <xf numFmtId="0" fontId="271" fillId="5" borderId="0" xfId="40425" applyFont="1" applyFill="1" applyAlignment="1">
      <alignment horizontal="left" wrapText="1" readingOrder="1"/>
    </xf>
    <xf numFmtId="4" fontId="270" fillId="5" borderId="0" xfId="40425" applyNumberFormat="1" applyFont="1" applyFill="1" applyAlignment="1">
      <alignment horizontal="right" wrapText="1" readingOrder="1"/>
    </xf>
    <xf numFmtId="0" fontId="268" fillId="5" borderId="0" xfId="40425" applyFont="1" applyFill="1" applyAlignment="1">
      <alignment horizontal="right" wrapText="1" readingOrder="1"/>
    </xf>
    <xf numFmtId="0" fontId="3" fillId="5" borderId="0" xfId="40425" applyFill="1" applyAlignment="1">
      <alignment horizontal="left" wrapText="1" readingOrder="1"/>
    </xf>
    <xf numFmtId="0" fontId="270" fillId="5" borderId="0" xfId="40425" applyFont="1" applyFill="1" applyAlignment="1">
      <alignment horizontal="right" wrapText="1" readingOrder="1"/>
    </xf>
    <xf numFmtId="165" fontId="24" fillId="0" borderId="9" xfId="3" applyNumberFormat="1" applyFont="1" applyFill="1" applyBorder="1" applyAlignment="1">
      <alignment horizontal="center"/>
    </xf>
    <xf numFmtId="0" fontId="24" fillId="0" borderId="0" xfId="0" applyFont="1" applyFill="1" applyAlignment="1">
      <alignment horizontal="justify" vertical="top" wrapText="1"/>
    </xf>
    <xf numFmtId="0" fontId="23" fillId="0" borderId="0" xfId="0" quotePrefix="1" applyFont="1" applyFill="1" applyBorder="1" applyAlignment="1">
      <alignment horizontal="center" vertical="top"/>
    </xf>
    <xf numFmtId="0" fontId="23" fillId="0" borderId="0" xfId="0" applyFont="1" applyFill="1" applyBorder="1" applyAlignment="1">
      <alignment horizontal="center"/>
    </xf>
    <xf numFmtId="165" fontId="24" fillId="0" borderId="0" xfId="3" applyNumberFormat="1" applyFont="1" applyFill="1" applyAlignment="1">
      <alignment horizontal="center"/>
    </xf>
    <xf numFmtId="0" fontId="23" fillId="0" borderId="0" xfId="0" applyNumberFormat="1" applyFont="1" applyFill="1" applyAlignment="1">
      <alignment horizontal="justify" vertical="justify" wrapText="1"/>
    </xf>
    <xf numFmtId="178" fontId="24" fillId="0" borderId="0" xfId="0" applyNumberFormat="1" applyFont="1" applyFill="1" applyAlignment="1">
      <alignment horizontal="justify" vertical="justify" wrapText="1"/>
    </xf>
    <xf numFmtId="0" fontId="23" fillId="0" borderId="0" xfId="0" applyFont="1" applyFill="1" applyBorder="1" applyAlignment="1">
      <alignment horizontal="center" vertical="top"/>
    </xf>
    <xf numFmtId="0" fontId="24" fillId="0" borderId="0" xfId="0" applyNumberFormat="1" applyFont="1" applyFill="1" applyAlignment="1">
      <alignment horizontal="justify" vertical="top" wrapText="1"/>
    </xf>
    <xf numFmtId="0" fontId="24" fillId="0" borderId="0" xfId="0" applyNumberFormat="1" applyFont="1" applyFill="1" applyAlignment="1">
      <alignment horizontal="justify" vertical="top"/>
    </xf>
    <xf numFmtId="37" fontId="24" fillId="0" borderId="0" xfId="0" applyNumberFormat="1" applyFont="1" applyFill="1" applyBorder="1" applyAlignment="1" applyProtection="1">
      <alignment horizontal="justify" vertical="top"/>
    </xf>
    <xf numFmtId="0" fontId="24" fillId="0" borderId="0" xfId="0" applyFont="1" applyFill="1" applyBorder="1" applyAlignment="1">
      <alignment horizontal="justify" vertical="top"/>
    </xf>
    <xf numFmtId="37" fontId="24" fillId="0" borderId="0" xfId="0" applyNumberFormat="1" applyFont="1" applyFill="1" applyBorder="1" applyAlignment="1" applyProtection="1">
      <alignment horizontal="left" vertical="top" wrapText="1"/>
    </xf>
    <xf numFmtId="37" fontId="24" fillId="0" borderId="0" xfId="0" applyNumberFormat="1" applyFont="1" applyFill="1" applyBorder="1" applyAlignment="1" applyProtection="1">
      <alignment horizontal="justify" vertical="justify" wrapText="1"/>
    </xf>
    <xf numFmtId="0" fontId="24" fillId="0" borderId="0" xfId="3" applyNumberFormat="1" applyFont="1" applyFill="1" applyBorder="1" applyAlignment="1">
      <alignment horizontal="center" wrapText="1"/>
    </xf>
    <xf numFmtId="0" fontId="24" fillId="0" borderId="0" xfId="0" applyFont="1" applyFill="1" applyBorder="1" applyAlignment="1" applyProtection="1">
      <alignment horizontal="justify" vertical="justify" wrapText="1"/>
    </xf>
    <xf numFmtId="0" fontId="67" fillId="0" borderId="53" xfId="0" applyFont="1" applyFill="1" applyBorder="1" applyAlignment="1">
      <alignment vertical="center"/>
    </xf>
    <xf numFmtId="0" fontId="66" fillId="0" borderId="0" xfId="0" quotePrefix="1" applyFont="1" applyFill="1" applyBorder="1" applyAlignment="1">
      <alignment horizontal="center" vertical="center"/>
    </xf>
    <xf numFmtId="0" fontId="66" fillId="0" borderId="0" xfId="0" applyFont="1" applyFill="1" applyAlignment="1">
      <alignment horizontal="center" vertical="center"/>
    </xf>
    <xf numFmtId="0" fontId="67" fillId="0" borderId="41" xfId="0" applyFont="1" applyFill="1" applyBorder="1" applyAlignment="1">
      <alignment horizontal="center" vertical="center" wrapText="1"/>
    </xf>
    <xf numFmtId="0" fontId="67" fillId="0" borderId="58" xfId="0" applyFont="1" applyFill="1" applyBorder="1" applyAlignment="1">
      <alignment horizontal="center" vertical="center" wrapText="1"/>
    </xf>
    <xf numFmtId="0" fontId="76" fillId="0" borderId="42" xfId="0" applyFont="1" applyFill="1" applyBorder="1" applyAlignment="1">
      <alignment horizontal="center" vertical="center" wrapText="1"/>
    </xf>
    <xf numFmtId="0" fontId="76" fillId="0" borderId="52"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7" fillId="0" borderId="7" xfId="0" applyFont="1" applyFill="1" applyBorder="1" applyAlignment="1">
      <alignment horizontal="center" vertical="center" wrapText="1"/>
    </xf>
    <xf numFmtId="0" fontId="66" fillId="0" borderId="7" xfId="0" applyFont="1" applyFill="1" applyBorder="1" applyAlignment="1">
      <alignment horizontal="center" vertical="center" wrapText="1"/>
    </xf>
    <xf numFmtId="0" fontId="66" fillId="0" borderId="10" xfId="0" applyFont="1" applyFill="1" applyBorder="1" applyAlignment="1">
      <alignment horizontal="center" vertical="center" wrapText="1"/>
    </xf>
    <xf numFmtId="260" fontId="67" fillId="0" borderId="59" xfId="3" applyFont="1" applyFill="1" applyBorder="1" applyAlignment="1">
      <alignment horizontal="center" vertical="center" wrapText="1"/>
    </xf>
    <xf numFmtId="260" fontId="67" fillId="0" borderId="7" xfId="3" applyFont="1" applyFill="1" applyBorder="1" applyAlignment="1">
      <alignment horizontal="center" vertical="center" wrapText="1"/>
    </xf>
    <xf numFmtId="260" fontId="67" fillId="0" borderId="10" xfId="3" applyFont="1" applyFill="1" applyBorder="1" applyAlignment="1">
      <alignment horizontal="center" vertical="center" wrapText="1"/>
    </xf>
    <xf numFmtId="0" fontId="24" fillId="0" borderId="0" xfId="0" applyFont="1" applyFill="1" applyAlignment="1">
      <alignment horizontal="justify" vertical="justify" wrapText="1"/>
    </xf>
    <xf numFmtId="0" fontId="24" fillId="0" borderId="0" xfId="0" applyFont="1" applyFill="1" applyBorder="1" applyAlignment="1">
      <alignment horizontal="justify" vertical="justify" wrapText="1"/>
    </xf>
    <xf numFmtId="0" fontId="67" fillId="0" borderId="49" xfId="0" applyFont="1" applyFill="1" applyBorder="1" applyAlignment="1">
      <alignment horizontal="center" vertical="center" wrapText="1"/>
    </xf>
    <xf numFmtId="0" fontId="66" fillId="0" borderId="50" xfId="0" applyFont="1" applyFill="1" applyBorder="1" applyAlignment="1">
      <alignment horizontal="center" vertical="center" wrapText="1"/>
    </xf>
    <xf numFmtId="0" fontId="67" fillId="0" borderId="51"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67" fillId="0" borderId="42" xfId="0" applyFont="1" applyFill="1" applyBorder="1" applyAlignment="1">
      <alignment horizontal="center" vertical="center" wrapText="1"/>
    </xf>
    <xf numFmtId="0" fontId="66" fillId="0" borderId="52" xfId="0"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0" fontId="35" fillId="0" borderId="1" xfId="0" applyFont="1" applyBorder="1" applyAlignment="1">
      <alignment horizontal="center" vertical="center" wrapText="1"/>
    </xf>
    <xf numFmtId="0" fontId="24" fillId="0" borderId="0" xfId="0" applyFont="1" applyFill="1" applyAlignment="1">
      <alignment horizontal="justify" vertical="top"/>
    </xf>
    <xf numFmtId="0" fontId="57" fillId="0" borderId="0"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xf>
    <xf numFmtId="0" fontId="57" fillId="0" borderId="1" xfId="0" quotePrefix="1" applyNumberFormat="1" applyFont="1" applyFill="1" applyBorder="1" applyAlignment="1">
      <alignment horizontal="center" vertical="center"/>
    </xf>
    <xf numFmtId="0" fontId="35" fillId="0" borderId="0" xfId="0" quotePrefix="1" applyFont="1" applyFill="1" applyBorder="1" applyAlignment="1">
      <alignment horizontal="center" vertical="center"/>
    </xf>
    <xf numFmtId="0" fontId="57" fillId="0" borderId="28" xfId="0" applyNumberFormat="1" applyFont="1" applyFill="1" applyBorder="1" applyAlignment="1">
      <alignment horizontal="center" vertical="center"/>
    </xf>
    <xf numFmtId="0" fontId="57" fillId="0" borderId="4" xfId="0" applyNumberFormat="1" applyFont="1" applyFill="1" applyBorder="1" applyAlignment="1">
      <alignment horizontal="center" vertical="center"/>
    </xf>
    <xf numFmtId="0" fontId="57" fillId="0" borderId="29" xfId="0" applyNumberFormat="1" applyFont="1" applyFill="1" applyBorder="1" applyAlignment="1">
      <alignment horizontal="center" vertical="center"/>
    </xf>
    <xf numFmtId="0" fontId="63" fillId="0" borderId="0" xfId="0" quotePrefix="1" applyFont="1" applyFill="1" applyBorder="1" applyAlignment="1">
      <alignment horizontal="center" vertical="center"/>
    </xf>
    <xf numFmtId="0" fontId="63" fillId="0" borderId="0" xfId="0" applyFont="1" applyFill="1" applyAlignment="1">
      <alignment horizontal="center" vertical="center"/>
    </xf>
    <xf numFmtId="0" fontId="58" fillId="0" borderId="61" xfId="0" applyFont="1" applyBorder="1" applyAlignment="1"/>
    <xf numFmtId="0" fontId="58" fillId="0" borderId="1" xfId="0" applyFont="1" applyBorder="1" applyAlignment="1"/>
    <xf numFmtId="14" fontId="58" fillId="0" borderId="63" xfId="0" applyNumberFormat="1" applyFont="1" applyBorder="1" applyAlignment="1">
      <alignment horizontal="left"/>
    </xf>
    <xf numFmtId="0" fontId="58" fillId="0" borderId="4" xfId="0" applyFont="1" applyBorder="1" applyAlignment="1">
      <alignment horizontal="left"/>
    </xf>
    <xf numFmtId="0" fontId="58" fillId="0" borderId="61" xfId="0" applyFont="1" applyBorder="1" applyAlignment="1">
      <alignment horizontal="left"/>
    </xf>
    <xf numFmtId="0" fontId="64" fillId="0" borderId="7" xfId="0" applyFont="1" applyFill="1" applyBorder="1" applyAlignment="1">
      <alignment horizontal="center" vertical="center" wrapText="1"/>
    </xf>
    <xf numFmtId="0" fontId="64" fillId="0" borderId="10" xfId="0" applyFont="1" applyFill="1" applyBorder="1" applyAlignment="1">
      <alignment horizontal="center" vertical="center" wrapText="1"/>
    </xf>
    <xf numFmtId="0" fontId="64" fillId="0" borderId="7" xfId="0" quotePrefix="1" applyFont="1" applyFill="1" applyBorder="1" applyAlignment="1">
      <alignment horizontal="center" vertical="center" wrapText="1"/>
    </xf>
    <xf numFmtId="0" fontId="64" fillId="0" borderId="10" xfId="0" quotePrefix="1" applyFont="1" applyFill="1" applyBorder="1" applyAlignment="1">
      <alignment horizontal="center" vertical="center" wrapText="1"/>
    </xf>
    <xf numFmtId="260" fontId="64" fillId="0" borderId="7" xfId="3" applyFont="1" applyFill="1" applyBorder="1" applyAlignment="1">
      <alignment horizontal="center" vertical="center" wrapText="1"/>
    </xf>
    <xf numFmtId="260" fontId="64" fillId="0" borderId="10" xfId="3" applyFont="1" applyFill="1" applyBorder="1" applyAlignment="1">
      <alignment horizontal="center" vertical="center" wrapText="1"/>
    </xf>
    <xf numFmtId="0" fontId="64" fillId="0" borderId="49" xfId="0" applyFont="1" applyFill="1" applyBorder="1" applyAlignment="1">
      <alignment horizontal="center" vertical="center" wrapText="1"/>
    </xf>
    <xf numFmtId="0" fontId="63" fillId="0" borderId="50" xfId="0" applyFont="1" applyFill="1" applyBorder="1" applyAlignment="1">
      <alignment horizontal="center" vertical="center" wrapText="1"/>
    </xf>
    <xf numFmtId="0" fontId="64" fillId="0" borderId="51" xfId="0" applyFont="1" applyFill="1" applyBorder="1" applyAlignment="1">
      <alignment horizontal="center" vertical="center" wrapText="1"/>
    </xf>
    <xf numFmtId="0" fontId="63" fillId="0" borderId="5" xfId="0" applyFont="1" applyFill="1" applyBorder="1" applyAlignment="1">
      <alignment horizontal="center" vertical="center" wrapText="1"/>
    </xf>
    <xf numFmtId="0" fontId="64" fillId="0" borderId="42" xfId="0" applyFont="1" applyFill="1" applyBorder="1" applyAlignment="1">
      <alignment horizontal="center" vertical="center" wrapText="1"/>
    </xf>
    <xf numFmtId="0" fontId="63" fillId="0" borderId="52" xfId="0" applyFont="1" applyFill="1" applyBorder="1" applyAlignment="1">
      <alignment horizontal="center" vertical="center" wrapText="1"/>
    </xf>
    <xf numFmtId="0" fontId="64" fillId="0" borderId="60" xfId="0" applyFont="1" applyFill="1" applyBorder="1" applyAlignment="1">
      <alignment horizontal="center" vertical="center" wrapText="1"/>
    </xf>
    <xf numFmtId="0" fontId="64" fillId="0" borderId="39" xfId="0" applyFont="1" applyFill="1" applyBorder="1" applyAlignment="1">
      <alignment horizontal="center" vertical="center" wrapText="1"/>
    </xf>
    <xf numFmtId="0" fontId="64" fillId="0" borderId="61"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3" fillId="0" borderId="7" xfId="0" applyFont="1" applyFill="1" applyBorder="1" applyAlignment="1">
      <alignment horizontal="center" vertical="center" wrapText="1"/>
    </xf>
    <xf numFmtId="0" fontId="63" fillId="0" borderId="10" xfId="0" applyFont="1" applyFill="1" applyBorder="1" applyAlignment="1">
      <alignment horizontal="center" vertical="center" wrapText="1"/>
    </xf>
    <xf numFmtId="0" fontId="64" fillId="0" borderId="28"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9" xfId="0" applyFont="1" applyFill="1" applyBorder="1" applyAlignment="1">
      <alignment horizontal="center" vertical="center"/>
    </xf>
    <xf numFmtId="0" fontId="63" fillId="0" borderId="0" xfId="0" applyFont="1" applyFill="1" applyBorder="1" applyAlignment="1">
      <alignment horizontal="justify" vertical="justify" wrapText="1"/>
    </xf>
    <xf numFmtId="0" fontId="64" fillId="0" borderId="59" xfId="0" applyFont="1" applyFill="1" applyBorder="1" applyAlignment="1">
      <alignment horizontal="center" vertical="center" wrapText="1"/>
    </xf>
    <xf numFmtId="0" fontId="37" fillId="9" borderId="0" xfId="0" quotePrefix="1" applyFont="1" applyFill="1" applyAlignment="1">
      <alignment horizontal="center" vertical="top"/>
    </xf>
    <xf numFmtId="41" fontId="37" fillId="9" borderId="41" xfId="0" quotePrefix="1" applyNumberFormat="1" applyFont="1" applyFill="1" applyBorder="1" applyAlignment="1">
      <alignment horizontal="center" vertical="center" wrapText="1"/>
    </xf>
    <xf numFmtId="41" fontId="37" fillId="9" borderId="51" xfId="0" applyNumberFormat="1" applyFont="1" applyFill="1" applyBorder="1" applyAlignment="1">
      <alignment horizontal="center" vertical="center" wrapText="1"/>
    </xf>
    <xf numFmtId="41" fontId="37" fillId="9" borderId="42" xfId="0" applyNumberFormat="1" applyFont="1" applyFill="1" applyBorder="1" applyAlignment="1">
      <alignment horizontal="center" vertical="center" wrapText="1"/>
    </xf>
    <xf numFmtId="41" fontId="37" fillId="9" borderId="52" xfId="0" applyNumberFormat="1" applyFont="1" applyFill="1" applyBorder="1" applyAlignment="1">
      <alignment horizontal="center" vertical="center" wrapText="1"/>
    </xf>
    <xf numFmtId="41" fontId="37" fillId="9" borderId="29" xfId="0" applyNumberFormat="1" applyFont="1" applyFill="1" applyBorder="1" applyAlignment="1">
      <alignment horizontal="center" vertical="center" wrapText="1"/>
    </xf>
    <xf numFmtId="0" fontId="41" fillId="9" borderId="0" xfId="0" applyFont="1" applyFill="1" applyAlignment="1">
      <alignment horizontal="center"/>
    </xf>
    <xf numFmtId="0" fontId="37" fillId="9" borderId="0" xfId="0" applyFont="1" applyFill="1" applyBorder="1" applyAlignment="1">
      <alignment horizontal="center" vertical="top"/>
    </xf>
    <xf numFmtId="0" fontId="37" fillId="9" borderId="2" xfId="0" applyFont="1" applyFill="1" applyBorder="1" applyAlignment="1">
      <alignment horizontal="center" vertical="top"/>
    </xf>
    <xf numFmtId="41" fontId="37" fillId="9" borderId="41" xfId="0" applyNumberFormat="1" applyFont="1" applyFill="1" applyBorder="1" applyAlignment="1">
      <alignment horizontal="center" vertical="center" wrapText="1"/>
    </xf>
    <xf numFmtId="0" fontId="37" fillId="9" borderId="1" xfId="0" applyNumberFormat="1" applyFont="1" applyFill="1" applyBorder="1" applyAlignment="1">
      <alignment horizontal="center" vertical="center"/>
    </xf>
    <xf numFmtId="0" fontId="37" fillId="9" borderId="28" xfId="0" applyNumberFormat="1" applyFont="1" applyFill="1" applyBorder="1" applyAlignment="1">
      <alignment horizontal="center" vertical="center"/>
    </xf>
    <xf numFmtId="0" fontId="37" fillId="9" borderId="41" xfId="0" applyNumberFormat="1" applyFont="1" applyFill="1" applyBorder="1" applyAlignment="1">
      <alignment horizontal="center" vertical="center"/>
    </xf>
    <xf numFmtId="0" fontId="37" fillId="9" borderId="16" xfId="0" applyNumberFormat="1" applyFont="1" applyFill="1" applyBorder="1" applyAlignment="1">
      <alignment horizontal="center" vertical="center"/>
    </xf>
    <xf numFmtId="0" fontId="37" fillId="9" borderId="58" xfId="0" applyNumberFormat="1" applyFont="1" applyFill="1" applyBorder="1" applyAlignment="1">
      <alignment horizontal="center" vertical="center"/>
    </xf>
    <xf numFmtId="0" fontId="37" fillId="9" borderId="51" xfId="0" applyNumberFormat="1" applyFont="1" applyFill="1" applyBorder="1" applyAlignment="1">
      <alignment horizontal="center" vertical="center"/>
    </xf>
    <xf numFmtId="0" fontId="37" fillId="9" borderId="0" xfId="0" applyNumberFormat="1" applyFont="1" applyFill="1" applyBorder="1" applyAlignment="1">
      <alignment horizontal="center" vertical="center"/>
    </xf>
    <xf numFmtId="0" fontId="37" fillId="9" borderId="5" xfId="0" applyNumberFormat="1" applyFont="1" applyFill="1" applyBorder="1" applyAlignment="1">
      <alignment horizontal="center" vertical="center"/>
    </xf>
    <xf numFmtId="0" fontId="37" fillId="9" borderId="42" xfId="0" applyNumberFormat="1" applyFont="1" applyFill="1" applyBorder="1" applyAlignment="1">
      <alignment horizontal="center" vertical="center"/>
    </xf>
    <xf numFmtId="0" fontId="37" fillId="9" borderId="2" xfId="0" applyNumberFormat="1" applyFont="1" applyFill="1" applyBorder="1" applyAlignment="1">
      <alignment horizontal="center" vertical="center"/>
    </xf>
    <xf numFmtId="0" fontId="37" fillId="9" borderId="52" xfId="0" applyNumberFormat="1" applyFont="1" applyFill="1" applyBorder="1" applyAlignment="1">
      <alignment horizontal="center" vertical="center"/>
    </xf>
    <xf numFmtId="9" fontId="37" fillId="9" borderId="16" xfId="4" quotePrefix="1" applyFont="1" applyFill="1" applyBorder="1" applyAlignment="1">
      <alignment horizontal="center" vertical="top"/>
    </xf>
    <xf numFmtId="0" fontId="24" fillId="9" borderId="0" xfId="0" applyFont="1" applyFill="1" applyAlignment="1">
      <alignment horizontal="justify" vertical="top"/>
    </xf>
    <xf numFmtId="0" fontId="24" fillId="9" borderId="0" xfId="0" applyFont="1" applyFill="1" applyBorder="1" applyAlignment="1">
      <alignment horizontal="justify" vertical="top"/>
    </xf>
    <xf numFmtId="0" fontId="24" fillId="9" borderId="0" xfId="0" applyNumberFormat="1" applyFont="1" applyFill="1" applyAlignment="1">
      <alignment horizontal="justify" vertical="top"/>
    </xf>
    <xf numFmtId="0" fontId="37" fillId="9" borderId="0" xfId="0" quotePrefix="1" applyFont="1" applyFill="1" applyBorder="1" applyAlignment="1">
      <alignment horizontal="center" vertical="top"/>
    </xf>
    <xf numFmtId="0" fontId="49" fillId="9" borderId="28" xfId="0" applyFont="1" applyFill="1" applyBorder="1" applyAlignment="1">
      <alignment horizontal="center" vertical="center"/>
    </xf>
    <xf numFmtId="0" fontId="49" fillId="9" borderId="4" xfId="0" applyFont="1" applyFill="1" applyBorder="1" applyAlignment="1">
      <alignment horizontal="center" vertical="center"/>
    </xf>
    <xf numFmtId="0" fontId="49" fillId="9" borderId="41" xfId="0" applyFont="1" applyFill="1" applyBorder="1" applyAlignment="1">
      <alignment horizontal="center" vertical="center" wrapText="1"/>
    </xf>
    <xf numFmtId="0" fontId="49" fillId="9" borderId="16" xfId="0" applyFont="1" applyFill="1" applyBorder="1" applyAlignment="1">
      <alignment horizontal="center" vertical="center" wrapText="1"/>
    </xf>
    <xf numFmtId="0" fontId="49" fillId="9" borderId="58" xfId="0" applyFont="1" applyFill="1" applyBorder="1" applyAlignment="1">
      <alignment horizontal="center" vertical="center" wrapText="1"/>
    </xf>
    <xf numFmtId="0" fontId="49" fillId="9" borderId="42" xfId="0" applyFont="1" applyFill="1" applyBorder="1" applyAlignment="1">
      <alignment horizontal="center" vertical="center" wrapText="1"/>
    </xf>
    <xf numFmtId="0" fontId="49" fillId="9" borderId="2" xfId="0" applyFont="1" applyFill="1" applyBorder="1" applyAlignment="1">
      <alignment horizontal="center" vertical="center" wrapText="1"/>
    </xf>
    <xf numFmtId="0" fontId="49" fillId="9" borderId="52" xfId="0" applyFont="1" applyFill="1" applyBorder="1" applyAlignment="1">
      <alignment horizontal="center" vertical="center" wrapText="1"/>
    </xf>
    <xf numFmtId="0" fontId="49" fillId="9" borderId="29" xfId="0" applyFont="1" applyFill="1" applyBorder="1" applyAlignment="1">
      <alignment horizontal="center" vertical="center"/>
    </xf>
    <xf numFmtId="0" fontId="24" fillId="9" borderId="0" xfId="0" applyFont="1" applyFill="1" applyAlignment="1">
      <alignment horizontal="justify" vertical="justify"/>
    </xf>
    <xf numFmtId="0" fontId="49" fillId="9" borderId="41" xfId="0" applyNumberFormat="1" applyFont="1" applyFill="1" applyBorder="1" applyAlignment="1">
      <alignment horizontal="center" vertical="center"/>
    </xf>
    <xf numFmtId="0" fontId="49" fillId="9" borderId="16" xfId="0" applyNumberFormat="1" applyFont="1" applyFill="1" applyBorder="1" applyAlignment="1">
      <alignment horizontal="center" vertical="center"/>
    </xf>
    <xf numFmtId="0" fontId="49" fillId="9" borderId="42" xfId="0" applyNumberFormat="1" applyFont="1" applyFill="1" applyBorder="1" applyAlignment="1">
      <alignment horizontal="center" vertical="center"/>
    </xf>
    <xf numFmtId="0" fontId="49" fillId="9" borderId="2" xfId="0" applyNumberFormat="1" applyFont="1" applyFill="1" applyBorder="1" applyAlignment="1">
      <alignment horizontal="center" vertical="center"/>
    </xf>
    <xf numFmtId="0" fontId="30" fillId="9" borderId="0" xfId="0" applyFont="1" applyFill="1" applyAlignment="1">
      <alignment horizontal="center" vertical="top"/>
    </xf>
    <xf numFmtId="0" fontId="37" fillId="9" borderId="28" xfId="0" applyFont="1" applyFill="1" applyBorder="1" applyAlignment="1">
      <alignment horizontal="center" vertical="center"/>
    </xf>
    <xf numFmtId="0" fontId="37" fillId="9" borderId="4" xfId="0" applyFont="1" applyFill="1" applyBorder="1" applyAlignment="1">
      <alignment horizontal="center" vertical="center"/>
    </xf>
    <xf numFmtId="0" fontId="30" fillId="9" borderId="4" xfId="0" applyFont="1" applyFill="1" applyBorder="1" applyAlignment="1">
      <alignment horizontal="center" vertical="center"/>
    </xf>
    <xf numFmtId="0" fontId="39" fillId="9" borderId="29" xfId="0" applyFont="1" applyFill="1" applyBorder="1" applyAlignment="1">
      <alignment horizontal="center" vertical="center"/>
    </xf>
    <xf numFmtId="0" fontId="37" fillId="9" borderId="41" xfId="0" applyFont="1" applyFill="1" applyBorder="1" applyAlignment="1">
      <alignment horizontal="center" vertical="center"/>
    </xf>
    <xf numFmtId="0" fontId="37" fillId="9" borderId="16" xfId="0" applyFont="1" applyFill="1" applyBorder="1" applyAlignment="1">
      <alignment horizontal="center" vertical="center"/>
    </xf>
    <xf numFmtId="0" fontId="30" fillId="9" borderId="16" xfId="0" applyFont="1" applyFill="1" applyBorder="1" applyAlignment="1">
      <alignment horizontal="center" vertical="center"/>
    </xf>
    <xf numFmtId="0" fontId="39" fillId="9" borderId="16" xfId="0" applyFont="1" applyFill="1" applyBorder="1" applyAlignment="1">
      <alignment vertical="center"/>
    </xf>
    <xf numFmtId="0" fontId="37" fillId="9" borderId="42" xfId="0" applyFont="1" applyFill="1" applyBorder="1" applyAlignment="1">
      <alignment horizontal="center" vertical="center"/>
    </xf>
    <xf numFmtId="0" fontId="37" fillId="9" borderId="2" xfId="0" applyFont="1" applyFill="1" applyBorder="1" applyAlignment="1">
      <alignment horizontal="center" vertical="center"/>
    </xf>
    <xf numFmtId="0" fontId="30" fillId="9" borderId="2" xfId="0" applyFont="1" applyFill="1" applyBorder="1" applyAlignment="1">
      <alignment horizontal="center" vertical="center"/>
    </xf>
    <xf numFmtId="0" fontId="39" fillId="9" borderId="2" xfId="0" applyFont="1" applyFill="1" applyBorder="1" applyAlignment="1">
      <alignment vertical="center"/>
    </xf>
    <xf numFmtId="0" fontId="37" fillId="9" borderId="41" xfId="0" applyFont="1" applyFill="1" applyBorder="1" applyAlignment="1">
      <alignment horizontal="center" vertical="top" wrapText="1"/>
    </xf>
    <xf numFmtId="0" fontId="37" fillId="9" borderId="42" xfId="0" applyFont="1" applyFill="1" applyBorder="1" applyAlignment="1">
      <alignment horizontal="center" vertical="top" wrapText="1"/>
    </xf>
    <xf numFmtId="0" fontId="30" fillId="9" borderId="42" xfId="0" applyFont="1" applyFill="1" applyBorder="1" applyAlignment="1">
      <alignment horizontal="center" vertical="top" wrapText="1"/>
    </xf>
    <xf numFmtId="0" fontId="37" fillId="9" borderId="6" xfId="0" applyFont="1" applyFill="1" applyBorder="1" applyAlignment="1">
      <alignment horizontal="center" vertical="top" wrapText="1"/>
    </xf>
    <xf numFmtId="0" fontId="30" fillId="9" borderId="10" xfId="0" applyFont="1" applyFill="1" applyBorder="1" applyAlignment="1">
      <alignment horizontal="center" vertical="top" wrapText="1"/>
    </xf>
    <xf numFmtId="0" fontId="30" fillId="9" borderId="0" xfId="0" applyFont="1" applyFill="1" applyAlignment="1">
      <alignment horizontal="justify" vertical="top" wrapText="1"/>
    </xf>
    <xf numFmtId="177" fontId="41" fillId="9" borderId="0" xfId="3" applyNumberFormat="1" applyFont="1" applyFill="1" applyAlignment="1">
      <alignment horizontal="center" vertical="center"/>
    </xf>
    <xf numFmtId="175" fontId="41" fillId="9" borderId="0" xfId="0" applyNumberFormat="1" applyFont="1" applyFill="1" applyAlignment="1">
      <alignment horizontal="center" vertical="top"/>
    </xf>
    <xf numFmtId="0" fontId="49" fillId="9"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165" fontId="49" fillId="9" borderId="0" xfId="3" quotePrefix="1" applyNumberFormat="1" applyFont="1" applyFill="1" applyAlignment="1">
      <alignment horizontal="center" vertical="center"/>
    </xf>
    <xf numFmtId="0" fontId="49" fillId="9" borderId="2" xfId="0" quotePrefix="1" applyFont="1" applyFill="1" applyBorder="1" applyAlignment="1">
      <alignment horizontal="center" vertical="top"/>
    </xf>
    <xf numFmtId="0" fontId="41" fillId="9" borderId="2" xfId="0" applyFont="1" applyFill="1" applyBorder="1" applyAlignment="1"/>
    <xf numFmtId="0" fontId="49" fillId="9" borderId="1" xfId="0" quotePrefix="1" applyFont="1" applyFill="1" applyBorder="1" applyAlignment="1">
      <alignment horizontal="center" vertical="center"/>
    </xf>
    <xf numFmtId="0" fontId="49" fillId="9" borderId="54" xfId="0" applyFont="1" applyFill="1" applyBorder="1" applyAlignment="1">
      <alignment horizontal="center" vertical="center" wrapText="1"/>
    </xf>
    <xf numFmtId="0" fontId="49" fillId="9" borderId="51" xfId="0" applyFont="1" applyFill="1" applyBorder="1" applyAlignment="1">
      <alignment horizontal="center" vertical="center" wrapText="1"/>
    </xf>
    <xf numFmtId="0" fontId="49" fillId="9" borderId="0" xfId="0" applyFont="1" applyFill="1" applyBorder="1" applyAlignment="1">
      <alignment horizontal="center" vertical="center" wrapText="1"/>
    </xf>
    <xf numFmtId="0" fontId="49" fillId="9" borderId="5" xfId="0" applyFont="1" applyFill="1" applyBorder="1" applyAlignment="1">
      <alignment horizontal="center" vertical="center" wrapText="1"/>
    </xf>
    <xf numFmtId="0" fontId="24" fillId="9" borderId="0" xfId="0" applyFont="1" applyFill="1" applyAlignment="1">
      <alignment horizontal="justify" vertical="top" wrapText="1"/>
    </xf>
    <xf numFmtId="0" fontId="24" fillId="9" borderId="0" xfId="0" applyFont="1" applyFill="1" applyAlignment="1">
      <alignment vertical="top" wrapText="1"/>
    </xf>
    <xf numFmtId="0" fontId="49" fillId="9" borderId="6" xfId="0" applyFont="1" applyFill="1" applyBorder="1" applyAlignment="1">
      <alignment horizontal="center" vertical="center" wrapText="1"/>
    </xf>
    <xf numFmtId="0" fontId="0" fillId="9" borderId="6" xfId="0" applyFill="1" applyBorder="1" applyAlignment="1">
      <alignment wrapText="1"/>
    </xf>
    <xf numFmtId="0" fontId="0" fillId="9" borderId="7" xfId="0" applyFill="1" applyBorder="1" applyAlignment="1">
      <alignment wrapText="1"/>
    </xf>
    <xf numFmtId="0" fontId="0" fillId="9" borderId="10" xfId="0" applyFill="1" applyBorder="1" applyAlignment="1">
      <alignment wrapText="1"/>
    </xf>
    <xf numFmtId="0" fontId="0" fillId="9" borderId="7" xfId="0" applyFill="1" applyBorder="1" applyAlignment="1">
      <alignment horizontal="center" vertical="center" wrapText="1"/>
    </xf>
    <xf numFmtId="0" fontId="0" fillId="9" borderId="10" xfId="0" applyFill="1" applyBorder="1" applyAlignment="1">
      <alignment horizontal="center" vertical="center" wrapText="1"/>
    </xf>
    <xf numFmtId="0" fontId="37" fillId="9" borderId="1" xfId="0" applyFont="1" applyFill="1" applyBorder="1" applyAlignment="1">
      <alignment horizontal="center" vertical="center"/>
    </xf>
    <xf numFmtId="0" fontId="61" fillId="9" borderId="0" xfId="0" applyFont="1" applyFill="1" applyBorder="1" applyProtection="1"/>
    <xf numFmtId="0" fontId="49" fillId="9" borderId="0" xfId="0" quotePrefix="1" applyFont="1" applyFill="1" applyAlignment="1">
      <alignment horizontal="center" vertical="top"/>
    </xf>
    <xf numFmtId="0" fontId="41" fillId="9" borderId="0" xfId="0" applyFont="1" applyFill="1" applyAlignment="1">
      <alignment horizontal="center" vertical="top"/>
    </xf>
    <xf numFmtId="0" fontId="37" fillId="9" borderId="1" xfId="0" applyFont="1" applyFill="1" applyBorder="1" applyAlignment="1">
      <alignment horizontal="center" vertical="center" wrapText="1"/>
    </xf>
    <xf numFmtId="1" fontId="37" fillId="9" borderId="2" xfId="3" quotePrefix="1" applyNumberFormat="1" applyFont="1" applyFill="1" applyBorder="1" applyAlignment="1">
      <alignment horizontal="center" vertical="center"/>
    </xf>
    <xf numFmtId="1" fontId="37" fillId="9" borderId="2" xfId="3" applyNumberFormat="1" applyFont="1" applyFill="1" applyBorder="1" applyAlignment="1">
      <alignment horizontal="center" vertical="center"/>
    </xf>
    <xf numFmtId="0" fontId="23" fillId="9" borderId="0" xfId="0" applyFont="1" applyFill="1" applyAlignment="1">
      <alignment horizontal="left"/>
    </xf>
    <xf numFmtId="0" fontId="31" fillId="9" borderId="0" xfId="0" applyFont="1" applyFill="1" applyAlignment="1">
      <alignment horizontal="justify" vertical="top" wrapText="1"/>
    </xf>
    <xf numFmtId="0" fontId="24" fillId="9" borderId="0" xfId="0" applyNumberFormat="1" applyFont="1" applyFill="1" applyAlignment="1">
      <alignment horizontal="justify" vertical="top" wrapText="1"/>
    </xf>
    <xf numFmtId="0" fontId="37" fillId="9" borderId="1" xfId="0" quotePrefix="1" applyFont="1" applyFill="1" applyBorder="1" applyAlignment="1">
      <alignment horizontal="center" vertical="top"/>
    </xf>
    <xf numFmtId="0" fontId="49" fillId="9" borderId="0" xfId="0" quotePrefix="1" applyFont="1" applyFill="1" applyAlignment="1">
      <alignment horizontal="center"/>
    </xf>
    <xf numFmtId="0" fontId="58" fillId="0" borderId="0" xfId="0" applyFont="1" applyAlignment="1">
      <alignment horizontal="left" wrapText="1"/>
    </xf>
    <xf numFmtId="0" fontId="37" fillId="0" borderId="0" xfId="0" quotePrefix="1" applyFont="1" applyFill="1" applyAlignment="1">
      <alignment horizontal="center" vertical="top"/>
    </xf>
    <xf numFmtId="0" fontId="24" fillId="5" borderId="0" xfId="0" applyFont="1" applyFill="1" applyAlignment="1">
      <alignment horizontal="justify" vertical="top" wrapText="1"/>
    </xf>
    <xf numFmtId="0" fontId="32" fillId="2" borderId="14" xfId="0" applyFont="1" applyFill="1" applyBorder="1" applyAlignment="1">
      <alignment horizontal="left" vertical="center"/>
    </xf>
    <xf numFmtId="0" fontId="32" fillId="2" borderId="3" xfId="0" applyFont="1" applyFill="1" applyBorder="1" applyAlignment="1">
      <alignment horizontal="left" vertical="center"/>
    </xf>
    <xf numFmtId="0" fontId="32" fillId="2" borderId="15" xfId="0" applyFont="1" applyFill="1" applyBorder="1" applyAlignment="1">
      <alignment horizontal="left" vertical="center"/>
    </xf>
    <xf numFmtId="0" fontId="54" fillId="4" borderId="30" xfId="0" applyFont="1" applyFill="1" applyBorder="1" applyAlignment="1">
      <alignment horizontal="center" vertical="center" wrapText="1"/>
    </xf>
    <xf numFmtId="0" fontId="54" fillId="4" borderId="43" xfId="0" applyFont="1" applyFill="1" applyBorder="1" applyAlignment="1">
      <alignment horizontal="center" vertical="center" wrapText="1"/>
    </xf>
    <xf numFmtId="0" fontId="54" fillId="4" borderId="31" xfId="0" applyFont="1" applyFill="1" applyBorder="1" applyAlignment="1">
      <alignment horizontal="center" vertical="center" wrapText="1"/>
    </xf>
    <xf numFmtId="0" fontId="54" fillId="4" borderId="32" xfId="0" applyFont="1" applyFill="1" applyBorder="1" applyAlignment="1">
      <alignment horizontal="center" vertical="center" wrapText="1"/>
    </xf>
    <xf numFmtId="0" fontId="54" fillId="4" borderId="44" xfId="0" applyFont="1" applyFill="1" applyBorder="1" applyAlignment="1">
      <alignment horizontal="center" vertical="center" wrapText="1"/>
    </xf>
    <xf numFmtId="0" fontId="54" fillId="4" borderId="45" xfId="0" applyFont="1" applyFill="1" applyBorder="1" applyAlignment="1">
      <alignment horizontal="center" vertical="center" wrapText="1"/>
    </xf>
    <xf numFmtId="0" fontId="54" fillId="4" borderId="46" xfId="0" applyFont="1" applyFill="1" applyBorder="1" applyAlignment="1">
      <alignment horizontal="center" vertical="center" wrapText="1"/>
    </xf>
    <xf numFmtId="0" fontId="54" fillId="4" borderId="47" xfId="0" applyFont="1" applyFill="1" applyBorder="1" applyAlignment="1">
      <alignment horizontal="center" vertical="center" wrapText="1"/>
    </xf>
    <xf numFmtId="0" fontId="54" fillId="4" borderId="48" xfId="0" applyFont="1" applyFill="1" applyBorder="1" applyAlignment="1">
      <alignment horizontal="center" vertical="center" wrapText="1"/>
    </xf>
    <xf numFmtId="0" fontId="62" fillId="6" borderId="14" xfId="0" applyFont="1" applyFill="1" applyBorder="1" applyAlignment="1">
      <alignment horizontal="center" vertical="top"/>
    </xf>
    <xf numFmtId="0" fontId="62" fillId="6" borderId="3" xfId="0" applyFont="1" applyFill="1" applyBorder="1" applyAlignment="1">
      <alignment horizontal="center" vertical="top"/>
    </xf>
    <xf numFmtId="0" fontId="63" fillId="0" borderId="1" xfId="0" applyFont="1" applyBorder="1" applyAlignment="1">
      <alignment horizontal="left"/>
    </xf>
    <xf numFmtId="14" fontId="63" fillId="0" borderId="1" xfId="0" applyNumberFormat="1" applyFont="1" applyBorder="1" applyAlignment="1">
      <alignment horizontal="left"/>
    </xf>
    <xf numFmtId="0" fontId="63" fillId="0" borderId="29" xfId="0" applyFont="1" applyBorder="1" applyAlignment="1">
      <alignment horizontal="left"/>
    </xf>
    <xf numFmtId="14" fontId="63" fillId="0" borderId="29" xfId="0" applyNumberFormat="1" applyFont="1" applyBorder="1" applyAlignment="1">
      <alignment horizontal="left"/>
    </xf>
    <xf numFmtId="0" fontId="64" fillId="0" borderId="0" xfId="0" quotePrefix="1" applyFont="1" applyFill="1" applyBorder="1" applyAlignment="1">
      <alignment horizontal="center"/>
    </xf>
    <xf numFmtId="0" fontId="63" fillId="0" borderId="55" xfId="0" applyFont="1" applyBorder="1" applyAlignment="1">
      <alignment horizontal="center" vertical="center" wrapText="1"/>
    </xf>
    <xf numFmtId="0" fontId="63" fillId="0" borderId="56" xfId="0" applyFont="1" applyBorder="1" applyAlignment="1">
      <alignment horizontal="center" vertical="center" wrapText="1"/>
    </xf>
    <xf numFmtId="0" fontId="63" fillId="0" borderId="57" xfId="0" applyFont="1" applyBorder="1" applyAlignment="1">
      <alignment horizontal="center" vertical="center" wrapText="1"/>
    </xf>
    <xf numFmtId="3" fontId="36" fillId="0" borderId="33" xfId="3" applyNumberFormat="1" applyFont="1" applyBorder="1" applyAlignment="1">
      <alignment horizontal="center" vertical="center" wrapText="1"/>
    </xf>
    <xf numFmtId="3" fontId="36" fillId="0" borderId="34" xfId="3" applyNumberFormat="1" applyFont="1" applyBorder="1" applyAlignment="1">
      <alignment horizontal="center" vertical="center" wrapText="1"/>
    </xf>
    <xf numFmtId="3" fontId="36" fillId="0" borderId="35" xfId="3" applyNumberFormat="1" applyFont="1" applyBorder="1" applyAlignment="1">
      <alignment horizontal="center" vertical="center" wrapText="1"/>
    </xf>
    <xf numFmtId="3" fontId="36" fillId="0" borderId="36" xfId="3" applyNumberFormat="1" applyFont="1" applyBorder="1" applyAlignment="1">
      <alignment horizontal="center" vertical="center" wrapText="1"/>
    </xf>
    <xf numFmtId="165" fontId="25" fillId="0" borderId="19" xfId="3" applyNumberFormat="1" applyFont="1" applyBorder="1" applyAlignment="1">
      <alignment horizontal="left" vertical="top"/>
    </xf>
    <xf numFmtId="165" fontId="25" fillId="0" borderId="26" xfId="3" applyNumberFormat="1" applyFont="1" applyBorder="1" applyAlignment="1">
      <alignment horizontal="left" vertical="top"/>
    </xf>
    <xf numFmtId="165" fontId="37" fillId="0" borderId="37" xfId="3" applyNumberFormat="1" applyFont="1" applyBorder="1" applyAlignment="1">
      <alignment horizontal="center" vertical="center"/>
    </xf>
    <xf numFmtId="165" fontId="37" fillId="0" borderId="38" xfId="3" applyNumberFormat="1" applyFont="1" applyBorder="1" applyAlignment="1">
      <alignment horizontal="center" vertical="center"/>
    </xf>
    <xf numFmtId="165" fontId="37" fillId="0" borderId="37" xfId="3" applyNumberFormat="1" applyFont="1" applyBorder="1" applyAlignment="1">
      <alignment horizontal="center" vertical="center" wrapText="1"/>
    </xf>
    <xf numFmtId="165" fontId="37" fillId="0" borderId="38" xfId="3" applyNumberFormat="1" applyFont="1" applyBorder="1" applyAlignment="1">
      <alignment horizontal="center" vertical="center" wrapText="1"/>
    </xf>
    <xf numFmtId="3" fontId="37" fillId="0" borderId="14" xfId="3" applyNumberFormat="1" applyFont="1" applyBorder="1" applyAlignment="1">
      <alignment horizontal="center" vertical="center" wrapText="1"/>
    </xf>
    <xf numFmtId="3" fontId="37" fillId="0" borderId="3" xfId="3" applyNumberFormat="1" applyFont="1" applyBorder="1" applyAlignment="1">
      <alignment horizontal="center" vertical="center" wrapText="1"/>
    </xf>
    <xf numFmtId="3" fontId="37" fillId="0" borderId="15" xfId="3" applyNumberFormat="1" applyFont="1" applyBorder="1" applyAlignment="1">
      <alignment horizontal="center" vertical="center" wrapText="1"/>
    </xf>
    <xf numFmtId="0" fontId="25" fillId="0" borderId="18" xfId="0" applyFont="1" applyBorder="1" applyAlignment="1">
      <alignment vertical="center" wrapText="1"/>
    </xf>
    <xf numFmtId="0" fontId="0" fillId="0" borderId="11" xfId="0" applyBorder="1" applyAlignment="1">
      <alignment vertical="center" wrapText="1"/>
    </xf>
    <xf numFmtId="0" fontId="0" fillId="0" borderId="18" xfId="0" applyBorder="1" applyAlignment="1">
      <alignment vertical="center" wrapText="1"/>
    </xf>
    <xf numFmtId="41" fontId="25" fillId="0" borderId="18" xfId="0" applyNumberFormat="1" applyFont="1" applyBorder="1" applyAlignment="1">
      <alignment horizontal="left" vertical="center" wrapText="1"/>
    </xf>
    <xf numFmtId="41" fontId="25" fillId="0" borderId="11" xfId="0" applyNumberFormat="1" applyFont="1" applyBorder="1" applyAlignment="1">
      <alignment horizontal="left" vertical="center" wrapText="1"/>
    </xf>
    <xf numFmtId="0" fontId="36" fillId="0" borderId="12" xfId="3" applyNumberFormat="1" applyFont="1" applyBorder="1" applyAlignment="1">
      <alignment horizontal="justify" vertical="top" wrapText="1"/>
    </xf>
    <xf numFmtId="0" fontId="36" fillId="0" borderId="0" xfId="3" quotePrefix="1" applyNumberFormat="1" applyFont="1" applyBorder="1" applyAlignment="1">
      <alignment horizontal="justify" vertical="top" wrapText="1"/>
    </xf>
    <xf numFmtId="0" fontId="36" fillId="0" borderId="13" xfId="3" quotePrefix="1" applyNumberFormat="1" applyFont="1" applyBorder="1" applyAlignment="1">
      <alignment horizontal="justify" vertical="top" wrapText="1"/>
    </xf>
    <xf numFmtId="0" fontId="36" fillId="0" borderId="17" xfId="3" quotePrefix="1" applyNumberFormat="1" applyFont="1" applyBorder="1" applyAlignment="1">
      <alignment horizontal="justify" vertical="top" wrapText="1"/>
    </xf>
  </cellXfs>
  <cellStyles count="40427">
    <cellStyle name=" 1" xfId="1"/>
    <cellStyle name=" 1 2" xfId="92"/>
    <cellStyle name=" Writer Import]_x000d__x000a_Display Dialog=No_x000d__x000a__x000d__x000a_[Horizontal Arrange]_x000d__x000a_Dimensions Interlocking=Yes_x000d__x000a_Sum Hierarchy=Yes_x000d__x000a_Generate" xfId="2"/>
    <cellStyle name=" Writer Import]_x000d__x000a_Display Dialog=No_x000d__x000a__x000d__x000a_[Horizontal Arrange]_x000d__x000a_Dimensions Interlocking=Yes_x000d__x000a_Sum Hierarchy=Yes_x000d__x000a_Generate 2" xfId="5"/>
    <cellStyle name=" Writer Import]_x000d__x000a_Display Dialog=No_x000d__x000a__x000d__x000a_[Horizontal Arrange]_x000d__x000a_Dimensions Interlocking=Yes_x000d__x000a_Sum Hierarchy=Yes_x000d__x000a_Generate_5.2" xfId="6"/>
    <cellStyle name="_accounts disclosure" xfId="120"/>
    <cellStyle name="_accounts disclosure 2" xfId="3290"/>
    <cellStyle name="_accounts disclosure_31 Dec Accounts 2009-NIUT" xfId="94"/>
    <cellStyle name="_accounts disclosure_31 Dec Accounts 2009-NIUT after element" xfId="95"/>
    <cellStyle name="_accounts disclosure_31 Dec Accounts 2009-NIUT b" xfId="97"/>
    <cellStyle name="_accounts disclosure_5.2" xfId="3205"/>
    <cellStyle name="_accounts disclosure_Accounts 2009-NIUT NON LOC-after RAJ final-signed" xfId="129"/>
    <cellStyle name="_accounts disclosure_After annexure changes NB final" xfId="99"/>
    <cellStyle name="_accounts disclosure_Cash Flow " xfId="7"/>
    <cellStyle name="_accounts disclosure_Cash flow working" xfId="5349"/>
    <cellStyle name="_accounts disclosure_Distribution " xfId="8"/>
    <cellStyle name="_accounts disclosure_Final disclosure final" xfId="100"/>
    <cellStyle name="_accounts disclosure_Income Statement" xfId="3675"/>
    <cellStyle name="_accounts disclosure_liability valuation - accounts disclosures" xfId="4860"/>
    <cellStyle name="_accounts disclosure_Notes 1-3" xfId="3676"/>
    <cellStyle name="_accounts disclosure_Sheet2" xfId="3677"/>
    <cellStyle name="_accounts disclosure_Statement of Financial Position" xfId="3678"/>
    <cellStyle name="_accounts disclosure_UHF" xfId="5348"/>
    <cellStyle name="_Book5" xfId="2515"/>
    <cellStyle name="_Book5_accounts AAAF formatted - UFV Reviewed" xfId="3040"/>
    <cellStyle name="_Book5_Dividend income - MCPF - June 30, 2010" xfId="2516"/>
    <cellStyle name="_Book5_Dividend income - MCPF - June 30, 2010_accounts AAAF formatted - UFV Reviewed" xfId="3041"/>
    <cellStyle name="_Book5_Dividend income - MCPF - June 30, 2010_Formatted accounts_AAAF_formatted_-_UFV_Reviewed" xfId="3042"/>
    <cellStyle name="_Book5_Formatted accounts_AAAF_formatted_-_UFV_Reviewed" xfId="3043"/>
    <cellStyle name="_Brokerage" xfId="2517"/>
    <cellStyle name="_brokerage final" xfId="2518"/>
    <cellStyle name="_brokerage final_accounts AAAF formatted - UFV Reviewed" xfId="3044"/>
    <cellStyle name="_brokerage final_Formatted accounts_AAAF_formatted_-_UFV_Reviewed" xfId="3045"/>
    <cellStyle name="_brokerage working final" xfId="2519"/>
    <cellStyle name="_brokerage working final_Formatted accounts_AAAF_formatted_-_UFV_Reviewed" xfId="3046"/>
    <cellStyle name="_Brokerage_accounts AAAF formatted - UFV Reviewed" xfId="3047"/>
    <cellStyle name="_Brokerage_Formatted accounts_AAAF_formatted_-_UFV_Reviewed" xfId="3048"/>
    <cellStyle name="_brokerage-HFT" xfId="2520"/>
    <cellStyle name="_brokerage-HFT_Formatted accounts_AAAF_formatted_-_UFV_Reviewed" xfId="3049"/>
    <cellStyle name="_cap gain" xfId="101"/>
    <cellStyle name="_Copy of MBF capital loss" xfId="2521"/>
    <cellStyle name="_Copy of MBF capital loss_accounts AAAF formatted - UFV Reviewed" xfId="3050"/>
    <cellStyle name="_Copy of MBF capital loss_Dividend income - MCPF - June 30, 2010" xfId="2522"/>
    <cellStyle name="_Copy of MBF capital loss_Dividend income - MCPF - June 30, 2010_accounts AAAF formatted - UFV Reviewed" xfId="3051"/>
    <cellStyle name="_Copy of MBF capital loss_Dividend income - MCPF - June 30, 2010_Formatted accounts_AAAF_formatted_-_UFV_Reviewed" xfId="3052"/>
    <cellStyle name="_Copy of MBF capital loss_Formatted accounts_AAAF_formatted_-_UFV_Reviewed" xfId="3053"/>
    <cellStyle name="_Copy of MBF capital loss_MCPF investement 2010" xfId="2523"/>
    <cellStyle name="_Copy of MBF capital loss_MCPF investement 2010_accounts AAAF formatted - UFV Reviewed" xfId="3054"/>
    <cellStyle name="_Copy of MBF capital loss_MCPF investement 2010_Formatted accounts_AAAF_formatted_-_UFV_Reviewed" xfId="3055"/>
    <cellStyle name="_CPF - Draft Accounts after KJ review" xfId="102"/>
    <cellStyle name="_CPF - Draft Accounts after KJ review 10" xfId="3679"/>
    <cellStyle name="_CPF - Draft Accounts after KJ review 11" xfId="3680"/>
    <cellStyle name="_CPF - Draft Accounts after KJ review 12" xfId="3681"/>
    <cellStyle name="_CPF - Draft Accounts after KJ review 13" xfId="3682"/>
    <cellStyle name="_CPF - Draft Accounts after KJ review 14" xfId="3683"/>
    <cellStyle name="_CPF - Draft Accounts after KJ review 15" xfId="4973"/>
    <cellStyle name="_CPF - Draft Accounts after KJ review 16" xfId="3684"/>
    <cellStyle name="_CPF - Draft Accounts after KJ review 17" xfId="1844"/>
    <cellStyle name="_CPF - Draft Accounts after KJ review 18" xfId="3685"/>
    <cellStyle name="_CPF - Draft Accounts after KJ review 19" xfId="1788"/>
    <cellStyle name="_CPF - Draft Accounts after KJ review 2" xfId="138"/>
    <cellStyle name="_CPF - Draft Accounts after KJ review 20" xfId="4972"/>
    <cellStyle name="_CPF - Draft Accounts after KJ review 21" xfId="5405"/>
    <cellStyle name="_CPF - Draft Accounts after KJ review 22" xfId="3291"/>
    <cellStyle name="_CPF - Draft Accounts after KJ review 23" xfId="3686"/>
    <cellStyle name="_CPF - Draft Accounts after KJ review 24" xfId="3292"/>
    <cellStyle name="_CPF - Draft Accounts after KJ review 25" xfId="3688"/>
    <cellStyle name="_CPF - Draft Accounts after KJ review 26" xfId="3689"/>
    <cellStyle name="_CPF - Draft Accounts after KJ review 27" xfId="3690"/>
    <cellStyle name="_CPF - Draft Accounts after KJ review 28" xfId="4865"/>
    <cellStyle name="_CPF - Draft Accounts after KJ review 29" xfId="3691"/>
    <cellStyle name="_CPF - Draft Accounts after KJ review 3" xfId="3692"/>
    <cellStyle name="_CPF - Draft Accounts after KJ review 4" xfId="3693"/>
    <cellStyle name="_CPF - Draft Accounts after KJ review 5" xfId="3694"/>
    <cellStyle name="_CPF - Draft Accounts after KJ review 6" xfId="3695"/>
    <cellStyle name="_CPF - Draft Accounts after KJ review 7" xfId="3696"/>
    <cellStyle name="_CPF - Draft Accounts after KJ review 8" xfId="3697"/>
    <cellStyle name="_CPF - Draft Accounts after KJ review 9" xfId="3698"/>
    <cellStyle name="_dividend" xfId="103"/>
    <cellStyle name="_dividend working" xfId="2524"/>
    <cellStyle name="_dividend working_accounts AAAF formatted - UFV Reviewed" xfId="3056"/>
    <cellStyle name="_dividend working_Formatted accounts_AAAF_formatted_-_UFV_Reviewed" xfId="3057"/>
    <cellStyle name="_Expenses MIF final" xfId="2525"/>
    <cellStyle name="_Expenses MIF final_Formatted accounts_AAAF_formatted_-_UFV_Reviewed" xfId="3058"/>
    <cellStyle name="_exposure compliance sector wise and entity wise 020110" xfId="2526"/>
    <cellStyle name="_exposure compliance sector wise and entity wise 020110_accounts AAAF formatted - UFV Reviewed" xfId="3059"/>
    <cellStyle name="_exposure compliance sector wise and entity wise 020110_Dividend income - MCPF - June 30, 2010" xfId="2527"/>
    <cellStyle name="_exposure compliance sector wise and entity wise 020110_Dividend income - MCPF - June 30, 2010_accounts AAAF formatted - UFV Reviewed" xfId="3060"/>
    <cellStyle name="_exposure compliance sector wise and entity wise 020110_Dividend income - MCPF - June 30, 2010_Formatted accounts_AAAF_formatted_-_UFV_Reviewed" xfId="3061"/>
    <cellStyle name="_exposure compliance sector wise and entity wise 020110_Formatted accounts_AAAF_formatted_-_UFV_Reviewed" xfId="3062"/>
    <cellStyle name="_exposure compliance sector wise and entity wise 020110_MCPF investement 2010" xfId="2528"/>
    <cellStyle name="_exposure compliance sector wise and entity wise 020110_MCPF investement 2010_accounts AAAF formatted - UFV Reviewed" xfId="3063"/>
    <cellStyle name="_exposure compliance sector wise and entity wise 020110_MCPF investement 2010_Formatted accounts_AAAF_formatted_-_UFV_Reviewed" xfId="3064"/>
    <cellStyle name="_Extra disclosure - final" xfId="125"/>
    <cellStyle name="_Extra disclosure - final_~4456819" xfId="134"/>
    <cellStyle name="_Extra disclosure - final_~4456819_Copy of DCF Accounts V19 after client changes" xfId="119"/>
    <cellStyle name="_Extra disclosure - final_~4456819_Copy of UHF DAF- Final" xfId="127"/>
    <cellStyle name="_Extra disclosure - final_~4456819_Element dec 2010'asf" xfId="130"/>
    <cellStyle name="_Extra disclosure - final_Accounts DCF Dec 31,2008 Auditors - Changes" xfId="121"/>
    <cellStyle name="_Extra disclosure - final_Accounts DCF Dec 31,2008 Auditors - Changes_Copy of DCF Accounts V19 after client changes" xfId="118"/>
    <cellStyle name="_Extra disclosure - final_Accounts DCF Dec 31,2008 Auditors - Changes_Copy of UHF DAF- Final" xfId="135"/>
    <cellStyle name="_Extra disclosure - final_Accounts DCF Dec 31,2008 Auditors - Changes_Element dec 2010'asf" xfId="104"/>
    <cellStyle name="_Extra disclosure - final_Copy of DCF Accounts V19 after client changes" xfId="132"/>
    <cellStyle name="_Extra disclosure - final_DCF Accounts V22" xfId="140"/>
    <cellStyle name="_Extra disclosure - final_SMF_Accounts_after_KB_changes" xfId="137"/>
    <cellStyle name="_FINALIFRS-LOC Accounts -(30June09)" xfId="136"/>
    <cellStyle name="_FINALIFRS-LOC Accounts -(30June09) 2" xfId="105"/>
    <cellStyle name="_FINALIFRS-LOC Accounts -(30June09) 3" xfId="124"/>
    <cellStyle name="_FINALIFRS-LOC Accounts -(30June09)_5.2" xfId="3699"/>
    <cellStyle name="_FINALIFRS-LOC Accounts -(30June09)_Accounts 2009-NIUT NON LOC-after RAJ final-signed" xfId="139"/>
    <cellStyle name="_FINALIFRS-LOC Accounts -(30June09)_Accounts 2009-NIUT NON LOC-after RAJ final-signed 2" xfId="106"/>
    <cellStyle name="_FINALIFRS-LOC Accounts -(30June09)_Accounts 2009-NIUT NON LOC-after RAJ final-signed_Accounts(31Dec2010)-SEF(FINAL)" xfId="3700"/>
    <cellStyle name="_FINALIFRS-LOC Accounts -(30June09)_Accounts 2009-NIUT NON LOC-after RAJ final-signed_Accounts(31Dec2010)-SEF(for client)" xfId="3701"/>
    <cellStyle name="_FINALIFRS-LOC Accounts -(30June09)_Accounts 2009-NIUT NON LOC-after RAJ final-signed_Accounts(31Dec2010)-SEF(formated-final" xfId="3702"/>
    <cellStyle name="_FINALIFRS-LOC Accounts -(30June09)_Accounts 2009-NIUT NON LOC-after RAJ final-signed_Cash Flow " xfId="9"/>
    <cellStyle name="_FINALIFRS-LOC Accounts -(30June09)_Accounts 2009-NIUT NON LOC-after RAJ final-signed_Cash flow working" xfId="3703"/>
    <cellStyle name="_FINALIFRS-LOC Accounts -(30June09)_Accounts 2009-NIUT NON LOC-after RAJ final-signed_Distribution " xfId="10"/>
    <cellStyle name="_FINALIFRS-LOC Accounts -(30June09)_Accounts 2009-NIUT NON LOC-after RAJ final-signed_Income Statement" xfId="3704"/>
    <cellStyle name="_FINALIFRS-LOC Accounts -(30June09)_Accounts 2009-NIUT NON LOC-after RAJ final-signed_Sheet2" xfId="3705"/>
    <cellStyle name="_FINALIFRS-LOC Accounts -(30June09)_Accounts 2009-NIUT NON LOC-after RAJ final-signed_Statement of Financial Position" xfId="3555"/>
    <cellStyle name="_FINALIFRS-LOC Accounts -(30June09)_Cash Flow " xfId="11"/>
    <cellStyle name="_FINALIFRS-LOC Accounts -(30June09)_Cash flow working" xfId="5272"/>
    <cellStyle name="_FINALIFRS-LOC Accounts -(30June09)_Distribution " xfId="12"/>
    <cellStyle name="_FINALIFRS-LOC Accounts -(30June09)_For Print" xfId="107"/>
    <cellStyle name="_FINALIFRS-LOC Accounts -(30June09)_Income Statement" xfId="3556"/>
    <cellStyle name="_FINALIFRS-LOC Accounts -(30June09)_liability valuation - accounts disclosures" xfId="3706"/>
    <cellStyle name="_FINALIFRS-LOC Accounts -(30June09)_liability valuation - accounts disclosures 2" xfId="3707"/>
    <cellStyle name="_FINALIFRS-LOC Accounts -(30June09)_Notes 1-3" xfId="3708"/>
    <cellStyle name="_FINALIFRS-LOC Accounts -(30June09)_Sheet2" xfId="108"/>
    <cellStyle name="_FINALIFRS-LOC Accounts -(30June09)_Sheet2 2" xfId="3293"/>
    <cellStyle name="_FINALIFRS-LOC Accounts -(30June09)_Sheet2_1" xfId="3294"/>
    <cellStyle name="_FINALIFRS-LOC Accounts -(30June09)_Sheet2_5.2" xfId="3295"/>
    <cellStyle name="_FINALIFRS-LOC Accounts -(30June09)_Sheet2_Cash Flow " xfId="13"/>
    <cellStyle name="_FINALIFRS-LOC Accounts -(30June09)_Sheet2_Cash flow working" xfId="3296"/>
    <cellStyle name="_FINALIFRS-LOC Accounts -(30June09)_Sheet2_Distribution " xfId="14"/>
    <cellStyle name="_FINALIFRS-LOC Accounts -(30June09)_Sheet2_Income Statement" xfId="3297"/>
    <cellStyle name="_FINALIFRS-LOC Accounts -(30June09)_Sheet2_liability valuation - accounts disclosures" xfId="3298"/>
    <cellStyle name="_FINALIFRS-LOC Accounts -(30June09)_Sheet2_Notes 1-3" xfId="3299"/>
    <cellStyle name="_FINALIFRS-LOC Accounts -(30June09)_Sheet2_Sheet2" xfId="3557"/>
    <cellStyle name="_FINALIFRS-LOC Accounts -(30June09)_Sheet2_Statement of Financial Position" xfId="3709"/>
    <cellStyle name="_FINALIFRS-LOC Accounts -(30June09)_Sheet2_UHF" xfId="3710"/>
    <cellStyle name="_FINALIFRS-LOC Accounts -(30June09)_Statement of Financial Position" xfId="3300"/>
    <cellStyle name="_FINALIFRS-LOC Accounts -(30June09)_UHF" xfId="3301"/>
    <cellStyle name="_FINALIFRS-LOC Accounts -(30June09)_Xl0000000" xfId="109"/>
    <cellStyle name="_FINALIFRS-LOC Accounts -(30June09)_Xl0000000 2" xfId="3302"/>
    <cellStyle name="_FINALIFRS-LOC Accounts -(30June09)_Xl0000000_31 Dec Accounts 2009-NIUT" xfId="110"/>
    <cellStyle name="_FINALIFRS-LOC Accounts -(30June09)_Xl0000000_31 Dec Accounts 2009-NIUT after element" xfId="128"/>
    <cellStyle name="_FINALIFRS-LOC Accounts -(30June09)_Xl0000000_31 Dec Accounts 2009-NIUT b" xfId="133"/>
    <cellStyle name="_FINALIFRS-LOC Accounts -(30June09)_Xl0000000_5.2" xfId="5012"/>
    <cellStyle name="_FINALIFRS-LOC Accounts -(30June09)_Xl0000000_Accounts 2009-NIUT NON LOC-after RAJ final-signed" xfId="91"/>
    <cellStyle name="_FINALIFRS-LOC Accounts -(30June09)_Xl0000000_After annexure changes NB final" xfId="126"/>
    <cellStyle name="_FINALIFRS-LOC Accounts -(30June09)_Xl0000000_Cash Flow " xfId="15"/>
    <cellStyle name="_FINALIFRS-LOC Accounts -(30June09)_Xl0000000_Cash flow working" xfId="3711"/>
    <cellStyle name="_FINALIFRS-LOC Accounts -(30June09)_Xl0000000_Distribution " xfId="16"/>
    <cellStyle name="_FINALIFRS-LOC Accounts -(30June09)_Xl0000000_Final disclosure final" xfId="113"/>
    <cellStyle name="_FINALIFRS-LOC Accounts -(30June09)_Xl0000000_Income Statement" xfId="3558"/>
    <cellStyle name="_FINALIFRS-LOC Accounts -(30June09)_Xl0000000_Notes 1-3" xfId="3559"/>
    <cellStyle name="_FINALIFRS-LOC Accounts -(30June09)_Xl0000000_Sheet2" xfId="3560"/>
    <cellStyle name="_FINALIFRS-LOC Accounts -(30June09)_Xl0000000_Statement of Financial Position" xfId="5465"/>
    <cellStyle name="_FINALIFRS-LOC Accounts -(30June09)_Xl0000000_UHF" xfId="3561"/>
    <cellStyle name="_F-R - 2008" xfId="8520"/>
    <cellStyle name="_Group exposure compliance final 020110" xfId="2529"/>
    <cellStyle name="_Group exposure compliance final 020110_accounts AAAF formatted - UFV Reviewed" xfId="3065"/>
    <cellStyle name="_Group exposure compliance final 020110_Dividend income - MCPF - June 30, 2010" xfId="2530"/>
    <cellStyle name="_Group exposure compliance final 020110_Dividend income - MCPF - June 30, 2010_accounts AAAF formatted - UFV Reviewed" xfId="3066"/>
    <cellStyle name="_Group exposure compliance final 020110_Dividend income - MCPF - June 30, 2010_Formatted accounts_AAAF_formatted_-_UFV_Reviewed" xfId="3067"/>
    <cellStyle name="_Group exposure compliance final 020110_Formatted accounts_AAAF_formatted_-_UFV_Reviewed" xfId="3068"/>
    <cellStyle name="_Group exposure compliance final 020110_MCPF investement 2010" xfId="2531"/>
    <cellStyle name="_Group exposure compliance final 020110_MCPF investement 2010_accounts AAAF formatted - UFV Reviewed" xfId="3069"/>
    <cellStyle name="_Group exposure compliance final 020110_MCPF investement 2010_Formatted accounts_AAAF_formatted_-_UFV_Reviewed" xfId="3070"/>
    <cellStyle name="_inv top sheet" xfId="3562"/>
    <cellStyle name="_Investments" xfId="8521"/>
    <cellStyle name="_Investments_Bank 2009" xfId="8522"/>
    <cellStyle name="_Investments_revenue accrued income and surplus" xfId="8523"/>
    <cellStyle name="_Investments_ZAKAT DEDUCTIONS" xfId="8524"/>
    <cellStyle name="_investmnet HFT 2010" xfId="2532"/>
    <cellStyle name="_investmnet HFT 2010_Formatted accounts_AAAF_formatted_-_UFV_Reviewed" xfId="3071"/>
    <cellStyle name="_JS FOF Accounts 30-06-2009 with complete disclosures" xfId="8525"/>
    <cellStyle name="_MBF - average report" xfId="2533"/>
    <cellStyle name="_MBF - average report_accounts AAAF formatted - UFV Reviewed" xfId="3072"/>
    <cellStyle name="_MBF - average report_Dividend income - MCPF - June 30, 2010" xfId="2534"/>
    <cellStyle name="_MBF - average report_Dividend income - MCPF - June 30, 2010_accounts AAAF formatted - UFV Reviewed" xfId="3073"/>
    <cellStyle name="_MBF - average report_Dividend income - MCPF - June 30, 2010_Formatted accounts_AAAF_formatted_-_UFV_Reviewed" xfId="3074"/>
    <cellStyle name="_MBF - average report_Formatted accounts_AAAF_formatted_-_UFV_Reviewed" xfId="3075"/>
    <cellStyle name="_MBF - average report_MCPF investement 2010" xfId="2535"/>
    <cellStyle name="_MBF - average report_MCPF investement 2010_accounts AAAF formatted - UFV Reviewed" xfId="3076"/>
    <cellStyle name="_MBF - average report_MCPF investement 2010_Formatted accounts_AAAF_formatted_-_UFV_Reviewed" xfId="3077"/>
    <cellStyle name="_MCPF HFT" xfId="2536"/>
    <cellStyle name="_MCPF HFT_accounts AAAF formatted - UFV Reviewed" xfId="3078"/>
    <cellStyle name="_MCPF HFT_Formatted accounts_AAAF_formatted_-_UFV_Reviewed" xfId="3079"/>
    <cellStyle name="_MIF Investments 2010" xfId="2537"/>
    <cellStyle name="_MIF Investments 2010_Formatted accounts_AAAF_formatted_-_UFV_Reviewed" xfId="3080"/>
    <cellStyle name="_MIF TOTAL" xfId="2538"/>
    <cellStyle name="_MIF TOTAL_accounts AAAF formatted - UFV Reviewed" xfId="3081"/>
    <cellStyle name="_MIF TOTAL_Dividend income - MCPF - June 30, 2010" xfId="2539"/>
    <cellStyle name="_MIF TOTAL_Dividend income - MCPF - June 30, 2010_accounts AAAF formatted - UFV Reviewed" xfId="3082"/>
    <cellStyle name="_MIF TOTAL_Dividend income - MCPF - June 30, 2010_Formatted accounts_AAAF_formatted_-_UFV_Reviewed" xfId="3083"/>
    <cellStyle name="_MIF TOTAL_Formatted accounts_AAAF_formatted_-_UFV_Reviewed" xfId="3084"/>
    <cellStyle name="_MIF TOTAL_MCPF investement 2010" xfId="2540"/>
    <cellStyle name="_MIF TOTAL_MCPF investement 2010_accounts AAAF formatted - UFV Reviewed" xfId="3085"/>
    <cellStyle name="_MIF TOTAL_MCPF investement 2010_Formatted accounts_AAAF_formatted_-_UFV_Reviewed" xfId="3086"/>
    <cellStyle name="_moving average HFT" xfId="2541"/>
    <cellStyle name="_moving average HFT_accounts AAAF formatted - UFV Reviewed" xfId="3087"/>
    <cellStyle name="_moving average HFT_Dividend income - MCPF - June 30, 2010" xfId="2542"/>
    <cellStyle name="_moving average HFT_Dividend income - MCPF - June 30, 2010_accounts AAAF formatted - UFV Reviewed" xfId="3088"/>
    <cellStyle name="_moving average HFT_Dividend income - MCPF - June 30, 2010_Formatted accounts_AAAF_formatted_-_UFV_Reviewed" xfId="3089"/>
    <cellStyle name="_moving average HFT_Formatted accounts_AAAF_formatted_-_UFV_Reviewed" xfId="3090"/>
    <cellStyle name="_moving average HFT_MCPF investement 2010" xfId="2543"/>
    <cellStyle name="_moving average HFT_MCPF investement 2010_accounts AAAF formatted - UFV Reviewed" xfId="3091"/>
    <cellStyle name="_moving average HFT_MCPF investement 2010_Formatted accounts_AAAF_formatted_-_UFV_Reviewed" xfId="3092"/>
    <cellStyle name="_nisha unrealised gain" xfId="2544"/>
    <cellStyle name="_nisha unrealised gain_accounts AAAF formatted - UFV Reviewed" xfId="3093"/>
    <cellStyle name="_nisha unrealised gain_Capital Gain - MCPF 2010" xfId="2545"/>
    <cellStyle name="_nisha unrealised gain_Capital Gain - MCPF 2010_accounts AAAF formatted - UFV Reviewed" xfId="3094"/>
    <cellStyle name="_nisha unrealised gain_Capital Gain - MCPF 2010_Formatted accounts_AAAF_formatted_-_UFV_Reviewed" xfId="3095"/>
    <cellStyle name="_nisha unrealised gain_Formatted accounts_AAAF_formatted_-_UFV_Reviewed" xfId="3096"/>
    <cellStyle name="_non managment Gratuity" xfId="8526"/>
    <cellStyle name="_non managment Gratuity_Bank 2009" xfId="8527"/>
    <cellStyle name="_non managment Gratuity_revenue accrued income and surplus" xfId="8528"/>
    <cellStyle name="_non managment Gratuity_ZAKAT DEDUCTIONS" xfId="8529"/>
    <cellStyle name="_PF ACCOUNT Jan to Dec 05 (17-04-2006)" xfId="8530"/>
    <cellStyle name="_PF ACCOUNT Jan to Dec 05 (17-04-2006)_Accounts 2008" xfId="8531"/>
    <cellStyle name="_PF ACCOUNT Jan to Dec 05 (17-04-2006)_Bank 2009" xfId="8532"/>
    <cellStyle name="_PF ACCOUNT Jan to Dec 05 (17-04-2006)_members account" xfId="8533"/>
    <cellStyle name="_PF ACCOUNT Jan to Dec 05 (17-04-2006)_ZAKAT DEDUCTIONS" xfId="8534"/>
    <cellStyle name="_PF ACCOUNT Jan to Dec 05 (17-04-2006)_ZAKAT DEDUCTIONS_Investments" xfId="8535"/>
    <cellStyle name="_PGF june 2008" xfId="141"/>
    <cellStyle name="_realised gain on sale of investment" xfId="2546"/>
    <cellStyle name="_realised gain on sale of investment_accounts AAAF formatted - UFV Reviewed" xfId="3097"/>
    <cellStyle name="_realised gain on sale of investment_Capital Gain - MCPF 2010" xfId="2547"/>
    <cellStyle name="_realised gain on sale of investment_Capital Gain - MCPF 2010_accounts AAAF formatted - UFV Reviewed" xfId="3098"/>
    <cellStyle name="_realised gain on sale of investment_Capital Gain - MCPF 2010_Formatted accounts_AAAF_formatted_-_UFV_Reviewed" xfId="3099"/>
    <cellStyle name="_realised gain on sale of investment_Formatted accounts_AAAF_formatted_-_UFV_Reviewed" xfId="3100"/>
    <cellStyle name="_SAP Break ups for Dec 2008" xfId="114"/>
    <cellStyle name="_Sheet1 (2)" xfId="2548"/>
    <cellStyle name="_Sheet1 (2) 2" xfId="8536"/>
    <cellStyle name="_Sheet1 (2)_format of accounts" xfId="8537"/>
    <cellStyle name="_Sheet1 (2)_format of accounts 2" xfId="8538"/>
    <cellStyle name="_Sheet1 (2)_Formatted accounts_AAAF_formatted_-_UFV_Reviewed" xfId="3101"/>
    <cellStyle name="_Sheet1 (2)_Income" xfId="3102"/>
    <cellStyle name="_Sheet1 (2)_Income_Formatted accounts_AAAF_formatted_-_UFV_Reviewed" xfId="3103"/>
    <cellStyle name="_Technology MI September v2NB" xfId="116"/>
    <cellStyle name="_Technology MI September v2NB 2" xfId="3712"/>
    <cellStyle name="_Technology MI September v2NB_5.2" xfId="5273"/>
    <cellStyle name="_Technology MI September v2NB_Accounts (PCF)" xfId="117"/>
    <cellStyle name="_Technology MI September v2NB_Cash Flow " xfId="17"/>
    <cellStyle name="_Technology MI September v2NB_Cash flow working" xfId="3713"/>
    <cellStyle name="_Technology MI September v2NB_disclosure investment emof" xfId="142"/>
    <cellStyle name="_Technology MI September v2NB_Distribution " xfId="18"/>
    <cellStyle name="_Technology MI September v2NB_Final_Accounts_2009" xfId="143"/>
    <cellStyle name="_Technology MI September v2NB_Final_Accounts_2009_Accounts June 30, 2012 IF - 2nd Draft" xfId="144"/>
    <cellStyle name="_Technology MI September v2NB_Formatted accounts_AAAF_formatted_-_UFV_Reviewed" xfId="3104"/>
    <cellStyle name="_Technology MI September v2NB_Income Statement" xfId="3714"/>
    <cellStyle name="_Technology MI September v2NB_Income-Statement" xfId="145"/>
    <cellStyle name="_Technology MI September v2NB_Income-Statement_Accounts June 30, 2012 IF - 2nd Draft" xfId="146"/>
    <cellStyle name="_Technology MI September v2NB_Movement in UHF" xfId="147"/>
    <cellStyle name="_Technology MI September v2NB_Movement in UHF_Accounts June 30, 2012 IF - 2nd Draft" xfId="148"/>
    <cellStyle name="_Technology MI September v2NB_NIT-EMOF SEP Accounts 2009" xfId="149"/>
    <cellStyle name="_Technology MI September v2NB_NIUT LOC Sensitivity Analysis latest" xfId="150"/>
    <cellStyle name="_Technology MI September v2NB_Note 11-20" xfId="151"/>
    <cellStyle name="_Technology MI September v2NB_Note 11-20_Accounts June 30, 2012 IF - 2nd Draft" xfId="152"/>
    <cellStyle name="_Technology MI September v2NB_Notes 1-3" xfId="5014"/>
    <cellStyle name="_Technology MI September v2NB_Sales &amp; Redemption summary" xfId="153"/>
    <cellStyle name="_Technology MI September v2NB_Sheet2" xfId="3715"/>
    <cellStyle name="_Technology MI September v2NB_Statement" xfId="154"/>
    <cellStyle name="_Technology MI September v2NB_Statement of Financial Position" xfId="3716"/>
    <cellStyle name="_Technology MI September v2NB_Statement_Accounts June 30, 2012 IF - 2nd Draft" xfId="155"/>
    <cellStyle name="_Technology MI September v2NB_UHF" xfId="3717"/>
    <cellStyle name="_verfication purchases and sales" xfId="2549"/>
    <cellStyle name="_verfication purchases and sales_Formatted accounts_AAAF_formatted_-_UFV_Reviewed" xfId="3105"/>
    <cellStyle name="£ BP" xfId="156"/>
    <cellStyle name="£ BP 2" xfId="157"/>
    <cellStyle name="£ BP 2 2" xfId="158"/>
    <cellStyle name="£ BP 2 2 2" xfId="8539"/>
    <cellStyle name="£ BP 2 3" xfId="8540"/>
    <cellStyle name="£ BP 2 4" xfId="8541"/>
    <cellStyle name="£ BP 3" xfId="159"/>
    <cellStyle name="£ BP 3 2" xfId="2931"/>
    <cellStyle name="£ BP 4" xfId="160"/>
    <cellStyle name="£ BP 4 2" xfId="8542"/>
    <cellStyle name="£ BP_CDC RECON AND MARK TO MARKET" xfId="2550"/>
    <cellStyle name="¥ JY" xfId="161"/>
    <cellStyle name="¥ JY 2" xfId="162"/>
    <cellStyle name="¥ JY 2 2" xfId="163"/>
    <cellStyle name="¥ JY 2 2 2" xfId="8543"/>
    <cellStyle name="¥ JY 2 3" xfId="8544"/>
    <cellStyle name="¥ JY 2 4" xfId="8545"/>
    <cellStyle name="¥ JY 3" xfId="164"/>
    <cellStyle name="¥ JY 3 2" xfId="2932"/>
    <cellStyle name="¥ JY 4" xfId="165"/>
    <cellStyle name="¥ JY 4 2" xfId="8546"/>
    <cellStyle name="¥ JY_CDC RECON AND MARK TO MARKET" xfId="2551"/>
    <cellStyle name="=C:\WINNT\SYSTEM32\COMMAND.COM" xfId="44"/>
    <cellStyle name="=C:\WINNT\SYSTEM32\COMMAND.COM 10" xfId="2395"/>
    <cellStyle name="=C:\WINNT\SYSTEM32\COMMAND.COM 10 2" xfId="5015"/>
    <cellStyle name="=C:\WINNT\SYSTEM32\COMMAND.COM 11" xfId="2396"/>
    <cellStyle name="=C:\WINNT\SYSTEM32\COMMAND.COM 11 2" xfId="3718"/>
    <cellStyle name="=C:\WINNT\SYSTEM32\COMMAND.COM 12" xfId="2397"/>
    <cellStyle name="=C:\WINNT\SYSTEM32\COMMAND.COM 12 2" xfId="3719"/>
    <cellStyle name="=C:\WINNT\SYSTEM32\COMMAND.COM 13" xfId="2398"/>
    <cellStyle name="=C:\WINNT\SYSTEM32\COMMAND.COM 13 2" xfId="3720"/>
    <cellStyle name="=C:\WINNT\SYSTEM32\COMMAND.COM 14" xfId="2399"/>
    <cellStyle name="=C:\WINNT\SYSTEM32\COMMAND.COM 14 2" xfId="3721"/>
    <cellStyle name="=C:\WINNT\SYSTEM32\COMMAND.COM 15" xfId="2400"/>
    <cellStyle name="=C:\WINNT\SYSTEM32\COMMAND.COM 15 2" xfId="3722"/>
    <cellStyle name="=C:\WINNT\SYSTEM32\COMMAND.COM 16" xfId="2401"/>
    <cellStyle name="=C:\WINNT\SYSTEM32\COMMAND.COM 16 2" xfId="5016"/>
    <cellStyle name="=C:\WINNT\SYSTEM32\COMMAND.COM 17" xfId="2402"/>
    <cellStyle name="=C:\WINNT\SYSTEM32\COMMAND.COM 17 2" xfId="3723"/>
    <cellStyle name="=C:\WINNT\SYSTEM32\COMMAND.COM 18" xfId="2403"/>
    <cellStyle name="=C:\WINNT\SYSTEM32\COMMAND.COM 18 2" xfId="3724"/>
    <cellStyle name="=C:\WINNT\SYSTEM32\COMMAND.COM 19" xfId="2404"/>
    <cellStyle name="=C:\WINNT\SYSTEM32\COMMAND.COM 19 2" xfId="3725"/>
    <cellStyle name="=C:\WINNT\SYSTEM32\COMMAND.COM 2" xfId="167"/>
    <cellStyle name="=C:\WINNT\SYSTEM32\COMMAND.COM 2 10" xfId="168"/>
    <cellStyle name="=C:\WINNT\SYSTEM32\COMMAND.COM 2 2" xfId="39"/>
    <cellStyle name="=C:\WINNT\SYSTEM32\COMMAND.COM 2 2 2" xfId="76"/>
    <cellStyle name="=C:\WINNT\SYSTEM32\COMMAND.COM 2 2 2 2" xfId="40393"/>
    <cellStyle name="=C:\WINNT\SYSTEM32\COMMAND.COM 2 2 25" xfId="170"/>
    <cellStyle name="=C:\WINNT\SYSTEM32\COMMAND.COM 2 27" xfId="171"/>
    <cellStyle name="=C:\WINNT\SYSTEM32\COMMAND.COM 2 3" xfId="3726"/>
    <cellStyle name="=C:\WINNT\SYSTEM32\COMMAND.COM 2 4" xfId="172"/>
    <cellStyle name="=C:\WINNT\SYSTEM32\COMMAND.COM 2_UCIF  Accounts- Final  - (formated)" xfId="8547"/>
    <cellStyle name="=C:\WINNT\SYSTEM32\COMMAND.COM 20" xfId="2405"/>
    <cellStyle name="=C:\WINNT\SYSTEM32\COMMAND.COM 20 2" xfId="3727"/>
    <cellStyle name="=C:\WINNT\SYSTEM32\COMMAND.COM 20 3" xfId="4866"/>
    <cellStyle name="=C:\WINNT\SYSTEM32\COMMAND.COM 21" xfId="3728"/>
    <cellStyle name="=C:\WINNT\SYSTEM32\COMMAND.COM 21 2" xfId="8548"/>
    <cellStyle name="=C:\WINNT\SYSTEM32\COMMAND.COM 22" xfId="3729"/>
    <cellStyle name="=C:\WINNT\SYSTEM32\COMMAND.COM 22 2" xfId="8549"/>
    <cellStyle name="=C:\WINNT\SYSTEM32\COMMAND.COM 23" xfId="5269"/>
    <cellStyle name="=C:\WINNT\SYSTEM32\COMMAND.COM 23 2" xfId="8550"/>
    <cellStyle name="=C:\WINNT\SYSTEM32\COMMAND.COM 24" xfId="3730"/>
    <cellStyle name="=C:\WINNT\SYSTEM32\COMMAND.COM 24 2" xfId="8551"/>
    <cellStyle name="=C:\WINNT\SYSTEM32\COMMAND.COM 25" xfId="3731"/>
    <cellStyle name="=C:\WINNT\SYSTEM32\COMMAND.COM 25 2" xfId="8552"/>
    <cellStyle name="=C:\WINNT\SYSTEM32\COMMAND.COM 26" xfId="3732"/>
    <cellStyle name="=C:\WINNT\SYSTEM32\COMMAND.COM 26 2" xfId="8553"/>
    <cellStyle name="=C:\WINNT\SYSTEM32\COMMAND.COM 27" xfId="5326"/>
    <cellStyle name="=C:\WINNT\SYSTEM32\COMMAND.COM 27 2" xfId="8554"/>
    <cellStyle name="=C:\WINNT\SYSTEM32\COMMAND.COM 28" xfId="3733"/>
    <cellStyle name="=C:\WINNT\SYSTEM32\COMMAND.COM 29" xfId="5406"/>
    <cellStyle name="=C:\WINNT\SYSTEM32\COMMAND.COM 3" xfId="173"/>
    <cellStyle name="=C:\WINNT\SYSTEM32\COMMAND.COM 3 2" xfId="174"/>
    <cellStyle name="=C:\WINNT\SYSTEM32\COMMAND.COM 3 2 2" xfId="175"/>
    <cellStyle name="=C:\WINNT\SYSTEM32\COMMAND.COM 3 2 3" xfId="176"/>
    <cellStyle name="=C:\WINNT\SYSTEM32\COMMAND.COM 3 2 4" xfId="3734"/>
    <cellStyle name="=C:\WINNT\SYSTEM32\COMMAND.COM 3 3" xfId="45"/>
    <cellStyle name="=C:\WINNT\SYSTEM32\COMMAND.COM 3 3 2" xfId="3735"/>
    <cellStyle name="=C:\WINNT\SYSTEM32\COMMAND.COM 3 4" xfId="177"/>
    <cellStyle name="=C:\WINNT\SYSTEM32\COMMAND.COM 3 4 2" xfId="3736"/>
    <cellStyle name="=C:\WINNT\SYSTEM32\COMMAND.COM 3 5" xfId="178"/>
    <cellStyle name="=C:\WINNT\SYSTEM32\COMMAND.COM 30" xfId="179"/>
    <cellStyle name="=C:\WINNT\SYSTEM32\COMMAND.COM 30 2" xfId="3737"/>
    <cellStyle name="=C:\WINNT\SYSTEM32\COMMAND.COM 31" xfId="40419"/>
    <cellStyle name="=C:\WINNT\SYSTEM32\COMMAND.COM 4" xfId="180"/>
    <cellStyle name="=C:\WINNT\SYSTEM32\COMMAND.COM 4 2" xfId="181"/>
    <cellStyle name="=C:\WINNT\SYSTEM32\COMMAND.COM 4 2 2" xfId="5275"/>
    <cellStyle name="=C:\WINNT\SYSTEM32\COMMAND.COM 4 3" xfId="2406"/>
    <cellStyle name="=C:\WINNT\SYSTEM32\COMMAND.COM 4 3 2" xfId="3738"/>
    <cellStyle name="=C:\WINNT\SYSTEM32\COMMAND.COM 4 4" xfId="3739"/>
    <cellStyle name="=C:\WINNT\SYSTEM32\COMMAND.COM 5" xfId="182"/>
    <cellStyle name="=C:\WINNT\SYSTEM32\COMMAND.COM 5 2" xfId="183"/>
    <cellStyle name="=C:\WINNT\SYSTEM32\COMMAND.COM 5 3" xfId="2407"/>
    <cellStyle name="=C:\WINNT\SYSTEM32\COMMAND.COM 6" xfId="2408"/>
    <cellStyle name="=C:\WINNT\SYSTEM32\COMMAND.COM 6 2" xfId="3740"/>
    <cellStyle name="=C:\WINNT\SYSTEM32\COMMAND.COM 7" xfId="2409"/>
    <cellStyle name="=C:\WINNT\SYSTEM32\COMMAND.COM 7 2" xfId="3741"/>
    <cellStyle name="=C:\WINNT\SYSTEM32\COMMAND.COM 8" xfId="2410"/>
    <cellStyle name="=C:\WINNT\SYSTEM32\COMMAND.COM 8 2" xfId="3742"/>
    <cellStyle name="=C:\WINNT\SYSTEM32\COMMAND.COM 9" xfId="2411"/>
    <cellStyle name="=C:\WINNT\SYSTEM32\COMMAND.COM 9 2" xfId="3743"/>
    <cellStyle name="=C:\WINNT\SYSTEM32\COMMAND.COM_1-5.1" xfId="184"/>
    <cellStyle name="=C:\WINNT\SYSTEM32\COMMAND.COM_IGI IIF interim 2009 Accounts (Final)" xfId="40392"/>
    <cellStyle name="=C:\WINNT35\SYSTEM32\COMMAND.COM" xfId="185"/>
    <cellStyle name="1" xfId="2552"/>
    <cellStyle name="1_&lt;AA-3&gt;" xfId="2553"/>
    <cellStyle name="1_AA" xfId="2554"/>
    <cellStyle name="1_AA-SA" xfId="2555"/>
    <cellStyle name="1_Investments00" xfId="2556"/>
    <cellStyle name="1_TDR" xfId="2557"/>
    <cellStyle name="1_top sheet investment" xfId="5276"/>
    <cellStyle name="10" xfId="186"/>
    <cellStyle name="20% - 1. jelölőszín" xfId="40323"/>
    <cellStyle name="20% - 2. jelölőszín" xfId="40324"/>
    <cellStyle name="20% - 3. jelölőszín" xfId="40325"/>
    <cellStyle name="20% - 4. jelölőszín" xfId="40326"/>
    <cellStyle name="20% - 5. jelölőszín" xfId="40327"/>
    <cellStyle name="20% - 6. jelölőszín" xfId="40328"/>
    <cellStyle name="20% - Accent1 10" xfId="3744"/>
    <cellStyle name="20% - Accent1 10 2" xfId="3745"/>
    <cellStyle name="20% - Accent1 11" xfId="3746"/>
    <cellStyle name="20% - Accent1 11 2" xfId="3303"/>
    <cellStyle name="20% - Accent1 12" xfId="3747"/>
    <cellStyle name="20% - Accent1 12 2" xfId="3748"/>
    <cellStyle name="20% - Accent1 13" xfId="5277"/>
    <cellStyle name="20% - Accent1 13 2" xfId="3749"/>
    <cellStyle name="20% - Accent1 14" xfId="3750"/>
    <cellStyle name="20% - Accent1 14 2" xfId="5017"/>
    <cellStyle name="20% - Accent1 15" xfId="3751"/>
    <cellStyle name="20% - Accent1 15 2" xfId="5278"/>
    <cellStyle name="20% - Accent1 16" xfId="5018"/>
    <cellStyle name="20% - Accent1 16 2" xfId="3752"/>
    <cellStyle name="20% - Accent1 17" xfId="5279"/>
    <cellStyle name="20% - Accent1 17 2" xfId="3753"/>
    <cellStyle name="20% - Accent1 18" xfId="3754"/>
    <cellStyle name="20% - Accent1 18 2" xfId="8555"/>
    <cellStyle name="20% - Accent1 19" xfId="5407"/>
    <cellStyle name="20% - Accent1 2" xfId="188"/>
    <cellStyle name="20% - Accent1 2 2" xfId="189"/>
    <cellStyle name="20% - Accent1 2 3" xfId="4947"/>
    <cellStyle name="20% - Accent1 2 4" xfId="8556"/>
    <cellStyle name="20% - Accent1 2_5.2" xfId="3755"/>
    <cellStyle name="20% - Accent1 20" xfId="3756"/>
    <cellStyle name="20% - Accent1 21" xfId="1851"/>
    <cellStyle name="20% - Accent1 22" xfId="3757"/>
    <cellStyle name="20% - Accent1 23" xfId="3758"/>
    <cellStyle name="20% - Accent1 24" xfId="3204"/>
    <cellStyle name="20% - Accent1 25" xfId="3759"/>
    <cellStyle name="20% - Accent1 26" xfId="5019"/>
    <cellStyle name="20% - Accent1 27" xfId="1488"/>
    <cellStyle name="20% - Accent1 28" xfId="3760"/>
    <cellStyle name="20% - Accent1 29" xfId="3761"/>
    <cellStyle name="20% - Accent1 3" xfId="190"/>
    <cellStyle name="20% - Accent1 3 2" xfId="5350"/>
    <cellStyle name="20% - Accent1 3_5.2" xfId="5444"/>
    <cellStyle name="20% - Accent1 30" xfId="3762"/>
    <cellStyle name="20% - Accent1 4" xfId="191"/>
    <cellStyle name="20% - Accent1 4 2" xfId="3763"/>
    <cellStyle name="20% - Accent1 5" xfId="192"/>
    <cellStyle name="20% - Accent1 5 2" xfId="5020"/>
    <cellStyle name="20% - Accent1 5 3" xfId="8557"/>
    <cellStyle name="20% - Accent1 6" xfId="193"/>
    <cellStyle name="20% - Accent1 6 2" xfId="194"/>
    <cellStyle name="20% - Accent1 6 2 2" xfId="3764"/>
    <cellStyle name="20% - Accent1 6 3" xfId="195"/>
    <cellStyle name="20% - Accent1 6 3 2" xfId="7899"/>
    <cellStyle name="20% - Accent1 6 4" xfId="5351"/>
    <cellStyle name="20% - Accent1 6 5" xfId="7898"/>
    <cellStyle name="20% - Accent1 7" xfId="196"/>
    <cellStyle name="20% - Accent1 7 2" xfId="197"/>
    <cellStyle name="20% - Accent1 7 2 2" xfId="5305"/>
    <cellStyle name="20% - Accent1 7 2 3" xfId="7901"/>
    <cellStyle name="20% - Accent1 7 3" xfId="3765"/>
    <cellStyle name="20% - Accent1 7 4" xfId="7900"/>
    <cellStyle name="20% - Accent1 8" xfId="198"/>
    <cellStyle name="20% - Accent1 8 2" xfId="5352"/>
    <cellStyle name="20% - Accent1 8 3" xfId="3304"/>
    <cellStyle name="20% - Accent1 9" xfId="187"/>
    <cellStyle name="20% - Accent1 9 2" xfId="3767"/>
    <cellStyle name="20% - Accent1 9 3" xfId="3766"/>
    <cellStyle name="20% - Accent2 10" xfId="5021"/>
    <cellStyle name="20% - Accent2 10 2" xfId="3768"/>
    <cellStyle name="20% - Accent2 11" xfId="5440"/>
    <cellStyle name="20% - Accent2 11 2" xfId="3769"/>
    <cellStyle name="20% - Accent2 12" xfId="3770"/>
    <cellStyle name="20% - Accent2 12 2" xfId="5454"/>
    <cellStyle name="20% - Accent2 13" xfId="3771"/>
    <cellStyle name="20% - Accent2 13 2" xfId="3772"/>
    <cellStyle name="20% - Accent2 14" xfId="5022"/>
    <cellStyle name="20% - Accent2 14 2" xfId="3773"/>
    <cellStyle name="20% - Accent2 15" xfId="3774"/>
    <cellStyle name="20% - Accent2 15 2" xfId="5263"/>
    <cellStyle name="20% - Accent2 16" xfId="3775"/>
    <cellStyle name="20% - Accent2 16 2" xfId="3776"/>
    <cellStyle name="20% - Accent2 17" xfId="5023"/>
    <cellStyle name="20% - Accent2 17 2" xfId="3777"/>
    <cellStyle name="20% - Accent2 18" xfId="3778"/>
    <cellStyle name="20% - Accent2 18 2" xfId="8558"/>
    <cellStyle name="20% - Accent2 19" xfId="3779"/>
    <cellStyle name="20% - Accent2 2" xfId="200"/>
    <cellStyle name="20% - Accent2 2 2" xfId="201"/>
    <cellStyle name="20% - Accent2 2 3" xfId="3780"/>
    <cellStyle name="20% - Accent2 2 4" xfId="8559"/>
    <cellStyle name="20% - Accent2 2_5.2" xfId="4868"/>
    <cellStyle name="20% - Accent2 20" xfId="3781"/>
    <cellStyle name="20% - Accent2 21" xfId="3782"/>
    <cellStyle name="20% - Accent2 22" xfId="5281"/>
    <cellStyle name="20% - Accent2 23" xfId="3783"/>
    <cellStyle name="20% - Accent2 24" xfId="3784"/>
    <cellStyle name="20% - Accent2 25" xfId="4869"/>
    <cellStyle name="20% - Accent2 26" xfId="3785"/>
    <cellStyle name="20% - Accent2 27" xfId="3786"/>
    <cellStyle name="20% - Accent2 28" xfId="3787"/>
    <cellStyle name="20% - Accent2 29" xfId="5282"/>
    <cellStyle name="20% - Accent2 3" xfId="202"/>
    <cellStyle name="20% - Accent2 3 2" xfId="5408"/>
    <cellStyle name="20% - Accent2 3_5.2" xfId="3788"/>
    <cellStyle name="20% - Accent2 30" xfId="5280"/>
    <cellStyle name="20% - Accent2 4" xfId="203"/>
    <cellStyle name="20% - Accent2 4 2" xfId="4867"/>
    <cellStyle name="20% - Accent2 5" xfId="204"/>
    <cellStyle name="20% - Accent2 5 2" xfId="3789"/>
    <cellStyle name="20% - Accent2 5 3" xfId="8560"/>
    <cellStyle name="20% - Accent2 6" xfId="205"/>
    <cellStyle name="20% - Accent2 6 2" xfId="206"/>
    <cellStyle name="20% - Accent2 6 2 2" xfId="3207"/>
    <cellStyle name="20% - Accent2 6 3" xfId="207"/>
    <cellStyle name="20% - Accent2 6 3 2" xfId="7903"/>
    <cellStyle name="20% - Accent2 6 4" xfId="3790"/>
    <cellStyle name="20% - Accent2 6 5" xfId="7902"/>
    <cellStyle name="20% - Accent2 7" xfId="208"/>
    <cellStyle name="20% - Accent2 7 2" xfId="209"/>
    <cellStyle name="20% - Accent2 7 2 2" xfId="3791"/>
    <cellStyle name="20% - Accent2 7 2 3" xfId="7905"/>
    <cellStyle name="20% - Accent2 7 3" xfId="4870"/>
    <cellStyle name="20% - Accent2 7 4" xfId="7904"/>
    <cellStyle name="20% - Accent2 8" xfId="210"/>
    <cellStyle name="20% - Accent2 8 2" xfId="5274"/>
    <cellStyle name="20% - Accent2 8 3" xfId="3792"/>
    <cellStyle name="20% - Accent2 9" xfId="199"/>
    <cellStyle name="20% - Accent2 9 2" xfId="3794"/>
    <cellStyle name="20% - Accent2 9 3" xfId="3793"/>
    <cellStyle name="20% - Accent3 10" xfId="3795"/>
    <cellStyle name="20% - Accent3 10 2" xfId="3796"/>
    <cellStyle name="20% - Accent3 11" xfId="3797"/>
    <cellStyle name="20% - Accent3 11 2" xfId="3798"/>
    <cellStyle name="20% - Accent3 12" xfId="3799"/>
    <cellStyle name="20% - Accent3 12 2" xfId="3800"/>
    <cellStyle name="20% - Accent3 13" xfId="5449"/>
    <cellStyle name="20% - Accent3 13 2" xfId="3801"/>
    <cellStyle name="20% - Accent3 14" xfId="3802"/>
    <cellStyle name="20% - Accent3 14 2" xfId="3803"/>
    <cellStyle name="20% - Accent3 15" xfId="3804"/>
    <cellStyle name="20% - Accent3 15 2" xfId="3805"/>
    <cellStyle name="20% - Accent3 16" xfId="3806"/>
    <cellStyle name="20% - Accent3 16 2" xfId="5024"/>
    <cellStyle name="20% - Accent3 17" xfId="3807"/>
    <cellStyle name="20% - Accent3 17 2" xfId="3808"/>
    <cellStyle name="20% - Accent3 18" xfId="5270"/>
    <cellStyle name="20% - Accent3 18 2" xfId="8561"/>
    <cellStyle name="20% - Accent3 19" xfId="3809"/>
    <cellStyle name="20% - Accent3 2" xfId="212"/>
    <cellStyle name="20% - Accent3 2 2" xfId="213"/>
    <cellStyle name="20% - Accent3 2 3" xfId="3810"/>
    <cellStyle name="20% - Accent3 2 4" xfId="8562"/>
    <cellStyle name="20% - Accent3 2_5.2" xfId="3811"/>
    <cellStyle name="20% - Accent3 20" xfId="5284"/>
    <cellStyle name="20% - Accent3 21" xfId="3812"/>
    <cellStyle name="20% - Accent3 22" xfId="3813"/>
    <cellStyle name="20% - Accent3 23" xfId="3305"/>
    <cellStyle name="20% - Accent3 24" xfId="3814"/>
    <cellStyle name="20% - Accent3 25" xfId="3815"/>
    <cellStyle name="20% - Accent3 26" xfId="1474"/>
    <cellStyle name="20% - Accent3 27" xfId="5285"/>
    <cellStyle name="20% - Accent3 28" xfId="3816"/>
    <cellStyle name="20% - Accent3 29" xfId="3817"/>
    <cellStyle name="20% - Accent3 3" xfId="214"/>
    <cellStyle name="20% - Accent3 3 2" xfId="5286"/>
    <cellStyle name="20% - Accent3 3_5.2" xfId="3818"/>
    <cellStyle name="20% - Accent3 30" xfId="5287"/>
    <cellStyle name="20% - Accent3 4" xfId="215"/>
    <cellStyle name="20% - Accent3 4 2" xfId="5283"/>
    <cellStyle name="20% - Accent3 5" xfId="216"/>
    <cellStyle name="20% - Accent3 5 2" xfId="4871"/>
    <cellStyle name="20% - Accent3 5 3" xfId="8563"/>
    <cellStyle name="20% - Accent3 6" xfId="217"/>
    <cellStyle name="20% - Accent3 6 2" xfId="218"/>
    <cellStyle name="20% - Accent3 6 2 2" xfId="3820"/>
    <cellStyle name="20% - Accent3 6 3" xfId="219"/>
    <cellStyle name="20% - Accent3 6 3 2" xfId="7907"/>
    <cellStyle name="20% - Accent3 6 4" xfId="3819"/>
    <cellStyle name="20% - Accent3 6 5" xfId="7906"/>
    <cellStyle name="20% - Accent3 7" xfId="220"/>
    <cellStyle name="20% - Accent3 7 2" xfId="221"/>
    <cellStyle name="20% - Accent3 7 2 2" xfId="3822"/>
    <cellStyle name="20% - Accent3 7 2 3" xfId="7909"/>
    <cellStyle name="20% - Accent3 7 3" xfId="3821"/>
    <cellStyle name="20% - Accent3 7 4" xfId="7908"/>
    <cellStyle name="20% - Accent3 8" xfId="222"/>
    <cellStyle name="20% - Accent3 8 2" xfId="3823"/>
    <cellStyle name="20% - Accent3 8 3" xfId="5025"/>
    <cellStyle name="20% - Accent3 9" xfId="211"/>
    <cellStyle name="20% - Accent3 9 2" xfId="5026"/>
    <cellStyle name="20% - Accent3 9 3" xfId="3824"/>
    <cellStyle name="20% - Accent4 10" xfId="3825"/>
    <cellStyle name="20% - Accent4 10 2" xfId="3826"/>
    <cellStyle name="20% - Accent4 11" xfId="5304"/>
    <cellStyle name="20% - Accent4 11 2" xfId="3827"/>
    <cellStyle name="20% - Accent4 12" xfId="5027"/>
    <cellStyle name="20% - Accent4 12 2" xfId="3828"/>
    <cellStyle name="20% - Accent4 13" xfId="3829"/>
    <cellStyle name="20% - Accent4 13 2" xfId="5028"/>
    <cellStyle name="20% - Accent4 14" xfId="3830"/>
    <cellStyle name="20% - Accent4 14 2" xfId="3831"/>
    <cellStyle name="20% - Accent4 15" xfId="3832"/>
    <cellStyle name="20% - Accent4 15 2" xfId="3833"/>
    <cellStyle name="20% - Accent4 16" xfId="5029"/>
    <cellStyle name="20% - Accent4 16 2" xfId="3834"/>
    <cellStyle name="20% - Accent4 17" xfId="5030"/>
    <cellStyle name="20% - Accent4 17 2" xfId="3835"/>
    <cellStyle name="20% - Accent4 18" xfId="3836"/>
    <cellStyle name="20% - Accent4 18 2" xfId="8564"/>
    <cellStyle name="20% - Accent4 19" xfId="3837"/>
    <cellStyle name="20% - Accent4 2" xfId="224"/>
    <cellStyle name="20% - Accent4 2 2" xfId="225"/>
    <cellStyle name="20% - Accent4 2 3" xfId="3838"/>
    <cellStyle name="20% - Accent4 2 4" xfId="8565"/>
    <cellStyle name="20% - Accent4 2_5.2" xfId="3839"/>
    <cellStyle name="20% - Accent4 20" xfId="3840"/>
    <cellStyle name="20% - Accent4 21" xfId="5288"/>
    <cellStyle name="20% - Accent4 22" xfId="3841"/>
    <cellStyle name="20% - Accent4 23" xfId="5289"/>
    <cellStyle name="20% - Accent4 24" xfId="5409"/>
    <cellStyle name="20% - Accent4 25" xfId="5290"/>
    <cellStyle name="20% - Accent4 26" xfId="3842"/>
    <cellStyle name="20% - Accent4 27" xfId="3843"/>
    <cellStyle name="20% - Accent4 28" xfId="3844"/>
    <cellStyle name="20% - Accent4 29" xfId="1455"/>
    <cellStyle name="20% - Accent4 3" xfId="226"/>
    <cellStyle name="20% - Accent4 3 2" xfId="3845"/>
    <cellStyle name="20% - Accent4 3_5.2" xfId="3257"/>
    <cellStyle name="20% - Accent4 30" xfId="3846"/>
    <cellStyle name="20% - Accent4 4" xfId="227"/>
    <cellStyle name="20% - Accent4 4 2" xfId="5344"/>
    <cellStyle name="20% - Accent4 5" xfId="228"/>
    <cellStyle name="20% - Accent4 5 2" xfId="3847"/>
    <cellStyle name="20% - Accent4 5 3" xfId="8566"/>
    <cellStyle name="20% - Accent4 6" xfId="229"/>
    <cellStyle name="20% - Accent4 6 2" xfId="230"/>
    <cellStyle name="20% - Accent4 6 2 2" xfId="3848"/>
    <cellStyle name="20% - Accent4 6 3" xfId="231"/>
    <cellStyle name="20% - Accent4 6 3 2" xfId="7911"/>
    <cellStyle name="20% - Accent4 6 4" xfId="3206"/>
    <cellStyle name="20% - Accent4 6 5" xfId="7910"/>
    <cellStyle name="20% - Accent4 7" xfId="232"/>
    <cellStyle name="20% - Accent4 7 2" xfId="233"/>
    <cellStyle name="20% - Accent4 7 2 2" xfId="4945"/>
    <cellStyle name="20% - Accent4 7 2 3" xfId="7913"/>
    <cellStyle name="20% - Accent4 7 3" xfId="3849"/>
    <cellStyle name="20% - Accent4 7 4" xfId="7912"/>
    <cellStyle name="20% - Accent4 8" xfId="234"/>
    <cellStyle name="20% - Accent4 8 2" xfId="3851"/>
    <cellStyle name="20% - Accent4 8 3" xfId="3850"/>
    <cellStyle name="20% - Accent4 9" xfId="223"/>
    <cellStyle name="20% - Accent4 9 2" xfId="3852"/>
    <cellStyle name="20% - Accent4 9 3" xfId="4944"/>
    <cellStyle name="20% - Accent5 10" xfId="3853"/>
    <cellStyle name="20% - Accent5 10 2" xfId="3854"/>
    <cellStyle name="20% - Accent5 11" xfId="5346"/>
    <cellStyle name="20% - Accent5 11 2" xfId="3855"/>
    <cellStyle name="20% - Accent5 12" xfId="5291"/>
    <cellStyle name="20% - Accent5 12 2" xfId="5292"/>
    <cellStyle name="20% - Accent5 13" xfId="3208"/>
    <cellStyle name="20% - Accent5 13 2" xfId="5410"/>
    <cellStyle name="20% - Accent5 14" xfId="5293"/>
    <cellStyle name="20% - Accent5 14 2" xfId="3856"/>
    <cellStyle name="20% - Accent5 15" xfId="1416"/>
    <cellStyle name="20% - Accent5 15 2" xfId="3857"/>
    <cellStyle name="20% - Accent5 16" xfId="3858"/>
    <cellStyle name="20% - Accent5 16 2" xfId="3859"/>
    <cellStyle name="20% - Accent5 17" xfId="4950"/>
    <cellStyle name="20% - Accent5 17 2" xfId="4863"/>
    <cellStyle name="20% - Accent5 18" xfId="3860"/>
    <cellStyle name="20% - Accent5 18 2" xfId="8567"/>
    <cellStyle name="20% - Accent5 19" xfId="5411"/>
    <cellStyle name="20% - Accent5 2" xfId="236"/>
    <cellStyle name="20% - Accent5 2 2" xfId="237"/>
    <cellStyle name="20% - Accent5 2 3" xfId="3861"/>
    <cellStyle name="20% - Accent5 2 4" xfId="8568"/>
    <cellStyle name="20% - Accent5 2_5.2" xfId="3862"/>
    <cellStyle name="20% - Accent5 20" xfId="5294"/>
    <cellStyle name="20% - Accent5 21" xfId="3306"/>
    <cellStyle name="20% - Accent5 22" xfId="3563"/>
    <cellStyle name="20% - Accent5 23" xfId="3564"/>
    <cellStyle name="20% - Accent5 24" xfId="3565"/>
    <cellStyle name="20% - Accent5 25" xfId="3566"/>
    <cellStyle name="20% - Accent5 26" xfId="3567"/>
    <cellStyle name="20% - Accent5 27" xfId="3568"/>
    <cellStyle name="20% - Accent5 28" xfId="3863"/>
    <cellStyle name="20% - Accent5 29" xfId="3864"/>
    <cellStyle name="20% - Accent5 3" xfId="238"/>
    <cellStyle name="20% - Accent5 3 2" xfId="3865"/>
    <cellStyle name="20% - Accent5 3_5.2" xfId="3569"/>
    <cellStyle name="20% - Accent5 30" xfId="3570"/>
    <cellStyle name="20% - Accent5 4" xfId="239"/>
    <cellStyle name="20% - Accent5 4 2" xfId="3571"/>
    <cellStyle name="20% - Accent5 5" xfId="240"/>
    <cellStyle name="20% - Accent5 5 2" xfId="8569"/>
    <cellStyle name="20% - Accent5 6" xfId="241"/>
    <cellStyle name="20% - Accent5 6 2" xfId="242"/>
    <cellStyle name="20% - Accent5 6 2 2" xfId="3573"/>
    <cellStyle name="20% - Accent5 6 2 3" xfId="7915"/>
    <cellStyle name="20% - Accent5 6 3" xfId="243"/>
    <cellStyle name="20% - Accent5 6 3 2" xfId="7916"/>
    <cellStyle name="20% - Accent5 6 4" xfId="3572"/>
    <cellStyle name="20% - Accent5 6 5" xfId="7914"/>
    <cellStyle name="20% - Accent5 7" xfId="235"/>
    <cellStyle name="20% - Accent5 7 2" xfId="3575"/>
    <cellStyle name="20% - Accent5 7 3" xfId="3574"/>
    <cellStyle name="20% - Accent5 8" xfId="3576"/>
    <cellStyle name="20% - Accent5 8 2" xfId="5295"/>
    <cellStyle name="20% - Accent5 9" xfId="3307"/>
    <cellStyle name="20% - Accent5 9 2" xfId="3308"/>
    <cellStyle name="20% - Accent6 10" xfId="5296"/>
    <cellStyle name="20% - Accent6 10 2" xfId="3867"/>
    <cellStyle name="20% - Accent6 11" xfId="3868"/>
    <cellStyle name="20% - Accent6 11 2" xfId="5412"/>
    <cellStyle name="20% - Accent6 12" xfId="5413"/>
    <cellStyle name="20% - Accent6 12 2" xfId="5414"/>
    <cellStyle name="20% - Accent6 13" xfId="5297"/>
    <cellStyle name="20% - Accent6 13 2" xfId="3869"/>
    <cellStyle name="20% - Accent6 14" xfId="3870"/>
    <cellStyle name="20% - Accent6 14 2" xfId="3871"/>
    <cellStyle name="20% - Accent6 15" xfId="3872"/>
    <cellStyle name="20% - Accent6 15 2" xfId="3873"/>
    <cellStyle name="20% - Accent6 16" xfId="3874"/>
    <cellStyle name="20% - Accent6 16 2" xfId="3875"/>
    <cellStyle name="20% - Accent6 17" xfId="3876"/>
    <cellStyle name="20% - Accent6 17 2" xfId="3877"/>
    <cellStyle name="20% - Accent6 18" xfId="3878"/>
    <cellStyle name="20% - Accent6 18 2" xfId="8570"/>
    <cellStyle name="20% - Accent6 19" xfId="5353"/>
    <cellStyle name="20% - Accent6 2" xfId="245"/>
    <cellStyle name="20% - Accent6 2 2" xfId="246"/>
    <cellStyle name="20% - Accent6 2 3" xfId="3879"/>
    <cellStyle name="20% - Accent6 2 4" xfId="8571"/>
    <cellStyle name="20% - Accent6 2_5.2" xfId="3309"/>
    <cellStyle name="20% - Accent6 20" xfId="3880"/>
    <cellStyle name="20% - Accent6 21" xfId="3310"/>
    <cellStyle name="20% - Accent6 22" xfId="3881"/>
    <cellStyle name="20% - Accent6 23" xfId="3882"/>
    <cellStyle name="20% - Accent6 24" xfId="3311"/>
    <cellStyle name="20% - Accent6 25" xfId="3883"/>
    <cellStyle name="20% - Accent6 26" xfId="5298"/>
    <cellStyle name="20% - Accent6 27" xfId="3312"/>
    <cellStyle name="20% - Accent6 28" xfId="3884"/>
    <cellStyle name="20% - Accent6 29" xfId="3885"/>
    <cellStyle name="20% - Accent6 3" xfId="247"/>
    <cellStyle name="20% - Accent6 3 2" xfId="3886"/>
    <cellStyle name="20% - Accent6 3_5.2" xfId="3887"/>
    <cellStyle name="20% - Accent6 30" xfId="3888"/>
    <cellStyle name="20% - Accent6 4" xfId="248"/>
    <cellStyle name="20% - Accent6 4 2" xfId="3889"/>
    <cellStyle name="20% - Accent6 5" xfId="249"/>
    <cellStyle name="20% - Accent6 5 2" xfId="3890"/>
    <cellStyle name="20% - Accent6 5 3" xfId="8572"/>
    <cellStyle name="20% - Accent6 6" xfId="250"/>
    <cellStyle name="20% - Accent6 6 2" xfId="251"/>
    <cellStyle name="20% - Accent6 6 2 2" xfId="3891"/>
    <cellStyle name="20% - Accent6 6 3" xfId="252"/>
    <cellStyle name="20% - Accent6 6 3 2" xfId="7918"/>
    <cellStyle name="20% - Accent6 6 4" xfId="5031"/>
    <cellStyle name="20% - Accent6 6 5" xfId="7917"/>
    <cellStyle name="20% - Accent6 7" xfId="253"/>
    <cellStyle name="20% - Accent6 7 2" xfId="254"/>
    <cellStyle name="20% - Accent6 7 2 2" xfId="3313"/>
    <cellStyle name="20% - Accent6 7 2 3" xfId="7920"/>
    <cellStyle name="20% - Accent6 7 3" xfId="3892"/>
    <cellStyle name="20% - Accent6 7 4" xfId="7919"/>
    <cellStyle name="20% - Accent6 8" xfId="255"/>
    <cellStyle name="20% - Accent6 8 2" xfId="3315"/>
    <cellStyle name="20% - Accent6 8 3" xfId="3314"/>
    <cellStyle name="20% - Accent6 9" xfId="244"/>
    <cellStyle name="20% - Accent6 9 2" xfId="3317"/>
    <cellStyle name="20% - Accent6 9 3" xfId="3316"/>
    <cellStyle name="40% - 1. jelölőszín" xfId="40329"/>
    <cellStyle name="40% - 2. jelölőszín" xfId="40330"/>
    <cellStyle name="40% - 3. jelölőszín" xfId="40331"/>
    <cellStyle name="40% - 4. jelölőszín" xfId="40332"/>
    <cellStyle name="40% - 5. jelölőszín" xfId="40333"/>
    <cellStyle name="40% - 6. jelölőszín" xfId="40334"/>
    <cellStyle name="40% - Accent1 10" xfId="3318"/>
    <cellStyle name="40% - Accent1 10 2" xfId="3319"/>
    <cellStyle name="40% - Accent1 11" xfId="3320"/>
    <cellStyle name="40% - Accent1 11 2" xfId="3893"/>
    <cellStyle name="40% - Accent1 12" xfId="3894"/>
    <cellStyle name="40% - Accent1 12 2" xfId="3895"/>
    <cellStyle name="40% - Accent1 13" xfId="3896"/>
    <cellStyle name="40% - Accent1 13 2" xfId="3897"/>
    <cellStyle name="40% - Accent1 14" xfId="3898"/>
    <cellStyle name="40% - Accent1 14 2" xfId="3321"/>
    <cellStyle name="40% - Accent1 15" xfId="3322"/>
    <cellStyle name="40% - Accent1 15 2" xfId="3323"/>
    <cellStyle name="40% - Accent1 16" xfId="3324"/>
    <cellStyle name="40% - Accent1 16 2" xfId="3325"/>
    <cellStyle name="40% - Accent1 17" xfId="3326"/>
    <cellStyle name="40% - Accent1 17 2" xfId="3327"/>
    <cellStyle name="40% - Accent1 18" xfId="3328"/>
    <cellStyle name="40% - Accent1 18 2" xfId="8573"/>
    <cellStyle name="40% - Accent1 19" xfId="3329"/>
    <cellStyle name="40% - Accent1 2" xfId="257"/>
    <cellStyle name="40% - Accent1 2 2" xfId="258"/>
    <cellStyle name="40% - Accent1 2 3" xfId="3899"/>
    <cellStyle name="40% - Accent1 2 4" xfId="8574"/>
    <cellStyle name="40% - Accent1 2_5.2" xfId="3900"/>
    <cellStyle name="40% - Accent1 20" xfId="3901"/>
    <cellStyle name="40% - Accent1 21" xfId="5299"/>
    <cellStyle name="40% - Accent1 22" xfId="5032"/>
    <cellStyle name="40% - Accent1 23" xfId="3902"/>
    <cellStyle name="40% - Accent1 24" xfId="3903"/>
    <cellStyle name="40% - Accent1 25" xfId="3330"/>
    <cellStyle name="40% - Accent1 26" xfId="3331"/>
    <cellStyle name="40% - Accent1 27" xfId="3332"/>
    <cellStyle name="40% - Accent1 28" xfId="3333"/>
    <cellStyle name="40% - Accent1 29" xfId="3334"/>
    <cellStyle name="40% - Accent1 3" xfId="259"/>
    <cellStyle name="40% - Accent1 3 2" xfId="3335"/>
    <cellStyle name="40% - Accent1 3_5.2" xfId="3336"/>
    <cellStyle name="40% - Accent1 30" xfId="3337"/>
    <cellStyle name="40% - Accent1 4" xfId="260"/>
    <cellStyle name="40% - Accent1 4 2" xfId="3904"/>
    <cellStyle name="40% - Accent1 5" xfId="261"/>
    <cellStyle name="40% - Accent1 5 2" xfId="3905"/>
    <cellStyle name="40% - Accent1 5 3" xfId="8575"/>
    <cellStyle name="40% - Accent1 6" xfId="262"/>
    <cellStyle name="40% - Accent1 6 2" xfId="263"/>
    <cellStyle name="40% - Accent1 6 2 2" xfId="3906"/>
    <cellStyle name="40% - Accent1 6 3" xfId="264"/>
    <cellStyle name="40% - Accent1 6 3 2" xfId="7922"/>
    <cellStyle name="40% - Accent1 6 4" xfId="3338"/>
    <cellStyle name="40% - Accent1 6 5" xfId="7921"/>
    <cellStyle name="40% - Accent1 7" xfId="265"/>
    <cellStyle name="40% - Accent1 7 2" xfId="266"/>
    <cellStyle name="40% - Accent1 7 2 2" xfId="3339"/>
    <cellStyle name="40% - Accent1 7 2 3" xfId="7924"/>
    <cellStyle name="40% - Accent1 7 3" xfId="5300"/>
    <cellStyle name="40% - Accent1 7 4" xfId="7923"/>
    <cellStyle name="40% - Accent1 8" xfId="267"/>
    <cellStyle name="40% - Accent1 8 2" xfId="3908"/>
    <cellStyle name="40% - Accent1 8 3" xfId="3907"/>
    <cellStyle name="40% - Accent1 9" xfId="256"/>
    <cellStyle name="40% - Accent1 9 2" xfId="3909"/>
    <cellStyle name="40% - Accent1 9 3" xfId="3340"/>
    <cellStyle name="40% - Accent2 10" xfId="3910"/>
    <cellStyle name="40% - Accent2 10 2" xfId="3341"/>
    <cellStyle name="40% - Accent2 11" xfId="5033"/>
    <cellStyle name="40% - Accent2 11 2" xfId="3911"/>
    <cellStyle name="40% - Accent2 12" xfId="3912"/>
    <cellStyle name="40% - Accent2 12 2" xfId="3342"/>
    <cellStyle name="40% - Accent2 13" xfId="3913"/>
    <cellStyle name="40% - Accent2 13 2" xfId="3914"/>
    <cellStyle name="40% - Accent2 14" xfId="3915"/>
    <cellStyle name="40% - Accent2 14 2" xfId="5301"/>
    <cellStyle name="40% - Accent2 15" xfId="3916"/>
    <cellStyle name="40% - Accent2 15 2" xfId="5034"/>
    <cellStyle name="40% - Accent2 16" xfId="3917"/>
    <cellStyle name="40% - Accent2 16 2" xfId="3918"/>
    <cellStyle name="40% - Accent2 17" xfId="3919"/>
    <cellStyle name="40% - Accent2 17 2" xfId="3920"/>
    <cellStyle name="40% - Accent2 18" xfId="3921"/>
    <cellStyle name="40% - Accent2 18 2" xfId="8576"/>
    <cellStyle name="40% - Accent2 19" xfId="3922"/>
    <cellStyle name="40% - Accent2 2" xfId="269"/>
    <cellStyle name="40% - Accent2 2 2" xfId="270"/>
    <cellStyle name="40% - Accent2 2 3" xfId="3923"/>
    <cellStyle name="40% - Accent2 2 4" xfId="8577"/>
    <cellStyle name="40% - Accent2 2_5.2" xfId="3343"/>
    <cellStyle name="40% - Accent2 20" xfId="3344"/>
    <cellStyle name="40% - Accent2 21" xfId="3345"/>
    <cellStyle name="40% - Accent2 22" xfId="3346"/>
    <cellStyle name="40% - Accent2 23" xfId="3347"/>
    <cellStyle name="40% - Accent2 24" xfId="3348"/>
    <cellStyle name="40% - Accent2 25" xfId="3349"/>
    <cellStyle name="40% - Accent2 26" xfId="3350"/>
    <cellStyle name="40% - Accent2 27" xfId="3924"/>
    <cellStyle name="40% - Accent2 28" xfId="5035"/>
    <cellStyle name="40% - Accent2 29" xfId="5036"/>
    <cellStyle name="40% - Accent2 3" xfId="271"/>
    <cellStyle name="40% - Accent2 3 2" xfId="3925"/>
    <cellStyle name="40% - Accent2 3_5.2" xfId="3926"/>
    <cellStyle name="40% - Accent2 30" xfId="3927"/>
    <cellStyle name="40% - Accent2 4" xfId="272"/>
    <cellStyle name="40% - Accent2 4 2" xfId="3928"/>
    <cellStyle name="40% - Accent2 5" xfId="273"/>
    <cellStyle name="40% - Accent2 5 2" xfId="8578"/>
    <cellStyle name="40% - Accent2 6" xfId="274"/>
    <cellStyle name="40% - Accent2 6 2" xfId="275"/>
    <cellStyle name="40% - Accent2 6 2 2" xfId="3930"/>
    <cellStyle name="40% - Accent2 6 2 3" xfId="7926"/>
    <cellStyle name="40% - Accent2 6 3" xfId="276"/>
    <cellStyle name="40% - Accent2 6 3 2" xfId="7927"/>
    <cellStyle name="40% - Accent2 6 4" xfId="3929"/>
    <cellStyle name="40% - Accent2 6 5" xfId="7925"/>
    <cellStyle name="40% - Accent2 7" xfId="268"/>
    <cellStyle name="40% - Accent2 7 2" xfId="3352"/>
    <cellStyle name="40% - Accent2 7 3" xfId="3351"/>
    <cellStyle name="40% - Accent2 8" xfId="3353"/>
    <cellStyle name="40% - Accent2 8 2" xfId="3354"/>
    <cellStyle name="40% - Accent2 9" xfId="3355"/>
    <cellStyle name="40% - Accent2 9 2" xfId="3356"/>
    <cellStyle name="40% - Accent3 10" xfId="3357"/>
    <cellStyle name="40% - Accent3 10 2" xfId="3358"/>
    <cellStyle name="40% - Accent3 11" xfId="3359"/>
    <cellStyle name="40% - Accent3 11 2" xfId="3360"/>
    <cellStyle name="40% - Accent3 12" xfId="3931"/>
    <cellStyle name="40% - Accent3 12 2" xfId="3932"/>
    <cellStyle name="40% - Accent3 13" xfId="3933"/>
    <cellStyle name="40% - Accent3 13 2" xfId="5037"/>
    <cellStyle name="40% - Accent3 14" xfId="5038"/>
    <cellStyle name="40% - Accent3 14 2" xfId="5039"/>
    <cellStyle name="40% - Accent3 15" xfId="5040"/>
    <cellStyle name="40% - Accent3 15 2" xfId="3934"/>
    <cellStyle name="40% - Accent3 16" xfId="3935"/>
    <cellStyle name="40% - Accent3 16 2" xfId="3936"/>
    <cellStyle name="40% - Accent3 17" xfId="3937"/>
    <cellStyle name="40% - Accent3 17 2" xfId="4872"/>
    <cellStyle name="40% - Accent3 18" xfId="3361"/>
    <cellStyle name="40% - Accent3 18 2" xfId="8579"/>
    <cellStyle name="40% - Accent3 19" xfId="3362"/>
    <cellStyle name="40% - Accent3 2" xfId="278"/>
    <cellStyle name="40% - Accent3 2 2" xfId="279"/>
    <cellStyle name="40% - Accent3 2 3" xfId="3363"/>
    <cellStyle name="40% - Accent3 2 4" xfId="8580"/>
    <cellStyle name="40% - Accent3 2_5.2" xfId="3364"/>
    <cellStyle name="40% - Accent3 20" xfId="3365"/>
    <cellStyle name="40% - Accent3 21" xfId="3366"/>
    <cellStyle name="40% - Accent3 22" xfId="3367"/>
    <cellStyle name="40% - Accent3 23" xfId="3368"/>
    <cellStyle name="40% - Accent3 24" xfId="4873"/>
    <cellStyle name="40% - Accent3 25" xfId="4874"/>
    <cellStyle name="40% - Accent3 26" xfId="4875"/>
    <cellStyle name="40% - Accent3 27" xfId="4876"/>
    <cellStyle name="40% - Accent3 28" xfId="4877"/>
    <cellStyle name="40% - Accent3 29" xfId="4878"/>
    <cellStyle name="40% - Accent3 3" xfId="280"/>
    <cellStyle name="40% - Accent3 3 2" xfId="4879"/>
    <cellStyle name="40% - Accent3 3_5.2" xfId="4880"/>
    <cellStyle name="40% - Accent3 30" xfId="3938"/>
    <cellStyle name="40% - Accent3 4" xfId="281"/>
    <cellStyle name="40% - Accent3 4 2" xfId="3939"/>
    <cellStyle name="40% - Accent3 5" xfId="282"/>
    <cellStyle name="40% - Accent3 5 2" xfId="3940"/>
    <cellStyle name="40% - Accent3 5 3" xfId="8581"/>
    <cellStyle name="40% - Accent3 6" xfId="283"/>
    <cellStyle name="40% - Accent3 6 2" xfId="284"/>
    <cellStyle name="40% - Accent3 6 2 2" xfId="3942"/>
    <cellStyle name="40% - Accent3 6 3" xfId="285"/>
    <cellStyle name="40% - Accent3 6 3 2" xfId="7929"/>
    <cellStyle name="40% - Accent3 6 4" xfId="3941"/>
    <cellStyle name="40% - Accent3 6 5" xfId="7928"/>
    <cellStyle name="40% - Accent3 7" xfId="286"/>
    <cellStyle name="40% - Accent3 7 2" xfId="287"/>
    <cellStyle name="40% - Accent3 7 2 2" xfId="3943"/>
    <cellStyle name="40% - Accent3 7 2 3" xfId="7931"/>
    <cellStyle name="40% - Accent3 7 3" xfId="4881"/>
    <cellStyle name="40% - Accent3 7 4" xfId="7930"/>
    <cellStyle name="40% - Accent3 8" xfId="288"/>
    <cellStyle name="40% - Accent3 8 2" xfId="3945"/>
    <cellStyle name="40% - Accent3 8 3" xfId="3944"/>
    <cellStyle name="40% - Accent3 9" xfId="277"/>
    <cellStyle name="40% - Accent3 9 2" xfId="3946"/>
    <cellStyle name="40% - Accent3 9 3" xfId="4882"/>
    <cellStyle name="40% - Accent4 10" xfId="4883"/>
    <cellStyle name="40% - Accent4 10 2" xfId="3947"/>
    <cellStyle name="40% - Accent4 11" xfId="4884"/>
    <cellStyle name="40% - Accent4 11 2" xfId="3948"/>
    <cellStyle name="40% - Accent4 12" xfId="4885"/>
    <cellStyle name="40% - Accent4 12 2" xfId="3211"/>
    <cellStyle name="40% - Accent4 13" xfId="3949"/>
    <cellStyle name="40% - Accent4 13 2" xfId="3950"/>
    <cellStyle name="40% - Accent4 14" xfId="3951"/>
    <cellStyle name="40% - Accent4 14 2" xfId="3952"/>
    <cellStyle name="40% - Accent4 15" xfId="3953"/>
    <cellStyle name="40% - Accent4 15 2" xfId="5469"/>
    <cellStyle name="40% - Accent4 16" xfId="5264"/>
    <cellStyle name="40% - Accent4 16 2" xfId="3954"/>
    <cellStyle name="40% - Accent4 17" xfId="3212"/>
    <cellStyle name="40% - Accent4 17 2" xfId="3955"/>
    <cellStyle name="40% - Accent4 18" xfId="3956"/>
    <cellStyle name="40% - Accent4 18 2" xfId="8582"/>
    <cellStyle name="40% - Accent4 19" xfId="3957"/>
    <cellStyle name="40% - Accent4 2" xfId="290"/>
    <cellStyle name="40% - Accent4 2 2" xfId="291"/>
    <cellStyle name="40% - Accent4 2 3" xfId="3632"/>
    <cellStyle name="40% - Accent4 2 4" xfId="8583"/>
    <cellStyle name="40% - Accent4 2_5.2" xfId="3958"/>
    <cellStyle name="40% - Accent4 20" xfId="3959"/>
    <cellStyle name="40% - Accent4 21" xfId="3960"/>
    <cellStyle name="40% - Accent4 22" xfId="3961"/>
    <cellStyle name="40% - Accent4 23" xfId="3962"/>
    <cellStyle name="40% - Accent4 24" xfId="3963"/>
    <cellStyle name="40% - Accent4 25" xfId="3964"/>
    <cellStyle name="40% - Accent4 26" xfId="3213"/>
    <cellStyle name="40% - Accent4 27" xfId="3965"/>
    <cellStyle name="40% - Accent4 28" xfId="3966"/>
    <cellStyle name="40% - Accent4 29" xfId="3217"/>
    <cellStyle name="40% - Accent4 3" xfId="292"/>
    <cellStyle name="40% - Accent4 3 2" xfId="3214"/>
    <cellStyle name="40% - Accent4 3_5.2" xfId="3967"/>
    <cellStyle name="40% - Accent4 30" xfId="3215"/>
    <cellStyle name="40% - Accent4 4" xfId="293"/>
    <cellStyle name="40% - Accent4 4 2" xfId="3216"/>
    <cellStyle name="40% - Accent4 5" xfId="294"/>
    <cellStyle name="40% - Accent4 5 2" xfId="3968"/>
    <cellStyle name="40% - Accent4 5 3" xfId="8584"/>
    <cellStyle name="40% - Accent4 6" xfId="295"/>
    <cellStyle name="40% - Accent4 6 2" xfId="296"/>
    <cellStyle name="40% - Accent4 6 2 2" xfId="3969"/>
    <cellStyle name="40% - Accent4 6 3" xfId="297"/>
    <cellStyle name="40% - Accent4 6 3 2" xfId="7933"/>
    <cellStyle name="40% - Accent4 6 4" xfId="5265"/>
    <cellStyle name="40% - Accent4 6 5" xfId="7932"/>
    <cellStyle name="40% - Accent4 7" xfId="298"/>
    <cellStyle name="40% - Accent4 7 2" xfId="299"/>
    <cellStyle name="40% - Accent4 7 2 2" xfId="3971"/>
    <cellStyle name="40% - Accent4 7 2 3" xfId="7935"/>
    <cellStyle name="40% - Accent4 7 3" xfId="3970"/>
    <cellStyle name="40% - Accent4 7 4" xfId="7934"/>
    <cellStyle name="40% - Accent4 8" xfId="300"/>
    <cellStyle name="40% - Accent4 8 2" xfId="3973"/>
    <cellStyle name="40% - Accent4 8 3" xfId="3972"/>
    <cellStyle name="40% - Accent4 9" xfId="289"/>
    <cellStyle name="40% - Accent4 9 2" xfId="3975"/>
    <cellStyle name="40% - Accent4 9 3" xfId="3974"/>
    <cellStyle name="40% - Accent5 10" xfId="3976"/>
    <cellStyle name="40% - Accent5 10 2" xfId="3977"/>
    <cellStyle name="40% - Accent5 11" xfId="3978"/>
    <cellStyle name="40% - Accent5 11 2" xfId="3979"/>
    <cellStyle name="40% - Accent5 12" xfId="3980"/>
    <cellStyle name="40% - Accent5 12 2" xfId="3981"/>
    <cellStyle name="40% - Accent5 13" xfId="3982"/>
    <cellStyle name="40% - Accent5 13 2" xfId="3983"/>
    <cellStyle name="40% - Accent5 14" xfId="3984"/>
    <cellStyle name="40% - Accent5 14 2" xfId="3985"/>
    <cellStyle name="40% - Accent5 15" xfId="5354"/>
    <cellStyle name="40% - Accent5 15 2" xfId="3986"/>
    <cellStyle name="40% - Accent5 16" xfId="4951"/>
    <cellStyle name="40% - Accent5 16 2" xfId="3987"/>
    <cellStyle name="40% - Accent5 17" xfId="5355"/>
    <cellStyle name="40% - Accent5 17 2" xfId="3988"/>
    <cellStyle name="40% - Accent5 18" xfId="4952"/>
    <cellStyle name="40% - Accent5 18 2" xfId="8585"/>
    <cellStyle name="40% - Accent5 19" xfId="3989"/>
    <cellStyle name="40% - Accent5 2" xfId="302"/>
    <cellStyle name="40% - Accent5 2 2" xfId="303"/>
    <cellStyle name="40% - Accent5 2 3" xfId="3990"/>
    <cellStyle name="40% - Accent5 2 4" xfId="8586"/>
    <cellStyle name="40% - Accent5 2_5.2" xfId="3991"/>
    <cellStyle name="40% - Accent5 20" xfId="3992"/>
    <cellStyle name="40% - Accent5 21" xfId="3993"/>
    <cellStyle name="40% - Accent5 22" xfId="3994"/>
    <cellStyle name="40% - Accent5 23" xfId="3995"/>
    <cellStyle name="40% - Accent5 24" xfId="3996"/>
    <cellStyle name="40% - Accent5 25" xfId="3577"/>
    <cellStyle name="40% - Accent5 26" xfId="3997"/>
    <cellStyle name="40% - Accent5 27" xfId="3998"/>
    <cellStyle name="40% - Accent5 28" xfId="3999"/>
    <cellStyle name="40% - Accent5 29" xfId="5041"/>
    <cellStyle name="40% - Accent5 3" xfId="304"/>
    <cellStyle name="40% - Accent5 3 2" xfId="3218"/>
    <cellStyle name="40% - Accent5 3_5.2" xfId="5042"/>
    <cellStyle name="40% - Accent5 30" xfId="5043"/>
    <cellStyle name="40% - Accent5 4" xfId="305"/>
    <cellStyle name="40% - Accent5 4 2" xfId="4852"/>
    <cellStyle name="40% - Accent5 5" xfId="306"/>
    <cellStyle name="40% - Accent5 5 2" xfId="8587"/>
    <cellStyle name="40% - Accent5 6" xfId="307"/>
    <cellStyle name="40% - Accent5 6 2" xfId="308"/>
    <cellStyle name="40% - Accent5 6 2 2" xfId="5045"/>
    <cellStyle name="40% - Accent5 6 2 3" xfId="7937"/>
    <cellStyle name="40% - Accent5 6 3" xfId="309"/>
    <cellStyle name="40% - Accent5 6 3 2" xfId="7938"/>
    <cellStyle name="40% - Accent5 6 4" xfId="5044"/>
    <cellStyle name="40% - Accent5 6 5" xfId="7936"/>
    <cellStyle name="40% - Accent5 7" xfId="301"/>
    <cellStyle name="40% - Accent5 7 2" xfId="5047"/>
    <cellStyle name="40% - Accent5 7 3" xfId="5046"/>
    <cellStyle name="40% - Accent5 8" xfId="5048"/>
    <cellStyle name="40% - Accent5 8 2" xfId="4000"/>
    <cellStyle name="40% - Accent5 9" xfId="4001"/>
    <cellStyle name="40% - Accent5 9 2" xfId="5049"/>
    <cellStyle name="40% - Accent6 10" xfId="5050"/>
    <cellStyle name="40% - Accent6 10 2" xfId="5051"/>
    <cellStyle name="40% - Accent6 11" xfId="5052"/>
    <cellStyle name="40% - Accent6 11 2" xfId="5470"/>
    <cellStyle name="40% - Accent6 12" xfId="5053"/>
    <cellStyle name="40% - Accent6 12 2" xfId="5054"/>
    <cellStyle name="40% - Accent6 13" xfId="5055"/>
    <cellStyle name="40% - Accent6 13 2" xfId="5056"/>
    <cellStyle name="40% - Accent6 14" xfId="5057"/>
    <cellStyle name="40% - Accent6 14 2" xfId="5058"/>
    <cellStyle name="40% - Accent6 15" xfId="4002"/>
    <cellStyle name="40% - Accent6 15 2" xfId="5059"/>
    <cellStyle name="40% - Accent6 16" xfId="5060"/>
    <cellStyle name="40% - Accent6 16 2" xfId="5061"/>
    <cellStyle name="40% - Accent6 17" xfId="5062"/>
    <cellStyle name="40% - Accent6 17 2" xfId="5063"/>
    <cellStyle name="40% - Accent6 18" xfId="5064"/>
    <cellStyle name="40% - Accent6 18 2" xfId="8588"/>
    <cellStyle name="40% - Accent6 19" xfId="5065"/>
    <cellStyle name="40% - Accent6 2" xfId="311"/>
    <cellStyle name="40% - Accent6 2 2" xfId="312"/>
    <cellStyle name="40% - Accent6 2 3" xfId="4003"/>
    <cellStyle name="40% - Accent6 2 4" xfId="8589"/>
    <cellStyle name="40% - Accent6 2_5.2" xfId="4004"/>
    <cellStyle name="40% - Accent6 20" xfId="4953"/>
    <cellStyle name="40% - Accent6 21" xfId="5356"/>
    <cellStyle name="40% - Accent6 22" xfId="5357"/>
    <cellStyle name="40% - Accent6 23" xfId="5358"/>
    <cellStyle name="40% - Accent6 24" xfId="4005"/>
    <cellStyle name="40% - Accent6 25" xfId="4853"/>
    <cellStyle name="40% - Accent6 26" xfId="4006"/>
    <cellStyle name="40% - Accent6 27" xfId="5066"/>
    <cellStyle name="40% - Accent6 28" xfId="4007"/>
    <cellStyle name="40% - Accent6 29" xfId="5067"/>
    <cellStyle name="40% - Accent6 3" xfId="313"/>
    <cellStyle name="40% - Accent6 3 2" xfId="5068"/>
    <cellStyle name="40% - Accent6 3_5.2" xfId="5069"/>
    <cellStyle name="40% - Accent6 30" xfId="4008"/>
    <cellStyle name="40% - Accent6 4" xfId="314"/>
    <cellStyle name="40% - Accent6 4 2" xfId="3369"/>
    <cellStyle name="40% - Accent6 5" xfId="315"/>
    <cellStyle name="40% - Accent6 5 2" xfId="4854"/>
    <cellStyle name="40% - Accent6 5 3" xfId="8590"/>
    <cellStyle name="40% - Accent6 6" xfId="316"/>
    <cellStyle name="40% - Accent6 6 2" xfId="317"/>
    <cellStyle name="40% - Accent6 6 2 2" xfId="4856"/>
    <cellStyle name="40% - Accent6 6 3" xfId="318"/>
    <cellStyle name="40% - Accent6 6 3 2" xfId="7940"/>
    <cellStyle name="40% - Accent6 6 4" xfId="4855"/>
    <cellStyle name="40% - Accent6 6 5" xfId="7939"/>
    <cellStyle name="40% - Accent6 7" xfId="319"/>
    <cellStyle name="40% - Accent6 7 2" xfId="320"/>
    <cellStyle name="40% - Accent6 7 2 2" xfId="5070"/>
    <cellStyle name="40% - Accent6 7 2 3" xfId="7942"/>
    <cellStyle name="40% - Accent6 7 3" xfId="4857"/>
    <cellStyle name="40% - Accent6 7 4" xfId="7941"/>
    <cellStyle name="40% - Accent6 8" xfId="321"/>
    <cellStyle name="40% - Accent6 8 2" xfId="4858"/>
    <cellStyle name="40% - Accent6 8 3" xfId="5071"/>
    <cellStyle name="40% - Accent6 9" xfId="310"/>
    <cellStyle name="40% - Accent6 9 2" xfId="5073"/>
    <cellStyle name="40% - Accent6 9 3" xfId="5072"/>
    <cellStyle name="60% - 1. jelölőszín" xfId="40335"/>
    <cellStyle name="60% - 2. jelölőszín" xfId="40336"/>
    <cellStyle name="60% - 3. jelölőszín" xfId="40337"/>
    <cellStyle name="60% - 4. jelölőszín" xfId="40338"/>
    <cellStyle name="60% - 5. jelölőszín" xfId="40339"/>
    <cellStyle name="60% - 6. jelölőszín" xfId="40340"/>
    <cellStyle name="60% - Accent1 10" xfId="5074"/>
    <cellStyle name="60% - Accent1 11" xfId="5075"/>
    <cellStyle name="60% - Accent1 12" xfId="5076"/>
    <cellStyle name="60% - Accent1 13" xfId="5077"/>
    <cellStyle name="60% - Accent1 14" xfId="5078"/>
    <cellStyle name="60% - Accent1 15" xfId="5079"/>
    <cellStyle name="60% - Accent1 16" xfId="4009"/>
    <cellStyle name="60% - Accent1 17" xfId="4010"/>
    <cellStyle name="60% - Accent1 18" xfId="7807"/>
    <cellStyle name="60% - Accent1 18 2" xfId="8591"/>
    <cellStyle name="60% - Accent1 2" xfId="323"/>
    <cellStyle name="60% - Accent1 2 2" xfId="324"/>
    <cellStyle name="60% - Accent1 2 2 2" xfId="5080"/>
    <cellStyle name="60% - Accent1 2 3" xfId="5081"/>
    <cellStyle name="60% - Accent1 2 4" xfId="5082"/>
    <cellStyle name="60% - Accent1 3" xfId="325"/>
    <cellStyle name="60% - Accent1 4" xfId="326"/>
    <cellStyle name="60% - Accent1 5" xfId="327"/>
    <cellStyle name="60% - Accent1 5 2" xfId="8592"/>
    <cellStyle name="60% - Accent1 6" xfId="328"/>
    <cellStyle name="60% - Accent1 6 2" xfId="329"/>
    <cellStyle name="60% - Accent1 6 3" xfId="330"/>
    <cellStyle name="60% - Accent1 6 4" xfId="1856"/>
    <cellStyle name="60% - Accent1 7" xfId="331"/>
    <cellStyle name="60% - Accent1 7 2" xfId="5083"/>
    <cellStyle name="60% - Accent1 8" xfId="322"/>
    <cellStyle name="60% - Accent1 8 2" xfId="5084"/>
    <cellStyle name="60% - Accent1 9" xfId="1834"/>
    <cellStyle name="60% - Accent2 10" xfId="5085"/>
    <cellStyle name="60% - Accent2 11" xfId="5086"/>
    <cellStyle name="60% - Accent2 12" xfId="5343"/>
    <cellStyle name="60% - Accent2 13" xfId="5087"/>
    <cellStyle name="60% - Accent2 14" xfId="5342"/>
    <cellStyle name="60% - Accent2 15" xfId="4011"/>
    <cellStyle name="60% - Accent2 16" xfId="5088"/>
    <cellStyle name="60% - Accent2 17" xfId="5089"/>
    <cellStyle name="60% - Accent2 18" xfId="8593"/>
    <cellStyle name="60% - Accent2 2" xfId="333"/>
    <cellStyle name="60% - Accent2 2 2" xfId="334"/>
    <cellStyle name="60% - Accent2 2 2 2" xfId="5090"/>
    <cellStyle name="60% - Accent2 2 3" xfId="5091"/>
    <cellStyle name="60% - Accent2 3" xfId="335"/>
    <cellStyle name="60% - Accent2 4" xfId="336"/>
    <cellStyle name="60% - Accent2 5" xfId="337"/>
    <cellStyle name="60% - Accent2 5 2" xfId="8594"/>
    <cellStyle name="60% - Accent2 6" xfId="338"/>
    <cellStyle name="60% - Accent2 6 2" xfId="5400"/>
    <cellStyle name="60% - Accent2 7" xfId="332"/>
    <cellStyle name="60% - Accent2 7 2" xfId="3578"/>
    <cellStyle name="60% - Accent2 8" xfId="3579"/>
    <cellStyle name="60% - Accent2 9" xfId="5092"/>
    <cellStyle name="60% - Accent3 10" xfId="3580"/>
    <cellStyle name="60% - Accent3 11" xfId="5093"/>
    <cellStyle name="60% - Accent3 12" xfId="3581"/>
    <cellStyle name="60% - Accent3 13" xfId="4012"/>
    <cellStyle name="60% - Accent3 14" xfId="4013"/>
    <cellStyle name="60% - Accent3 15" xfId="4014"/>
    <cellStyle name="60% - Accent3 16" xfId="4015"/>
    <cellStyle name="60% - Accent3 17" xfId="4016"/>
    <cellStyle name="60% - Accent3 18" xfId="7808"/>
    <cellStyle name="60% - Accent3 18 2" xfId="8595"/>
    <cellStyle name="60% - Accent3 2" xfId="340"/>
    <cellStyle name="60% - Accent3 2 2" xfId="341"/>
    <cellStyle name="60% - Accent3 2 2 2" xfId="4017"/>
    <cellStyle name="60% - Accent3 2 3" xfId="5094"/>
    <cellStyle name="60% - Accent3 2 4" xfId="3588"/>
    <cellStyle name="60% - Accent3 3" xfId="342"/>
    <cellStyle name="60% - Accent3 4" xfId="343"/>
    <cellStyle name="60% - Accent3 5" xfId="344"/>
    <cellStyle name="60% - Accent3 5 2" xfId="8596"/>
    <cellStyle name="60% - Accent3 6" xfId="345"/>
    <cellStyle name="60% - Accent3 6 2" xfId="346"/>
    <cellStyle name="60% - Accent3 6 3" xfId="347"/>
    <cellStyle name="60% - Accent3 6 4" xfId="3223"/>
    <cellStyle name="60% - Accent3 7" xfId="348"/>
    <cellStyle name="60% - Accent3 7 2" xfId="3219"/>
    <cellStyle name="60% - Accent3 8" xfId="339"/>
    <cellStyle name="60% - Accent3 8 2" xfId="3220"/>
    <cellStyle name="60% - Accent3 9" xfId="3221"/>
    <cellStyle name="60% - Accent4 10" xfId="3222"/>
    <cellStyle name="60% - Accent4 11" xfId="5095"/>
    <cellStyle name="60% - Accent4 12" xfId="5096"/>
    <cellStyle name="60% - Accent4 13" xfId="4018"/>
    <cellStyle name="60% - Accent4 14" xfId="3582"/>
    <cellStyle name="60% - Accent4 15" xfId="3583"/>
    <cellStyle name="60% - Accent4 16" xfId="3584"/>
    <cellStyle name="60% - Accent4 17" xfId="3585"/>
    <cellStyle name="60% - Accent4 18" xfId="7809"/>
    <cellStyle name="60% - Accent4 18 2" xfId="8597"/>
    <cellStyle name="60% - Accent4 2" xfId="350"/>
    <cellStyle name="60% - Accent4 2 2" xfId="351"/>
    <cellStyle name="60% - Accent4 2 2 2" xfId="3586"/>
    <cellStyle name="60% - Accent4 2 3" xfId="5401"/>
    <cellStyle name="60% - Accent4 2 4" xfId="3587"/>
    <cellStyle name="60% - Accent4 3" xfId="352"/>
    <cellStyle name="60% - Accent4 4" xfId="353"/>
    <cellStyle name="60% - Accent4 5" xfId="354"/>
    <cellStyle name="60% - Accent4 5 2" xfId="8598"/>
    <cellStyle name="60% - Accent4 6" xfId="355"/>
    <cellStyle name="60% - Accent4 6 2" xfId="356"/>
    <cellStyle name="60% - Accent4 6 3" xfId="357"/>
    <cellStyle name="60% - Accent4 6 4" xfId="5340"/>
    <cellStyle name="60% - Accent4 7" xfId="358"/>
    <cellStyle name="60% - Accent4 7 2" xfId="5097"/>
    <cellStyle name="60% - Accent4 8" xfId="349"/>
    <cellStyle name="60% - Accent4 8 2" xfId="5098"/>
    <cellStyle name="60% - Accent4 9" xfId="5099"/>
    <cellStyle name="60% - Accent5 10" xfId="5100"/>
    <cellStyle name="60% - Accent5 11" xfId="3370"/>
    <cellStyle name="60% - Accent5 12" xfId="5101"/>
    <cellStyle name="60% - Accent5 13" xfId="5102"/>
    <cellStyle name="60% - Accent5 14" xfId="5103"/>
    <cellStyle name="60% - Accent5 15" xfId="3229"/>
    <cellStyle name="60% - Accent5 16" xfId="5104"/>
    <cellStyle name="60% - Accent5 17" xfId="5105"/>
    <cellStyle name="60% - Accent5 18" xfId="8599"/>
    <cellStyle name="60% - Accent5 2" xfId="360"/>
    <cellStyle name="60% - Accent5 2 2" xfId="361"/>
    <cellStyle name="60% - Accent5 2 2 2" xfId="4019"/>
    <cellStyle name="60% - Accent5 2 3" xfId="5106"/>
    <cellStyle name="60% - Accent5 3" xfId="362"/>
    <cellStyle name="60% - Accent5 4" xfId="363"/>
    <cellStyle name="60% - Accent5 5" xfId="364"/>
    <cellStyle name="60% - Accent5 5 2" xfId="8600"/>
    <cellStyle name="60% - Accent5 6" xfId="365"/>
    <cellStyle name="60% - Accent5 6 2" xfId="5107"/>
    <cellStyle name="60% - Accent5 7" xfId="359"/>
    <cellStyle name="60% - Accent5 7 2" xfId="5108"/>
    <cellStyle name="60% - Accent5 8" xfId="5345"/>
    <cellStyle name="60% - Accent5 9" xfId="5109"/>
    <cellStyle name="60% - Accent6 10" xfId="5110"/>
    <cellStyle name="60% - Accent6 11" xfId="5111"/>
    <cellStyle name="60% - Accent6 12" xfId="3209"/>
    <cellStyle name="60% - Accent6 13" xfId="5112"/>
    <cellStyle name="60% - Accent6 14" xfId="4020"/>
    <cellStyle name="60% - Accent6 15" xfId="5113"/>
    <cellStyle name="60% - Accent6 16" xfId="5114"/>
    <cellStyle name="60% - Accent6 17" xfId="5115"/>
    <cellStyle name="60% - Accent6 18" xfId="7810"/>
    <cellStyle name="60% - Accent6 18 2" xfId="8601"/>
    <cellStyle name="60% - Accent6 2" xfId="367"/>
    <cellStyle name="60% - Accent6 2 2" xfId="368"/>
    <cellStyle name="60% - Accent6 2 2 2" xfId="5116"/>
    <cellStyle name="60% - Accent6 2 3" xfId="5117"/>
    <cellStyle name="60% - Accent6 2 4" xfId="5118"/>
    <cellStyle name="60% - Accent6 3" xfId="369"/>
    <cellStyle name="60% - Accent6 4" xfId="370"/>
    <cellStyle name="60% - Accent6 5" xfId="371"/>
    <cellStyle name="60% - Accent6 5 2" xfId="8602"/>
    <cellStyle name="60% - Accent6 6" xfId="372"/>
    <cellStyle name="60% - Accent6 6 2" xfId="373"/>
    <cellStyle name="60% - Accent6 6 3" xfId="374"/>
    <cellStyle name="60% - Accent6 6 4" xfId="4021"/>
    <cellStyle name="60% - Accent6 7" xfId="375"/>
    <cellStyle name="60% - Accent6 7 2" xfId="4022"/>
    <cellStyle name="60% - Accent6 8" xfId="366"/>
    <cellStyle name="60% - Accent6 8 2" xfId="4023"/>
    <cellStyle name="60% - Accent6 9" xfId="5119"/>
    <cellStyle name="9999/99/99" xfId="376"/>
    <cellStyle name="9999/99/99 2" xfId="5120"/>
    <cellStyle name="9999/99/99 2 2" xfId="5121"/>
    <cellStyle name="9999/99/99 2 2 2" xfId="5122"/>
    <cellStyle name="9999/99/99 2 2 2 2" xfId="4024"/>
    <cellStyle name="9999/99/99 2 2 2 2 2" xfId="4025"/>
    <cellStyle name="9999/99/99 2 2 2 2 3" xfId="8606"/>
    <cellStyle name="9999/99/99 2 2 2 3" xfId="4026"/>
    <cellStyle name="9999/99/99 2 2 2 3 2" xfId="4027"/>
    <cellStyle name="9999/99/99 2 2 2 4" xfId="4028"/>
    <cellStyle name="9999/99/99 2 2 2 4 2" xfId="4029"/>
    <cellStyle name="9999/99/99 2 2 2 5" xfId="4030"/>
    <cellStyle name="9999/99/99 2 2 2 6" xfId="8605"/>
    <cellStyle name="9999/99/99 2 2 3" xfId="4031"/>
    <cellStyle name="9999/99/99 2 2 3 2" xfId="8608"/>
    <cellStyle name="9999/99/99 2 2 3 3" xfId="8607"/>
    <cellStyle name="9999/99/99 2 2 4" xfId="4032"/>
    <cellStyle name="9999/99/99 2 2 4 2" xfId="8610"/>
    <cellStyle name="9999/99/99 2 2 4 3" xfId="8609"/>
    <cellStyle name="9999/99/99 2 2 5" xfId="8611"/>
    <cellStyle name="9999/99/99 2 2 5 2" xfId="8612"/>
    <cellStyle name="9999/99/99 2 2 6" xfId="8613"/>
    <cellStyle name="9999/99/99 2 2 7" xfId="8614"/>
    <cellStyle name="9999/99/99 2 2 8" xfId="8615"/>
    <cellStyle name="9999/99/99 2 2 9" xfId="8604"/>
    <cellStyle name="9999/99/99 2 3" xfId="4033"/>
    <cellStyle name="9999/99/99 2 3 2" xfId="8617"/>
    <cellStyle name="9999/99/99 2 3 2 2" xfId="8618"/>
    <cellStyle name="9999/99/99 2 3 3" xfId="8619"/>
    <cellStyle name="9999/99/99 2 3 3 2" xfId="8620"/>
    <cellStyle name="9999/99/99 2 3 4" xfId="8621"/>
    <cellStyle name="9999/99/99 2 3 4 2" xfId="8622"/>
    <cellStyle name="9999/99/99 2 3 5" xfId="8623"/>
    <cellStyle name="9999/99/99 2 3 6" xfId="8616"/>
    <cellStyle name="9999/99/99 2 4" xfId="4034"/>
    <cellStyle name="9999/99/99 2 4 2" xfId="8624"/>
    <cellStyle name="9999/99/99 2 5" xfId="8625"/>
    <cellStyle name="9999/99/99 2 6" xfId="8603"/>
    <cellStyle name="9999/99/99 3" xfId="3225"/>
    <cellStyle name="9999/99/99 3 2" xfId="8627"/>
    <cellStyle name="9999/99/99 3 2 2" xfId="8628"/>
    <cellStyle name="9999/99/99 3 2 3" xfId="8629"/>
    <cellStyle name="9999/99/99 3 3" xfId="8630"/>
    <cellStyle name="9999/99/99 3 3 2" xfId="8631"/>
    <cellStyle name="9999/99/99 3 3 3" xfId="8632"/>
    <cellStyle name="9999/99/99 3 4" xfId="8633"/>
    <cellStyle name="9999/99/99 3 4 2" xfId="8634"/>
    <cellStyle name="9999/99/99 3 4 3" xfId="8635"/>
    <cellStyle name="9999/99/99 3 5" xfId="8636"/>
    <cellStyle name="9999/99/99 3 5 2" xfId="8637"/>
    <cellStyle name="9999/99/99 3 6" xfId="8638"/>
    <cellStyle name="9999/99/99 3 7" xfId="8639"/>
    <cellStyle name="9999/99/99 3 8" xfId="8640"/>
    <cellStyle name="9999/99/99 3 9" xfId="8626"/>
    <cellStyle name="9999/99/99 4" xfId="3224"/>
    <cellStyle name="9999/99/99 4 2" xfId="8642"/>
    <cellStyle name="9999/99/99 4 2 2" xfId="8643"/>
    <cellStyle name="9999/99/99 4 3" xfId="8644"/>
    <cellStyle name="9999/99/99 4 3 2" xfId="8645"/>
    <cellStyle name="9999/99/99 4 4" xfId="8646"/>
    <cellStyle name="9999/99/99 4 4 2" xfId="8647"/>
    <cellStyle name="9999/99/99 4 5" xfId="8648"/>
    <cellStyle name="9999/99/99 4 5 2" xfId="8649"/>
    <cellStyle name="9999/99/99 4 6" xfId="8650"/>
    <cellStyle name="9999/99/99 4 7" xfId="8651"/>
    <cellStyle name="9999/99/99 4 8" xfId="8652"/>
    <cellStyle name="9999/99/99 4 9" xfId="8641"/>
    <cellStyle name="9999/99/99 5" xfId="7943"/>
    <cellStyle name="9999/99/99 5 2" xfId="8653"/>
    <cellStyle name="9999/99/99 5 2 2" xfId="8654"/>
    <cellStyle name="9999/99/99 5 3" xfId="8655"/>
    <cellStyle name="9999/99/99 5 3 2" xfId="8656"/>
    <cellStyle name="9999/99/99 5 4" xfId="8657"/>
    <cellStyle name="9999/99/99 5 4 2" xfId="8658"/>
    <cellStyle name="9999/99/99 5 5" xfId="8659"/>
    <cellStyle name="9999/99/99 5 6" xfId="8660"/>
    <cellStyle name="9999/99/99 6" xfId="8661"/>
    <cellStyle name="9999/99/99 7" xfId="8662"/>
    <cellStyle name="Accent1 10" xfId="4035"/>
    <cellStyle name="Accent1 11" xfId="5461"/>
    <cellStyle name="Accent1 12" xfId="4036"/>
    <cellStyle name="Accent1 13" xfId="4037"/>
    <cellStyle name="Accent1 14" xfId="5123"/>
    <cellStyle name="Accent1 15" xfId="4038"/>
    <cellStyle name="Accent1 16" xfId="4859"/>
    <cellStyle name="Accent1 17" xfId="4039"/>
    <cellStyle name="Accent1 18" xfId="7811"/>
    <cellStyle name="Accent1 18 2" xfId="8663"/>
    <cellStyle name="Accent1 2" xfId="378"/>
    <cellStyle name="Accent1 2 2" xfId="379"/>
    <cellStyle name="Accent1 2 2 2" xfId="4041"/>
    <cellStyle name="Accent1 2 3" xfId="4042"/>
    <cellStyle name="Accent1 2 4" xfId="4043"/>
    <cellStyle name="Accent1 3" xfId="380"/>
    <cellStyle name="Accent1 4" xfId="381"/>
    <cellStyle name="Accent1 5" xfId="382"/>
    <cellStyle name="Accent1 5 2" xfId="8664"/>
    <cellStyle name="Accent1 6" xfId="383"/>
    <cellStyle name="Accent1 6 2" xfId="384"/>
    <cellStyle name="Accent1 6 3" xfId="385"/>
    <cellStyle name="Accent1 6 4" xfId="4044"/>
    <cellStyle name="Accent1 7" xfId="386"/>
    <cellStyle name="Accent1 7 2" xfId="4045"/>
    <cellStyle name="Accent1 8" xfId="377"/>
    <cellStyle name="Accent1 8 2" xfId="5398"/>
    <cellStyle name="Accent1 9" xfId="4046"/>
    <cellStyle name="Accent2 10" xfId="4047"/>
    <cellStyle name="Accent2 11" xfId="4048"/>
    <cellStyle name="Accent2 12" xfId="4049"/>
    <cellStyle name="Accent2 13" xfId="4050"/>
    <cellStyle name="Accent2 14" xfId="4051"/>
    <cellStyle name="Accent2 15" xfId="4052"/>
    <cellStyle name="Accent2 16" xfId="4053"/>
    <cellStyle name="Accent2 17" xfId="3371"/>
    <cellStyle name="Accent2 18" xfId="8665"/>
    <cellStyle name="Accent2 2" xfId="388"/>
    <cellStyle name="Accent2 2 2" xfId="389"/>
    <cellStyle name="Accent2 2 2 2" xfId="5124"/>
    <cellStyle name="Accent2 2 3" xfId="4054"/>
    <cellStyle name="Accent2 3" xfId="390"/>
    <cellStyle name="Accent2 4" xfId="391"/>
    <cellStyle name="Accent2 5" xfId="392"/>
    <cellStyle name="Accent2 5 2" xfId="8666"/>
    <cellStyle name="Accent2 6" xfId="393"/>
    <cellStyle name="Accent2 6 2" xfId="4055"/>
    <cellStyle name="Accent2 7" xfId="387"/>
    <cellStyle name="Accent2 7 2" xfId="3372"/>
    <cellStyle name="Accent2 8" xfId="4056"/>
    <cellStyle name="Accent2 9" xfId="4954"/>
    <cellStyle name="Accent3 10" xfId="5125"/>
    <cellStyle name="Accent3 11" xfId="4057"/>
    <cellStyle name="Accent3 12" xfId="4058"/>
    <cellStyle name="Accent3 13" xfId="5126"/>
    <cellStyle name="Accent3 14" xfId="4059"/>
    <cellStyle name="Accent3 15" xfId="3226"/>
    <cellStyle name="Accent3 16" xfId="5467"/>
    <cellStyle name="Accent3 17" xfId="4060"/>
    <cellStyle name="Accent3 18" xfId="8667"/>
    <cellStyle name="Accent3 2" xfId="395"/>
    <cellStyle name="Accent3 2 2" xfId="396"/>
    <cellStyle name="Accent3 2 2 2" xfId="5127"/>
    <cellStyle name="Accent3 2 3" xfId="4061"/>
    <cellStyle name="Accent3 3" xfId="397"/>
    <cellStyle name="Accent3 4" xfId="398"/>
    <cellStyle name="Accent3 5" xfId="399"/>
    <cellStyle name="Accent3 5 2" xfId="8668"/>
    <cellStyle name="Accent3 6" xfId="400"/>
    <cellStyle name="Accent3 6 2" xfId="4062"/>
    <cellStyle name="Accent3 7" xfId="394"/>
    <cellStyle name="Accent3 7 2" xfId="4063"/>
    <cellStyle name="Accent3 8" xfId="5128"/>
    <cellStyle name="Accent3 9" xfId="4064"/>
    <cellStyle name="Accent4 10" xfId="4065"/>
    <cellStyle name="Accent4 11" xfId="5129"/>
    <cellStyle name="Accent4 12" xfId="4066"/>
    <cellStyle name="Accent4 13" xfId="4067"/>
    <cellStyle name="Accent4 14" xfId="5130"/>
    <cellStyle name="Accent4 15" xfId="4068"/>
    <cellStyle name="Accent4 16" xfId="5131"/>
    <cellStyle name="Accent4 17" xfId="4069"/>
    <cellStyle name="Accent4 18" xfId="7812"/>
    <cellStyle name="Accent4 18 2" xfId="8669"/>
    <cellStyle name="Accent4 2" xfId="402"/>
    <cellStyle name="Accent4 2 2" xfId="403"/>
    <cellStyle name="Accent4 2 2 2" xfId="4070"/>
    <cellStyle name="Accent4 2 3" xfId="4071"/>
    <cellStyle name="Accent4 2 4" xfId="4072"/>
    <cellStyle name="Accent4 3" xfId="404"/>
    <cellStyle name="Accent4 4" xfId="405"/>
    <cellStyle name="Accent4 5" xfId="406"/>
    <cellStyle name="Accent4 5 2" xfId="8670"/>
    <cellStyle name="Accent4 6" xfId="407"/>
    <cellStyle name="Accent4 6 2" xfId="408"/>
    <cellStyle name="Accent4 6 3" xfId="409"/>
    <cellStyle name="Accent4 6 4" xfId="4073"/>
    <cellStyle name="Accent4 7" xfId="410"/>
    <cellStyle name="Accent4 7 2" xfId="4074"/>
    <cellStyle name="Accent4 8" xfId="401"/>
    <cellStyle name="Accent4 8 2" xfId="4075"/>
    <cellStyle name="Accent4 9" xfId="5132"/>
    <cellStyle name="Accent5 10" xfId="4076"/>
    <cellStyle name="Accent5 11" xfId="5133"/>
    <cellStyle name="Accent5 12" xfId="4077"/>
    <cellStyle name="Accent5 13" xfId="5134"/>
    <cellStyle name="Accent5 14" xfId="4078"/>
    <cellStyle name="Accent5 15" xfId="5135"/>
    <cellStyle name="Accent5 16" xfId="4079"/>
    <cellStyle name="Accent5 17" xfId="5136"/>
    <cellStyle name="Accent5 18" xfId="8671"/>
    <cellStyle name="Accent5 2" xfId="412"/>
    <cellStyle name="Accent5 2 2" xfId="413"/>
    <cellStyle name="Accent5 2 2 2" xfId="5137"/>
    <cellStyle name="Accent5 2 3" xfId="4080"/>
    <cellStyle name="Accent5 3" xfId="414"/>
    <cellStyle name="Accent5 4" xfId="415"/>
    <cellStyle name="Accent5 5" xfId="416"/>
    <cellStyle name="Accent5 5 2" xfId="8672"/>
    <cellStyle name="Accent5 6" xfId="417"/>
    <cellStyle name="Accent5 6 2" xfId="5138"/>
    <cellStyle name="Accent5 7" xfId="411"/>
    <cellStyle name="Accent5 7 2" xfId="4081"/>
    <cellStyle name="Accent5 8" xfId="4082"/>
    <cellStyle name="Accent5 9" xfId="4083"/>
    <cellStyle name="Accent6 10" xfId="4084"/>
    <cellStyle name="Accent6 11" xfId="4085"/>
    <cellStyle name="Accent6 12" xfId="4086"/>
    <cellStyle name="Accent6 13" xfId="5139"/>
    <cellStyle name="Accent6 14" xfId="5140"/>
    <cellStyle name="Accent6 15" xfId="5141"/>
    <cellStyle name="Accent6 16" xfId="5142"/>
    <cellStyle name="Accent6 17" xfId="5143"/>
    <cellStyle name="Accent6 18" xfId="8673"/>
    <cellStyle name="Accent6 2" xfId="419"/>
    <cellStyle name="Accent6 2 2" xfId="420"/>
    <cellStyle name="Accent6 2 2 2" xfId="5144"/>
    <cellStyle name="Accent6 2 3" xfId="5145"/>
    <cellStyle name="Accent6 3" xfId="421"/>
    <cellStyle name="Accent6 4" xfId="422"/>
    <cellStyle name="Accent6 5" xfId="423"/>
    <cellStyle name="Accent6 5 2" xfId="8674"/>
    <cellStyle name="Accent6 6" xfId="424"/>
    <cellStyle name="Accent6 6 2" xfId="4087"/>
    <cellStyle name="Accent6 7" xfId="418"/>
    <cellStyle name="Accent6 7 2" xfId="4088"/>
    <cellStyle name="Accent6 8" xfId="3589"/>
    <cellStyle name="Accent6 9" xfId="4089"/>
    <cellStyle name="ÄÞ¸¶ [0]_´ëÇü" xfId="4090"/>
    <cellStyle name="ÄÞ¸¶_´ëÇü" xfId="4091"/>
    <cellStyle name="Auto_OpenAuto_CloseExtractD" xfId="425"/>
    <cellStyle name="Bad 10" xfId="5266"/>
    <cellStyle name="Bad 11" xfId="5455"/>
    <cellStyle name="Bad 12" xfId="5337"/>
    <cellStyle name="Bad 13" xfId="5452"/>
    <cellStyle name="Bad 14" xfId="5451"/>
    <cellStyle name="Bad 15" xfId="5443"/>
    <cellStyle name="Bad 16" xfId="5327"/>
    <cellStyle name="Bad 17" xfId="5302"/>
    <cellStyle name="Bad 18" xfId="8675"/>
    <cellStyle name="Bad 2" xfId="427"/>
    <cellStyle name="Bad 2 2" xfId="428"/>
    <cellStyle name="Bad 2 2 2" xfId="4092"/>
    <cellStyle name="Bad 2 3" xfId="4093"/>
    <cellStyle name="Bad 3" xfId="429"/>
    <cellStyle name="Bad 4" xfId="430"/>
    <cellStyle name="Bad 5" xfId="431"/>
    <cellStyle name="Bad 5 2" xfId="8676"/>
    <cellStyle name="Bad 6" xfId="432"/>
    <cellStyle name="Bad 6 2" xfId="4094"/>
    <cellStyle name="Bad 7" xfId="426"/>
    <cellStyle name="Bad 7 2" xfId="4095"/>
    <cellStyle name="Bad 8" xfId="4096"/>
    <cellStyle name="Bad 9" xfId="4097"/>
    <cellStyle name="Bevitel" xfId="40341"/>
    <cellStyle name="Body" xfId="433"/>
    <cellStyle name="Body 2" xfId="434"/>
    <cellStyle name="Body 2 2" xfId="8677"/>
    <cellStyle name="Body 3" xfId="8678"/>
    <cellStyle name="Bold/Border" xfId="435"/>
    <cellStyle name="Bold/Border 2" xfId="436"/>
    <cellStyle name="Bold/Border 2 2" xfId="437"/>
    <cellStyle name="Bold/Border 2 2 2" xfId="8680"/>
    <cellStyle name="Bold/Border 2 3" xfId="2934"/>
    <cellStyle name="Bold/Border 2 4" xfId="7945"/>
    <cellStyle name="Bold/Border 2 5" xfId="8679"/>
    <cellStyle name="Bold/Border 3" xfId="438"/>
    <cellStyle name="Bold/Border 3 2" xfId="4098"/>
    <cellStyle name="Bold/Border 3 2 2" xfId="8683"/>
    <cellStyle name="Bold/Border 3 2 2 2" xfId="8684"/>
    <cellStyle name="Bold/Border 3 2 2 3" xfId="8685"/>
    <cellStyle name="Bold/Border 3 2 3" xfId="8686"/>
    <cellStyle name="Bold/Border 3 2 4" xfId="8687"/>
    <cellStyle name="Bold/Border 3 2 5" xfId="8682"/>
    <cellStyle name="Bold/Border 3 3" xfId="8688"/>
    <cellStyle name="Bold/Border 3 4" xfId="8681"/>
    <cellStyle name="Bold/Border 4" xfId="439"/>
    <cellStyle name="Bold/Border 4 2" xfId="8690"/>
    <cellStyle name="Bold/Border 4 2 2" xfId="8691"/>
    <cellStyle name="Bold/Border 4 3" xfId="8692"/>
    <cellStyle name="Bold/Border 4 4" xfId="8693"/>
    <cellStyle name="Bold/Border 4 5" xfId="8689"/>
    <cellStyle name="Bold/Border 5" xfId="440"/>
    <cellStyle name="Bold/Border 5 2" xfId="7946"/>
    <cellStyle name="Bold/Border 6" xfId="441"/>
    <cellStyle name="Bold/Border 7" xfId="7944"/>
    <cellStyle name="border" xfId="2558"/>
    <cellStyle name="border 10" xfId="8694"/>
    <cellStyle name="border 10 2" xfId="8695"/>
    <cellStyle name="border 10 3" xfId="8696"/>
    <cellStyle name="border 11" xfId="8697"/>
    <cellStyle name="border 11 10" xfId="8698"/>
    <cellStyle name="border 11 10 2" xfId="8699"/>
    <cellStyle name="border 11 10 3" xfId="8700"/>
    <cellStyle name="border 11 11" xfId="8701"/>
    <cellStyle name="border 11 11 2" xfId="8702"/>
    <cellStyle name="border 11 11 3" xfId="8703"/>
    <cellStyle name="border 11 12" xfId="8704"/>
    <cellStyle name="border 11 12 2" xfId="8705"/>
    <cellStyle name="border 11 12 3" xfId="8706"/>
    <cellStyle name="border 11 13" xfId="8707"/>
    <cellStyle name="border 11 14" xfId="8708"/>
    <cellStyle name="border 11 2" xfId="8709"/>
    <cellStyle name="border 11 2 2" xfId="8710"/>
    <cellStyle name="border 11 2 3" xfId="8711"/>
    <cellStyle name="border 11 3" xfId="8712"/>
    <cellStyle name="border 11 3 2" xfId="8713"/>
    <cellStyle name="border 11 3 3" xfId="8714"/>
    <cellStyle name="border 11 4" xfId="8715"/>
    <cellStyle name="border 11 4 2" xfId="8716"/>
    <cellStyle name="border 11 4 3" xfId="8717"/>
    <cellStyle name="border 11 5" xfId="8718"/>
    <cellStyle name="border 11 5 2" xfId="8719"/>
    <cellStyle name="border 11 5 3" xfId="8720"/>
    <cellStyle name="border 11 6" xfId="8721"/>
    <cellStyle name="border 11 6 2" xfId="8722"/>
    <cellStyle name="border 11 6 3" xfId="8723"/>
    <cellStyle name="border 11 7" xfId="8724"/>
    <cellStyle name="border 11 7 2" xfId="8725"/>
    <cellStyle name="border 11 7 3" xfId="8726"/>
    <cellStyle name="border 11 8" xfId="8727"/>
    <cellStyle name="border 11 8 2" xfId="8728"/>
    <cellStyle name="border 11 8 3" xfId="8729"/>
    <cellStyle name="border 11 9" xfId="8730"/>
    <cellStyle name="border 11 9 2" xfId="8731"/>
    <cellStyle name="border 11 9 3" xfId="8732"/>
    <cellStyle name="border 12" xfId="8733"/>
    <cellStyle name="border 12 10" xfId="8734"/>
    <cellStyle name="border 12 10 2" xfId="8735"/>
    <cellStyle name="border 12 10 3" xfId="8736"/>
    <cellStyle name="border 12 11" xfId="8737"/>
    <cellStyle name="border 12 11 2" xfId="8738"/>
    <cellStyle name="border 12 11 3" xfId="8739"/>
    <cellStyle name="border 12 12" xfId="8740"/>
    <cellStyle name="border 12 12 2" xfId="8741"/>
    <cellStyle name="border 12 12 3" xfId="8742"/>
    <cellStyle name="border 12 13" xfId="8743"/>
    <cellStyle name="border 12 14" xfId="8744"/>
    <cellStyle name="border 12 2" xfId="8745"/>
    <cellStyle name="border 12 2 2" xfId="8746"/>
    <cellStyle name="border 12 2 3" xfId="8747"/>
    <cellStyle name="border 12 3" xfId="8748"/>
    <cellStyle name="border 12 3 2" xfId="8749"/>
    <cellStyle name="border 12 3 3" xfId="8750"/>
    <cellStyle name="border 12 4" xfId="8751"/>
    <cellStyle name="border 12 4 2" xfId="8752"/>
    <cellStyle name="border 12 4 3" xfId="8753"/>
    <cellStyle name="border 12 5" xfId="8754"/>
    <cellStyle name="border 12 5 2" xfId="8755"/>
    <cellStyle name="border 12 5 3" xfId="8756"/>
    <cellStyle name="border 12 6" xfId="8757"/>
    <cellStyle name="border 12 6 2" xfId="8758"/>
    <cellStyle name="border 12 6 3" xfId="8759"/>
    <cellStyle name="border 12 7" xfId="8760"/>
    <cellStyle name="border 12 7 2" xfId="8761"/>
    <cellStyle name="border 12 7 3" xfId="8762"/>
    <cellStyle name="border 12 8" xfId="8763"/>
    <cellStyle name="border 12 8 2" xfId="8764"/>
    <cellStyle name="border 12 8 3" xfId="8765"/>
    <cellStyle name="border 12 9" xfId="8766"/>
    <cellStyle name="border 12 9 2" xfId="8767"/>
    <cellStyle name="border 12 9 3" xfId="8768"/>
    <cellStyle name="border 2" xfId="8313"/>
    <cellStyle name="border 2 2" xfId="8769"/>
    <cellStyle name="border 2 2 2" xfId="8770"/>
    <cellStyle name="border 2 2 2 2" xfId="8771"/>
    <cellStyle name="border 2 2 2 3" xfId="8772"/>
    <cellStyle name="border 2 2 3" xfId="8773"/>
    <cellStyle name="border 2 2 3 2" xfId="8774"/>
    <cellStyle name="border 2 2 3 3" xfId="8775"/>
    <cellStyle name="border 2 2 4" xfId="8776"/>
    <cellStyle name="border 2 2 4 2" xfId="8777"/>
    <cellStyle name="border 2 2 4 3" xfId="8778"/>
    <cellStyle name="border 2 2 5" xfId="8779"/>
    <cellStyle name="border 2 2 5 2" xfId="8780"/>
    <cellStyle name="border 2 2 5 3" xfId="8781"/>
    <cellStyle name="border 2 2 6" xfId="8782"/>
    <cellStyle name="border 2 2 7" xfId="8783"/>
    <cellStyle name="border 2 3" xfId="8784"/>
    <cellStyle name="border 2 3 2" xfId="8785"/>
    <cellStyle name="border 2 3 2 2" xfId="8786"/>
    <cellStyle name="border 2 3 2 3" xfId="8787"/>
    <cellStyle name="border 2 3 3" xfId="8788"/>
    <cellStyle name="border 2 3 4" xfId="8789"/>
    <cellStyle name="border 2 4" xfId="8790"/>
    <cellStyle name="border 2 4 2" xfId="8791"/>
    <cellStyle name="border 2 4 3" xfId="8792"/>
    <cellStyle name="border 2 5" xfId="8793"/>
    <cellStyle name="border 2 5 2" xfId="8794"/>
    <cellStyle name="border 2 5 3" xfId="8795"/>
    <cellStyle name="border 2 6" xfId="8796"/>
    <cellStyle name="border 2 6 10" xfId="8797"/>
    <cellStyle name="border 2 6 10 2" xfId="8798"/>
    <cellStyle name="border 2 6 10 3" xfId="8799"/>
    <cellStyle name="border 2 6 11" xfId="8800"/>
    <cellStyle name="border 2 6 11 2" xfId="8801"/>
    <cellStyle name="border 2 6 11 3" xfId="8802"/>
    <cellStyle name="border 2 6 12" xfId="8803"/>
    <cellStyle name="border 2 6 12 2" xfId="8804"/>
    <cellStyle name="border 2 6 12 3" xfId="8805"/>
    <cellStyle name="border 2 6 13" xfId="8806"/>
    <cellStyle name="border 2 6 14" xfId="8807"/>
    <cellStyle name="border 2 6 2" xfId="8808"/>
    <cellStyle name="border 2 6 2 2" xfId="8809"/>
    <cellStyle name="border 2 6 2 3" xfId="8810"/>
    <cellStyle name="border 2 6 3" xfId="8811"/>
    <cellStyle name="border 2 6 3 2" xfId="8812"/>
    <cellStyle name="border 2 6 3 3" xfId="8813"/>
    <cellStyle name="border 2 6 4" xfId="8814"/>
    <cellStyle name="border 2 6 4 2" xfId="8815"/>
    <cellStyle name="border 2 6 4 3" xfId="8816"/>
    <cellStyle name="border 2 6 5" xfId="8817"/>
    <cellStyle name="border 2 6 5 2" xfId="8818"/>
    <cellStyle name="border 2 6 5 3" xfId="8819"/>
    <cellStyle name="border 2 6 6" xfId="8820"/>
    <cellStyle name="border 2 6 6 2" xfId="8821"/>
    <cellStyle name="border 2 6 6 3" xfId="8822"/>
    <cellStyle name="border 2 6 7" xfId="8823"/>
    <cellStyle name="border 2 6 7 2" xfId="8824"/>
    <cellStyle name="border 2 6 7 3" xfId="8825"/>
    <cellStyle name="border 2 6 8" xfId="8826"/>
    <cellStyle name="border 2 6 8 2" xfId="8827"/>
    <cellStyle name="border 2 6 8 3" xfId="8828"/>
    <cellStyle name="border 2 6 9" xfId="8829"/>
    <cellStyle name="border 2 6 9 2" xfId="8830"/>
    <cellStyle name="border 2 6 9 3" xfId="8831"/>
    <cellStyle name="border 2 7" xfId="8832"/>
    <cellStyle name="border 2 7 10" xfId="8833"/>
    <cellStyle name="border 2 7 10 2" xfId="8834"/>
    <cellStyle name="border 2 7 10 3" xfId="8835"/>
    <cellStyle name="border 2 7 11" xfId="8836"/>
    <cellStyle name="border 2 7 11 2" xfId="8837"/>
    <cellStyle name="border 2 7 11 3" xfId="8838"/>
    <cellStyle name="border 2 7 12" xfId="8839"/>
    <cellStyle name="border 2 7 12 2" xfId="8840"/>
    <cellStyle name="border 2 7 12 3" xfId="8841"/>
    <cellStyle name="border 2 7 13" xfId="8842"/>
    <cellStyle name="border 2 7 14" xfId="8843"/>
    <cellStyle name="border 2 7 2" xfId="8844"/>
    <cellStyle name="border 2 7 2 2" xfId="8845"/>
    <cellStyle name="border 2 7 2 3" xfId="8846"/>
    <cellStyle name="border 2 7 3" xfId="8847"/>
    <cellStyle name="border 2 7 3 2" xfId="8848"/>
    <cellStyle name="border 2 7 3 3" xfId="8849"/>
    <cellStyle name="border 2 7 4" xfId="8850"/>
    <cellStyle name="border 2 7 4 2" xfId="8851"/>
    <cellStyle name="border 2 7 4 3" xfId="8852"/>
    <cellStyle name="border 2 7 5" xfId="8853"/>
    <cellStyle name="border 2 7 5 2" xfId="8854"/>
    <cellStyle name="border 2 7 5 3" xfId="8855"/>
    <cellStyle name="border 2 7 6" xfId="8856"/>
    <cellStyle name="border 2 7 6 2" xfId="8857"/>
    <cellStyle name="border 2 7 6 3" xfId="8858"/>
    <cellStyle name="border 2 7 7" xfId="8859"/>
    <cellStyle name="border 2 7 7 2" xfId="8860"/>
    <cellStyle name="border 2 7 7 3" xfId="8861"/>
    <cellStyle name="border 2 7 8" xfId="8862"/>
    <cellStyle name="border 2 7 8 2" xfId="8863"/>
    <cellStyle name="border 2 7 8 3" xfId="8864"/>
    <cellStyle name="border 2 7 9" xfId="8865"/>
    <cellStyle name="border 2 7 9 2" xfId="8866"/>
    <cellStyle name="border 2 7 9 3" xfId="8867"/>
    <cellStyle name="border 2 8" xfId="8868"/>
    <cellStyle name="border 2 8 2" xfId="8869"/>
    <cellStyle name="border 2 8 3" xfId="8870"/>
    <cellStyle name="border 3" xfId="8871"/>
    <cellStyle name="border 3 10" xfId="8872"/>
    <cellStyle name="border 3 10 2" xfId="8873"/>
    <cellStyle name="border 3 10 3" xfId="8874"/>
    <cellStyle name="border 3 11" xfId="8875"/>
    <cellStyle name="border 3 12" xfId="8876"/>
    <cellStyle name="border 3 13" xfId="8877"/>
    <cellStyle name="border 3 2" xfId="8878"/>
    <cellStyle name="border 3 2 2" xfId="8879"/>
    <cellStyle name="border 3 2 2 2" xfId="8880"/>
    <cellStyle name="border 3 2 2 3" xfId="8881"/>
    <cellStyle name="border 3 2 3" xfId="8882"/>
    <cellStyle name="border 3 2 4" xfId="8883"/>
    <cellStyle name="border 3 3" xfId="8884"/>
    <cellStyle name="border 3 3 2" xfId="8885"/>
    <cellStyle name="border 3 3 2 2" xfId="8886"/>
    <cellStyle name="border 3 3 2 3" xfId="8887"/>
    <cellStyle name="border 3 3 3" xfId="8888"/>
    <cellStyle name="border 3 3 4" xfId="8889"/>
    <cellStyle name="border 3 4" xfId="8890"/>
    <cellStyle name="border 3 4 2" xfId="8891"/>
    <cellStyle name="border 3 4 2 2" xfId="8892"/>
    <cellStyle name="border 3 4 2 3" xfId="8893"/>
    <cellStyle name="border 3 4 3" xfId="8894"/>
    <cellStyle name="border 3 4 4" xfId="8895"/>
    <cellStyle name="border 3 5" xfId="8896"/>
    <cellStyle name="border 3 5 10" xfId="8897"/>
    <cellStyle name="border 3 5 10 2" xfId="8898"/>
    <cellStyle name="border 3 5 10 3" xfId="8899"/>
    <cellStyle name="border 3 5 11" xfId="8900"/>
    <cellStyle name="border 3 5 11 2" xfId="8901"/>
    <cellStyle name="border 3 5 11 3" xfId="8902"/>
    <cellStyle name="border 3 5 12" xfId="8903"/>
    <cellStyle name="border 3 5 12 2" xfId="8904"/>
    <cellStyle name="border 3 5 12 3" xfId="8905"/>
    <cellStyle name="border 3 5 13" xfId="8906"/>
    <cellStyle name="border 3 5 14" xfId="8907"/>
    <cellStyle name="border 3 5 2" xfId="8908"/>
    <cellStyle name="border 3 5 2 2" xfId="8909"/>
    <cellStyle name="border 3 5 2 3" xfId="8910"/>
    <cellStyle name="border 3 5 3" xfId="8911"/>
    <cellStyle name="border 3 5 3 2" xfId="8912"/>
    <cellStyle name="border 3 5 3 3" xfId="8913"/>
    <cellStyle name="border 3 5 4" xfId="8914"/>
    <cellStyle name="border 3 5 4 2" xfId="8915"/>
    <cellStyle name="border 3 5 4 3" xfId="8916"/>
    <cellStyle name="border 3 5 5" xfId="8917"/>
    <cellStyle name="border 3 5 5 2" xfId="8918"/>
    <cellStyle name="border 3 5 5 3" xfId="8919"/>
    <cellStyle name="border 3 5 6" xfId="8920"/>
    <cellStyle name="border 3 5 6 2" xfId="8921"/>
    <cellStyle name="border 3 5 6 3" xfId="8922"/>
    <cellStyle name="border 3 5 7" xfId="8923"/>
    <cellStyle name="border 3 5 7 2" xfId="8924"/>
    <cellStyle name="border 3 5 7 3" xfId="8925"/>
    <cellStyle name="border 3 5 8" xfId="8926"/>
    <cellStyle name="border 3 5 8 2" xfId="8927"/>
    <cellStyle name="border 3 5 8 3" xfId="8928"/>
    <cellStyle name="border 3 5 9" xfId="8929"/>
    <cellStyle name="border 3 5 9 2" xfId="8930"/>
    <cellStyle name="border 3 5 9 3" xfId="8931"/>
    <cellStyle name="border 3 6" xfId="8932"/>
    <cellStyle name="border 3 6 10" xfId="8933"/>
    <cellStyle name="border 3 6 10 2" xfId="8934"/>
    <cellStyle name="border 3 6 10 3" xfId="8935"/>
    <cellStyle name="border 3 6 11" xfId="8936"/>
    <cellStyle name="border 3 6 11 2" xfId="8937"/>
    <cellStyle name="border 3 6 11 3" xfId="8938"/>
    <cellStyle name="border 3 6 12" xfId="8939"/>
    <cellStyle name="border 3 6 12 2" xfId="8940"/>
    <cellStyle name="border 3 6 12 3" xfId="8941"/>
    <cellStyle name="border 3 6 13" xfId="8942"/>
    <cellStyle name="border 3 6 14" xfId="8943"/>
    <cellStyle name="border 3 6 2" xfId="8944"/>
    <cellStyle name="border 3 6 2 2" xfId="8945"/>
    <cellStyle name="border 3 6 2 3" xfId="8946"/>
    <cellStyle name="border 3 6 3" xfId="8947"/>
    <cellStyle name="border 3 6 3 2" xfId="8948"/>
    <cellStyle name="border 3 6 3 3" xfId="8949"/>
    <cellStyle name="border 3 6 4" xfId="8950"/>
    <cellStyle name="border 3 6 4 2" xfId="8951"/>
    <cellStyle name="border 3 6 4 3" xfId="8952"/>
    <cellStyle name="border 3 6 5" xfId="8953"/>
    <cellStyle name="border 3 6 5 2" xfId="8954"/>
    <cellStyle name="border 3 6 5 3" xfId="8955"/>
    <cellStyle name="border 3 6 6" xfId="8956"/>
    <cellStyle name="border 3 6 6 2" xfId="8957"/>
    <cellStyle name="border 3 6 6 3" xfId="8958"/>
    <cellStyle name="border 3 6 7" xfId="8959"/>
    <cellStyle name="border 3 6 7 2" xfId="8960"/>
    <cellStyle name="border 3 6 7 3" xfId="8961"/>
    <cellStyle name="border 3 6 8" xfId="8962"/>
    <cellStyle name="border 3 6 8 2" xfId="8963"/>
    <cellStyle name="border 3 6 8 3" xfId="8964"/>
    <cellStyle name="border 3 6 9" xfId="8965"/>
    <cellStyle name="border 3 6 9 2" xfId="8966"/>
    <cellStyle name="border 3 6 9 3" xfId="8967"/>
    <cellStyle name="border 3 7" xfId="8968"/>
    <cellStyle name="border 3 7 10" xfId="8969"/>
    <cellStyle name="border 3 7 10 2" xfId="8970"/>
    <cellStyle name="border 3 7 10 3" xfId="8971"/>
    <cellStyle name="border 3 7 11" xfId="8972"/>
    <cellStyle name="border 3 7 11 2" xfId="8973"/>
    <cellStyle name="border 3 7 11 3" xfId="8974"/>
    <cellStyle name="border 3 7 12" xfId="8975"/>
    <cellStyle name="border 3 7 12 2" xfId="8976"/>
    <cellStyle name="border 3 7 12 3" xfId="8977"/>
    <cellStyle name="border 3 7 13" xfId="8978"/>
    <cellStyle name="border 3 7 14" xfId="8979"/>
    <cellStyle name="border 3 7 2" xfId="8980"/>
    <cellStyle name="border 3 7 2 2" xfId="8981"/>
    <cellStyle name="border 3 7 2 3" xfId="8982"/>
    <cellStyle name="border 3 7 3" xfId="8983"/>
    <cellStyle name="border 3 7 3 2" xfId="8984"/>
    <cellStyle name="border 3 7 3 3" xfId="8985"/>
    <cellStyle name="border 3 7 4" xfId="8986"/>
    <cellStyle name="border 3 7 4 2" xfId="8987"/>
    <cellStyle name="border 3 7 4 3" xfId="8988"/>
    <cellStyle name="border 3 7 5" xfId="8989"/>
    <cellStyle name="border 3 7 5 2" xfId="8990"/>
    <cellStyle name="border 3 7 5 3" xfId="8991"/>
    <cellStyle name="border 3 7 6" xfId="8992"/>
    <cellStyle name="border 3 7 6 2" xfId="8993"/>
    <cellStyle name="border 3 7 6 3" xfId="8994"/>
    <cellStyle name="border 3 7 7" xfId="8995"/>
    <cellStyle name="border 3 7 7 2" xfId="8996"/>
    <cellStyle name="border 3 7 7 3" xfId="8997"/>
    <cellStyle name="border 3 7 8" xfId="8998"/>
    <cellStyle name="border 3 7 8 2" xfId="8999"/>
    <cellStyle name="border 3 7 8 3" xfId="9000"/>
    <cellStyle name="border 3 7 9" xfId="9001"/>
    <cellStyle name="border 3 7 9 2" xfId="9002"/>
    <cellStyle name="border 3 7 9 3" xfId="9003"/>
    <cellStyle name="border 3 8" xfId="9004"/>
    <cellStyle name="border 3 8 2" xfId="9005"/>
    <cellStyle name="border 3 8 3" xfId="9006"/>
    <cellStyle name="border 3 9" xfId="9007"/>
    <cellStyle name="border 3 9 2" xfId="9008"/>
    <cellStyle name="border 3 9 3" xfId="9009"/>
    <cellStyle name="border 4" xfId="9010"/>
    <cellStyle name="border 4 2" xfId="9011"/>
    <cellStyle name="border 4 2 2" xfId="9012"/>
    <cellStyle name="border 4 2 3" xfId="9013"/>
    <cellStyle name="border 4 3" xfId="9014"/>
    <cellStyle name="border 4 3 2" xfId="9015"/>
    <cellStyle name="border 4 3 3" xfId="9016"/>
    <cellStyle name="border 4 4" xfId="9017"/>
    <cellStyle name="border 4 4 2" xfId="9018"/>
    <cellStyle name="border 4 4 3" xfId="9019"/>
    <cellStyle name="border 4 5" xfId="9020"/>
    <cellStyle name="border 4 5 2" xfId="9021"/>
    <cellStyle name="border 4 5 3" xfId="9022"/>
    <cellStyle name="border 4 6" xfId="9023"/>
    <cellStyle name="border 4 7" xfId="9024"/>
    <cellStyle name="border 5" xfId="9025"/>
    <cellStyle name="border 5 2" xfId="9026"/>
    <cellStyle name="border 5 2 2" xfId="9027"/>
    <cellStyle name="border 5 2 3" xfId="9028"/>
    <cellStyle name="border 5 3" xfId="9029"/>
    <cellStyle name="border 5 3 2" xfId="9030"/>
    <cellStyle name="border 5 3 3" xfId="9031"/>
    <cellStyle name="border 5 4" xfId="9032"/>
    <cellStyle name="border 5 4 2" xfId="9033"/>
    <cellStyle name="border 5 4 3" xfId="9034"/>
    <cellStyle name="border 5 5" xfId="9035"/>
    <cellStyle name="border 5 6" xfId="9036"/>
    <cellStyle name="border 6" xfId="9037"/>
    <cellStyle name="border 6 2" xfId="9038"/>
    <cellStyle name="border 6 2 2" xfId="9039"/>
    <cellStyle name="border 6 2 3" xfId="9040"/>
    <cellStyle name="border 6 3" xfId="9041"/>
    <cellStyle name="border 6 3 2" xfId="9042"/>
    <cellStyle name="border 6 3 3" xfId="9043"/>
    <cellStyle name="border 6 4" xfId="9044"/>
    <cellStyle name="border 6 4 2" xfId="9045"/>
    <cellStyle name="border 6 4 3" xfId="9046"/>
    <cellStyle name="border 6 5" xfId="9047"/>
    <cellStyle name="border 6 5 2" xfId="9048"/>
    <cellStyle name="border 6 5 3" xfId="9049"/>
    <cellStyle name="border 6 6" xfId="9050"/>
    <cellStyle name="border 6 7" xfId="9051"/>
    <cellStyle name="border 7" xfId="9052"/>
    <cellStyle name="border 7 2" xfId="9053"/>
    <cellStyle name="border 7 2 2" xfId="9054"/>
    <cellStyle name="border 7 2 3" xfId="9055"/>
    <cellStyle name="border 7 3" xfId="9056"/>
    <cellStyle name="border 7 4" xfId="9057"/>
    <cellStyle name="border 8" xfId="9058"/>
    <cellStyle name="border 8 2" xfId="9059"/>
    <cellStyle name="border 8 3" xfId="9060"/>
    <cellStyle name="border 9" xfId="9061"/>
    <cellStyle name="border 9 2" xfId="9062"/>
    <cellStyle name="border 9 3" xfId="9063"/>
    <cellStyle name="Brand Align Left Text" xfId="442"/>
    <cellStyle name="Brand Default" xfId="443"/>
    <cellStyle name="Brand Percent" xfId="444"/>
    <cellStyle name="Brand Source" xfId="445"/>
    <cellStyle name="Brand Subtitle with Underline" xfId="446"/>
    <cellStyle name="Brand Subtitle without Underline" xfId="447"/>
    <cellStyle name="Brand Title" xfId="448"/>
    <cellStyle name="Bullet" xfId="449"/>
    <cellStyle name="Bullet 2" xfId="450"/>
    <cellStyle name="Bullet 2 2" xfId="451"/>
    <cellStyle name="Bullet 2 2 2" xfId="9064"/>
    <cellStyle name="Bullet 2 3" xfId="9065"/>
    <cellStyle name="Bullet 2 4" xfId="9066"/>
    <cellStyle name="Bullet 3" xfId="452"/>
    <cellStyle name="Bullet 3 2" xfId="2936"/>
    <cellStyle name="Bullet 4" xfId="453"/>
    <cellStyle name="Bullet 4 2" xfId="9067"/>
    <cellStyle name="Bullet_CDC RECON AND MARK TO MARKET" xfId="2559"/>
    <cellStyle name="Ç¥ÁØ_´ëÇü" xfId="5303"/>
    <cellStyle name="Calc Currency (0)" xfId="454"/>
    <cellStyle name="Calc Currency (0) 2" xfId="455"/>
    <cellStyle name="Calc Currency (0) 2 2" xfId="456"/>
    <cellStyle name="Calc Currency (0) 2 2 2" xfId="5146"/>
    <cellStyle name="Calc Currency (0) 2 2 3" xfId="9068"/>
    <cellStyle name="Calc Currency (0) 2 3" xfId="457"/>
    <cellStyle name="Calc Currency (0) 2 3 2" xfId="4099"/>
    <cellStyle name="Calc Currency (0) 2 3 3" xfId="9069"/>
    <cellStyle name="Calc Currency (0) 2 4" xfId="458"/>
    <cellStyle name="Calc Currency (0) 2 4 2" xfId="9070"/>
    <cellStyle name="Calc Currency (0) 2 5" xfId="459"/>
    <cellStyle name="Calc Currency (0) 2 5 2" xfId="9071"/>
    <cellStyle name="Calc Currency (0) 3" xfId="460"/>
    <cellStyle name="Calc Currency (0) 3 2" xfId="461"/>
    <cellStyle name="Calc Currency (0) 3 3" xfId="9072"/>
    <cellStyle name="Calc Currency (0) 4" xfId="462"/>
    <cellStyle name="Calc Currency (0) 4 2" xfId="463"/>
    <cellStyle name="Calc Currency (0) 4 3" xfId="4100"/>
    <cellStyle name="Calc Currency (0) 4 4" xfId="9073"/>
    <cellStyle name="Calc Currency (0) 5" xfId="464"/>
    <cellStyle name="Calc Currency (0) 5 2" xfId="4101"/>
    <cellStyle name="Calc Currency (0) 6" xfId="465"/>
    <cellStyle name="Calc Currency (0) 7" xfId="7813"/>
    <cellStyle name="Calc Currency (0)_5.2" xfId="4102"/>
    <cellStyle name="Calc Currency (2)" xfId="2560"/>
    <cellStyle name="Calc Percent (0)" xfId="466"/>
    <cellStyle name="Calc Percent (0) 2" xfId="467"/>
    <cellStyle name="Calc Percent (0) 3" xfId="468"/>
    <cellStyle name="Calc Percent (1)" xfId="469"/>
    <cellStyle name="Calc Percent (1) 2" xfId="470"/>
    <cellStyle name="Calc Percent (1) 2 2" xfId="471"/>
    <cellStyle name="Calc Percent (1) 2 2 2" xfId="9074"/>
    <cellStyle name="Calc Percent (1) 3" xfId="472"/>
    <cellStyle name="Calc Percent (1) 4" xfId="473"/>
    <cellStyle name="Calc Percent (2)" xfId="2561"/>
    <cellStyle name="Calc Units (0)" xfId="2562"/>
    <cellStyle name="Calc Units (1)" xfId="2563"/>
    <cellStyle name="Calc Units (2)" xfId="2564"/>
    <cellStyle name="Calculation 10" xfId="2565"/>
    <cellStyle name="Calculation 10 10" xfId="4103"/>
    <cellStyle name="Calculation 10 10 2" xfId="9075"/>
    <cellStyle name="Calculation 10 11" xfId="8314"/>
    <cellStyle name="Calculation 10 2" xfId="5147"/>
    <cellStyle name="Calculation 10 2 2" xfId="5148"/>
    <cellStyle name="Calculation 10 2 2 10" xfId="9078"/>
    <cellStyle name="Calculation 10 2 2 11" xfId="9077"/>
    <cellStyle name="Calculation 10 2 2 2" xfId="9079"/>
    <cellStyle name="Calculation 10 2 2 2 2" xfId="9080"/>
    <cellStyle name="Calculation 10 2 2 2 2 2" xfId="9081"/>
    <cellStyle name="Calculation 10 2 2 2 3" xfId="9082"/>
    <cellStyle name="Calculation 10 2 2 2 4" xfId="9083"/>
    <cellStyle name="Calculation 10 2 2 3" xfId="9084"/>
    <cellStyle name="Calculation 10 2 2 3 2" xfId="9085"/>
    <cellStyle name="Calculation 10 2 2 3 2 2" xfId="9086"/>
    <cellStyle name="Calculation 10 2 2 3 3" xfId="9087"/>
    <cellStyle name="Calculation 10 2 2 4" xfId="9088"/>
    <cellStyle name="Calculation 10 2 2 4 2" xfId="9089"/>
    <cellStyle name="Calculation 10 2 2 4 2 2" xfId="9090"/>
    <cellStyle name="Calculation 10 2 2 4 3" xfId="9091"/>
    <cellStyle name="Calculation 10 2 2 5" xfId="9092"/>
    <cellStyle name="Calculation 10 2 2 5 2" xfId="9093"/>
    <cellStyle name="Calculation 10 2 2 6" xfId="9094"/>
    <cellStyle name="Calculation 10 2 2 6 2" xfId="9095"/>
    <cellStyle name="Calculation 10 2 2 7" xfId="9096"/>
    <cellStyle name="Calculation 10 2 2 7 2" xfId="9097"/>
    <cellStyle name="Calculation 10 2 2 8" xfId="9098"/>
    <cellStyle name="Calculation 10 2 2 8 2" xfId="9099"/>
    <cellStyle name="Calculation 10 2 2 9" xfId="9100"/>
    <cellStyle name="Calculation 10 2 3" xfId="5149"/>
    <cellStyle name="Calculation 10 2 3 2" xfId="9102"/>
    <cellStyle name="Calculation 10 2 3 2 2" xfId="9103"/>
    <cellStyle name="Calculation 10 2 3 2 2 2" xfId="9104"/>
    <cellStyle name="Calculation 10 2 3 2 3" xfId="9105"/>
    <cellStyle name="Calculation 10 2 3 2 4" xfId="9106"/>
    <cellStyle name="Calculation 10 2 3 3" xfId="9107"/>
    <cellStyle name="Calculation 10 2 3 3 2" xfId="9108"/>
    <cellStyle name="Calculation 10 2 3 3 2 2" xfId="9109"/>
    <cellStyle name="Calculation 10 2 3 3 3" xfId="9110"/>
    <cellStyle name="Calculation 10 2 3 4" xfId="9111"/>
    <cellStyle name="Calculation 10 2 3 4 2" xfId="9112"/>
    <cellStyle name="Calculation 10 2 3 5" xfId="9113"/>
    <cellStyle name="Calculation 10 2 3 5 2" xfId="9114"/>
    <cellStyle name="Calculation 10 2 3 6" xfId="9115"/>
    <cellStyle name="Calculation 10 2 3 7" xfId="9116"/>
    <cellStyle name="Calculation 10 2 3 8" xfId="9101"/>
    <cellStyle name="Calculation 10 2 4" xfId="5150"/>
    <cellStyle name="Calculation 10 2 4 2" xfId="4104"/>
    <cellStyle name="Calculation 10 2 4 2 2" xfId="9118"/>
    <cellStyle name="Calculation 10 2 4 3" xfId="9119"/>
    <cellStyle name="Calculation 10 2 4 4" xfId="9117"/>
    <cellStyle name="Calculation 10 2 5" xfId="4105"/>
    <cellStyle name="Calculation 10 2 5 2" xfId="4106"/>
    <cellStyle name="Calculation 10 2 5 2 2" xfId="9121"/>
    <cellStyle name="Calculation 10 2 5 3" xfId="9120"/>
    <cellStyle name="Calculation 10 2 6" xfId="4107"/>
    <cellStyle name="Calculation 10 2 6 2" xfId="9123"/>
    <cellStyle name="Calculation 10 2 6 3" xfId="9122"/>
    <cellStyle name="Calculation 10 2 7" xfId="3373"/>
    <cellStyle name="Calculation 10 2 7 2" xfId="9124"/>
    <cellStyle name="Calculation 10 2 8" xfId="9125"/>
    <cellStyle name="Calculation 10 2 9" xfId="9076"/>
    <cellStyle name="Calculation 10 3" xfId="4108"/>
    <cellStyle name="Calculation 10 3 2" xfId="4109"/>
    <cellStyle name="Calculation 10 3 2 10" xfId="9128"/>
    <cellStyle name="Calculation 10 3 2 11" xfId="9127"/>
    <cellStyle name="Calculation 10 3 2 2" xfId="9129"/>
    <cellStyle name="Calculation 10 3 2 2 2" xfId="9130"/>
    <cellStyle name="Calculation 10 3 2 2 2 2" xfId="9131"/>
    <cellStyle name="Calculation 10 3 2 2 3" xfId="9132"/>
    <cellStyle name="Calculation 10 3 2 3" xfId="9133"/>
    <cellStyle name="Calculation 10 3 2 3 2" xfId="9134"/>
    <cellStyle name="Calculation 10 3 2 3 2 2" xfId="9135"/>
    <cellStyle name="Calculation 10 3 2 3 3" xfId="9136"/>
    <cellStyle name="Calculation 10 3 2 4" xfId="9137"/>
    <cellStyle name="Calculation 10 3 2 4 2" xfId="9138"/>
    <cellStyle name="Calculation 10 3 2 4 2 2" xfId="9139"/>
    <cellStyle name="Calculation 10 3 2 4 3" xfId="9140"/>
    <cellStyle name="Calculation 10 3 2 5" xfId="9141"/>
    <cellStyle name="Calculation 10 3 2 5 2" xfId="9142"/>
    <cellStyle name="Calculation 10 3 2 6" xfId="9143"/>
    <cellStyle name="Calculation 10 3 2 6 2" xfId="9144"/>
    <cellStyle name="Calculation 10 3 2 7" xfId="9145"/>
    <cellStyle name="Calculation 10 3 2 7 2" xfId="9146"/>
    <cellStyle name="Calculation 10 3 2 8" xfId="9147"/>
    <cellStyle name="Calculation 10 3 2 8 2" xfId="9148"/>
    <cellStyle name="Calculation 10 3 2 9" xfId="9149"/>
    <cellStyle name="Calculation 10 3 3" xfId="9150"/>
    <cellStyle name="Calculation 10 3 3 2" xfId="9151"/>
    <cellStyle name="Calculation 10 3 3 2 2" xfId="9152"/>
    <cellStyle name="Calculation 10 3 3 2 2 2" xfId="9153"/>
    <cellStyle name="Calculation 10 3 3 2 3" xfId="9154"/>
    <cellStyle name="Calculation 10 3 3 3" xfId="9155"/>
    <cellStyle name="Calculation 10 3 3 3 2" xfId="9156"/>
    <cellStyle name="Calculation 10 3 3 3 2 2" xfId="9157"/>
    <cellStyle name="Calculation 10 3 3 3 3" xfId="9158"/>
    <cellStyle name="Calculation 10 3 3 4" xfId="9159"/>
    <cellStyle name="Calculation 10 3 3 4 2" xfId="9160"/>
    <cellStyle name="Calculation 10 3 3 5" xfId="9161"/>
    <cellStyle name="Calculation 10 3 3 5 2" xfId="9162"/>
    <cellStyle name="Calculation 10 3 3 6" xfId="9163"/>
    <cellStyle name="Calculation 10 3 3 7" xfId="9164"/>
    <cellStyle name="Calculation 10 3 4" xfId="9165"/>
    <cellStyle name="Calculation 10 3 4 2" xfId="9166"/>
    <cellStyle name="Calculation 10 3 5" xfId="9167"/>
    <cellStyle name="Calculation 10 3 5 2" xfId="9168"/>
    <cellStyle name="Calculation 10 3 6" xfId="9169"/>
    <cellStyle name="Calculation 10 3 6 2" xfId="9170"/>
    <cellStyle name="Calculation 10 3 7" xfId="9171"/>
    <cellStyle name="Calculation 10 3 8" xfId="9172"/>
    <cellStyle name="Calculation 10 3 9" xfId="9126"/>
    <cellStyle name="Calculation 10 4" xfId="4110"/>
    <cellStyle name="Calculation 10 4 10" xfId="9174"/>
    <cellStyle name="Calculation 10 4 11" xfId="9173"/>
    <cellStyle name="Calculation 10 4 2" xfId="9175"/>
    <cellStyle name="Calculation 10 4 2 2" xfId="9176"/>
    <cellStyle name="Calculation 10 4 2 2 2" xfId="9177"/>
    <cellStyle name="Calculation 10 4 2 3" xfId="9178"/>
    <cellStyle name="Calculation 10 4 2 4" xfId="9179"/>
    <cellStyle name="Calculation 10 4 3" xfId="9180"/>
    <cellStyle name="Calculation 10 4 3 2" xfId="9181"/>
    <cellStyle name="Calculation 10 4 3 2 2" xfId="9182"/>
    <cellStyle name="Calculation 10 4 3 3" xfId="9183"/>
    <cellStyle name="Calculation 10 4 4" xfId="9184"/>
    <cellStyle name="Calculation 10 4 4 2" xfId="9185"/>
    <cellStyle name="Calculation 10 4 4 2 2" xfId="9186"/>
    <cellStyle name="Calculation 10 4 4 3" xfId="9187"/>
    <cellStyle name="Calculation 10 4 5" xfId="9188"/>
    <cellStyle name="Calculation 10 4 5 2" xfId="9189"/>
    <cellStyle name="Calculation 10 4 6" xfId="9190"/>
    <cellStyle name="Calculation 10 4 6 2" xfId="9191"/>
    <cellStyle name="Calculation 10 4 7" xfId="9192"/>
    <cellStyle name="Calculation 10 4 7 2" xfId="9193"/>
    <cellStyle name="Calculation 10 4 8" xfId="9194"/>
    <cellStyle name="Calculation 10 4 8 2" xfId="9195"/>
    <cellStyle name="Calculation 10 4 9" xfId="9196"/>
    <cellStyle name="Calculation 10 5" xfId="4111"/>
    <cellStyle name="Calculation 10 5 10" xfId="9198"/>
    <cellStyle name="Calculation 10 5 11" xfId="9197"/>
    <cellStyle name="Calculation 10 5 2" xfId="9199"/>
    <cellStyle name="Calculation 10 5 2 2" xfId="9200"/>
    <cellStyle name="Calculation 10 5 2 2 2" xfId="9201"/>
    <cellStyle name="Calculation 10 5 2 3" xfId="9202"/>
    <cellStyle name="Calculation 10 5 2 4" xfId="9203"/>
    <cellStyle name="Calculation 10 5 3" xfId="9204"/>
    <cellStyle name="Calculation 10 5 3 2" xfId="9205"/>
    <cellStyle name="Calculation 10 5 3 2 2" xfId="9206"/>
    <cellStyle name="Calculation 10 5 3 3" xfId="9207"/>
    <cellStyle name="Calculation 10 5 4" xfId="9208"/>
    <cellStyle name="Calculation 10 5 4 2" xfId="9209"/>
    <cellStyle name="Calculation 10 5 4 2 2" xfId="9210"/>
    <cellStyle name="Calculation 10 5 4 3" xfId="9211"/>
    <cellStyle name="Calculation 10 5 5" xfId="9212"/>
    <cellStyle name="Calculation 10 5 5 2" xfId="9213"/>
    <cellStyle name="Calculation 10 5 6" xfId="9214"/>
    <cellStyle name="Calculation 10 5 6 2" xfId="9215"/>
    <cellStyle name="Calculation 10 5 7" xfId="9216"/>
    <cellStyle name="Calculation 10 5 7 2" xfId="9217"/>
    <cellStyle name="Calculation 10 5 8" xfId="9218"/>
    <cellStyle name="Calculation 10 5 8 2" xfId="9219"/>
    <cellStyle name="Calculation 10 5 9" xfId="9220"/>
    <cellStyle name="Calculation 10 6" xfId="4112"/>
    <cellStyle name="Calculation 10 6 2" xfId="4113"/>
    <cellStyle name="Calculation 10 6 2 2" xfId="9223"/>
    <cellStyle name="Calculation 10 6 2 2 2" xfId="9224"/>
    <cellStyle name="Calculation 10 6 2 3" xfId="9225"/>
    <cellStyle name="Calculation 10 6 2 4" xfId="9222"/>
    <cellStyle name="Calculation 10 6 3" xfId="9226"/>
    <cellStyle name="Calculation 10 6 3 2" xfId="9227"/>
    <cellStyle name="Calculation 10 6 3 2 2" xfId="9228"/>
    <cellStyle name="Calculation 10 6 3 3" xfId="9229"/>
    <cellStyle name="Calculation 10 6 4" xfId="9230"/>
    <cellStyle name="Calculation 10 6 4 2" xfId="9231"/>
    <cellStyle name="Calculation 10 6 5" xfId="9232"/>
    <cellStyle name="Calculation 10 6 5 2" xfId="9233"/>
    <cellStyle name="Calculation 10 6 6" xfId="9234"/>
    <cellStyle name="Calculation 10 6 7" xfId="9235"/>
    <cellStyle name="Calculation 10 6 8" xfId="9221"/>
    <cellStyle name="Calculation 10 7" xfId="4114"/>
    <cellStyle name="Calculation 10 7 2" xfId="4115"/>
    <cellStyle name="Calculation 10 7 2 2" xfId="9237"/>
    <cellStyle name="Calculation 10 7 3" xfId="9236"/>
    <cellStyle name="Calculation 10 8" xfId="5151"/>
    <cellStyle name="Calculation 10 8 2" xfId="9239"/>
    <cellStyle name="Calculation 10 8 3" xfId="9238"/>
    <cellStyle name="Calculation 10 9" xfId="5152"/>
    <cellStyle name="Calculation 10 9 2" xfId="9241"/>
    <cellStyle name="Calculation 10 9 3" xfId="9240"/>
    <cellStyle name="Calculation 11" xfId="2566"/>
    <cellStyle name="Calculation 11 10" xfId="4116"/>
    <cellStyle name="Calculation 11 10 2" xfId="9242"/>
    <cellStyle name="Calculation 11 11" xfId="8315"/>
    <cellStyle name="Calculation 11 2" xfId="4117"/>
    <cellStyle name="Calculation 11 2 2" xfId="5153"/>
    <cellStyle name="Calculation 11 2 2 10" xfId="9245"/>
    <cellStyle name="Calculation 11 2 2 11" xfId="9244"/>
    <cellStyle name="Calculation 11 2 2 2" xfId="9246"/>
    <cellStyle name="Calculation 11 2 2 2 2" xfId="9247"/>
    <cellStyle name="Calculation 11 2 2 2 2 2" xfId="9248"/>
    <cellStyle name="Calculation 11 2 2 2 3" xfId="9249"/>
    <cellStyle name="Calculation 11 2 2 2 4" xfId="9250"/>
    <cellStyle name="Calculation 11 2 2 3" xfId="9251"/>
    <cellStyle name="Calculation 11 2 2 3 2" xfId="9252"/>
    <cellStyle name="Calculation 11 2 2 3 2 2" xfId="9253"/>
    <cellStyle name="Calculation 11 2 2 3 3" xfId="9254"/>
    <cellStyle name="Calculation 11 2 2 4" xfId="9255"/>
    <cellStyle name="Calculation 11 2 2 4 2" xfId="9256"/>
    <cellStyle name="Calculation 11 2 2 4 2 2" xfId="9257"/>
    <cellStyle name="Calculation 11 2 2 4 3" xfId="9258"/>
    <cellStyle name="Calculation 11 2 2 5" xfId="9259"/>
    <cellStyle name="Calculation 11 2 2 5 2" xfId="9260"/>
    <cellStyle name="Calculation 11 2 2 6" xfId="9261"/>
    <cellStyle name="Calculation 11 2 2 6 2" xfId="9262"/>
    <cellStyle name="Calculation 11 2 2 7" xfId="9263"/>
    <cellStyle name="Calculation 11 2 2 7 2" xfId="9264"/>
    <cellStyle name="Calculation 11 2 2 8" xfId="9265"/>
    <cellStyle name="Calculation 11 2 2 8 2" xfId="9266"/>
    <cellStyle name="Calculation 11 2 2 9" xfId="9267"/>
    <cellStyle name="Calculation 11 2 3" xfId="5154"/>
    <cellStyle name="Calculation 11 2 3 2" xfId="9269"/>
    <cellStyle name="Calculation 11 2 3 2 2" xfId="9270"/>
    <cellStyle name="Calculation 11 2 3 2 2 2" xfId="9271"/>
    <cellStyle name="Calculation 11 2 3 2 3" xfId="9272"/>
    <cellStyle name="Calculation 11 2 3 2 4" xfId="9273"/>
    <cellStyle name="Calculation 11 2 3 3" xfId="9274"/>
    <cellStyle name="Calculation 11 2 3 3 2" xfId="9275"/>
    <cellStyle name="Calculation 11 2 3 3 2 2" xfId="9276"/>
    <cellStyle name="Calculation 11 2 3 3 3" xfId="9277"/>
    <cellStyle name="Calculation 11 2 3 4" xfId="9278"/>
    <cellStyle name="Calculation 11 2 3 4 2" xfId="9279"/>
    <cellStyle name="Calculation 11 2 3 5" xfId="9280"/>
    <cellStyle name="Calculation 11 2 3 5 2" xfId="9281"/>
    <cellStyle name="Calculation 11 2 3 6" xfId="9282"/>
    <cellStyle name="Calculation 11 2 3 7" xfId="9283"/>
    <cellStyle name="Calculation 11 2 3 8" xfId="9268"/>
    <cellStyle name="Calculation 11 2 4" xfId="4118"/>
    <cellStyle name="Calculation 11 2 4 2" xfId="4119"/>
    <cellStyle name="Calculation 11 2 4 2 2" xfId="9285"/>
    <cellStyle name="Calculation 11 2 4 3" xfId="9286"/>
    <cellStyle name="Calculation 11 2 4 4" xfId="9284"/>
    <cellStyle name="Calculation 11 2 5" xfId="4120"/>
    <cellStyle name="Calculation 11 2 5 2" xfId="4121"/>
    <cellStyle name="Calculation 11 2 5 2 2" xfId="9288"/>
    <cellStyle name="Calculation 11 2 5 3" xfId="9287"/>
    <cellStyle name="Calculation 11 2 6" xfId="5155"/>
    <cellStyle name="Calculation 11 2 6 2" xfId="9290"/>
    <cellStyle name="Calculation 11 2 6 3" xfId="9289"/>
    <cellStyle name="Calculation 11 2 7" xfId="5156"/>
    <cellStyle name="Calculation 11 2 7 2" xfId="9291"/>
    <cellStyle name="Calculation 11 2 8" xfId="9292"/>
    <cellStyle name="Calculation 11 2 9" xfId="9243"/>
    <cellStyle name="Calculation 11 3" xfId="4122"/>
    <cellStyle name="Calculation 11 3 2" xfId="4123"/>
    <cellStyle name="Calculation 11 3 2 10" xfId="9295"/>
    <cellStyle name="Calculation 11 3 2 11" xfId="9294"/>
    <cellStyle name="Calculation 11 3 2 2" xfId="9296"/>
    <cellStyle name="Calculation 11 3 2 2 2" xfId="9297"/>
    <cellStyle name="Calculation 11 3 2 2 2 2" xfId="9298"/>
    <cellStyle name="Calculation 11 3 2 2 3" xfId="9299"/>
    <cellStyle name="Calculation 11 3 2 3" xfId="9300"/>
    <cellStyle name="Calculation 11 3 2 3 2" xfId="9301"/>
    <cellStyle name="Calculation 11 3 2 3 2 2" xfId="9302"/>
    <cellStyle name="Calculation 11 3 2 3 3" xfId="9303"/>
    <cellStyle name="Calculation 11 3 2 4" xfId="9304"/>
    <cellStyle name="Calculation 11 3 2 4 2" xfId="9305"/>
    <cellStyle name="Calculation 11 3 2 4 2 2" xfId="9306"/>
    <cellStyle name="Calculation 11 3 2 4 3" xfId="9307"/>
    <cellStyle name="Calculation 11 3 2 5" xfId="9308"/>
    <cellStyle name="Calculation 11 3 2 5 2" xfId="9309"/>
    <cellStyle name="Calculation 11 3 2 6" xfId="9310"/>
    <cellStyle name="Calculation 11 3 2 6 2" xfId="9311"/>
    <cellStyle name="Calculation 11 3 2 7" xfId="9312"/>
    <cellStyle name="Calculation 11 3 2 7 2" xfId="9313"/>
    <cellStyle name="Calculation 11 3 2 8" xfId="9314"/>
    <cellStyle name="Calculation 11 3 2 8 2" xfId="9315"/>
    <cellStyle name="Calculation 11 3 2 9" xfId="9316"/>
    <cellStyle name="Calculation 11 3 3" xfId="9317"/>
    <cellStyle name="Calculation 11 3 3 2" xfId="9318"/>
    <cellStyle name="Calculation 11 3 3 2 2" xfId="9319"/>
    <cellStyle name="Calculation 11 3 3 2 2 2" xfId="9320"/>
    <cellStyle name="Calculation 11 3 3 2 3" xfId="9321"/>
    <cellStyle name="Calculation 11 3 3 3" xfId="9322"/>
    <cellStyle name="Calculation 11 3 3 3 2" xfId="9323"/>
    <cellStyle name="Calculation 11 3 3 3 2 2" xfId="9324"/>
    <cellStyle name="Calculation 11 3 3 3 3" xfId="9325"/>
    <cellStyle name="Calculation 11 3 3 4" xfId="9326"/>
    <cellStyle name="Calculation 11 3 3 4 2" xfId="9327"/>
    <cellStyle name="Calculation 11 3 3 5" xfId="9328"/>
    <cellStyle name="Calculation 11 3 3 5 2" xfId="9329"/>
    <cellStyle name="Calculation 11 3 3 6" xfId="9330"/>
    <cellStyle name="Calculation 11 3 3 7" xfId="9331"/>
    <cellStyle name="Calculation 11 3 4" xfId="9332"/>
    <cellStyle name="Calculation 11 3 4 2" xfId="9333"/>
    <cellStyle name="Calculation 11 3 5" xfId="9334"/>
    <cellStyle name="Calculation 11 3 5 2" xfId="9335"/>
    <cellStyle name="Calculation 11 3 6" xfId="9336"/>
    <cellStyle name="Calculation 11 3 6 2" xfId="9337"/>
    <cellStyle name="Calculation 11 3 7" xfId="9338"/>
    <cellStyle name="Calculation 11 3 8" xfId="9339"/>
    <cellStyle name="Calculation 11 3 9" xfId="9293"/>
    <cellStyle name="Calculation 11 4" xfId="5415"/>
    <cellStyle name="Calculation 11 4 10" xfId="9341"/>
    <cellStyle name="Calculation 11 4 11" xfId="9340"/>
    <cellStyle name="Calculation 11 4 2" xfId="9342"/>
    <cellStyle name="Calculation 11 4 2 2" xfId="9343"/>
    <cellStyle name="Calculation 11 4 2 2 2" xfId="9344"/>
    <cellStyle name="Calculation 11 4 2 3" xfId="9345"/>
    <cellStyle name="Calculation 11 4 2 4" xfId="9346"/>
    <cellStyle name="Calculation 11 4 3" xfId="9347"/>
    <cellStyle name="Calculation 11 4 3 2" xfId="9348"/>
    <cellStyle name="Calculation 11 4 3 2 2" xfId="9349"/>
    <cellStyle name="Calculation 11 4 3 3" xfId="9350"/>
    <cellStyle name="Calculation 11 4 4" xfId="9351"/>
    <cellStyle name="Calculation 11 4 4 2" xfId="9352"/>
    <cellStyle name="Calculation 11 4 4 2 2" xfId="9353"/>
    <cellStyle name="Calculation 11 4 4 3" xfId="9354"/>
    <cellStyle name="Calculation 11 4 5" xfId="9355"/>
    <cellStyle name="Calculation 11 4 5 2" xfId="9356"/>
    <cellStyle name="Calculation 11 4 6" xfId="9357"/>
    <cellStyle name="Calculation 11 4 6 2" xfId="9358"/>
    <cellStyle name="Calculation 11 4 7" xfId="9359"/>
    <cellStyle name="Calculation 11 4 7 2" xfId="9360"/>
    <cellStyle name="Calculation 11 4 8" xfId="9361"/>
    <cellStyle name="Calculation 11 4 8 2" xfId="9362"/>
    <cellStyle name="Calculation 11 4 9" xfId="9363"/>
    <cellStyle name="Calculation 11 5" xfId="4124"/>
    <cellStyle name="Calculation 11 5 10" xfId="9365"/>
    <cellStyle name="Calculation 11 5 11" xfId="9364"/>
    <cellStyle name="Calculation 11 5 2" xfId="9366"/>
    <cellStyle name="Calculation 11 5 2 2" xfId="9367"/>
    <cellStyle name="Calculation 11 5 2 2 2" xfId="9368"/>
    <cellStyle name="Calculation 11 5 2 3" xfId="9369"/>
    <cellStyle name="Calculation 11 5 2 4" xfId="9370"/>
    <cellStyle name="Calculation 11 5 3" xfId="9371"/>
    <cellStyle name="Calculation 11 5 3 2" xfId="9372"/>
    <cellStyle name="Calculation 11 5 3 2 2" xfId="9373"/>
    <cellStyle name="Calculation 11 5 3 3" xfId="9374"/>
    <cellStyle name="Calculation 11 5 4" xfId="9375"/>
    <cellStyle name="Calculation 11 5 4 2" xfId="9376"/>
    <cellStyle name="Calculation 11 5 4 2 2" xfId="9377"/>
    <cellStyle name="Calculation 11 5 4 3" xfId="9378"/>
    <cellStyle name="Calculation 11 5 5" xfId="9379"/>
    <cellStyle name="Calculation 11 5 5 2" xfId="9380"/>
    <cellStyle name="Calculation 11 5 6" xfId="9381"/>
    <cellStyle name="Calculation 11 5 6 2" xfId="9382"/>
    <cellStyle name="Calculation 11 5 7" xfId="9383"/>
    <cellStyle name="Calculation 11 5 7 2" xfId="9384"/>
    <cellStyle name="Calculation 11 5 8" xfId="9385"/>
    <cellStyle name="Calculation 11 5 8 2" xfId="9386"/>
    <cellStyle name="Calculation 11 5 9" xfId="9387"/>
    <cellStyle name="Calculation 11 6" xfId="4125"/>
    <cellStyle name="Calculation 11 6 2" xfId="1855"/>
    <cellStyle name="Calculation 11 6 2 2" xfId="9390"/>
    <cellStyle name="Calculation 11 6 2 2 2" xfId="9391"/>
    <cellStyle name="Calculation 11 6 2 3" xfId="9392"/>
    <cellStyle name="Calculation 11 6 2 4" xfId="9389"/>
    <cellStyle name="Calculation 11 6 3" xfId="9393"/>
    <cellStyle name="Calculation 11 6 3 2" xfId="9394"/>
    <cellStyle name="Calculation 11 6 3 2 2" xfId="9395"/>
    <cellStyle name="Calculation 11 6 3 3" xfId="9396"/>
    <cellStyle name="Calculation 11 6 4" xfId="9397"/>
    <cellStyle name="Calculation 11 6 4 2" xfId="9398"/>
    <cellStyle name="Calculation 11 6 5" xfId="9399"/>
    <cellStyle name="Calculation 11 6 5 2" xfId="9400"/>
    <cellStyle name="Calculation 11 6 6" xfId="9401"/>
    <cellStyle name="Calculation 11 6 7" xfId="9402"/>
    <cellStyle name="Calculation 11 6 8" xfId="9388"/>
    <cellStyle name="Calculation 11 7" xfId="4126"/>
    <cellStyle name="Calculation 11 7 2" xfId="4127"/>
    <cellStyle name="Calculation 11 7 2 2" xfId="9404"/>
    <cellStyle name="Calculation 11 7 3" xfId="9403"/>
    <cellStyle name="Calculation 11 8" xfId="4128"/>
    <cellStyle name="Calculation 11 8 2" xfId="9406"/>
    <cellStyle name="Calculation 11 8 3" xfId="9405"/>
    <cellStyle name="Calculation 11 9" xfId="3374"/>
    <cellStyle name="Calculation 11 9 2" xfId="9408"/>
    <cellStyle name="Calculation 11 9 3" xfId="9407"/>
    <cellStyle name="Calculation 12" xfId="2567"/>
    <cellStyle name="Calculation 12 10" xfId="4129"/>
    <cellStyle name="Calculation 12 10 2" xfId="9409"/>
    <cellStyle name="Calculation 12 11" xfId="8316"/>
    <cellStyle name="Calculation 12 2" xfId="4130"/>
    <cellStyle name="Calculation 12 2 2" xfId="4131"/>
    <cellStyle name="Calculation 12 2 2 10" xfId="9412"/>
    <cellStyle name="Calculation 12 2 2 11" xfId="9411"/>
    <cellStyle name="Calculation 12 2 2 2" xfId="9413"/>
    <cellStyle name="Calculation 12 2 2 2 2" xfId="9414"/>
    <cellStyle name="Calculation 12 2 2 2 2 2" xfId="9415"/>
    <cellStyle name="Calculation 12 2 2 2 3" xfId="9416"/>
    <cellStyle name="Calculation 12 2 2 2 4" xfId="9417"/>
    <cellStyle name="Calculation 12 2 2 3" xfId="9418"/>
    <cellStyle name="Calculation 12 2 2 3 2" xfId="9419"/>
    <cellStyle name="Calculation 12 2 2 3 2 2" xfId="9420"/>
    <cellStyle name="Calculation 12 2 2 3 3" xfId="9421"/>
    <cellStyle name="Calculation 12 2 2 4" xfId="9422"/>
    <cellStyle name="Calculation 12 2 2 4 2" xfId="9423"/>
    <cellStyle name="Calculation 12 2 2 4 2 2" xfId="9424"/>
    <cellStyle name="Calculation 12 2 2 4 3" xfId="9425"/>
    <cellStyle name="Calculation 12 2 2 5" xfId="9426"/>
    <cellStyle name="Calculation 12 2 2 5 2" xfId="9427"/>
    <cellStyle name="Calculation 12 2 2 6" xfId="9428"/>
    <cellStyle name="Calculation 12 2 2 6 2" xfId="9429"/>
    <cellStyle name="Calculation 12 2 2 7" xfId="9430"/>
    <cellStyle name="Calculation 12 2 2 7 2" xfId="9431"/>
    <cellStyle name="Calculation 12 2 2 8" xfId="9432"/>
    <cellStyle name="Calculation 12 2 2 8 2" xfId="9433"/>
    <cellStyle name="Calculation 12 2 2 9" xfId="9434"/>
    <cellStyle name="Calculation 12 2 3" xfId="4132"/>
    <cellStyle name="Calculation 12 2 3 2" xfId="9436"/>
    <cellStyle name="Calculation 12 2 3 2 2" xfId="9437"/>
    <cellStyle name="Calculation 12 2 3 2 2 2" xfId="9438"/>
    <cellStyle name="Calculation 12 2 3 2 3" xfId="9439"/>
    <cellStyle name="Calculation 12 2 3 2 4" xfId="9440"/>
    <cellStyle name="Calculation 12 2 3 3" xfId="9441"/>
    <cellStyle name="Calculation 12 2 3 3 2" xfId="9442"/>
    <cellStyle name="Calculation 12 2 3 3 2 2" xfId="9443"/>
    <cellStyle name="Calculation 12 2 3 3 3" xfId="9444"/>
    <cellStyle name="Calculation 12 2 3 4" xfId="9445"/>
    <cellStyle name="Calculation 12 2 3 4 2" xfId="9446"/>
    <cellStyle name="Calculation 12 2 3 5" xfId="9447"/>
    <cellStyle name="Calculation 12 2 3 5 2" xfId="9448"/>
    <cellStyle name="Calculation 12 2 3 6" xfId="9449"/>
    <cellStyle name="Calculation 12 2 3 7" xfId="9450"/>
    <cellStyle name="Calculation 12 2 3 8" xfId="9435"/>
    <cellStyle name="Calculation 12 2 4" xfId="4133"/>
    <cellStyle name="Calculation 12 2 4 2" xfId="4134"/>
    <cellStyle name="Calculation 12 2 4 2 2" xfId="9452"/>
    <cellStyle name="Calculation 12 2 4 3" xfId="9453"/>
    <cellStyle name="Calculation 12 2 4 4" xfId="9451"/>
    <cellStyle name="Calculation 12 2 5" xfId="4135"/>
    <cellStyle name="Calculation 12 2 5 2" xfId="4136"/>
    <cellStyle name="Calculation 12 2 5 2 2" xfId="9455"/>
    <cellStyle name="Calculation 12 2 5 3" xfId="9454"/>
    <cellStyle name="Calculation 12 2 6" xfId="4137"/>
    <cellStyle name="Calculation 12 2 6 2" xfId="9457"/>
    <cellStyle name="Calculation 12 2 6 3" xfId="9456"/>
    <cellStyle name="Calculation 12 2 7" xfId="4138"/>
    <cellStyle name="Calculation 12 2 7 2" xfId="9458"/>
    <cellStyle name="Calculation 12 2 8" xfId="9459"/>
    <cellStyle name="Calculation 12 2 9" xfId="9410"/>
    <cellStyle name="Calculation 12 3" xfId="5157"/>
    <cellStyle name="Calculation 12 3 2" xfId="4139"/>
    <cellStyle name="Calculation 12 3 2 10" xfId="9462"/>
    <cellStyle name="Calculation 12 3 2 11" xfId="9461"/>
    <cellStyle name="Calculation 12 3 2 2" xfId="9463"/>
    <cellStyle name="Calculation 12 3 2 2 2" xfId="9464"/>
    <cellStyle name="Calculation 12 3 2 2 2 2" xfId="9465"/>
    <cellStyle name="Calculation 12 3 2 2 3" xfId="9466"/>
    <cellStyle name="Calculation 12 3 2 3" xfId="9467"/>
    <cellStyle name="Calculation 12 3 2 3 2" xfId="9468"/>
    <cellStyle name="Calculation 12 3 2 3 2 2" xfId="9469"/>
    <cellStyle name="Calculation 12 3 2 3 3" xfId="9470"/>
    <cellStyle name="Calculation 12 3 2 4" xfId="9471"/>
    <cellStyle name="Calculation 12 3 2 4 2" xfId="9472"/>
    <cellStyle name="Calculation 12 3 2 4 2 2" xfId="9473"/>
    <cellStyle name="Calculation 12 3 2 4 3" xfId="9474"/>
    <cellStyle name="Calculation 12 3 2 5" xfId="9475"/>
    <cellStyle name="Calculation 12 3 2 5 2" xfId="9476"/>
    <cellStyle name="Calculation 12 3 2 6" xfId="9477"/>
    <cellStyle name="Calculation 12 3 2 6 2" xfId="9478"/>
    <cellStyle name="Calculation 12 3 2 7" xfId="9479"/>
    <cellStyle name="Calculation 12 3 2 7 2" xfId="9480"/>
    <cellStyle name="Calculation 12 3 2 8" xfId="9481"/>
    <cellStyle name="Calculation 12 3 2 8 2" xfId="9482"/>
    <cellStyle name="Calculation 12 3 2 9" xfId="9483"/>
    <cellStyle name="Calculation 12 3 3" xfId="9484"/>
    <cellStyle name="Calculation 12 3 3 2" xfId="9485"/>
    <cellStyle name="Calculation 12 3 3 2 2" xfId="9486"/>
    <cellStyle name="Calculation 12 3 3 2 2 2" xfId="9487"/>
    <cellStyle name="Calculation 12 3 3 2 3" xfId="9488"/>
    <cellStyle name="Calculation 12 3 3 3" xfId="9489"/>
    <cellStyle name="Calculation 12 3 3 3 2" xfId="9490"/>
    <cellStyle name="Calculation 12 3 3 3 2 2" xfId="9491"/>
    <cellStyle name="Calculation 12 3 3 3 3" xfId="9492"/>
    <cellStyle name="Calculation 12 3 3 4" xfId="9493"/>
    <cellStyle name="Calculation 12 3 3 4 2" xfId="9494"/>
    <cellStyle name="Calculation 12 3 3 5" xfId="9495"/>
    <cellStyle name="Calculation 12 3 3 5 2" xfId="9496"/>
    <cellStyle name="Calculation 12 3 3 6" xfId="9497"/>
    <cellStyle name="Calculation 12 3 3 7" xfId="9498"/>
    <cellStyle name="Calculation 12 3 4" xfId="9499"/>
    <cellStyle name="Calculation 12 3 4 2" xfId="9500"/>
    <cellStyle name="Calculation 12 3 5" xfId="9501"/>
    <cellStyle name="Calculation 12 3 5 2" xfId="9502"/>
    <cellStyle name="Calculation 12 3 6" xfId="9503"/>
    <cellStyle name="Calculation 12 3 6 2" xfId="9504"/>
    <cellStyle name="Calculation 12 3 7" xfId="9505"/>
    <cellStyle name="Calculation 12 3 8" xfId="9506"/>
    <cellStyle name="Calculation 12 3 9" xfId="9460"/>
    <cellStyle name="Calculation 12 4" xfId="4886"/>
    <cellStyle name="Calculation 12 4 10" xfId="9508"/>
    <cellStyle name="Calculation 12 4 11" xfId="9507"/>
    <cellStyle name="Calculation 12 4 2" xfId="9509"/>
    <cellStyle name="Calculation 12 4 2 2" xfId="9510"/>
    <cellStyle name="Calculation 12 4 2 2 2" xfId="9511"/>
    <cellStyle name="Calculation 12 4 2 3" xfId="9512"/>
    <cellStyle name="Calculation 12 4 2 4" xfId="9513"/>
    <cellStyle name="Calculation 12 4 3" xfId="9514"/>
    <cellStyle name="Calculation 12 4 3 2" xfId="9515"/>
    <cellStyle name="Calculation 12 4 3 2 2" xfId="9516"/>
    <cellStyle name="Calculation 12 4 3 3" xfId="9517"/>
    <cellStyle name="Calculation 12 4 4" xfId="9518"/>
    <cellStyle name="Calculation 12 4 4 2" xfId="9519"/>
    <cellStyle name="Calculation 12 4 4 2 2" xfId="9520"/>
    <cellStyle name="Calculation 12 4 4 3" xfId="9521"/>
    <cellStyle name="Calculation 12 4 5" xfId="9522"/>
    <cellStyle name="Calculation 12 4 5 2" xfId="9523"/>
    <cellStyle name="Calculation 12 4 6" xfId="9524"/>
    <cellStyle name="Calculation 12 4 6 2" xfId="9525"/>
    <cellStyle name="Calculation 12 4 7" xfId="9526"/>
    <cellStyle name="Calculation 12 4 7 2" xfId="9527"/>
    <cellStyle name="Calculation 12 4 8" xfId="9528"/>
    <cellStyle name="Calculation 12 4 8 2" xfId="9529"/>
    <cellStyle name="Calculation 12 4 9" xfId="9530"/>
    <cellStyle name="Calculation 12 5" xfId="4887"/>
    <cellStyle name="Calculation 12 5 10" xfId="9532"/>
    <cellStyle name="Calculation 12 5 11" xfId="9531"/>
    <cellStyle name="Calculation 12 5 2" xfId="9533"/>
    <cellStyle name="Calculation 12 5 2 2" xfId="9534"/>
    <cellStyle name="Calculation 12 5 2 2 2" xfId="9535"/>
    <cellStyle name="Calculation 12 5 2 3" xfId="9536"/>
    <cellStyle name="Calculation 12 5 2 4" xfId="9537"/>
    <cellStyle name="Calculation 12 5 3" xfId="9538"/>
    <cellStyle name="Calculation 12 5 3 2" xfId="9539"/>
    <cellStyle name="Calculation 12 5 3 2 2" xfId="9540"/>
    <cellStyle name="Calculation 12 5 3 3" xfId="9541"/>
    <cellStyle name="Calculation 12 5 4" xfId="9542"/>
    <cellStyle name="Calculation 12 5 4 2" xfId="9543"/>
    <cellStyle name="Calculation 12 5 4 2 2" xfId="9544"/>
    <cellStyle name="Calculation 12 5 4 3" xfId="9545"/>
    <cellStyle name="Calculation 12 5 5" xfId="9546"/>
    <cellStyle name="Calculation 12 5 5 2" xfId="9547"/>
    <cellStyle name="Calculation 12 5 6" xfId="9548"/>
    <cellStyle name="Calculation 12 5 6 2" xfId="9549"/>
    <cellStyle name="Calculation 12 5 7" xfId="9550"/>
    <cellStyle name="Calculation 12 5 7 2" xfId="9551"/>
    <cellStyle name="Calculation 12 5 8" xfId="9552"/>
    <cellStyle name="Calculation 12 5 8 2" xfId="9553"/>
    <cellStyle name="Calculation 12 5 9" xfId="9554"/>
    <cellStyle name="Calculation 12 6" xfId="4888"/>
    <cellStyle name="Calculation 12 6 2" xfId="3375"/>
    <cellStyle name="Calculation 12 6 2 2" xfId="9557"/>
    <cellStyle name="Calculation 12 6 2 2 2" xfId="9558"/>
    <cellStyle name="Calculation 12 6 2 3" xfId="9559"/>
    <cellStyle name="Calculation 12 6 2 4" xfId="9556"/>
    <cellStyle name="Calculation 12 6 3" xfId="9560"/>
    <cellStyle name="Calculation 12 6 3 2" xfId="9561"/>
    <cellStyle name="Calculation 12 6 3 2 2" xfId="9562"/>
    <cellStyle name="Calculation 12 6 3 3" xfId="9563"/>
    <cellStyle name="Calculation 12 6 4" xfId="9564"/>
    <cellStyle name="Calculation 12 6 4 2" xfId="9565"/>
    <cellStyle name="Calculation 12 6 5" xfId="9566"/>
    <cellStyle name="Calculation 12 6 5 2" xfId="9567"/>
    <cellStyle name="Calculation 12 6 6" xfId="9568"/>
    <cellStyle name="Calculation 12 6 7" xfId="9569"/>
    <cellStyle name="Calculation 12 6 8" xfId="9555"/>
    <cellStyle name="Calculation 12 7" xfId="4889"/>
    <cellStyle name="Calculation 12 7 2" xfId="4890"/>
    <cellStyle name="Calculation 12 7 2 2" xfId="9571"/>
    <cellStyle name="Calculation 12 7 3" xfId="9570"/>
    <cellStyle name="Calculation 12 8" xfId="4891"/>
    <cellStyle name="Calculation 12 8 2" xfId="9573"/>
    <cellStyle name="Calculation 12 8 3" xfId="9572"/>
    <cellStyle name="Calculation 12 9" xfId="4892"/>
    <cellStyle name="Calculation 12 9 2" xfId="9575"/>
    <cellStyle name="Calculation 12 9 3" xfId="9574"/>
    <cellStyle name="Calculation 13" xfId="2568"/>
    <cellStyle name="Calculation 13 10" xfId="4893"/>
    <cellStyle name="Calculation 13 10 2" xfId="9576"/>
    <cellStyle name="Calculation 13 11" xfId="8317"/>
    <cellStyle name="Calculation 13 2" xfId="4894"/>
    <cellStyle name="Calculation 13 2 2" xfId="4895"/>
    <cellStyle name="Calculation 13 2 2 10" xfId="9579"/>
    <cellStyle name="Calculation 13 2 2 11" xfId="9578"/>
    <cellStyle name="Calculation 13 2 2 2" xfId="9580"/>
    <cellStyle name="Calculation 13 2 2 2 2" xfId="9581"/>
    <cellStyle name="Calculation 13 2 2 2 2 2" xfId="9582"/>
    <cellStyle name="Calculation 13 2 2 2 3" xfId="9583"/>
    <cellStyle name="Calculation 13 2 2 2 4" xfId="9584"/>
    <cellStyle name="Calculation 13 2 2 3" xfId="9585"/>
    <cellStyle name="Calculation 13 2 2 3 2" xfId="9586"/>
    <cellStyle name="Calculation 13 2 2 3 2 2" xfId="9587"/>
    <cellStyle name="Calculation 13 2 2 3 3" xfId="9588"/>
    <cellStyle name="Calculation 13 2 2 4" xfId="9589"/>
    <cellStyle name="Calculation 13 2 2 4 2" xfId="9590"/>
    <cellStyle name="Calculation 13 2 2 4 2 2" xfId="9591"/>
    <cellStyle name="Calculation 13 2 2 4 3" xfId="9592"/>
    <cellStyle name="Calculation 13 2 2 5" xfId="9593"/>
    <cellStyle name="Calculation 13 2 2 5 2" xfId="9594"/>
    <cellStyle name="Calculation 13 2 2 6" xfId="9595"/>
    <cellStyle name="Calculation 13 2 2 6 2" xfId="9596"/>
    <cellStyle name="Calculation 13 2 2 7" xfId="9597"/>
    <cellStyle name="Calculation 13 2 2 7 2" xfId="9598"/>
    <cellStyle name="Calculation 13 2 2 8" xfId="9599"/>
    <cellStyle name="Calculation 13 2 2 8 2" xfId="9600"/>
    <cellStyle name="Calculation 13 2 2 9" xfId="9601"/>
    <cellStyle name="Calculation 13 2 3" xfId="4140"/>
    <cellStyle name="Calculation 13 2 3 2" xfId="9603"/>
    <cellStyle name="Calculation 13 2 3 2 2" xfId="9604"/>
    <cellStyle name="Calculation 13 2 3 2 2 2" xfId="9605"/>
    <cellStyle name="Calculation 13 2 3 2 3" xfId="9606"/>
    <cellStyle name="Calculation 13 2 3 2 4" xfId="9607"/>
    <cellStyle name="Calculation 13 2 3 3" xfId="9608"/>
    <cellStyle name="Calculation 13 2 3 3 2" xfId="9609"/>
    <cellStyle name="Calculation 13 2 3 3 2 2" xfId="9610"/>
    <cellStyle name="Calculation 13 2 3 3 3" xfId="9611"/>
    <cellStyle name="Calculation 13 2 3 4" xfId="9612"/>
    <cellStyle name="Calculation 13 2 3 4 2" xfId="9613"/>
    <cellStyle name="Calculation 13 2 3 5" xfId="9614"/>
    <cellStyle name="Calculation 13 2 3 5 2" xfId="9615"/>
    <cellStyle name="Calculation 13 2 3 6" xfId="9616"/>
    <cellStyle name="Calculation 13 2 3 7" xfId="9617"/>
    <cellStyle name="Calculation 13 2 3 8" xfId="9602"/>
    <cellStyle name="Calculation 13 2 4" xfId="4141"/>
    <cellStyle name="Calculation 13 2 4 2" xfId="4142"/>
    <cellStyle name="Calculation 13 2 4 2 2" xfId="9619"/>
    <cellStyle name="Calculation 13 2 4 3" xfId="9620"/>
    <cellStyle name="Calculation 13 2 4 4" xfId="9618"/>
    <cellStyle name="Calculation 13 2 5" xfId="5359"/>
    <cellStyle name="Calculation 13 2 5 2" xfId="4143"/>
    <cellStyle name="Calculation 13 2 5 2 2" xfId="9622"/>
    <cellStyle name="Calculation 13 2 5 3" xfId="9621"/>
    <cellStyle name="Calculation 13 2 6" xfId="4144"/>
    <cellStyle name="Calculation 13 2 6 2" xfId="9624"/>
    <cellStyle name="Calculation 13 2 6 3" xfId="9623"/>
    <cellStyle name="Calculation 13 2 7" xfId="4145"/>
    <cellStyle name="Calculation 13 2 7 2" xfId="9625"/>
    <cellStyle name="Calculation 13 2 8" xfId="9626"/>
    <cellStyle name="Calculation 13 2 9" xfId="9577"/>
    <cellStyle name="Calculation 13 3" xfId="4146"/>
    <cellStyle name="Calculation 13 3 2" xfId="4896"/>
    <cellStyle name="Calculation 13 3 2 10" xfId="9629"/>
    <cellStyle name="Calculation 13 3 2 11" xfId="9628"/>
    <cellStyle name="Calculation 13 3 2 2" xfId="9630"/>
    <cellStyle name="Calculation 13 3 2 2 2" xfId="9631"/>
    <cellStyle name="Calculation 13 3 2 2 2 2" xfId="9632"/>
    <cellStyle name="Calculation 13 3 2 2 3" xfId="9633"/>
    <cellStyle name="Calculation 13 3 2 3" xfId="9634"/>
    <cellStyle name="Calculation 13 3 2 3 2" xfId="9635"/>
    <cellStyle name="Calculation 13 3 2 3 2 2" xfId="9636"/>
    <cellStyle name="Calculation 13 3 2 3 3" xfId="9637"/>
    <cellStyle name="Calculation 13 3 2 4" xfId="9638"/>
    <cellStyle name="Calculation 13 3 2 4 2" xfId="9639"/>
    <cellStyle name="Calculation 13 3 2 4 2 2" xfId="9640"/>
    <cellStyle name="Calculation 13 3 2 4 3" xfId="9641"/>
    <cellStyle name="Calculation 13 3 2 5" xfId="9642"/>
    <cellStyle name="Calculation 13 3 2 5 2" xfId="9643"/>
    <cellStyle name="Calculation 13 3 2 6" xfId="9644"/>
    <cellStyle name="Calculation 13 3 2 6 2" xfId="9645"/>
    <cellStyle name="Calculation 13 3 2 7" xfId="9646"/>
    <cellStyle name="Calculation 13 3 2 7 2" xfId="9647"/>
    <cellStyle name="Calculation 13 3 2 8" xfId="9648"/>
    <cellStyle name="Calculation 13 3 2 8 2" xfId="9649"/>
    <cellStyle name="Calculation 13 3 2 9" xfId="9650"/>
    <cellStyle name="Calculation 13 3 3" xfId="9651"/>
    <cellStyle name="Calculation 13 3 3 2" xfId="9652"/>
    <cellStyle name="Calculation 13 3 3 2 2" xfId="9653"/>
    <cellStyle name="Calculation 13 3 3 2 2 2" xfId="9654"/>
    <cellStyle name="Calculation 13 3 3 2 3" xfId="9655"/>
    <cellStyle name="Calculation 13 3 3 3" xfId="9656"/>
    <cellStyle name="Calculation 13 3 3 3 2" xfId="9657"/>
    <cellStyle name="Calculation 13 3 3 3 2 2" xfId="9658"/>
    <cellStyle name="Calculation 13 3 3 3 3" xfId="9659"/>
    <cellStyle name="Calculation 13 3 3 4" xfId="9660"/>
    <cellStyle name="Calculation 13 3 3 4 2" xfId="9661"/>
    <cellStyle name="Calculation 13 3 3 5" xfId="9662"/>
    <cellStyle name="Calculation 13 3 3 5 2" xfId="9663"/>
    <cellStyle name="Calculation 13 3 3 6" xfId="9664"/>
    <cellStyle name="Calculation 13 3 3 7" xfId="9665"/>
    <cellStyle name="Calculation 13 3 4" xfId="9666"/>
    <cellStyle name="Calculation 13 3 4 2" xfId="9667"/>
    <cellStyle name="Calculation 13 3 5" xfId="9668"/>
    <cellStyle name="Calculation 13 3 5 2" xfId="9669"/>
    <cellStyle name="Calculation 13 3 6" xfId="9670"/>
    <cellStyle name="Calculation 13 3 6 2" xfId="9671"/>
    <cellStyle name="Calculation 13 3 7" xfId="9672"/>
    <cellStyle name="Calculation 13 3 8" xfId="9673"/>
    <cellStyle name="Calculation 13 3 9" xfId="9627"/>
    <cellStyle name="Calculation 13 4" xfId="4147"/>
    <cellStyle name="Calculation 13 4 10" xfId="9675"/>
    <cellStyle name="Calculation 13 4 11" xfId="9674"/>
    <cellStyle name="Calculation 13 4 2" xfId="9676"/>
    <cellStyle name="Calculation 13 4 2 2" xfId="9677"/>
    <cellStyle name="Calculation 13 4 2 2 2" xfId="9678"/>
    <cellStyle name="Calculation 13 4 2 3" xfId="9679"/>
    <cellStyle name="Calculation 13 4 2 4" xfId="9680"/>
    <cellStyle name="Calculation 13 4 3" xfId="9681"/>
    <cellStyle name="Calculation 13 4 3 2" xfId="9682"/>
    <cellStyle name="Calculation 13 4 3 2 2" xfId="9683"/>
    <cellStyle name="Calculation 13 4 3 3" xfId="9684"/>
    <cellStyle name="Calculation 13 4 4" xfId="9685"/>
    <cellStyle name="Calculation 13 4 4 2" xfId="9686"/>
    <cellStyle name="Calculation 13 4 4 2 2" xfId="9687"/>
    <cellStyle name="Calculation 13 4 4 3" xfId="9688"/>
    <cellStyle name="Calculation 13 4 5" xfId="9689"/>
    <cellStyle name="Calculation 13 4 5 2" xfId="9690"/>
    <cellStyle name="Calculation 13 4 6" xfId="9691"/>
    <cellStyle name="Calculation 13 4 6 2" xfId="9692"/>
    <cellStyle name="Calculation 13 4 7" xfId="9693"/>
    <cellStyle name="Calculation 13 4 7 2" xfId="9694"/>
    <cellStyle name="Calculation 13 4 8" xfId="9695"/>
    <cellStyle name="Calculation 13 4 8 2" xfId="9696"/>
    <cellStyle name="Calculation 13 4 9" xfId="9697"/>
    <cellStyle name="Calculation 13 5" xfId="3376"/>
    <cellStyle name="Calculation 13 5 10" xfId="9699"/>
    <cellStyle name="Calculation 13 5 11" xfId="9698"/>
    <cellStyle name="Calculation 13 5 2" xfId="9700"/>
    <cellStyle name="Calculation 13 5 2 2" xfId="9701"/>
    <cellStyle name="Calculation 13 5 2 2 2" xfId="9702"/>
    <cellStyle name="Calculation 13 5 2 3" xfId="9703"/>
    <cellStyle name="Calculation 13 5 2 4" xfId="9704"/>
    <cellStyle name="Calculation 13 5 3" xfId="9705"/>
    <cellStyle name="Calculation 13 5 3 2" xfId="9706"/>
    <cellStyle name="Calculation 13 5 3 2 2" xfId="9707"/>
    <cellStyle name="Calculation 13 5 3 3" xfId="9708"/>
    <cellStyle name="Calculation 13 5 4" xfId="9709"/>
    <cellStyle name="Calculation 13 5 4 2" xfId="9710"/>
    <cellStyle name="Calculation 13 5 4 2 2" xfId="9711"/>
    <cellStyle name="Calculation 13 5 4 3" xfId="9712"/>
    <cellStyle name="Calculation 13 5 5" xfId="9713"/>
    <cellStyle name="Calculation 13 5 5 2" xfId="9714"/>
    <cellStyle name="Calculation 13 5 6" xfId="9715"/>
    <cellStyle name="Calculation 13 5 6 2" xfId="9716"/>
    <cellStyle name="Calculation 13 5 7" xfId="9717"/>
    <cellStyle name="Calculation 13 5 7 2" xfId="9718"/>
    <cellStyle name="Calculation 13 5 8" xfId="9719"/>
    <cellStyle name="Calculation 13 5 8 2" xfId="9720"/>
    <cellStyle name="Calculation 13 5 9" xfId="9721"/>
    <cellStyle name="Calculation 13 6" xfId="4148"/>
    <cellStyle name="Calculation 13 6 2" xfId="4897"/>
    <cellStyle name="Calculation 13 6 2 2" xfId="9724"/>
    <cellStyle name="Calculation 13 6 2 2 2" xfId="9725"/>
    <cellStyle name="Calculation 13 6 2 3" xfId="9726"/>
    <cellStyle name="Calculation 13 6 2 4" xfId="9723"/>
    <cellStyle name="Calculation 13 6 3" xfId="9727"/>
    <cellStyle name="Calculation 13 6 3 2" xfId="9728"/>
    <cellStyle name="Calculation 13 6 3 2 2" xfId="9729"/>
    <cellStyle name="Calculation 13 6 3 3" xfId="9730"/>
    <cellStyle name="Calculation 13 6 4" xfId="9731"/>
    <cellStyle name="Calculation 13 6 4 2" xfId="9732"/>
    <cellStyle name="Calculation 13 6 5" xfId="9733"/>
    <cellStyle name="Calculation 13 6 5 2" xfId="9734"/>
    <cellStyle name="Calculation 13 6 6" xfId="9735"/>
    <cellStyle name="Calculation 13 6 7" xfId="9736"/>
    <cellStyle name="Calculation 13 6 8" xfId="9722"/>
    <cellStyle name="Calculation 13 7" xfId="4898"/>
    <cellStyle name="Calculation 13 7 2" xfId="4899"/>
    <cellStyle name="Calculation 13 7 2 2" xfId="9738"/>
    <cellStyle name="Calculation 13 7 3" xfId="9737"/>
    <cellStyle name="Calculation 13 8" xfId="4900"/>
    <cellStyle name="Calculation 13 8 2" xfId="9740"/>
    <cellStyle name="Calculation 13 8 3" xfId="9739"/>
    <cellStyle name="Calculation 13 9" xfId="5158"/>
    <cellStyle name="Calculation 13 9 2" xfId="9742"/>
    <cellStyle name="Calculation 13 9 3" xfId="9741"/>
    <cellStyle name="Calculation 14" xfId="2569"/>
    <cellStyle name="Calculation 14 10" xfId="4149"/>
    <cellStyle name="Calculation 14 10 2" xfId="9743"/>
    <cellStyle name="Calculation 14 11" xfId="8318"/>
    <cellStyle name="Calculation 14 2" xfId="4150"/>
    <cellStyle name="Calculation 14 2 2" xfId="4151"/>
    <cellStyle name="Calculation 14 2 2 10" xfId="9746"/>
    <cellStyle name="Calculation 14 2 2 11" xfId="9745"/>
    <cellStyle name="Calculation 14 2 2 2" xfId="9747"/>
    <cellStyle name="Calculation 14 2 2 2 2" xfId="9748"/>
    <cellStyle name="Calculation 14 2 2 2 2 2" xfId="9749"/>
    <cellStyle name="Calculation 14 2 2 2 3" xfId="9750"/>
    <cellStyle name="Calculation 14 2 2 2 4" xfId="9751"/>
    <cellStyle name="Calculation 14 2 2 3" xfId="9752"/>
    <cellStyle name="Calculation 14 2 2 3 2" xfId="9753"/>
    <cellStyle name="Calculation 14 2 2 3 2 2" xfId="9754"/>
    <cellStyle name="Calculation 14 2 2 3 3" xfId="9755"/>
    <cellStyle name="Calculation 14 2 2 4" xfId="9756"/>
    <cellStyle name="Calculation 14 2 2 4 2" xfId="9757"/>
    <cellStyle name="Calculation 14 2 2 4 2 2" xfId="9758"/>
    <cellStyle name="Calculation 14 2 2 4 3" xfId="9759"/>
    <cellStyle name="Calculation 14 2 2 5" xfId="9760"/>
    <cellStyle name="Calculation 14 2 2 5 2" xfId="9761"/>
    <cellStyle name="Calculation 14 2 2 6" xfId="9762"/>
    <cellStyle name="Calculation 14 2 2 6 2" xfId="9763"/>
    <cellStyle name="Calculation 14 2 2 7" xfId="9764"/>
    <cellStyle name="Calculation 14 2 2 7 2" xfId="9765"/>
    <cellStyle name="Calculation 14 2 2 8" xfId="9766"/>
    <cellStyle name="Calculation 14 2 2 8 2" xfId="9767"/>
    <cellStyle name="Calculation 14 2 2 9" xfId="9768"/>
    <cellStyle name="Calculation 14 2 3" xfId="4152"/>
    <cellStyle name="Calculation 14 2 3 2" xfId="9770"/>
    <cellStyle name="Calculation 14 2 3 2 2" xfId="9771"/>
    <cellStyle name="Calculation 14 2 3 2 2 2" xfId="9772"/>
    <cellStyle name="Calculation 14 2 3 2 3" xfId="9773"/>
    <cellStyle name="Calculation 14 2 3 2 4" xfId="9774"/>
    <cellStyle name="Calculation 14 2 3 3" xfId="9775"/>
    <cellStyle name="Calculation 14 2 3 3 2" xfId="9776"/>
    <cellStyle name="Calculation 14 2 3 3 2 2" xfId="9777"/>
    <cellStyle name="Calculation 14 2 3 3 3" xfId="9778"/>
    <cellStyle name="Calculation 14 2 3 4" xfId="9779"/>
    <cellStyle name="Calculation 14 2 3 4 2" xfId="9780"/>
    <cellStyle name="Calculation 14 2 3 5" xfId="9781"/>
    <cellStyle name="Calculation 14 2 3 5 2" xfId="9782"/>
    <cellStyle name="Calculation 14 2 3 6" xfId="9783"/>
    <cellStyle name="Calculation 14 2 3 7" xfId="9784"/>
    <cellStyle name="Calculation 14 2 3 8" xfId="9769"/>
    <cellStyle name="Calculation 14 2 4" xfId="4153"/>
    <cellStyle name="Calculation 14 2 4 2" xfId="5416"/>
    <cellStyle name="Calculation 14 2 4 2 2" xfId="9786"/>
    <cellStyle name="Calculation 14 2 4 3" xfId="9787"/>
    <cellStyle name="Calculation 14 2 4 4" xfId="9785"/>
    <cellStyle name="Calculation 14 2 5" xfId="4154"/>
    <cellStyle name="Calculation 14 2 5 2" xfId="4155"/>
    <cellStyle name="Calculation 14 2 5 2 2" xfId="9789"/>
    <cellStyle name="Calculation 14 2 5 3" xfId="9788"/>
    <cellStyle name="Calculation 14 2 6" xfId="4156"/>
    <cellStyle name="Calculation 14 2 6 2" xfId="9791"/>
    <cellStyle name="Calculation 14 2 6 3" xfId="9790"/>
    <cellStyle name="Calculation 14 2 7" xfId="5360"/>
    <cellStyle name="Calculation 14 2 7 2" xfId="9792"/>
    <cellStyle name="Calculation 14 2 8" xfId="9793"/>
    <cellStyle name="Calculation 14 2 9" xfId="9744"/>
    <cellStyle name="Calculation 14 3" xfId="4157"/>
    <cellStyle name="Calculation 14 3 2" xfId="4158"/>
    <cellStyle name="Calculation 14 3 2 10" xfId="9796"/>
    <cellStyle name="Calculation 14 3 2 11" xfId="9795"/>
    <cellStyle name="Calculation 14 3 2 2" xfId="9797"/>
    <cellStyle name="Calculation 14 3 2 2 2" xfId="9798"/>
    <cellStyle name="Calculation 14 3 2 2 2 2" xfId="9799"/>
    <cellStyle name="Calculation 14 3 2 2 3" xfId="9800"/>
    <cellStyle name="Calculation 14 3 2 3" xfId="9801"/>
    <cellStyle name="Calculation 14 3 2 3 2" xfId="9802"/>
    <cellStyle name="Calculation 14 3 2 3 2 2" xfId="9803"/>
    <cellStyle name="Calculation 14 3 2 3 3" xfId="9804"/>
    <cellStyle name="Calculation 14 3 2 4" xfId="9805"/>
    <cellStyle name="Calculation 14 3 2 4 2" xfId="9806"/>
    <cellStyle name="Calculation 14 3 2 4 2 2" xfId="9807"/>
    <cellStyle name="Calculation 14 3 2 4 3" xfId="9808"/>
    <cellStyle name="Calculation 14 3 2 5" xfId="9809"/>
    <cellStyle name="Calculation 14 3 2 5 2" xfId="9810"/>
    <cellStyle name="Calculation 14 3 2 6" xfId="9811"/>
    <cellStyle name="Calculation 14 3 2 6 2" xfId="9812"/>
    <cellStyle name="Calculation 14 3 2 7" xfId="9813"/>
    <cellStyle name="Calculation 14 3 2 7 2" xfId="9814"/>
    <cellStyle name="Calculation 14 3 2 8" xfId="9815"/>
    <cellStyle name="Calculation 14 3 2 8 2" xfId="9816"/>
    <cellStyle name="Calculation 14 3 2 9" xfId="9817"/>
    <cellStyle name="Calculation 14 3 3" xfId="9818"/>
    <cellStyle name="Calculation 14 3 3 2" xfId="9819"/>
    <cellStyle name="Calculation 14 3 3 2 2" xfId="9820"/>
    <cellStyle name="Calculation 14 3 3 2 2 2" xfId="9821"/>
    <cellStyle name="Calculation 14 3 3 2 3" xfId="9822"/>
    <cellStyle name="Calculation 14 3 3 3" xfId="9823"/>
    <cellStyle name="Calculation 14 3 3 3 2" xfId="9824"/>
    <cellStyle name="Calculation 14 3 3 3 2 2" xfId="9825"/>
    <cellStyle name="Calculation 14 3 3 3 3" xfId="9826"/>
    <cellStyle name="Calculation 14 3 3 4" xfId="9827"/>
    <cellStyle name="Calculation 14 3 3 4 2" xfId="9828"/>
    <cellStyle name="Calculation 14 3 3 5" xfId="9829"/>
    <cellStyle name="Calculation 14 3 3 5 2" xfId="9830"/>
    <cellStyle name="Calculation 14 3 3 6" xfId="9831"/>
    <cellStyle name="Calculation 14 3 3 7" xfId="9832"/>
    <cellStyle name="Calculation 14 3 4" xfId="9833"/>
    <cellStyle name="Calculation 14 3 4 2" xfId="9834"/>
    <cellStyle name="Calculation 14 3 5" xfId="9835"/>
    <cellStyle name="Calculation 14 3 5 2" xfId="9836"/>
    <cellStyle name="Calculation 14 3 6" xfId="9837"/>
    <cellStyle name="Calculation 14 3 6 2" xfId="9838"/>
    <cellStyle name="Calculation 14 3 7" xfId="9839"/>
    <cellStyle name="Calculation 14 3 8" xfId="9840"/>
    <cellStyle name="Calculation 14 3 9" xfId="9794"/>
    <cellStyle name="Calculation 14 4" xfId="4159"/>
    <cellStyle name="Calculation 14 4 10" xfId="9842"/>
    <cellStyle name="Calculation 14 4 11" xfId="9841"/>
    <cellStyle name="Calculation 14 4 2" xfId="9843"/>
    <cellStyle name="Calculation 14 4 2 2" xfId="9844"/>
    <cellStyle name="Calculation 14 4 2 2 2" xfId="9845"/>
    <cellStyle name="Calculation 14 4 2 3" xfId="9846"/>
    <cellStyle name="Calculation 14 4 2 4" xfId="9847"/>
    <cellStyle name="Calculation 14 4 3" xfId="9848"/>
    <cellStyle name="Calculation 14 4 3 2" xfId="9849"/>
    <cellStyle name="Calculation 14 4 3 2 2" xfId="9850"/>
    <cellStyle name="Calculation 14 4 3 3" xfId="9851"/>
    <cellStyle name="Calculation 14 4 4" xfId="9852"/>
    <cellStyle name="Calculation 14 4 4 2" xfId="9853"/>
    <cellStyle name="Calculation 14 4 4 2 2" xfId="9854"/>
    <cellStyle name="Calculation 14 4 4 3" xfId="9855"/>
    <cellStyle name="Calculation 14 4 5" xfId="9856"/>
    <cellStyle name="Calculation 14 4 5 2" xfId="9857"/>
    <cellStyle name="Calculation 14 4 6" xfId="9858"/>
    <cellStyle name="Calculation 14 4 6 2" xfId="9859"/>
    <cellStyle name="Calculation 14 4 7" xfId="9860"/>
    <cellStyle name="Calculation 14 4 7 2" xfId="9861"/>
    <cellStyle name="Calculation 14 4 8" xfId="9862"/>
    <cellStyle name="Calculation 14 4 8 2" xfId="9863"/>
    <cellStyle name="Calculation 14 4 9" xfId="9864"/>
    <cellStyle name="Calculation 14 5" xfId="4160"/>
    <cellStyle name="Calculation 14 5 10" xfId="9866"/>
    <cellStyle name="Calculation 14 5 11" xfId="9865"/>
    <cellStyle name="Calculation 14 5 2" xfId="9867"/>
    <cellStyle name="Calculation 14 5 2 2" xfId="9868"/>
    <cellStyle name="Calculation 14 5 2 2 2" xfId="9869"/>
    <cellStyle name="Calculation 14 5 2 3" xfId="9870"/>
    <cellStyle name="Calculation 14 5 2 4" xfId="9871"/>
    <cellStyle name="Calculation 14 5 3" xfId="9872"/>
    <cellStyle name="Calculation 14 5 3 2" xfId="9873"/>
    <cellStyle name="Calculation 14 5 3 2 2" xfId="9874"/>
    <cellStyle name="Calculation 14 5 3 3" xfId="9875"/>
    <cellStyle name="Calculation 14 5 4" xfId="9876"/>
    <cellStyle name="Calculation 14 5 4 2" xfId="9877"/>
    <cellStyle name="Calculation 14 5 4 2 2" xfId="9878"/>
    <cellStyle name="Calculation 14 5 4 3" xfId="9879"/>
    <cellStyle name="Calculation 14 5 5" xfId="9880"/>
    <cellStyle name="Calculation 14 5 5 2" xfId="9881"/>
    <cellStyle name="Calculation 14 5 6" xfId="9882"/>
    <cellStyle name="Calculation 14 5 6 2" xfId="9883"/>
    <cellStyle name="Calculation 14 5 7" xfId="9884"/>
    <cellStyle name="Calculation 14 5 7 2" xfId="9885"/>
    <cellStyle name="Calculation 14 5 8" xfId="9886"/>
    <cellStyle name="Calculation 14 5 8 2" xfId="9887"/>
    <cellStyle name="Calculation 14 5 9" xfId="9888"/>
    <cellStyle name="Calculation 14 6" xfId="3377"/>
    <cellStyle name="Calculation 14 6 2" xfId="4161"/>
    <cellStyle name="Calculation 14 6 2 2" xfId="9891"/>
    <cellStyle name="Calculation 14 6 2 2 2" xfId="9892"/>
    <cellStyle name="Calculation 14 6 2 3" xfId="9893"/>
    <cellStyle name="Calculation 14 6 2 4" xfId="9890"/>
    <cellStyle name="Calculation 14 6 3" xfId="9894"/>
    <cellStyle name="Calculation 14 6 3 2" xfId="9895"/>
    <cellStyle name="Calculation 14 6 3 2 2" xfId="9896"/>
    <cellStyle name="Calculation 14 6 3 3" xfId="9897"/>
    <cellStyle name="Calculation 14 6 4" xfId="9898"/>
    <cellStyle name="Calculation 14 6 4 2" xfId="9899"/>
    <cellStyle name="Calculation 14 6 5" xfId="9900"/>
    <cellStyle name="Calculation 14 6 5 2" xfId="9901"/>
    <cellStyle name="Calculation 14 6 6" xfId="9902"/>
    <cellStyle name="Calculation 14 6 7" xfId="9903"/>
    <cellStyle name="Calculation 14 6 8" xfId="9889"/>
    <cellStyle name="Calculation 14 7" xfId="4162"/>
    <cellStyle name="Calculation 14 7 2" xfId="5417"/>
    <cellStyle name="Calculation 14 7 2 2" xfId="9905"/>
    <cellStyle name="Calculation 14 7 3" xfId="9904"/>
    <cellStyle name="Calculation 14 8" xfId="4163"/>
    <cellStyle name="Calculation 14 8 2" xfId="9907"/>
    <cellStyle name="Calculation 14 8 3" xfId="9906"/>
    <cellStyle name="Calculation 14 9" xfId="5468"/>
    <cellStyle name="Calculation 14 9 2" xfId="9909"/>
    <cellStyle name="Calculation 14 9 3" xfId="9908"/>
    <cellStyle name="Calculation 15" xfId="2570"/>
    <cellStyle name="Calculation 15 10" xfId="1383"/>
    <cellStyle name="Calculation 15 10 2" xfId="9910"/>
    <cellStyle name="Calculation 15 11" xfId="8319"/>
    <cellStyle name="Calculation 15 2" xfId="5307"/>
    <cellStyle name="Calculation 15 2 2" xfId="4164"/>
    <cellStyle name="Calculation 15 2 2 10" xfId="9913"/>
    <cellStyle name="Calculation 15 2 2 11" xfId="9912"/>
    <cellStyle name="Calculation 15 2 2 2" xfId="9914"/>
    <cellStyle name="Calculation 15 2 2 2 2" xfId="9915"/>
    <cellStyle name="Calculation 15 2 2 2 2 2" xfId="9916"/>
    <cellStyle name="Calculation 15 2 2 2 3" xfId="9917"/>
    <cellStyle name="Calculation 15 2 2 2 4" xfId="9918"/>
    <cellStyle name="Calculation 15 2 2 3" xfId="9919"/>
    <cellStyle name="Calculation 15 2 2 3 2" xfId="9920"/>
    <cellStyle name="Calculation 15 2 2 3 2 2" xfId="9921"/>
    <cellStyle name="Calculation 15 2 2 3 3" xfId="9922"/>
    <cellStyle name="Calculation 15 2 2 4" xfId="9923"/>
    <cellStyle name="Calculation 15 2 2 4 2" xfId="9924"/>
    <cellStyle name="Calculation 15 2 2 4 2 2" xfId="9925"/>
    <cellStyle name="Calculation 15 2 2 4 3" xfId="9926"/>
    <cellStyle name="Calculation 15 2 2 5" xfId="9927"/>
    <cellStyle name="Calculation 15 2 2 5 2" xfId="9928"/>
    <cellStyle name="Calculation 15 2 2 6" xfId="9929"/>
    <cellStyle name="Calculation 15 2 2 6 2" xfId="9930"/>
    <cellStyle name="Calculation 15 2 2 7" xfId="9931"/>
    <cellStyle name="Calculation 15 2 2 7 2" xfId="9932"/>
    <cellStyle name="Calculation 15 2 2 8" xfId="9933"/>
    <cellStyle name="Calculation 15 2 2 8 2" xfId="9934"/>
    <cellStyle name="Calculation 15 2 2 9" xfId="9935"/>
    <cellStyle name="Calculation 15 2 3" xfId="4165"/>
    <cellStyle name="Calculation 15 2 3 2" xfId="9937"/>
    <cellStyle name="Calculation 15 2 3 2 2" xfId="9938"/>
    <cellStyle name="Calculation 15 2 3 2 2 2" xfId="9939"/>
    <cellStyle name="Calculation 15 2 3 2 3" xfId="9940"/>
    <cellStyle name="Calculation 15 2 3 2 4" xfId="9941"/>
    <cellStyle name="Calculation 15 2 3 3" xfId="9942"/>
    <cellStyle name="Calculation 15 2 3 3 2" xfId="9943"/>
    <cellStyle name="Calculation 15 2 3 3 2 2" xfId="9944"/>
    <cellStyle name="Calculation 15 2 3 3 3" xfId="9945"/>
    <cellStyle name="Calculation 15 2 3 4" xfId="9946"/>
    <cellStyle name="Calculation 15 2 3 4 2" xfId="9947"/>
    <cellStyle name="Calculation 15 2 3 5" xfId="9948"/>
    <cellStyle name="Calculation 15 2 3 5 2" xfId="9949"/>
    <cellStyle name="Calculation 15 2 3 6" xfId="9950"/>
    <cellStyle name="Calculation 15 2 3 7" xfId="9951"/>
    <cellStyle name="Calculation 15 2 3 8" xfId="9936"/>
    <cellStyle name="Calculation 15 2 4" xfId="4166"/>
    <cellStyle name="Calculation 15 2 4 2" xfId="4167"/>
    <cellStyle name="Calculation 15 2 4 2 2" xfId="9953"/>
    <cellStyle name="Calculation 15 2 4 3" xfId="9954"/>
    <cellStyle name="Calculation 15 2 4 4" xfId="9952"/>
    <cellStyle name="Calculation 15 2 5" xfId="4168"/>
    <cellStyle name="Calculation 15 2 5 2" xfId="5159"/>
    <cellStyle name="Calculation 15 2 5 2 2" xfId="9956"/>
    <cellStyle name="Calculation 15 2 5 3" xfId="9955"/>
    <cellStyle name="Calculation 15 2 6" xfId="4169"/>
    <cellStyle name="Calculation 15 2 6 2" xfId="9958"/>
    <cellStyle name="Calculation 15 2 6 3" xfId="9957"/>
    <cellStyle name="Calculation 15 2 7" xfId="4170"/>
    <cellStyle name="Calculation 15 2 7 2" xfId="9959"/>
    <cellStyle name="Calculation 15 2 8" xfId="9960"/>
    <cellStyle name="Calculation 15 2 9" xfId="9911"/>
    <cellStyle name="Calculation 15 3" xfId="4171"/>
    <cellStyle name="Calculation 15 3 2" xfId="4172"/>
    <cellStyle name="Calculation 15 3 2 10" xfId="9963"/>
    <cellStyle name="Calculation 15 3 2 11" xfId="9962"/>
    <cellStyle name="Calculation 15 3 2 2" xfId="9964"/>
    <cellStyle name="Calculation 15 3 2 2 2" xfId="9965"/>
    <cellStyle name="Calculation 15 3 2 2 2 2" xfId="9966"/>
    <cellStyle name="Calculation 15 3 2 2 3" xfId="9967"/>
    <cellStyle name="Calculation 15 3 2 3" xfId="9968"/>
    <cellStyle name="Calculation 15 3 2 3 2" xfId="9969"/>
    <cellStyle name="Calculation 15 3 2 3 2 2" xfId="9970"/>
    <cellStyle name="Calculation 15 3 2 3 3" xfId="9971"/>
    <cellStyle name="Calculation 15 3 2 4" xfId="9972"/>
    <cellStyle name="Calculation 15 3 2 4 2" xfId="9973"/>
    <cellStyle name="Calculation 15 3 2 4 2 2" xfId="9974"/>
    <cellStyle name="Calculation 15 3 2 4 3" xfId="9975"/>
    <cellStyle name="Calculation 15 3 2 5" xfId="9976"/>
    <cellStyle name="Calculation 15 3 2 5 2" xfId="9977"/>
    <cellStyle name="Calculation 15 3 2 6" xfId="9978"/>
    <cellStyle name="Calculation 15 3 2 6 2" xfId="9979"/>
    <cellStyle name="Calculation 15 3 2 7" xfId="9980"/>
    <cellStyle name="Calculation 15 3 2 7 2" xfId="9981"/>
    <cellStyle name="Calculation 15 3 2 8" xfId="9982"/>
    <cellStyle name="Calculation 15 3 2 8 2" xfId="9983"/>
    <cellStyle name="Calculation 15 3 2 9" xfId="9984"/>
    <cellStyle name="Calculation 15 3 3" xfId="9985"/>
    <cellStyle name="Calculation 15 3 3 2" xfId="9986"/>
    <cellStyle name="Calculation 15 3 3 2 2" xfId="9987"/>
    <cellStyle name="Calculation 15 3 3 2 2 2" xfId="9988"/>
    <cellStyle name="Calculation 15 3 3 2 3" xfId="9989"/>
    <cellStyle name="Calculation 15 3 3 3" xfId="9990"/>
    <cellStyle name="Calculation 15 3 3 3 2" xfId="9991"/>
    <cellStyle name="Calculation 15 3 3 3 2 2" xfId="9992"/>
    <cellStyle name="Calculation 15 3 3 3 3" xfId="9993"/>
    <cellStyle name="Calculation 15 3 3 4" xfId="9994"/>
    <cellStyle name="Calculation 15 3 3 4 2" xfId="9995"/>
    <cellStyle name="Calculation 15 3 3 5" xfId="9996"/>
    <cellStyle name="Calculation 15 3 3 5 2" xfId="9997"/>
    <cellStyle name="Calculation 15 3 3 6" xfId="9998"/>
    <cellStyle name="Calculation 15 3 3 7" xfId="9999"/>
    <cellStyle name="Calculation 15 3 4" xfId="10000"/>
    <cellStyle name="Calculation 15 3 4 2" xfId="10001"/>
    <cellStyle name="Calculation 15 3 5" xfId="10002"/>
    <cellStyle name="Calculation 15 3 5 2" xfId="10003"/>
    <cellStyle name="Calculation 15 3 6" xfId="10004"/>
    <cellStyle name="Calculation 15 3 6 2" xfId="10005"/>
    <cellStyle name="Calculation 15 3 7" xfId="10006"/>
    <cellStyle name="Calculation 15 3 8" xfId="10007"/>
    <cellStyle name="Calculation 15 3 9" xfId="9961"/>
    <cellStyle name="Calculation 15 4" xfId="4173"/>
    <cellStyle name="Calculation 15 4 10" xfId="10009"/>
    <cellStyle name="Calculation 15 4 11" xfId="10008"/>
    <cellStyle name="Calculation 15 4 2" xfId="10010"/>
    <cellStyle name="Calculation 15 4 2 2" xfId="10011"/>
    <cellStyle name="Calculation 15 4 2 2 2" xfId="10012"/>
    <cellStyle name="Calculation 15 4 2 3" xfId="10013"/>
    <cellStyle name="Calculation 15 4 2 4" xfId="10014"/>
    <cellStyle name="Calculation 15 4 3" xfId="10015"/>
    <cellStyle name="Calculation 15 4 3 2" xfId="10016"/>
    <cellStyle name="Calculation 15 4 3 2 2" xfId="10017"/>
    <cellStyle name="Calculation 15 4 3 3" xfId="10018"/>
    <cellStyle name="Calculation 15 4 4" xfId="10019"/>
    <cellStyle name="Calculation 15 4 4 2" xfId="10020"/>
    <cellStyle name="Calculation 15 4 4 2 2" xfId="10021"/>
    <cellStyle name="Calculation 15 4 4 3" xfId="10022"/>
    <cellStyle name="Calculation 15 4 5" xfId="10023"/>
    <cellStyle name="Calculation 15 4 5 2" xfId="10024"/>
    <cellStyle name="Calculation 15 4 6" xfId="10025"/>
    <cellStyle name="Calculation 15 4 6 2" xfId="10026"/>
    <cellStyle name="Calculation 15 4 7" xfId="10027"/>
    <cellStyle name="Calculation 15 4 7 2" xfId="10028"/>
    <cellStyle name="Calculation 15 4 8" xfId="10029"/>
    <cellStyle name="Calculation 15 4 8 2" xfId="10030"/>
    <cellStyle name="Calculation 15 4 9" xfId="10031"/>
    <cellStyle name="Calculation 15 5" xfId="1055"/>
    <cellStyle name="Calculation 15 5 10" xfId="10033"/>
    <cellStyle name="Calculation 15 5 11" xfId="10032"/>
    <cellStyle name="Calculation 15 5 2" xfId="10034"/>
    <cellStyle name="Calculation 15 5 2 2" xfId="10035"/>
    <cellStyle name="Calculation 15 5 2 2 2" xfId="10036"/>
    <cellStyle name="Calculation 15 5 2 3" xfId="10037"/>
    <cellStyle name="Calculation 15 5 2 4" xfId="10038"/>
    <cellStyle name="Calculation 15 5 3" xfId="10039"/>
    <cellStyle name="Calculation 15 5 3 2" xfId="10040"/>
    <cellStyle name="Calculation 15 5 3 2 2" xfId="10041"/>
    <cellStyle name="Calculation 15 5 3 3" xfId="10042"/>
    <cellStyle name="Calculation 15 5 4" xfId="10043"/>
    <cellStyle name="Calculation 15 5 4 2" xfId="10044"/>
    <cellStyle name="Calculation 15 5 4 2 2" xfId="10045"/>
    <cellStyle name="Calculation 15 5 4 3" xfId="10046"/>
    <cellStyle name="Calculation 15 5 5" xfId="10047"/>
    <cellStyle name="Calculation 15 5 5 2" xfId="10048"/>
    <cellStyle name="Calculation 15 5 6" xfId="10049"/>
    <cellStyle name="Calculation 15 5 6 2" xfId="10050"/>
    <cellStyle name="Calculation 15 5 7" xfId="10051"/>
    <cellStyle name="Calculation 15 5 7 2" xfId="10052"/>
    <cellStyle name="Calculation 15 5 8" xfId="10053"/>
    <cellStyle name="Calculation 15 5 8 2" xfId="10054"/>
    <cellStyle name="Calculation 15 5 9" xfId="10055"/>
    <cellStyle name="Calculation 15 6" xfId="4174"/>
    <cellStyle name="Calculation 15 6 2" xfId="5418"/>
    <cellStyle name="Calculation 15 6 2 2" xfId="10058"/>
    <cellStyle name="Calculation 15 6 2 2 2" xfId="10059"/>
    <cellStyle name="Calculation 15 6 2 3" xfId="10060"/>
    <cellStyle name="Calculation 15 6 2 4" xfId="10057"/>
    <cellStyle name="Calculation 15 6 3" xfId="10061"/>
    <cellStyle name="Calculation 15 6 3 2" xfId="10062"/>
    <cellStyle name="Calculation 15 6 3 2 2" xfId="10063"/>
    <cellStyle name="Calculation 15 6 3 3" xfId="10064"/>
    <cellStyle name="Calculation 15 6 4" xfId="10065"/>
    <cellStyle name="Calculation 15 6 4 2" xfId="10066"/>
    <cellStyle name="Calculation 15 6 5" xfId="10067"/>
    <cellStyle name="Calculation 15 6 5 2" xfId="10068"/>
    <cellStyle name="Calculation 15 6 6" xfId="10069"/>
    <cellStyle name="Calculation 15 6 7" xfId="10070"/>
    <cellStyle name="Calculation 15 6 8" xfId="10056"/>
    <cellStyle name="Calculation 15 7" xfId="4175"/>
    <cellStyle name="Calculation 15 7 2" xfId="4176"/>
    <cellStyle name="Calculation 15 7 2 2" xfId="10072"/>
    <cellStyle name="Calculation 15 7 3" xfId="10071"/>
    <cellStyle name="Calculation 15 8" xfId="4177"/>
    <cellStyle name="Calculation 15 8 2" xfId="10074"/>
    <cellStyle name="Calculation 15 8 3" xfId="10073"/>
    <cellStyle name="Calculation 15 9" xfId="4178"/>
    <cellStyle name="Calculation 15 9 2" xfId="10076"/>
    <cellStyle name="Calculation 15 9 3" xfId="10075"/>
    <cellStyle name="Calculation 16" xfId="2571"/>
    <cellStyle name="Calculation 16 10" xfId="3378"/>
    <cellStyle name="Calculation 16 10 2" xfId="10077"/>
    <cellStyle name="Calculation 16 11" xfId="8320"/>
    <cellStyle name="Calculation 16 2" xfId="4179"/>
    <cellStyle name="Calculation 16 2 2" xfId="4180"/>
    <cellStyle name="Calculation 16 2 2 10" xfId="10080"/>
    <cellStyle name="Calculation 16 2 2 11" xfId="10079"/>
    <cellStyle name="Calculation 16 2 2 2" xfId="10081"/>
    <cellStyle name="Calculation 16 2 2 2 2" xfId="10082"/>
    <cellStyle name="Calculation 16 2 2 2 2 2" xfId="10083"/>
    <cellStyle name="Calculation 16 2 2 2 3" xfId="10084"/>
    <cellStyle name="Calculation 16 2 2 2 4" xfId="10085"/>
    <cellStyle name="Calculation 16 2 2 3" xfId="10086"/>
    <cellStyle name="Calculation 16 2 2 3 2" xfId="10087"/>
    <cellStyle name="Calculation 16 2 2 3 2 2" xfId="10088"/>
    <cellStyle name="Calculation 16 2 2 3 3" xfId="10089"/>
    <cellStyle name="Calculation 16 2 2 4" xfId="10090"/>
    <cellStyle name="Calculation 16 2 2 4 2" xfId="10091"/>
    <cellStyle name="Calculation 16 2 2 4 2 2" xfId="10092"/>
    <cellStyle name="Calculation 16 2 2 4 3" xfId="10093"/>
    <cellStyle name="Calculation 16 2 2 5" xfId="10094"/>
    <cellStyle name="Calculation 16 2 2 5 2" xfId="10095"/>
    <cellStyle name="Calculation 16 2 2 6" xfId="10096"/>
    <cellStyle name="Calculation 16 2 2 6 2" xfId="10097"/>
    <cellStyle name="Calculation 16 2 2 7" xfId="10098"/>
    <cellStyle name="Calculation 16 2 2 7 2" xfId="10099"/>
    <cellStyle name="Calculation 16 2 2 8" xfId="10100"/>
    <cellStyle name="Calculation 16 2 2 8 2" xfId="10101"/>
    <cellStyle name="Calculation 16 2 2 9" xfId="10102"/>
    <cellStyle name="Calculation 16 2 3" xfId="4181"/>
    <cellStyle name="Calculation 16 2 3 2" xfId="10104"/>
    <cellStyle name="Calculation 16 2 3 2 2" xfId="10105"/>
    <cellStyle name="Calculation 16 2 3 2 2 2" xfId="10106"/>
    <cellStyle name="Calculation 16 2 3 2 3" xfId="10107"/>
    <cellStyle name="Calculation 16 2 3 2 4" xfId="10108"/>
    <cellStyle name="Calculation 16 2 3 3" xfId="10109"/>
    <cellStyle name="Calculation 16 2 3 3 2" xfId="10110"/>
    <cellStyle name="Calculation 16 2 3 3 2 2" xfId="10111"/>
    <cellStyle name="Calculation 16 2 3 3 3" xfId="10112"/>
    <cellStyle name="Calculation 16 2 3 4" xfId="10113"/>
    <cellStyle name="Calculation 16 2 3 4 2" xfId="10114"/>
    <cellStyle name="Calculation 16 2 3 5" xfId="10115"/>
    <cellStyle name="Calculation 16 2 3 5 2" xfId="10116"/>
    <cellStyle name="Calculation 16 2 3 6" xfId="10117"/>
    <cellStyle name="Calculation 16 2 3 7" xfId="10118"/>
    <cellStyle name="Calculation 16 2 3 8" xfId="10103"/>
    <cellStyle name="Calculation 16 2 4" xfId="4182"/>
    <cellStyle name="Calculation 16 2 4 2" xfId="4183"/>
    <cellStyle name="Calculation 16 2 4 2 2" xfId="10120"/>
    <cellStyle name="Calculation 16 2 4 3" xfId="10121"/>
    <cellStyle name="Calculation 16 2 4 4" xfId="10119"/>
    <cellStyle name="Calculation 16 2 5" xfId="3227"/>
    <cellStyle name="Calculation 16 2 5 2" xfId="4184"/>
    <cellStyle name="Calculation 16 2 5 2 2" xfId="10123"/>
    <cellStyle name="Calculation 16 2 5 3" xfId="10122"/>
    <cellStyle name="Calculation 16 2 6" xfId="974"/>
    <cellStyle name="Calculation 16 2 6 2" xfId="10125"/>
    <cellStyle name="Calculation 16 2 6 3" xfId="10124"/>
    <cellStyle name="Calculation 16 2 7" xfId="4185"/>
    <cellStyle name="Calculation 16 2 7 2" xfId="10126"/>
    <cellStyle name="Calculation 16 2 8" xfId="10127"/>
    <cellStyle name="Calculation 16 2 9" xfId="10078"/>
    <cellStyle name="Calculation 16 3" xfId="4186"/>
    <cellStyle name="Calculation 16 3 2" xfId="5419"/>
    <cellStyle name="Calculation 16 3 2 10" xfId="10130"/>
    <cellStyle name="Calculation 16 3 2 11" xfId="10129"/>
    <cellStyle name="Calculation 16 3 2 2" xfId="10131"/>
    <cellStyle name="Calculation 16 3 2 2 2" xfId="10132"/>
    <cellStyle name="Calculation 16 3 2 2 2 2" xfId="10133"/>
    <cellStyle name="Calculation 16 3 2 2 3" xfId="10134"/>
    <cellStyle name="Calculation 16 3 2 3" xfId="10135"/>
    <cellStyle name="Calculation 16 3 2 3 2" xfId="10136"/>
    <cellStyle name="Calculation 16 3 2 3 2 2" xfId="10137"/>
    <cellStyle name="Calculation 16 3 2 3 3" xfId="10138"/>
    <cellStyle name="Calculation 16 3 2 4" xfId="10139"/>
    <cellStyle name="Calculation 16 3 2 4 2" xfId="10140"/>
    <cellStyle name="Calculation 16 3 2 4 2 2" xfId="10141"/>
    <cellStyle name="Calculation 16 3 2 4 3" xfId="10142"/>
    <cellStyle name="Calculation 16 3 2 5" xfId="10143"/>
    <cellStyle name="Calculation 16 3 2 5 2" xfId="10144"/>
    <cellStyle name="Calculation 16 3 2 6" xfId="10145"/>
    <cellStyle name="Calculation 16 3 2 6 2" xfId="10146"/>
    <cellStyle name="Calculation 16 3 2 7" xfId="10147"/>
    <cellStyle name="Calculation 16 3 2 7 2" xfId="10148"/>
    <cellStyle name="Calculation 16 3 2 8" xfId="10149"/>
    <cellStyle name="Calculation 16 3 2 8 2" xfId="10150"/>
    <cellStyle name="Calculation 16 3 2 9" xfId="10151"/>
    <cellStyle name="Calculation 16 3 3" xfId="10152"/>
    <cellStyle name="Calculation 16 3 3 2" xfId="10153"/>
    <cellStyle name="Calculation 16 3 3 2 2" xfId="10154"/>
    <cellStyle name="Calculation 16 3 3 2 2 2" xfId="10155"/>
    <cellStyle name="Calculation 16 3 3 2 3" xfId="10156"/>
    <cellStyle name="Calculation 16 3 3 3" xfId="10157"/>
    <cellStyle name="Calculation 16 3 3 3 2" xfId="10158"/>
    <cellStyle name="Calculation 16 3 3 3 2 2" xfId="10159"/>
    <cellStyle name="Calculation 16 3 3 3 3" xfId="10160"/>
    <cellStyle name="Calculation 16 3 3 4" xfId="10161"/>
    <cellStyle name="Calculation 16 3 3 4 2" xfId="10162"/>
    <cellStyle name="Calculation 16 3 3 5" xfId="10163"/>
    <cellStyle name="Calculation 16 3 3 5 2" xfId="10164"/>
    <cellStyle name="Calculation 16 3 3 6" xfId="10165"/>
    <cellStyle name="Calculation 16 3 3 7" xfId="10166"/>
    <cellStyle name="Calculation 16 3 4" xfId="10167"/>
    <cellStyle name="Calculation 16 3 4 2" xfId="10168"/>
    <cellStyle name="Calculation 16 3 5" xfId="10169"/>
    <cellStyle name="Calculation 16 3 5 2" xfId="10170"/>
    <cellStyle name="Calculation 16 3 6" xfId="10171"/>
    <cellStyle name="Calculation 16 3 6 2" xfId="10172"/>
    <cellStyle name="Calculation 16 3 7" xfId="10173"/>
    <cellStyle name="Calculation 16 3 8" xfId="10174"/>
    <cellStyle name="Calculation 16 3 9" xfId="10128"/>
    <cellStyle name="Calculation 16 4" xfId="5463"/>
    <cellStyle name="Calculation 16 4 10" xfId="10176"/>
    <cellStyle name="Calculation 16 4 11" xfId="10175"/>
    <cellStyle name="Calculation 16 4 2" xfId="10177"/>
    <cellStyle name="Calculation 16 4 2 2" xfId="10178"/>
    <cellStyle name="Calculation 16 4 2 2 2" xfId="10179"/>
    <cellStyle name="Calculation 16 4 2 3" xfId="10180"/>
    <cellStyle name="Calculation 16 4 2 4" xfId="10181"/>
    <cellStyle name="Calculation 16 4 3" xfId="10182"/>
    <cellStyle name="Calculation 16 4 3 2" xfId="10183"/>
    <cellStyle name="Calculation 16 4 3 2 2" xfId="10184"/>
    <cellStyle name="Calculation 16 4 3 3" xfId="10185"/>
    <cellStyle name="Calculation 16 4 4" xfId="10186"/>
    <cellStyle name="Calculation 16 4 4 2" xfId="10187"/>
    <cellStyle name="Calculation 16 4 4 2 2" xfId="10188"/>
    <cellStyle name="Calculation 16 4 4 3" xfId="10189"/>
    <cellStyle name="Calculation 16 4 5" xfId="10190"/>
    <cellStyle name="Calculation 16 4 5 2" xfId="10191"/>
    <cellStyle name="Calculation 16 4 6" xfId="10192"/>
    <cellStyle name="Calculation 16 4 6 2" xfId="10193"/>
    <cellStyle name="Calculation 16 4 7" xfId="10194"/>
    <cellStyle name="Calculation 16 4 7 2" xfId="10195"/>
    <cellStyle name="Calculation 16 4 8" xfId="10196"/>
    <cellStyle name="Calculation 16 4 8 2" xfId="10197"/>
    <cellStyle name="Calculation 16 4 9" xfId="10198"/>
    <cellStyle name="Calculation 16 5" xfId="4187"/>
    <cellStyle name="Calculation 16 5 10" xfId="10200"/>
    <cellStyle name="Calculation 16 5 11" xfId="10199"/>
    <cellStyle name="Calculation 16 5 2" xfId="10201"/>
    <cellStyle name="Calculation 16 5 2 2" xfId="10202"/>
    <cellStyle name="Calculation 16 5 2 2 2" xfId="10203"/>
    <cellStyle name="Calculation 16 5 2 3" xfId="10204"/>
    <cellStyle name="Calculation 16 5 2 4" xfId="10205"/>
    <cellStyle name="Calculation 16 5 3" xfId="10206"/>
    <cellStyle name="Calculation 16 5 3 2" xfId="10207"/>
    <cellStyle name="Calculation 16 5 3 2 2" xfId="10208"/>
    <cellStyle name="Calculation 16 5 3 3" xfId="10209"/>
    <cellStyle name="Calculation 16 5 4" xfId="10210"/>
    <cellStyle name="Calculation 16 5 4 2" xfId="10211"/>
    <cellStyle name="Calculation 16 5 4 2 2" xfId="10212"/>
    <cellStyle name="Calculation 16 5 4 3" xfId="10213"/>
    <cellStyle name="Calculation 16 5 5" xfId="10214"/>
    <cellStyle name="Calculation 16 5 5 2" xfId="10215"/>
    <cellStyle name="Calculation 16 5 6" xfId="10216"/>
    <cellStyle name="Calculation 16 5 6 2" xfId="10217"/>
    <cellStyle name="Calculation 16 5 7" xfId="10218"/>
    <cellStyle name="Calculation 16 5 7 2" xfId="10219"/>
    <cellStyle name="Calculation 16 5 8" xfId="10220"/>
    <cellStyle name="Calculation 16 5 8 2" xfId="10221"/>
    <cellStyle name="Calculation 16 5 9" xfId="10222"/>
    <cellStyle name="Calculation 16 6" xfId="4188"/>
    <cellStyle name="Calculation 16 6 2" xfId="4189"/>
    <cellStyle name="Calculation 16 6 2 2" xfId="10225"/>
    <cellStyle name="Calculation 16 6 2 2 2" xfId="10226"/>
    <cellStyle name="Calculation 16 6 2 3" xfId="10227"/>
    <cellStyle name="Calculation 16 6 2 4" xfId="10224"/>
    <cellStyle name="Calculation 16 6 3" xfId="10228"/>
    <cellStyle name="Calculation 16 6 3 2" xfId="10229"/>
    <cellStyle name="Calculation 16 6 3 2 2" xfId="10230"/>
    <cellStyle name="Calculation 16 6 3 3" xfId="10231"/>
    <cellStyle name="Calculation 16 6 4" xfId="10232"/>
    <cellStyle name="Calculation 16 6 4 2" xfId="10233"/>
    <cellStyle name="Calculation 16 6 5" xfId="10234"/>
    <cellStyle name="Calculation 16 6 5 2" xfId="10235"/>
    <cellStyle name="Calculation 16 6 6" xfId="10236"/>
    <cellStyle name="Calculation 16 6 7" xfId="10237"/>
    <cellStyle name="Calculation 16 6 8" xfId="10223"/>
    <cellStyle name="Calculation 16 7" xfId="4190"/>
    <cellStyle name="Calculation 16 7 2" xfId="5160"/>
    <cellStyle name="Calculation 16 7 2 2" xfId="10239"/>
    <cellStyle name="Calculation 16 7 3" xfId="10238"/>
    <cellStyle name="Calculation 16 8" xfId="898"/>
    <cellStyle name="Calculation 16 8 2" xfId="10241"/>
    <cellStyle name="Calculation 16 8 3" xfId="10240"/>
    <cellStyle name="Calculation 16 9" xfId="4191"/>
    <cellStyle name="Calculation 16 9 2" xfId="10243"/>
    <cellStyle name="Calculation 16 9 3" xfId="10242"/>
    <cellStyle name="Calculation 17" xfId="2572"/>
    <cellStyle name="Calculation 17 10" xfId="4192"/>
    <cellStyle name="Calculation 17 10 2" xfId="10244"/>
    <cellStyle name="Calculation 17 11" xfId="8321"/>
    <cellStyle name="Calculation 17 2" xfId="4193"/>
    <cellStyle name="Calculation 17 2 2" xfId="4194"/>
    <cellStyle name="Calculation 17 2 2 10" xfId="10247"/>
    <cellStyle name="Calculation 17 2 2 11" xfId="10246"/>
    <cellStyle name="Calculation 17 2 2 2" xfId="10248"/>
    <cellStyle name="Calculation 17 2 2 2 2" xfId="10249"/>
    <cellStyle name="Calculation 17 2 2 2 2 2" xfId="10250"/>
    <cellStyle name="Calculation 17 2 2 2 3" xfId="10251"/>
    <cellStyle name="Calculation 17 2 2 2 4" xfId="10252"/>
    <cellStyle name="Calculation 17 2 2 3" xfId="10253"/>
    <cellStyle name="Calculation 17 2 2 3 2" xfId="10254"/>
    <cellStyle name="Calculation 17 2 2 3 2 2" xfId="10255"/>
    <cellStyle name="Calculation 17 2 2 3 3" xfId="10256"/>
    <cellStyle name="Calculation 17 2 2 4" xfId="10257"/>
    <cellStyle name="Calculation 17 2 2 4 2" xfId="10258"/>
    <cellStyle name="Calculation 17 2 2 4 2 2" xfId="10259"/>
    <cellStyle name="Calculation 17 2 2 4 3" xfId="10260"/>
    <cellStyle name="Calculation 17 2 2 5" xfId="10261"/>
    <cellStyle name="Calculation 17 2 2 5 2" xfId="10262"/>
    <cellStyle name="Calculation 17 2 2 6" xfId="10263"/>
    <cellStyle name="Calculation 17 2 2 6 2" xfId="10264"/>
    <cellStyle name="Calculation 17 2 2 7" xfId="10265"/>
    <cellStyle name="Calculation 17 2 2 7 2" xfId="10266"/>
    <cellStyle name="Calculation 17 2 2 8" xfId="10267"/>
    <cellStyle name="Calculation 17 2 2 8 2" xfId="10268"/>
    <cellStyle name="Calculation 17 2 2 9" xfId="10269"/>
    <cellStyle name="Calculation 17 2 3" xfId="5420"/>
    <cellStyle name="Calculation 17 2 3 2" xfId="10271"/>
    <cellStyle name="Calculation 17 2 3 2 2" xfId="10272"/>
    <cellStyle name="Calculation 17 2 3 2 2 2" xfId="10273"/>
    <cellStyle name="Calculation 17 2 3 2 3" xfId="10274"/>
    <cellStyle name="Calculation 17 2 3 2 4" xfId="10275"/>
    <cellStyle name="Calculation 17 2 3 3" xfId="10276"/>
    <cellStyle name="Calculation 17 2 3 3 2" xfId="10277"/>
    <cellStyle name="Calculation 17 2 3 3 2 2" xfId="10278"/>
    <cellStyle name="Calculation 17 2 3 3 3" xfId="10279"/>
    <cellStyle name="Calculation 17 2 3 4" xfId="10280"/>
    <cellStyle name="Calculation 17 2 3 4 2" xfId="10281"/>
    <cellStyle name="Calculation 17 2 3 5" xfId="10282"/>
    <cellStyle name="Calculation 17 2 3 5 2" xfId="10283"/>
    <cellStyle name="Calculation 17 2 3 6" xfId="10284"/>
    <cellStyle name="Calculation 17 2 3 7" xfId="10285"/>
    <cellStyle name="Calculation 17 2 3 8" xfId="10270"/>
    <cellStyle name="Calculation 17 2 4" xfId="3379"/>
    <cellStyle name="Calculation 17 2 4 2" xfId="5402"/>
    <cellStyle name="Calculation 17 2 4 2 2" xfId="10287"/>
    <cellStyle name="Calculation 17 2 4 3" xfId="10288"/>
    <cellStyle name="Calculation 17 2 4 4" xfId="10286"/>
    <cellStyle name="Calculation 17 2 5" xfId="3590"/>
    <cellStyle name="Calculation 17 2 5 2" xfId="3591"/>
    <cellStyle name="Calculation 17 2 5 2 2" xfId="10290"/>
    <cellStyle name="Calculation 17 2 5 3" xfId="10289"/>
    <cellStyle name="Calculation 17 2 6" xfId="3592"/>
    <cellStyle name="Calculation 17 2 6 2" xfId="10292"/>
    <cellStyle name="Calculation 17 2 6 3" xfId="10291"/>
    <cellStyle name="Calculation 17 2 7" xfId="4195"/>
    <cellStyle name="Calculation 17 2 7 2" xfId="10293"/>
    <cellStyle name="Calculation 17 2 8" xfId="10294"/>
    <cellStyle name="Calculation 17 2 9" xfId="10245"/>
    <cellStyle name="Calculation 17 3" xfId="4196"/>
    <cellStyle name="Calculation 17 3 2" xfId="5403"/>
    <cellStyle name="Calculation 17 3 2 10" xfId="10297"/>
    <cellStyle name="Calculation 17 3 2 11" xfId="10296"/>
    <cellStyle name="Calculation 17 3 2 2" xfId="10298"/>
    <cellStyle name="Calculation 17 3 2 2 2" xfId="10299"/>
    <cellStyle name="Calculation 17 3 2 2 2 2" xfId="10300"/>
    <cellStyle name="Calculation 17 3 2 2 3" xfId="10301"/>
    <cellStyle name="Calculation 17 3 2 3" xfId="10302"/>
    <cellStyle name="Calculation 17 3 2 3 2" xfId="10303"/>
    <cellStyle name="Calculation 17 3 2 3 2 2" xfId="10304"/>
    <cellStyle name="Calculation 17 3 2 3 3" xfId="10305"/>
    <cellStyle name="Calculation 17 3 2 4" xfId="10306"/>
    <cellStyle name="Calculation 17 3 2 4 2" xfId="10307"/>
    <cellStyle name="Calculation 17 3 2 4 2 2" xfId="10308"/>
    <cellStyle name="Calculation 17 3 2 4 3" xfId="10309"/>
    <cellStyle name="Calculation 17 3 2 5" xfId="10310"/>
    <cellStyle name="Calculation 17 3 2 5 2" xfId="10311"/>
    <cellStyle name="Calculation 17 3 2 6" xfId="10312"/>
    <cellStyle name="Calculation 17 3 2 6 2" xfId="10313"/>
    <cellStyle name="Calculation 17 3 2 7" xfId="10314"/>
    <cellStyle name="Calculation 17 3 2 7 2" xfId="10315"/>
    <cellStyle name="Calculation 17 3 2 8" xfId="10316"/>
    <cellStyle name="Calculation 17 3 2 8 2" xfId="10317"/>
    <cellStyle name="Calculation 17 3 2 9" xfId="10318"/>
    <cellStyle name="Calculation 17 3 3" xfId="10319"/>
    <cellStyle name="Calculation 17 3 3 2" xfId="10320"/>
    <cellStyle name="Calculation 17 3 3 2 2" xfId="10321"/>
    <cellStyle name="Calculation 17 3 3 2 2 2" xfId="10322"/>
    <cellStyle name="Calculation 17 3 3 2 3" xfId="10323"/>
    <cellStyle name="Calculation 17 3 3 3" xfId="10324"/>
    <cellStyle name="Calculation 17 3 3 3 2" xfId="10325"/>
    <cellStyle name="Calculation 17 3 3 3 2 2" xfId="10326"/>
    <cellStyle name="Calculation 17 3 3 3 3" xfId="10327"/>
    <cellStyle name="Calculation 17 3 3 4" xfId="10328"/>
    <cellStyle name="Calculation 17 3 3 4 2" xfId="10329"/>
    <cellStyle name="Calculation 17 3 3 5" xfId="10330"/>
    <cellStyle name="Calculation 17 3 3 5 2" xfId="10331"/>
    <cellStyle name="Calculation 17 3 3 6" xfId="10332"/>
    <cellStyle name="Calculation 17 3 3 7" xfId="10333"/>
    <cellStyle name="Calculation 17 3 4" xfId="10334"/>
    <cellStyle name="Calculation 17 3 4 2" xfId="10335"/>
    <cellStyle name="Calculation 17 3 5" xfId="10336"/>
    <cellStyle name="Calculation 17 3 5 2" xfId="10337"/>
    <cellStyle name="Calculation 17 3 6" xfId="10338"/>
    <cellStyle name="Calculation 17 3 6 2" xfId="10339"/>
    <cellStyle name="Calculation 17 3 7" xfId="10340"/>
    <cellStyle name="Calculation 17 3 8" xfId="10341"/>
    <cellStyle name="Calculation 17 3 9" xfId="10295"/>
    <cellStyle name="Calculation 17 4" xfId="4197"/>
    <cellStyle name="Calculation 17 4 10" xfId="10343"/>
    <cellStyle name="Calculation 17 4 11" xfId="10342"/>
    <cellStyle name="Calculation 17 4 2" xfId="10344"/>
    <cellStyle name="Calculation 17 4 2 2" xfId="10345"/>
    <cellStyle name="Calculation 17 4 2 2 2" xfId="10346"/>
    <cellStyle name="Calculation 17 4 2 3" xfId="10347"/>
    <cellStyle name="Calculation 17 4 2 4" xfId="10348"/>
    <cellStyle name="Calculation 17 4 3" xfId="10349"/>
    <cellStyle name="Calculation 17 4 3 2" xfId="10350"/>
    <cellStyle name="Calculation 17 4 3 2 2" xfId="10351"/>
    <cellStyle name="Calculation 17 4 3 3" xfId="10352"/>
    <cellStyle name="Calculation 17 4 4" xfId="10353"/>
    <cellStyle name="Calculation 17 4 4 2" xfId="10354"/>
    <cellStyle name="Calculation 17 4 4 2 2" xfId="10355"/>
    <cellStyle name="Calculation 17 4 4 3" xfId="10356"/>
    <cellStyle name="Calculation 17 4 5" xfId="10357"/>
    <cellStyle name="Calculation 17 4 5 2" xfId="10358"/>
    <cellStyle name="Calculation 17 4 6" xfId="10359"/>
    <cellStyle name="Calculation 17 4 6 2" xfId="10360"/>
    <cellStyle name="Calculation 17 4 7" xfId="10361"/>
    <cellStyle name="Calculation 17 4 7 2" xfId="10362"/>
    <cellStyle name="Calculation 17 4 8" xfId="10363"/>
    <cellStyle name="Calculation 17 4 8 2" xfId="10364"/>
    <cellStyle name="Calculation 17 4 9" xfId="10365"/>
    <cellStyle name="Calculation 17 5" xfId="4198"/>
    <cellStyle name="Calculation 17 5 10" xfId="10367"/>
    <cellStyle name="Calculation 17 5 11" xfId="10366"/>
    <cellStyle name="Calculation 17 5 2" xfId="10368"/>
    <cellStyle name="Calculation 17 5 2 2" xfId="10369"/>
    <cellStyle name="Calculation 17 5 2 2 2" xfId="10370"/>
    <cellStyle name="Calculation 17 5 2 3" xfId="10371"/>
    <cellStyle name="Calculation 17 5 2 4" xfId="10372"/>
    <cellStyle name="Calculation 17 5 3" xfId="10373"/>
    <cellStyle name="Calculation 17 5 3 2" xfId="10374"/>
    <cellStyle name="Calculation 17 5 3 2 2" xfId="10375"/>
    <cellStyle name="Calculation 17 5 3 3" xfId="10376"/>
    <cellStyle name="Calculation 17 5 4" xfId="10377"/>
    <cellStyle name="Calculation 17 5 4 2" xfId="10378"/>
    <cellStyle name="Calculation 17 5 4 2 2" xfId="10379"/>
    <cellStyle name="Calculation 17 5 4 3" xfId="10380"/>
    <cellStyle name="Calculation 17 5 5" xfId="10381"/>
    <cellStyle name="Calculation 17 5 5 2" xfId="10382"/>
    <cellStyle name="Calculation 17 5 6" xfId="10383"/>
    <cellStyle name="Calculation 17 5 6 2" xfId="10384"/>
    <cellStyle name="Calculation 17 5 7" xfId="10385"/>
    <cellStyle name="Calculation 17 5 7 2" xfId="10386"/>
    <cellStyle name="Calculation 17 5 8" xfId="10387"/>
    <cellStyle name="Calculation 17 5 8 2" xfId="10388"/>
    <cellStyle name="Calculation 17 5 9" xfId="10389"/>
    <cellStyle name="Calculation 17 6" xfId="4199"/>
    <cellStyle name="Calculation 17 6 2" xfId="4200"/>
    <cellStyle name="Calculation 17 6 2 2" xfId="10392"/>
    <cellStyle name="Calculation 17 6 2 2 2" xfId="10393"/>
    <cellStyle name="Calculation 17 6 2 3" xfId="10394"/>
    <cellStyle name="Calculation 17 6 2 4" xfId="10391"/>
    <cellStyle name="Calculation 17 6 3" xfId="10395"/>
    <cellStyle name="Calculation 17 6 3 2" xfId="10396"/>
    <cellStyle name="Calculation 17 6 3 2 2" xfId="10397"/>
    <cellStyle name="Calculation 17 6 3 3" xfId="10398"/>
    <cellStyle name="Calculation 17 6 4" xfId="10399"/>
    <cellStyle name="Calculation 17 6 4 2" xfId="10400"/>
    <cellStyle name="Calculation 17 6 5" xfId="10401"/>
    <cellStyle name="Calculation 17 6 5 2" xfId="10402"/>
    <cellStyle name="Calculation 17 6 6" xfId="10403"/>
    <cellStyle name="Calculation 17 6 7" xfId="10404"/>
    <cellStyle name="Calculation 17 6 8" xfId="10390"/>
    <cellStyle name="Calculation 17 7" xfId="4201"/>
    <cellStyle name="Calculation 17 7 2" xfId="4202"/>
    <cellStyle name="Calculation 17 7 2 2" xfId="10406"/>
    <cellStyle name="Calculation 17 7 3" xfId="10405"/>
    <cellStyle name="Calculation 17 8" xfId="4203"/>
    <cellStyle name="Calculation 17 8 2" xfId="10408"/>
    <cellStyle name="Calculation 17 8 3" xfId="10407"/>
    <cellStyle name="Calculation 17 9" xfId="3593"/>
    <cellStyle name="Calculation 17 9 2" xfId="10410"/>
    <cellStyle name="Calculation 17 9 3" xfId="10409"/>
    <cellStyle name="Calculation 18" xfId="2573"/>
    <cellStyle name="Calculation 18 10" xfId="10411"/>
    <cellStyle name="Calculation 18 11" xfId="10412"/>
    <cellStyle name="Calculation 18 2" xfId="3594"/>
    <cellStyle name="Calculation 18 2 2" xfId="10414"/>
    <cellStyle name="Calculation 18 2 2 10" xfId="10415"/>
    <cellStyle name="Calculation 18 2 2 2" xfId="10416"/>
    <cellStyle name="Calculation 18 2 2 2 2" xfId="10417"/>
    <cellStyle name="Calculation 18 2 2 2 2 2" xfId="10418"/>
    <cellStyle name="Calculation 18 2 2 2 3" xfId="10419"/>
    <cellStyle name="Calculation 18 2 2 2 4" xfId="10420"/>
    <cellStyle name="Calculation 18 2 2 3" xfId="10421"/>
    <cellStyle name="Calculation 18 2 2 3 2" xfId="10422"/>
    <cellStyle name="Calculation 18 2 2 3 2 2" xfId="10423"/>
    <cellStyle name="Calculation 18 2 2 3 3" xfId="10424"/>
    <cellStyle name="Calculation 18 2 2 4" xfId="10425"/>
    <cellStyle name="Calculation 18 2 2 4 2" xfId="10426"/>
    <cellStyle name="Calculation 18 2 2 4 2 2" xfId="10427"/>
    <cellStyle name="Calculation 18 2 2 4 3" xfId="10428"/>
    <cellStyle name="Calculation 18 2 2 5" xfId="10429"/>
    <cellStyle name="Calculation 18 2 2 5 2" xfId="10430"/>
    <cellStyle name="Calculation 18 2 2 6" xfId="10431"/>
    <cellStyle name="Calculation 18 2 2 6 2" xfId="10432"/>
    <cellStyle name="Calculation 18 2 2 7" xfId="10433"/>
    <cellStyle name="Calculation 18 2 2 7 2" xfId="10434"/>
    <cellStyle name="Calculation 18 2 2 8" xfId="10435"/>
    <cellStyle name="Calculation 18 2 2 8 2" xfId="10436"/>
    <cellStyle name="Calculation 18 2 2 9" xfId="10437"/>
    <cellStyle name="Calculation 18 2 3" xfId="10438"/>
    <cellStyle name="Calculation 18 2 3 2" xfId="10439"/>
    <cellStyle name="Calculation 18 2 3 2 2" xfId="10440"/>
    <cellStyle name="Calculation 18 2 3 2 2 2" xfId="10441"/>
    <cellStyle name="Calculation 18 2 3 2 3" xfId="10442"/>
    <cellStyle name="Calculation 18 2 3 2 4" xfId="10443"/>
    <cellStyle name="Calculation 18 2 3 3" xfId="10444"/>
    <cellStyle name="Calculation 18 2 3 3 2" xfId="10445"/>
    <cellStyle name="Calculation 18 2 3 3 2 2" xfId="10446"/>
    <cellStyle name="Calculation 18 2 3 3 3" xfId="10447"/>
    <cellStyle name="Calculation 18 2 3 4" xfId="10448"/>
    <cellStyle name="Calculation 18 2 3 4 2" xfId="10449"/>
    <cellStyle name="Calculation 18 2 3 5" xfId="10450"/>
    <cellStyle name="Calculation 18 2 3 5 2" xfId="10451"/>
    <cellStyle name="Calculation 18 2 3 6" xfId="10452"/>
    <cellStyle name="Calculation 18 2 3 7" xfId="10453"/>
    <cellStyle name="Calculation 18 2 4" xfId="10454"/>
    <cellStyle name="Calculation 18 2 4 2" xfId="10455"/>
    <cellStyle name="Calculation 18 2 4 3" xfId="10456"/>
    <cellStyle name="Calculation 18 2 5" xfId="10457"/>
    <cellStyle name="Calculation 18 2 5 2" xfId="10458"/>
    <cellStyle name="Calculation 18 2 6" xfId="10459"/>
    <cellStyle name="Calculation 18 2 6 2" xfId="10460"/>
    <cellStyle name="Calculation 18 2 7" xfId="10461"/>
    <cellStyle name="Calculation 18 2 8" xfId="10462"/>
    <cellStyle name="Calculation 18 2 9" xfId="10413"/>
    <cellStyle name="Calculation 18 3" xfId="3595"/>
    <cellStyle name="Calculation 18 3 2" xfId="10464"/>
    <cellStyle name="Calculation 18 3 2 10" xfId="10465"/>
    <cellStyle name="Calculation 18 3 2 2" xfId="10466"/>
    <cellStyle name="Calculation 18 3 2 2 2" xfId="10467"/>
    <cellStyle name="Calculation 18 3 2 2 2 2" xfId="10468"/>
    <cellStyle name="Calculation 18 3 2 2 3" xfId="10469"/>
    <cellStyle name="Calculation 18 3 2 3" xfId="10470"/>
    <cellStyle name="Calculation 18 3 2 3 2" xfId="10471"/>
    <cellStyle name="Calculation 18 3 2 3 2 2" xfId="10472"/>
    <cellStyle name="Calculation 18 3 2 3 3" xfId="10473"/>
    <cellStyle name="Calculation 18 3 2 4" xfId="10474"/>
    <cellStyle name="Calculation 18 3 2 4 2" xfId="10475"/>
    <cellStyle name="Calculation 18 3 2 4 2 2" xfId="10476"/>
    <cellStyle name="Calculation 18 3 2 4 3" xfId="10477"/>
    <cellStyle name="Calculation 18 3 2 5" xfId="10478"/>
    <cellStyle name="Calculation 18 3 2 5 2" xfId="10479"/>
    <cellStyle name="Calculation 18 3 2 6" xfId="10480"/>
    <cellStyle name="Calculation 18 3 2 6 2" xfId="10481"/>
    <cellStyle name="Calculation 18 3 2 7" xfId="10482"/>
    <cellStyle name="Calculation 18 3 2 7 2" xfId="10483"/>
    <cellStyle name="Calculation 18 3 2 8" xfId="10484"/>
    <cellStyle name="Calculation 18 3 2 8 2" xfId="10485"/>
    <cellStyle name="Calculation 18 3 2 9" xfId="10486"/>
    <cellStyle name="Calculation 18 3 3" xfId="10487"/>
    <cellStyle name="Calculation 18 3 3 2" xfId="10488"/>
    <cellStyle name="Calculation 18 3 3 2 2" xfId="10489"/>
    <cellStyle name="Calculation 18 3 3 2 2 2" xfId="10490"/>
    <cellStyle name="Calculation 18 3 3 2 3" xfId="10491"/>
    <cellStyle name="Calculation 18 3 3 3" xfId="10492"/>
    <cellStyle name="Calculation 18 3 3 3 2" xfId="10493"/>
    <cellStyle name="Calculation 18 3 3 3 2 2" xfId="10494"/>
    <cellStyle name="Calculation 18 3 3 3 3" xfId="10495"/>
    <cellStyle name="Calculation 18 3 3 4" xfId="10496"/>
    <cellStyle name="Calculation 18 3 3 4 2" xfId="10497"/>
    <cellStyle name="Calculation 18 3 3 5" xfId="10498"/>
    <cellStyle name="Calculation 18 3 3 5 2" xfId="10499"/>
    <cellStyle name="Calculation 18 3 3 6" xfId="10500"/>
    <cellStyle name="Calculation 18 3 3 7" xfId="10501"/>
    <cellStyle name="Calculation 18 3 4" xfId="10502"/>
    <cellStyle name="Calculation 18 3 4 2" xfId="10503"/>
    <cellStyle name="Calculation 18 3 5" xfId="10504"/>
    <cellStyle name="Calculation 18 3 5 2" xfId="10505"/>
    <cellStyle name="Calculation 18 3 6" xfId="10506"/>
    <cellStyle name="Calculation 18 3 6 2" xfId="10507"/>
    <cellStyle name="Calculation 18 3 7" xfId="10508"/>
    <cellStyle name="Calculation 18 3 8" xfId="10509"/>
    <cellStyle name="Calculation 18 3 9" xfId="10463"/>
    <cellStyle name="Calculation 18 4" xfId="3596"/>
    <cellStyle name="Calculation 18 4 10" xfId="10511"/>
    <cellStyle name="Calculation 18 4 11" xfId="10510"/>
    <cellStyle name="Calculation 18 4 2" xfId="3597"/>
    <cellStyle name="Calculation 18 4 2 2" xfId="10513"/>
    <cellStyle name="Calculation 18 4 2 2 2" xfId="10514"/>
    <cellStyle name="Calculation 18 4 2 3" xfId="10515"/>
    <cellStyle name="Calculation 18 4 2 4" xfId="10516"/>
    <cellStyle name="Calculation 18 4 2 5" xfId="10512"/>
    <cellStyle name="Calculation 18 4 3" xfId="10517"/>
    <cellStyle name="Calculation 18 4 3 2" xfId="10518"/>
    <cellStyle name="Calculation 18 4 3 2 2" xfId="10519"/>
    <cellStyle name="Calculation 18 4 3 3" xfId="10520"/>
    <cellStyle name="Calculation 18 4 4" xfId="10521"/>
    <cellStyle name="Calculation 18 4 4 2" xfId="10522"/>
    <cellStyle name="Calculation 18 4 4 2 2" xfId="10523"/>
    <cellStyle name="Calculation 18 4 4 3" xfId="10524"/>
    <cellStyle name="Calculation 18 4 5" xfId="10525"/>
    <cellStyle name="Calculation 18 4 5 2" xfId="10526"/>
    <cellStyle name="Calculation 18 4 6" xfId="10527"/>
    <cellStyle name="Calculation 18 4 6 2" xfId="10528"/>
    <cellStyle name="Calculation 18 4 7" xfId="10529"/>
    <cellStyle name="Calculation 18 4 7 2" xfId="10530"/>
    <cellStyle name="Calculation 18 4 8" xfId="10531"/>
    <cellStyle name="Calculation 18 4 8 2" xfId="10532"/>
    <cellStyle name="Calculation 18 4 9" xfId="10533"/>
    <cellStyle name="Calculation 18 5" xfId="3598"/>
    <cellStyle name="Calculation 18 5 10" xfId="10535"/>
    <cellStyle name="Calculation 18 5 11" xfId="10534"/>
    <cellStyle name="Calculation 18 5 2" xfId="3599"/>
    <cellStyle name="Calculation 18 5 2 2" xfId="10537"/>
    <cellStyle name="Calculation 18 5 2 2 2" xfId="10538"/>
    <cellStyle name="Calculation 18 5 2 3" xfId="10539"/>
    <cellStyle name="Calculation 18 5 2 4" xfId="10540"/>
    <cellStyle name="Calculation 18 5 2 5" xfId="10536"/>
    <cellStyle name="Calculation 18 5 3" xfId="10541"/>
    <cellStyle name="Calculation 18 5 3 2" xfId="10542"/>
    <cellStyle name="Calculation 18 5 3 2 2" xfId="10543"/>
    <cellStyle name="Calculation 18 5 3 3" xfId="10544"/>
    <cellStyle name="Calculation 18 5 4" xfId="10545"/>
    <cellStyle name="Calculation 18 5 4 2" xfId="10546"/>
    <cellStyle name="Calculation 18 5 4 2 2" xfId="10547"/>
    <cellStyle name="Calculation 18 5 4 3" xfId="10548"/>
    <cellStyle name="Calculation 18 5 5" xfId="10549"/>
    <cellStyle name="Calculation 18 5 5 2" xfId="10550"/>
    <cellStyle name="Calculation 18 5 6" xfId="10551"/>
    <cellStyle name="Calculation 18 5 6 2" xfId="10552"/>
    <cellStyle name="Calculation 18 5 7" xfId="10553"/>
    <cellStyle name="Calculation 18 5 7 2" xfId="10554"/>
    <cellStyle name="Calculation 18 5 8" xfId="10555"/>
    <cellStyle name="Calculation 18 5 8 2" xfId="10556"/>
    <cellStyle name="Calculation 18 5 9" xfId="10557"/>
    <cellStyle name="Calculation 18 6" xfId="4864"/>
    <cellStyle name="Calculation 18 6 2" xfId="10559"/>
    <cellStyle name="Calculation 18 6 2 2" xfId="10560"/>
    <cellStyle name="Calculation 18 6 2 2 2" xfId="10561"/>
    <cellStyle name="Calculation 18 6 2 3" xfId="10562"/>
    <cellStyle name="Calculation 18 6 3" xfId="10563"/>
    <cellStyle name="Calculation 18 6 3 2" xfId="10564"/>
    <cellStyle name="Calculation 18 6 3 2 2" xfId="10565"/>
    <cellStyle name="Calculation 18 6 3 3" xfId="10566"/>
    <cellStyle name="Calculation 18 6 4" xfId="10567"/>
    <cellStyle name="Calculation 18 6 4 2" xfId="10568"/>
    <cellStyle name="Calculation 18 6 5" xfId="10569"/>
    <cellStyle name="Calculation 18 6 5 2" xfId="10570"/>
    <cellStyle name="Calculation 18 6 6" xfId="10571"/>
    <cellStyle name="Calculation 18 6 7" xfId="10572"/>
    <cellStyle name="Calculation 18 6 8" xfId="10558"/>
    <cellStyle name="Calculation 18 7" xfId="3600"/>
    <cellStyle name="Calculation 18 7 2" xfId="10574"/>
    <cellStyle name="Calculation 18 7 3" xfId="10573"/>
    <cellStyle name="Calculation 18 8" xfId="8322"/>
    <cellStyle name="Calculation 18 8 2" xfId="10575"/>
    <cellStyle name="Calculation 18 9" xfId="10576"/>
    <cellStyle name="Calculation 18 9 2" xfId="10577"/>
    <cellStyle name="Calculation 19" xfId="2574"/>
    <cellStyle name="Calculation 19 10" xfId="10578"/>
    <cellStyle name="Calculation 19 11" xfId="10579"/>
    <cellStyle name="Calculation 19 2" xfId="3380"/>
    <cellStyle name="Calculation 19 2 2" xfId="10581"/>
    <cellStyle name="Calculation 19 2 2 10" xfId="10582"/>
    <cellStyle name="Calculation 19 2 2 2" xfId="10583"/>
    <cellStyle name="Calculation 19 2 2 2 2" xfId="10584"/>
    <cellStyle name="Calculation 19 2 2 2 2 2" xfId="10585"/>
    <cellStyle name="Calculation 19 2 2 2 3" xfId="10586"/>
    <cellStyle name="Calculation 19 2 2 2 4" xfId="10587"/>
    <cellStyle name="Calculation 19 2 2 3" xfId="10588"/>
    <cellStyle name="Calculation 19 2 2 3 2" xfId="10589"/>
    <cellStyle name="Calculation 19 2 2 3 2 2" xfId="10590"/>
    <cellStyle name="Calculation 19 2 2 3 3" xfId="10591"/>
    <cellStyle name="Calculation 19 2 2 4" xfId="10592"/>
    <cellStyle name="Calculation 19 2 2 4 2" xfId="10593"/>
    <cellStyle name="Calculation 19 2 2 4 2 2" xfId="10594"/>
    <cellStyle name="Calculation 19 2 2 4 3" xfId="10595"/>
    <cellStyle name="Calculation 19 2 2 5" xfId="10596"/>
    <cellStyle name="Calculation 19 2 2 5 2" xfId="10597"/>
    <cellStyle name="Calculation 19 2 2 6" xfId="10598"/>
    <cellStyle name="Calculation 19 2 2 6 2" xfId="10599"/>
    <cellStyle name="Calculation 19 2 2 7" xfId="10600"/>
    <cellStyle name="Calculation 19 2 2 7 2" xfId="10601"/>
    <cellStyle name="Calculation 19 2 2 8" xfId="10602"/>
    <cellStyle name="Calculation 19 2 2 8 2" xfId="10603"/>
    <cellStyle name="Calculation 19 2 2 9" xfId="10604"/>
    <cellStyle name="Calculation 19 2 3" xfId="10605"/>
    <cellStyle name="Calculation 19 2 3 2" xfId="10606"/>
    <cellStyle name="Calculation 19 2 3 2 2" xfId="10607"/>
    <cellStyle name="Calculation 19 2 3 2 2 2" xfId="10608"/>
    <cellStyle name="Calculation 19 2 3 2 3" xfId="10609"/>
    <cellStyle name="Calculation 19 2 3 2 4" xfId="10610"/>
    <cellStyle name="Calculation 19 2 3 3" xfId="10611"/>
    <cellStyle name="Calculation 19 2 3 3 2" xfId="10612"/>
    <cellStyle name="Calculation 19 2 3 3 2 2" xfId="10613"/>
    <cellStyle name="Calculation 19 2 3 3 3" xfId="10614"/>
    <cellStyle name="Calculation 19 2 3 4" xfId="10615"/>
    <cellStyle name="Calculation 19 2 3 4 2" xfId="10616"/>
    <cellStyle name="Calculation 19 2 3 5" xfId="10617"/>
    <cellStyle name="Calculation 19 2 3 5 2" xfId="10618"/>
    <cellStyle name="Calculation 19 2 3 6" xfId="10619"/>
    <cellStyle name="Calculation 19 2 3 7" xfId="10620"/>
    <cellStyle name="Calculation 19 2 4" xfId="10621"/>
    <cellStyle name="Calculation 19 2 4 2" xfId="10622"/>
    <cellStyle name="Calculation 19 2 4 3" xfId="10623"/>
    <cellStyle name="Calculation 19 2 5" xfId="10624"/>
    <cellStyle name="Calculation 19 2 5 2" xfId="10625"/>
    <cellStyle name="Calculation 19 2 6" xfId="10626"/>
    <cellStyle name="Calculation 19 2 6 2" xfId="10627"/>
    <cellStyle name="Calculation 19 2 7" xfId="10628"/>
    <cellStyle name="Calculation 19 2 8" xfId="10629"/>
    <cellStyle name="Calculation 19 2 9" xfId="10580"/>
    <cellStyle name="Calculation 19 3" xfId="4204"/>
    <cellStyle name="Calculation 19 3 2" xfId="10631"/>
    <cellStyle name="Calculation 19 3 2 10" xfId="10632"/>
    <cellStyle name="Calculation 19 3 2 2" xfId="10633"/>
    <cellStyle name="Calculation 19 3 2 2 2" xfId="10634"/>
    <cellStyle name="Calculation 19 3 2 2 2 2" xfId="10635"/>
    <cellStyle name="Calculation 19 3 2 2 3" xfId="10636"/>
    <cellStyle name="Calculation 19 3 2 3" xfId="10637"/>
    <cellStyle name="Calculation 19 3 2 3 2" xfId="10638"/>
    <cellStyle name="Calculation 19 3 2 3 2 2" xfId="10639"/>
    <cellStyle name="Calculation 19 3 2 3 3" xfId="10640"/>
    <cellStyle name="Calculation 19 3 2 4" xfId="10641"/>
    <cellStyle name="Calculation 19 3 2 4 2" xfId="10642"/>
    <cellStyle name="Calculation 19 3 2 4 2 2" xfId="10643"/>
    <cellStyle name="Calculation 19 3 2 4 3" xfId="10644"/>
    <cellStyle name="Calculation 19 3 2 5" xfId="10645"/>
    <cellStyle name="Calculation 19 3 2 5 2" xfId="10646"/>
    <cellStyle name="Calculation 19 3 2 6" xfId="10647"/>
    <cellStyle name="Calculation 19 3 2 6 2" xfId="10648"/>
    <cellStyle name="Calculation 19 3 2 7" xfId="10649"/>
    <cellStyle name="Calculation 19 3 2 7 2" xfId="10650"/>
    <cellStyle name="Calculation 19 3 2 8" xfId="10651"/>
    <cellStyle name="Calculation 19 3 2 8 2" xfId="10652"/>
    <cellStyle name="Calculation 19 3 2 9" xfId="10653"/>
    <cellStyle name="Calculation 19 3 3" xfId="10654"/>
    <cellStyle name="Calculation 19 3 3 2" xfId="10655"/>
    <cellStyle name="Calculation 19 3 3 2 2" xfId="10656"/>
    <cellStyle name="Calculation 19 3 3 2 2 2" xfId="10657"/>
    <cellStyle name="Calculation 19 3 3 2 3" xfId="10658"/>
    <cellStyle name="Calculation 19 3 3 3" xfId="10659"/>
    <cellStyle name="Calculation 19 3 3 3 2" xfId="10660"/>
    <cellStyle name="Calculation 19 3 3 3 2 2" xfId="10661"/>
    <cellStyle name="Calculation 19 3 3 3 3" xfId="10662"/>
    <cellStyle name="Calculation 19 3 3 4" xfId="10663"/>
    <cellStyle name="Calculation 19 3 3 4 2" xfId="10664"/>
    <cellStyle name="Calculation 19 3 3 5" xfId="10665"/>
    <cellStyle name="Calculation 19 3 3 5 2" xfId="10666"/>
    <cellStyle name="Calculation 19 3 3 6" xfId="10667"/>
    <cellStyle name="Calculation 19 3 3 7" xfId="10668"/>
    <cellStyle name="Calculation 19 3 4" xfId="10669"/>
    <cellStyle name="Calculation 19 3 4 2" xfId="10670"/>
    <cellStyle name="Calculation 19 3 5" xfId="10671"/>
    <cellStyle name="Calculation 19 3 5 2" xfId="10672"/>
    <cellStyle name="Calculation 19 3 6" xfId="10673"/>
    <cellStyle name="Calculation 19 3 6 2" xfId="10674"/>
    <cellStyle name="Calculation 19 3 7" xfId="10675"/>
    <cellStyle name="Calculation 19 3 8" xfId="10676"/>
    <cellStyle name="Calculation 19 3 9" xfId="10630"/>
    <cellStyle name="Calculation 19 4" xfId="4205"/>
    <cellStyle name="Calculation 19 4 10" xfId="10678"/>
    <cellStyle name="Calculation 19 4 11" xfId="10677"/>
    <cellStyle name="Calculation 19 4 2" xfId="4206"/>
    <cellStyle name="Calculation 19 4 2 2" xfId="10680"/>
    <cellStyle name="Calculation 19 4 2 2 2" xfId="10681"/>
    <cellStyle name="Calculation 19 4 2 3" xfId="10682"/>
    <cellStyle name="Calculation 19 4 2 4" xfId="10683"/>
    <cellStyle name="Calculation 19 4 2 5" xfId="10679"/>
    <cellStyle name="Calculation 19 4 3" xfId="10684"/>
    <cellStyle name="Calculation 19 4 3 2" xfId="10685"/>
    <cellStyle name="Calculation 19 4 3 2 2" xfId="10686"/>
    <cellStyle name="Calculation 19 4 3 3" xfId="10687"/>
    <cellStyle name="Calculation 19 4 4" xfId="10688"/>
    <cellStyle name="Calculation 19 4 4 2" xfId="10689"/>
    <cellStyle name="Calculation 19 4 4 2 2" xfId="10690"/>
    <cellStyle name="Calculation 19 4 4 3" xfId="10691"/>
    <cellStyle name="Calculation 19 4 5" xfId="10692"/>
    <cellStyle name="Calculation 19 4 5 2" xfId="10693"/>
    <cellStyle name="Calculation 19 4 6" xfId="10694"/>
    <cellStyle name="Calculation 19 4 6 2" xfId="10695"/>
    <cellStyle name="Calculation 19 4 7" xfId="10696"/>
    <cellStyle name="Calculation 19 4 7 2" xfId="10697"/>
    <cellStyle name="Calculation 19 4 8" xfId="10698"/>
    <cellStyle name="Calculation 19 4 8 2" xfId="10699"/>
    <cellStyle name="Calculation 19 4 9" xfId="10700"/>
    <cellStyle name="Calculation 19 5" xfId="4207"/>
    <cellStyle name="Calculation 19 5 10" xfId="10702"/>
    <cellStyle name="Calculation 19 5 11" xfId="10701"/>
    <cellStyle name="Calculation 19 5 2" xfId="4208"/>
    <cellStyle name="Calculation 19 5 2 2" xfId="10704"/>
    <cellStyle name="Calculation 19 5 2 2 2" xfId="10705"/>
    <cellStyle name="Calculation 19 5 2 3" xfId="10706"/>
    <cellStyle name="Calculation 19 5 2 4" xfId="10707"/>
    <cellStyle name="Calculation 19 5 2 5" xfId="10703"/>
    <cellStyle name="Calculation 19 5 3" xfId="10708"/>
    <cellStyle name="Calculation 19 5 3 2" xfId="10709"/>
    <cellStyle name="Calculation 19 5 3 2 2" xfId="10710"/>
    <cellStyle name="Calculation 19 5 3 3" xfId="10711"/>
    <cellStyle name="Calculation 19 5 4" xfId="10712"/>
    <cellStyle name="Calculation 19 5 4 2" xfId="10713"/>
    <cellStyle name="Calculation 19 5 4 2 2" xfId="10714"/>
    <cellStyle name="Calculation 19 5 4 3" xfId="10715"/>
    <cellStyle name="Calculation 19 5 5" xfId="10716"/>
    <cellStyle name="Calculation 19 5 5 2" xfId="10717"/>
    <cellStyle name="Calculation 19 5 6" xfId="10718"/>
    <cellStyle name="Calculation 19 5 6 2" xfId="10719"/>
    <cellStyle name="Calculation 19 5 7" xfId="10720"/>
    <cellStyle name="Calculation 19 5 7 2" xfId="10721"/>
    <cellStyle name="Calculation 19 5 8" xfId="10722"/>
    <cellStyle name="Calculation 19 5 8 2" xfId="10723"/>
    <cellStyle name="Calculation 19 5 9" xfId="10724"/>
    <cellStyle name="Calculation 19 6" xfId="5161"/>
    <cellStyle name="Calculation 19 6 2" xfId="10726"/>
    <cellStyle name="Calculation 19 6 2 2" xfId="10727"/>
    <cellStyle name="Calculation 19 6 2 2 2" xfId="10728"/>
    <cellStyle name="Calculation 19 6 2 3" xfId="10729"/>
    <cellStyle name="Calculation 19 6 3" xfId="10730"/>
    <cellStyle name="Calculation 19 6 3 2" xfId="10731"/>
    <cellStyle name="Calculation 19 6 3 2 2" xfId="10732"/>
    <cellStyle name="Calculation 19 6 3 3" xfId="10733"/>
    <cellStyle name="Calculation 19 6 4" xfId="10734"/>
    <cellStyle name="Calculation 19 6 4 2" xfId="10735"/>
    <cellStyle name="Calculation 19 6 5" xfId="10736"/>
    <cellStyle name="Calculation 19 6 5 2" xfId="10737"/>
    <cellStyle name="Calculation 19 6 6" xfId="10738"/>
    <cellStyle name="Calculation 19 6 7" xfId="10739"/>
    <cellStyle name="Calculation 19 6 8" xfId="10725"/>
    <cellStyle name="Calculation 19 7" xfId="4209"/>
    <cellStyle name="Calculation 19 7 2" xfId="10741"/>
    <cellStyle name="Calculation 19 7 3" xfId="10740"/>
    <cellStyle name="Calculation 19 8" xfId="8323"/>
    <cellStyle name="Calculation 19 8 2" xfId="10742"/>
    <cellStyle name="Calculation 19 9" xfId="10743"/>
    <cellStyle name="Calculation 19 9 2" xfId="10744"/>
    <cellStyle name="Calculation 2" xfId="475"/>
    <cellStyle name="Calculation 2 10" xfId="10745"/>
    <cellStyle name="Calculation 2 11" xfId="10746"/>
    <cellStyle name="Calculation 2 2" xfId="476"/>
    <cellStyle name="Calculation 2 2 2" xfId="477"/>
    <cellStyle name="Calculation 2 2 2 10" xfId="10748"/>
    <cellStyle name="Calculation 2 2 2 2" xfId="7950"/>
    <cellStyle name="Calculation 2 2 2 2 2" xfId="10749"/>
    <cellStyle name="Calculation 2 2 2 2 2 2" xfId="10750"/>
    <cellStyle name="Calculation 2 2 2 2 2 3" xfId="10751"/>
    <cellStyle name="Calculation 2 2 2 2 3" xfId="10752"/>
    <cellStyle name="Calculation 2 2 2 2 4" xfId="10753"/>
    <cellStyle name="Calculation 2 2 2 3" xfId="10754"/>
    <cellStyle name="Calculation 2 2 2 3 2" xfId="10755"/>
    <cellStyle name="Calculation 2 2 2 3 2 2" xfId="10756"/>
    <cellStyle name="Calculation 2 2 2 3 3" xfId="10757"/>
    <cellStyle name="Calculation 2 2 2 3 4" xfId="10758"/>
    <cellStyle name="Calculation 2 2 2 4" xfId="10759"/>
    <cellStyle name="Calculation 2 2 2 4 2" xfId="10760"/>
    <cellStyle name="Calculation 2 2 2 4 2 2" xfId="10761"/>
    <cellStyle name="Calculation 2 2 2 4 3" xfId="10762"/>
    <cellStyle name="Calculation 2 2 2 5" xfId="10763"/>
    <cellStyle name="Calculation 2 2 2 5 2" xfId="10764"/>
    <cellStyle name="Calculation 2 2 2 6" xfId="10765"/>
    <cellStyle name="Calculation 2 2 2 6 2" xfId="10766"/>
    <cellStyle name="Calculation 2 2 2 7" xfId="10767"/>
    <cellStyle name="Calculation 2 2 2 7 2" xfId="10768"/>
    <cellStyle name="Calculation 2 2 2 8" xfId="10769"/>
    <cellStyle name="Calculation 2 2 2 8 2" xfId="10770"/>
    <cellStyle name="Calculation 2 2 2 9" xfId="10771"/>
    <cellStyle name="Calculation 2 2 3" xfId="4210"/>
    <cellStyle name="Calculation 2 2 3 10" xfId="10773"/>
    <cellStyle name="Calculation 2 2 3 11" xfId="10772"/>
    <cellStyle name="Calculation 2 2 3 2" xfId="10774"/>
    <cellStyle name="Calculation 2 2 3 2 2" xfId="10775"/>
    <cellStyle name="Calculation 2 2 3 2 2 2" xfId="10776"/>
    <cellStyle name="Calculation 2 2 3 2 3" xfId="10777"/>
    <cellStyle name="Calculation 2 2 3 2 4" xfId="10778"/>
    <cellStyle name="Calculation 2 2 3 3" xfId="10779"/>
    <cellStyle name="Calculation 2 2 3 3 2" xfId="10780"/>
    <cellStyle name="Calculation 2 2 3 3 2 2" xfId="10781"/>
    <cellStyle name="Calculation 2 2 3 3 3" xfId="10782"/>
    <cellStyle name="Calculation 2 2 3 4" xfId="10783"/>
    <cellStyle name="Calculation 2 2 3 4 2" xfId="10784"/>
    <cellStyle name="Calculation 2 2 3 4 2 2" xfId="10785"/>
    <cellStyle name="Calculation 2 2 3 4 3" xfId="10786"/>
    <cellStyle name="Calculation 2 2 3 5" xfId="10787"/>
    <cellStyle name="Calculation 2 2 3 5 2" xfId="10788"/>
    <cellStyle name="Calculation 2 2 3 6" xfId="10789"/>
    <cellStyle name="Calculation 2 2 3 6 2" xfId="10790"/>
    <cellStyle name="Calculation 2 2 3 7" xfId="10791"/>
    <cellStyle name="Calculation 2 2 3 7 2" xfId="10792"/>
    <cellStyle name="Calculation 2 2 3 8" xfId="10793"/>
    <cellStyle name="Calculation 2 2 3 8 2" xfId="10794"/>
    <cellStyle name="Calculation 2 2 3 9" xfId="10795"/>
    <cellStyle name="Calculation 2 2 4" xfId="4211"/>
    <cellStyle name="Calculation 2 2 4 2" xfId="5421"/>
    <cellStyle name="Calculation 2 2 4 2 2" xfId="10797"/>
    <cellStyle name="Calculation 2 2 4 3" xfId="10798"/>
    <cellStyle name="Calculation 2 2 4 4" xfId="10799"/>
    <cellStyle name="Calculation 2 2 4 5" xfId="10796"/>
    <cellStyle name="Calculation 2 2 5" xfId="4212"/>
    <cellStyle name="Calculation 2 2 5 2" xfId="4213"/>
    <cellStyle name="Calculation 2 2 5 3" xfId="10800"/>
    <cellStyle name="Calculation 2 2 6" xfId="884"/>
    <cellStyle name="Calculation 2 2 7" xfId="4214"/>
    <cellStyle name="Calculation 2 2 8" xfId="7949"/>
    <cellStyle name="Calculation 2 2 9" xfId="10747"/>
    <cellStyle name="Calculation 2 3" xfId="478"/>
    <cellStyle name="Calculation 2 3 2" xfId="479"/>
    <cellStyle name="Calculation 2 3 2 10" xfId="10801"/>
    <cellStyle name="Calculation 2 3 2 2" xfId="7952"/>
    <cellStyle name="Calculation 2 3 2 2 2" xfId="10802"/>
    <cellStyle name="Calculation 2 3 2 2 2 2" xfId="10803"/>
    <cellStyle name="Calculation 2 3 2 2 3" xfId="10804"/>
    <cellStyle name="Calculation 2 3 2 2 4" xfId="10805"/>
    <cellStyle name="Calculation 2 3 2 3" xfId="10806"/>
    <cellStyle name="Calculation 2 3 2 3 2" xfId="10807"/>
    <cellStyle name="Calculation 2 3 2 3 2 2" xfId="10808"/>
    <cellStyle name="Calculation 2 3 2 3 3" xfId="10809"/>
    <cellStyle name="Calculation 2 3 2 4" xfId="10810"/>
    <cellStyle name="Calculation 2 3 2 4 2" xfId="10811"/>
    <cellStyle name="Calculation 2 3 2 4 2 2" xfId="10812"/>
    <cellStyle name="Calculation 2 3 2 4 3" xfId="10813"/>
    <cellStyle name="Calculation 2 3 2 5" xfId="10814"/>
    <cellStyle name="Calculation 2 3 2 5 2" xfId="10815"/>
    <cellStyle name="Calculation 2 3 2 6" xfId="10816"/>
    <cellStyle name="Calculation 2 3 2 6 2" xfId="10817"/>
    <cellStyle name="Calculation 2 3 2 7" xfId="10818"/>
    <cellStyle name="Calculation 2 3 2 7 2" xfId="10819"/>
    <cellStyle name="Calculation 2 3 2 8" xfId="10820"/>
    <cellStyle name="Calculation 2 3 2 8 2" xfId="10821"/>
    <cellStyle name="Calculation 2 3 2 9" xfId="10822"/>
    <cellStyle name="Calculation 2 3 3" xfId="7951"/>
    <cellStyle name="Calculation 2 3 3 2" xfId="10823"/>
    <cellStyle name="Calculation 2 3 3 2 2" xfId="10824"/>
    <cellStyle name="Calculation 2 3 3 2 2 2" xfId="10825"/>
    <cellStyle name="Calculation 2 3 3 2 3" xfId="10826"/>
    <cellStyle name="Calculation 2 3 3 2 4" xfId="10827"/>
    <cellStyle name="Calculation 2 3 3 3" xfId="10828"/>
    <cellStyle name="Calculation 2 3 3 3 2" xfId="10829"/>
    <cellStyle name="Calculation 2 3 3 3 2 2" xfId="10830"/>
    <cellStyle name="Calculation 2 3 3 3 3" xfId="10831"/>
    <cellStyle name="Calculation 2 3 3 4" xfId="10832"/>
    <cellStyle name="Calculation 2 3 3 4 2" xfId="10833"/>
    <cellStyle name="Calculation 2 3 3 5" xfId="10834"/>
    <cellStyle name="Calculation 2 3 3 5 2" xfId="10835"/>
    <cellStyle name="Calculation 2 3 3 6" xfId="10836"/>
    <cellStyle name="Calculation 2 3 3 7" xfId="10837"/>
    <cellStyle name="Calculation 2 3 4" xfId="10838"/>
    <cellStyle name="Calculation 2 3 4 2" xfId="10839"/>
    <cellStyle name="Calculation 2 3 4 3" xfId="10840"/>
    <cellStyle name="Calculation 2 3 5" xfId="10841"/>
    <cellStyle name="Calculation 2 3 5 2" xfId="10842"/>
    <cellStyle name="Calculation 2 3 6" xfId="10843"/>
    <cellStyle name="Calculation 2 3 6 2" xfId="10844"/>
    <cellStyle name="Calculation 2 3 7" xfId="10845"/>
    <cellStyle name="Calculation 2 3 8" xfId="10846"/>
    <cellStyle name="Calculation 2 4" xfId="480"/>
    <cellStyle name="Calculation 2 4 10" xfId="10847"/>
    <cellStyle name="Calculation 2 4 2" xfId="481"/>
    <cellStyle name="Calculation 2 4 2 2" xfId="7954"/>
    <cellStyle name="Calculation 2 4 2 2 2" xfId="10848"/>
    <cellStyle name="Calculation 2 4 2 3" xfId="10849"/>
    <cellStyle name="Calculation 2 4 2 4" xfId="10850"/>
    <cellStyle name="Calculation 2 4 3" xfId="7953"/>
    <cellStyle name="Calculation 2 4 3 2" xfId="10851"/>
    <cellStyle name="Calculation 2 4 3 2 2" xfId="10852"/>
    <cellStyle name="Calculation 2 4 3 3" xfId="10853"/>
    <cellStyle name="Calculation 2 4 4" xfId="10854"/>
    <cellStyle name="Calculation 2 4 4 2" xfId="10855"/>
    <cellStyle name="Calculation 2 4 4 2 2" xfId="10856"/>
    <cellStyle name="Calculation 2 4 4 3" xfId="10857"/>
    <cellStyle name="Calculation 2 4 5" xfId="10858"/>
    <cellStyle name="Calculation 2 4 5 2" xfId="10859"/>
    <cellStyle name="Calculation 2 4 6" xfId="10860"/>
    <cellStyle name="Calculation 2 4 6 2" xfId="10861"/>
    <cellStyle name="Calculation 2 4 7" xfId="10862"/>
    <cellStyle name="Calculation 2 4 7 2" xfId="10863"/>
    <cellStyle name="Calculation 2 4 8" xfId="10864"/>
    <cellStyle name="Calculation 2 4 8 2" xfId="10865"/>
    <cellStyle name="Calculation 2 4 9" xfId="10866"/>
    <cellStyle name="Calculation 2 5" xfId="482"/>
    <cellStyle name="Calculation 2 5 10" xfId="10867"/>
    <cellStyle name="Calculation 2 5 2" xfId="4215"/>
    <cellStyle name="Calculation 2 5 2 2" xfId="10869"/>
    <cellStyle name="Calculation 2 5 2 2 2" xfId="10870"/>
    <cellStyle name="Calculation 2 5 2 3" xfId="10871"/>
    <cellStyle name="Calculation 2 5 2 4" xfId="10872"/>
    <cellStyle name="Calculation 2 5 2 5" xfId="10868"/>
    <cellStyle name="Calculation 2 5 3" xfId="7955"/>
    <cellStyle name="Calculation 2 5 3 2" xfId="10873"/>
    <cellStyle name="Calculation 2 5 3 2 2" xfId="10874"/>
    <cellStyle name="Calculation 2 5 3 3" xfId="10875"/>
    <cellStyle name="Calculation 2 5 4" xfId="10876"/>
    <cellStyle name="Calculation 2 5 4 2" xfId="10877"/>
    <cellStyle name="Calculation 2 5 4 2 2" xfId="10878"/>
    <cellStyle name="Calculation 2 5 4 3" xfId="10879"/>
    <cellStyle name="Calculation 2 5 5" xfId="10880"/>
    <cellStyle name="Calculation 2 5 5 2" xfId="10881"/>
    <cellStyle name="Calculation 2 5 6" xfId="10882"/>
    <cellStyle name="Calculation 2 5 6 2" xfId="10883"/>
    <cellStyle name="Calculation 2 5 7" xfId="10884"/>
    <cellStyle name="Calculation 2 5 7 2" xfId="10885"/>
    <cellStyle name="Calculation 2 5 8" xfId="10886"/>
    <cellStyle name="Calculation 2 5 8 2" xfId="10887"/>
    <cellStyle name="Calculation 2 5 9" xfId="10888"/>
    <cellStyle name="Calculation 2 6" xfId="4216"/>
    <cellStyle name="Calculation 2 6 2" xfId="4217"/>
    <cellStyle name="Calculation 2 6 2 2" xfId="10891"/>
    <cellStyle name="Calculation 2 6 2 2 2" xfId="10892"/>
    <cellStyle name="Calculation 2 6 2 3" xfId="10893"/>
    <cellStyle name="Calculation 2 6 2 4" xfId="10890"/>
    <cellStyle name="Calculation 2 6 3" xfId="10894"/>
    <cellStyle name="Calculation 2 6 3 2" xfId="10895"/>
    <cellStyle name="Calculation 2 6 3 2 2" xfId="10896"/>
    <cellStyle name="Calculation 2 6 3 3" xfId="10897"/>
    <cellStyle name="Calculation 2 6 4" xfId="10898"/>
    <cellStyle name="Calculation 2 6 4 2" xfId="10899"/>
    <cellStyle name="Calculation 2 6 5" xfId="10900"/>
    <cellStyle name="Calculation 2 6 5 2" xfId="10901"/>
    <cellStyle name="Calculation 2 6 6" xfId="10902"/>
    <cellStyle name="Calculation 2 6 7" xfId="10903"/>
    <cellStyle name="Calculation 2 6 8" xfId="10889"/>
    <cellStyle name="Calculation 2 7" xfId="4218"/>
    <cellStyle name="Calculation 2 7 2" xfId="10905"/>
    <cellStyle name="Calculation 2 7 3" xfId="10904"/>
    <cellStyle name="Calculation 2 8" xfId="3381"/>
    <cellStyle name="Calculation 2 8 2" xfId="10907"/>
    <cellStyle name="Calculation 2 8 3" xfId="10906"/>
    <cellStyle name="Calculation 2 9" xfId="7948"/>
    <cellStyle name="Calculation 2 9 2" xfId="10908"/>
    <cellStyle name="Calculation 20" xfId="2575"/>
    <cellStyle name="Calculation 20 10" xfId="10909"/>
    <cellStyle name="Calculation 20 11" xfId="10910"/>
    <cellStyle name="Calculation 20 2" xfId="4219"/>
    <cellStyle name="Calculation 20 2 2" xfId="10912"/>
    <cellStyle name="Calculation 20 2 2 10" xfId="10913"/>
    <cellStyle name="Calculation 20 2 2 2" xfId="10914"/>
    <cellStyle name="Calculation 20 2 2 2 2" xfId="10915"/>
    <cellStyle name="Calculation 20 2 2 2 2 2" xfId="10916"/>
    <cellStyle name="Calculation 20 2 2 2 3" xfId="10917"/>
    <cellStyle name="Calculation 20 2 2 2 4" xfId="10918"/>
    <cellStyle name="Calculation 20 2 2 3" xfId="10919"/>
    <cellStyle name="Calculation 20 2 2 3 2" xfId="10920"/>
    <cellStyle name="Calculation 20 2 2 3 2 2" xfId="10921"/>
    <cellStyle name="Calculation 20 2 2 3 3" xfId="10922"/>
    <cellStyle name="Calculation 20 2 2 4" xfId="10923"/>
    <cellStyle name="Calculation 20 2 2 4 2" xfId="10924"/>
    <cellStyle name="Calculation 20 2 2 4 2 2" xfId="10925"/>
    <cellStyle name="Calculation 20 2 2 4 3" xfId="10926"/>
    <cellStyle name="Calculation 20 2 2 5" xfId="10927"/>
    <cellStyle name="Calculation 20 2 2 5 2" xfId="10928"/>
    <cellStyle name="Calculation 20 2 2 6" xfId="10929"/>
    <cellStyle name="Calculation 20 2 2 6 2" xfId="10930"/>
    <cellStyle name="Calculation 20 2 2 7" xfId="10931"/>
    <cellStyle name="Calculation 20 2 2 7 2" xfId="10932"/>
    <cellStyle name="Calculation 20 2 2 8" xfId="10933"/>
    <cellStyle name="Calculation 20 2 2 8 2" xfId="10934"/>
    <cellStyle name="Calculation 20 2 2 9" xfId="10935"/>
    <cellStyle name="Calculation 20 2 3" xfId="10936"/>
    <cellStyle name="Calculation 20 2 3 2" xfId="10937"/>
    <cellStyle name="Calculation 20 2 3 2 2" xfId="10938"/>
    <cellStyle name="Calculation 20 2 3 2 2 2" xfId="10939"/>
    <cellStyle name="Calculation 20 2 3 2 3" xfId="10940"/>
    <cellStyle name="Calculation 20 2 3 2 4" xfId="10941"/>
    <cellStyle name="Calculation 20 2 3 3" xfId="10942"/>
    <cellStyle name="Calculation 20 2 3 3 2" xfId="10943"/>
    <cellStyle name="Calculation 20 2 3 3 2 2" xfId="10944"/>
    <cellStyle name="Calculation 20 2 3 3 3" xfId="10945"/>
    <cellStyle name="Calculation 20 2 3 4" xfId="10946"/>
    <cellStyle name="Calculation 20 2 3 4 2" xfId="10947"/>
    <cellStyle name="Calculation 20 2 3 5" xfId="10948"/>
    <cellStyle name="Calculation 20 2 3 5 2" xfId="10949"/>
    <cellStyle name="Calculation 20 2 3 6" xfId="10950"/>
    <cellStyle name="Calculation 20 2 3 7" xfId="10951"/>
    <cellStyle name="Calculation 20 2 4" xfId="10952"/>
    <cellStyle name="Calculation 20 2 4 2" xfId="10953"/>
    <cellStyle name="Calculation 20 2 4 3" xfId="10954"/>
    <cellStyle name="Calculation 20 2 5" xfId="10955"/>
    <cellStyle name="Calculation 20 2 5 2" xfId="10956"/>
    <cellStyle name="Calculation 20 2 6" xfId="10957"/>
    <cellStyle name="Calculation 20 2 6 2" xfId="10958"/>
    <cellStyle name="Calculation 20 2 7" xfId="10959"/>
    <cellStyle name="Calculation 20 2 8" xfId="10960"/>
    <cellStyle name="Calculation 20 2 9" xfId="10911"/>
    <cellStyle name="Calculation 20 3" xfId="4220"/>
    <cellStyle name="Calculation 20 3 2" xfId="10962"/>
    <cellStyle name="Calculation 20 3 2 10" xfId="10963"/>
    <cellStyle name="Calculation 20 3 2 2" xfId="10964"/>
    <cellStyle name="Calculation 20 3 2 2 2" xfId="10965"/>
    <cellStyle name="Calculation 20 3 2 2 2 2" xfId="10966"/>
    <cellStyle name="Calculation 20 3 2 2 3" xfId="10967"/>
    <cellStyle name="Calculation 20 3 2 3" xfId="10968"/>
    <cellStyle name="Calculation 20 3 2 3 2" xfId="10969"/>
    <cellStyle name="Calculation 20 3 2 3 2 2" xfId="10970"/>
    <cellStyle name="Calculation 20 3 2 3 3" xfId="10971"/>
    <cellStyle name="Calculation 20 3 2 4" xfId="10972"/>
    <cellStyle name="Calculation 20 3 2 4 2" xfId="10973"/>
    <cellStyle name="Calculation 20 3 2 4 2 2" xfId="10974"/>
    <cellStyle name="Calculation 20 3 2 4 3" xfId="10975"/>
    <cellStyle name="Calculation 20 3 2 5" xfId="10976"/>
    <cellStyle name="Calculation 20 3 2 5 2" xfId="10977"/>
    <cellStyle name="Calculation 20 3 2 6" xfId="10978"/>
    <cellStyle name="Calculation 20 3 2 6 2" xfId="10979"/>
    <cellStyle name="Calculation 20 3 2 7" xfId="10980"/>
    <cellStyle name="Calculation 20 3 2 7 2" xfId="10981"/>
    <cellStyle name="Calculation 20 3 2 8" xfId="10982"/>
    <cellStyle name="Calculation 20 3 2 8 2" xfId="10983"/>
    <cellStyle name="Calculation 20 3 2 9" xfId="10984"/>
    <cellStyle name="Calculation 20 3 3" xfId="10985"/>
    <cellStyle name="Calculation 20 3 3 2" xfId="10986"/>
    <cellStyle name="Calculation 20 3 3 2 2" xfId="10987"/>
    <cellStyle name="Calculation 20 3 3 2 2 2" xfId="10988"/>
    <cellStyle name="Calculation 20 3 3 2 3" xfId="10989"/>
    <cellStyle name="Calculation 20 3 3 3" xfId="10990"/>
    <cellStyle name="Calculation 20 3 3 3 2" xfId="10991"/>
    <cellStyle name="Calculation 20 3 3 3 2 2" xfId="10992"/>
    <cellStyle name="Calculation 20 3 3 3 3" xfId="10993"/>
    <cellStyle name="Calculation 20 3 3 4" xfId="10994"/>
    <cellStyle name="Calculation 20 3 3 4 2" xfId="10995"/>
    <cellStyle name="Calculation 20 3 3 5" xfId="10996"/>
    <cellStyle name="Calculation 20 3 3 5 2" xfId="10997"/>
    <cellStyle name="Calculation 20 3 3 6" xfId="10998"/>
    <cellStyle name="Calculation 20 3 3 7" xfId="10999"/>
    <cellStyle name="Calculation 20 3 4" xfId="11000"/>
    <cellStyle name="Calculation 20 3 4 2" xfId="11001"/>
    <cellStyle name="Calculation 20 3 5" xfId="11002"/>
    <cellStyle name="Calculation 20 3 5 2" xfId="11003"/>
    <cellStyle name="Calculation 20 3 6" xfId="11004"/>
    <cellStyle name="Calculation 20 3 6 2" xfId="11005"/>
    <cellStyle name="Calculation 20 3 7" xfId="11006"/>
    <cellStyle name="Calculation 20 3 8" xfId="11007"/>
    <cellStyle name="Calculation 20 3 9" xfId="10961"/>
    <cellStyle name="Calculation 20 4" xfId="3382"/>
    <cellStyle name="Calculation 20 4 10" xfId="11009"/>
    <cellStyle name="Calculation 20 4 11" xfId="11008"/>
    <cellStyle name="Calculation 20 4 2" xfId="3383"/>
    <cellStyle name="Calculation 20 4 2 2" xfId="11011"/>
    <cellStyle name="Calculation 20 4 2 2 2" xfId="11012"/>
    <cellStyle name="Calculation 20 4 2 3" xfId="11013"/>
    <cellStyle name="Calculation 20 4 2 4" xfId="11014"/>
    <cellStyle name="Calculation 20 4 2 5" xfId="11010"/>
    <cellStyle name="Calculation 20 4 3" xfId="11015"/>
    <cellStyle name="Calculation 20 4 3 2" xfId="11016"/>
    <cellStyle name="Calculation 20 4 3 2 2" xfId="11017"/>
    <cellStyle name="Calculation 20 4 3 3" xfId="11018"/>
    <cellStyle name="Calculation 20 4 4" xfId="11019"/>
    <cellStyle name="Calculation 20 4 4 2" xfId="11020"/>
    <cellStyle name="Calculation 20 4 4 2 2" xfId="11021"/>
    <cellStyle name="Calculation 20 4 4 3" xfId="11022"/>
    <cellStyle name="Calculation 20 4 5" xfId="11023"/>
    <cellStyle name="Calculation 20 4 5 2" xfId="11024"/>
    <cellStyle name="Calculation 20 4 6" xfId="11025"/>
    <cellStyle name="Calculation 20 4 6 2" xfId="11026"/>
    <cellStyle name="Calculation 20 4 7" xfId="11027"/>
    <cellStyle name="Calculation 20 4 7 2" xfId="11028"/>
    <cellStyle name="Calculation 20 4 8" xfId="11029"/>
    <cellStyle name="Calculation 20 4 8 2" xfId="11030"/>
    <cellStyle name="Calculation 20 4 9" xfId="11031"/>
    <cellStyle name="Calculation 20 5" xfId="5162"/>
    <cellStyle name="Calculation 20 5 10" xfId="11033"/>
    <cellStyle name="Calculation 20 5 11" xfId="11032"/>
    <cellStyle name="Calculation 20 5 2" xfId="4221"/>
    <cellStyle name="Calculation 20 5 2 2" xfId="11035"/>
    <cellStyle name="Calculation 20 5 2 2 2" xfId="11036"/>
    <cellStyle name="Calculation 20 5 2 3" xfId="11037"/>
    <cellStyle name="Calculation 20 5 2 4" xfId="11038"/>
    <cellStyle name="Calculation 20 5 2 5" xfId="11034"/>
    <cellStyle name="Calculation 20 5 3" xfId="11039"/>
    <cellStyle name="Calculation 20 5 3 2" xfId="11040"/>
    <cellStyle name="Calculation 20 5 3 2 2" xfId="11041"/>
    <cellStyle name="Calculation 20 5 3 3" xfId="11042"/>
    <cellStyle name="Calculation 20 5 4" xfId="11043"/>
    <cellStyle name="Calculation 20 5 4 2" xfId="11044"/>
    <cellStyle name="Calculation 20 5 4 2 2" xfId="11045"/>
    <cellStyle name="Calculation 20 5 4 3" xfId="11046"/>
    <cellStyle name="Calculation 20 5 5" xfId="11047"/>
    <cellStyle name="Calculation 20 5 5 2" xfId="11048"/>
    <cellStyle name="Calculation 20 5 6" xfId="11049"/>
    <cellStyle name="Calculation 20 5 6 2" xfId="11050"/>
    <cellStyle name="Calculation 20 5 7" xfId="11051"/>
    <cellStyle name="Calculation 20 5 7 2" xfId="11052"/>
    <cellStyle name="Calculation 20 5 8" xfId="11053"/>
    <cellStyle name="Calculation 20 5 8 2" xfId="11054"/>
    <cellStyle name="Calculation 20 5 9" xfId="11055"/>
    <cellStyle name="Calculation 20 6" xfId="4222"/>
    <cellStyle name="Calculation 20 6 2" xfId="11057"/>
    <cellStyle name="Calculation 20 6 2 2" xfId="11058"/>
    <cellStyle name="Calculation 20 6 2 2 2" xfId="11059"/>
    <cellStyle name="Calculation 20 6 2 3" xfId="11060"/>
    <cellStyle name="Calculation 20 6 3" xfId="11061"/>
    <cellStyle name="Calculation 20 6 3 2" xfId="11062"/>
    <cellStyle name="Calculation 20 6 3 2 2" xfId="11063"/>
    <cellStyle name="Calculation 20 6 3 3" xfId="11064"/>
    <cellStyle name="Calculation 20 6 4" xfId="11065"/>
    <cellStyle name="Calculation 20 6 4 2" xfId="11066"/>
    <cellStyle name="Calculation 20 6 5" xfId="11067"/>
    <cellStyle name="Calculation 20 6 5 2" xfId="11068"/>
    <cellStyle name="Calculation 20 6 6" xfId="11069"/>
    <cellStyle name="Calculation 20 6 7" xfId="11070"/>
    <cellStyle name="Calculation 20 6 8" xfId="11056"/>
    <cellStyle name="Calculation 20 7" xfId="4223"/>
    <cellStyle name="Calculation 20 7 2" xfId="11072"/>
    <cellStyle name="Calculation 20 7 3" xfId="11071"/>
    <cellStyle name="Calculation 20 8" xfId="8324"/>
    <cellStyle name="Calculation 20 8 2" xfId="11073"/>
    <cellStyle name="Calculation 20 9" xfId="11074"/>
    <cellStyle name="Calculation 20 9 2" xfId="11075"/>
    <cellStyle name="Calculation 21" xfId="2576"/>
    <cellStyle name="Calculation 21 10" xfId="11076"/>
    <cellStyle name="Calculation 21 11" xfId="11077"/>
    <cellStyle name="Calculation 21 2" xfId="4224"/>
    <cellStyle name="Calculation 21 2 2" xfId="11079"/>
    <cellStyle name="Calculation 21 2 2 10" xfId="11080"/>
    <cellStyle name="Calculation 21 2 2 2" xfId="11081"/>
    <cellStyle name="Calculation 21 2 2 2 2" xfId="11082"/>
    <cellStyle name="Calculation 21 2 2 2 2 2" xfId="11083"/>
    <cellStyle name="Calculation 21 2 2 2 3" xfId="11084"/>
    <cellStyle name="Calculation 21 2 2 2 4" xfId="11085"/>
    <cellStyle name="Calculation 21 2 2 3" xfId="11086"/>
    <cellStyle name="Calculation 21 2 2 3 2" xfId="11087"/>
    <cellStyle name="Calculation 21 2 2 3 2 2" xfId="11088"/>
    <cellStyle name="Calculation 21 2 2 3 3" xfId="11089"/>
    <cellStyle name="Calculation 21 2 2 4" xfId="11090"/>
    <cellStyle name="Calculation 21 2 2 4 2" xfId="11091"/>
    <cellStyle name="Calculation 21 2 2 4 2 2" xfId="11092"/>
    <cellStyle name="Calculation 21 2 2 4 3" xfId="11093"/>
    <cellStyle name="Calculation 21 2 2 5" xfId="11094"/>
    <cellStyle name="Calculation 21 2 2 5 2" xfId="11095"/>
    <cellStyle name="Calculation 21 2 2 6" xfId="11096"/>
    <cellStyle name="Calculation 21 2 2 6 2" xfId="11097"/>
    <cellStyle name="Calculation 21 2 2 7" xfId="11098"/>
    <cellStyle name="Calculation 21 2 2 7 2" xfId="11099"/>
    <cellStyle name="Calculation 21 2 2 8" xfId="11100"/>
    <cellStyle name="Calculation 21 2 2 8 2" xfId="11101"/>
    <cellStyle name="Calculation 21 2 2 9" xfId="11102"/>
    <cellStyle name="Calculation 21 2 3" xfId="11103"/>
    <cellStyle name="Calculation 21 2 3 2" xfId="11104"/>
    <cellStyle name="Calculation 21 2 3 2 2" xfId="11105"/>
    <cellStyle name="Calculation 21 2 3 2 2 2" xfId="11106"/>
    <cellStyle name="Calculation 21 2 3 2 3" xfId="11107"/>
    <cellStyle name="Calculation 21 2 3 2 4" xfId="11108"/>
    <cellStyle name="Calculation 21 2 3 3" xfId="11109"/>
    <cellStyle name="Calculation 21 2 3 3 2" xfId="11110"/>
    <cellStyle name="Calculation 21 2 3 3 2 2" xfId="11111"/>
    <cellStyle name="Calculation 21 2 3 3 3" xfId="11112"/>
    <cellStyle name="Calculation 21 2 3 4" xfId="11113"/>
    <cellStyle name="Calculation 21 2 3 4 2" xfId="11114"/>
    <cellStyle name="Calculation 21 2 3 5" xfId="11115"/>
    <cellStyle name="Calculation 21 2 3 5 2" xfId="11116"/>
    <cellStyle name="Calculation 21 2 3 6" xfId="11117"/>
    <cellStyle name="Calculation 21 2 3 7" xfId="11118"/>
    <cellStyle name="Calculation 21 2 4" xfId="11119"/>
    <cellStyle name="Calculation 21 2 4 2" xfId="11120"/>
    <cellStyle name="Calculation 21 2 4 3" xfId="11121"/>
    <cellStyle name="Calculation 21 2 5" xfId="11122"/>
    <cellStyle name="Calculation 21 2 5 2" xfId="11123"/>
    <cellStyle name="Calculation 21 2 6" xfId="11124"/>
    <cellStyle name="Calculation 21 2 6 2" xfId="11125"/>
    <cellStyle name="Calculation 21 2 7" xfId="11126"/>
    <cellStyle name="Calculation 21 2 8" xfId="11127"/>
    <cellStyle name="Calculation 21 2 9" xfId="11078"/>
    <cellStyle name="Calculation 21 3" xfId="4225"/>
    <cellStyle name="Calculation 21 3 2" xfId="11129"/>
    <cellStyle name="Calculation 21 3 2 10" xfId="11130"/>
    <cellStyle name="Calculation 21 3 2 2" xfId="11131"/>
    <cellStyle name="Calculation 21 3 2 2 2" xfId="11132"/>
    <cellStyle name="Calculation 21 3 2 2 2 2" xfId="11133"/>
    <cellStyle name="Calculation 21 3 2 2 3" xfId="11134"/>
    <cellStyle name="Calculation 21 3 2 3" xfId="11135"/>
    <cellStyle name="Calculation 21 3 2 3 2" xfId="11136"/>
    <cellStyle name="Calculation 21 3 2 3 2 2" xfId="11137"/>
    <cellStyle name="Calculation 21 3 2 3 3" xfId="11138"/>
    <cellStyle name="Calculation 21 3 2 4" xfId="11139"/>
    <cellStyle name="Calculation 21 3 2 4 2" xfId="11140"/>
    <cellStyle name="Calculation 21 3 2 4 2 2" xfId="11141"/>
    <cellStyle name="Calculation 21 3 2 4 3" xfId="11142"/>
    <cellStyle name="Calculation 21 3 2 5" xfId="11143"/>
    <cellStyle name="Calculation 21 3 2 5 2" xfId="11144"/>
    <cellStyle name="Calculation 21 3 2 6" xfId="11145"/>
    <cellStyle name="Calculation 21 3 2 6 2" xfId="11146"/>
    <cellStyle name="Calculation 21 3 2 7" xfId="11147"/>
    <cellStyle name="Calculation 21 3 2 7 2" xfId="11148"/>
    <cellStyle name="Calculation 21 3 2 8" xfId="11149"/>
    <cellStyle name="Calculation 21 3 2 8 2" xfId="11150"/>
    <cellStyle name="Calculation 21 3 2 9" xfId="11151"/>
    <cellStyle name="Calculation 21 3 3" xfId="11152"/>
    <cellStyle name="Calculation 21 3 3 2" xfId="11153"/>
    <cellStyle name="Calculation 21 3 3 2 2" xfId="11154"/>
    <cellStyle name="Calculation 21 3 3 2 2 2" xfId="11155"/>
    <cellStyle name="Calculation 21 3 3 2 3" xfId="11156"/>
    <cellStyle name="Calculation 21 3 3 3" xfId="11157"/>
    <cellStyle name="Calculation 21 3 3 3 2" xfId="11158"/>
    <cellStyle name="Calculation 21 3 3 3 2 2" xfId="11159"/>
    <cellStyle name="Calculation 21 3 3 3 3" xfId="11160"/>
    <cellStyle name="Calculation 21 3 3 4" xfId="11161"/>
    <cellStyle name="Calculation 21 3 3 4 2" xfId="11162"/>
    <cellStyle name="Calculation 21 3 3 5" xfId="11163"/>
    <cellStyle name="Calculation 21 3 3 5 2" xfId="11164"/>
    <cellStyle name="Calculation 21 3 3 6" xfId="11165"/>
    <cellStyle name="Calculation 21 3 3 7" xfId="11166"/>
    <cellStyle name="Calculation 21 3 4" xfId="11167"/>
    <cellStyle name="Calculation 21 3 4 2" xfId="11168"/>
    <cellStyle name="Calculation 21 3 5" xfId="11169"/>
    <cellStyle name="Calculation 21 3 5 2" xfId="11170"/>
    <cellStyle name="Calculation 21 3 6" xfId="11171"/>
    <cellStyle name="Calculation 21 3 6 2" xfId="11172"/>
    <cellStyle name="Calculation 21 3 7" xfId="11173"/>
    <cellStyle name="Calculation 21 3 8" xfId="11174"/>
    <cellStyle name="Calculation 21 3 9" xfId="11128"/>
    <cellStyle name="Calculation 21 4" xfId="4226"/>
    <cellStyle name="Calculation 21 4 10" xfId="11176"/>
    <cellStyle name="Calculation 21 4 11" xfId="11175"/>
    <cellStyle name="Calculation 21 4 2" xfId="4227"/>
    <cellStyle name="Calculation 21 4 2 2" xfId="11178"/>
    <cellStyle name="Calculation 21 4 2 2 2" xfId="11179"/>
    <cellStyle name="Calculation 21 4 2 3" xfId="11180"/>
    <cellStyle name="Calculation 21 4 2 4" xfId="11181"/>
    <cellStyle name="Calculation 21 4 2 5" xfId="11177"/>
    <cellStyle name="Calculation 21 4 3" xfId="11182"/>
    <cellStyle name="Calculation 21 4 3 2" xfId="11183"/>
    <cellStyle name="Calculation 21 4 3 2 2" xfId="11184"/>
    <cellStyle name="Calculation 21 4 3 3" xfId="11185"/>
    <cellStyle name="Calculation 21 4 4" xfId="11186"/>
    <cellStyle name="Calculation 21 4 4 2" xfId="11187"/>
    <cellStyle name="Calculation 21 4 4 2 2" xfId="11188"/>
    <cellStyle name="Calculation 21 4 4 3" xfId="11189"/>
    <cellStyle name="Calculation 21 4 5" xfId="11190"/>
    <cellStyle name="Calculation 21 4 5 2" xfId="11191"/>
    <cellStyle name="Calculation 21 4 6" xfId="11192"/>
    <cellStyle name="Calculation 21 4 6 2" xfId="11193"/>
    <cellStyle name="Calculation 21 4 7" xfId="11194"/>
    <cellStyle name="Calculation 21 4 7 2" xfId="11195"/>
    <cellStyle name="Calculation 21 4 8" xfId="11196"/>
    <cellStyle name="Calculation 21 4 8 2" xfId="11197"/>
    <cellStyle name="Calculation 21 4 9" xfId="11198"/>
    <cellStyle name="Calculation 21 5" xfId="4228"/>
    <cellStyle name="Calculation 21 5 10" xfId="11200"/>
    <cellStyle name="Calculation 21 5 11" xfId="11199"/>
    <cellStyle name="Calculation 21 5 2" xfId="4229"/>
    <cellStyle name="Calculation 21 5 2 2" xfId="11202"/>
    <cellStyle name="Calculation 21 5 2 2 2" xfId="11203"/>
    <cellStyle name="Calculation 21 5 2 3" xfId="11204"/>
    <cellStyle name="Calculation 21 5 2 4" xfId="11205"/>
    <cellStyle name="Calculation 21 5 2 5" xfId="11201"/>
    <cellStyle name="Calculation 21 5 3" xfId="11206"/>
    <cellStyle name="Calculation 21 5 3 2" xfId="11207"/>
    <cellStyle name="Calculation 21 5 3 2 2" xfId="11208"/>
    <cellStyle name="Calculation 21 5 3 3" xfId="11209"/>
    <cellStyle name="Calculation 21 5 4" xfId="11210"/>
    <cellStyle name="Calculation 21 5 4 2" xfId="11211"/>
    <cellStyle name="Calculation 21 5 4 2 2" xfId="11212"/>
    <cellStyle name="Calculation 21 5 4 3" xfId="11213"/>
    <cellStyle name="Calculation 21 5 5" xfId="11214"/>
    <cellStyle name="Calculation 21 5 5 2" xfId="11215"/>
    <cellStyle name="Calculation 21 5 6" xfId="11216"/>
    <cellStyle name="Calculation 21 5 6 2" xfId="11217"/>
    <cellStyle name="Calculation 21 5 7" xfId="11218"/>
    <cellStyle name="Calculation 21 5 7 2" xfId="11219"/>
    <cellStyle name="Calculation 21 5 8" xfId="11220"/>
    <cellStyle name="Calculation 21 5 8 2" xfId="11221"/>
    <cellStyle name="Calculation 21 5 9" xfId="11222"/>
    <cellStyle name="Calculation 21 6" xfId="4230"/>
    <cellStyle name="Calculation 21 6 2" xfId="11224"/>
    <cellStyle name="Calculation 21 6 2 2" xfId="11225"/>
    <cellStyle name="Calculation 21 6 2 2 2" xfId="11226"/>
    <cellStyle name="Calculation 21 6 2 3" xfId="11227"/>
    <cellStyle name="Calculation 21 6 3" xfId="11228"/>
    <cellStyle name="Calculation 21 6 3 2" xfId="11229"/>
    <cellStyle name="Calculation 21 6 3 2 2" xfId="11230"/>
    <cellStyle name="Calculation 21 6 3 3" xfId="11231"/>
    <cellStyle name="Calculation 21 6 4" xfId="11232"/>
    <cellStyle name="Calculation 21 6 4 2" xfId="11233"/>
    <cellStyle name="Calculation 21 6 5" xfId="11234"/>
    <cellStyle name="Calculation 21 6 5 2" xfId="11235"/>
    <cellStyle name="Calculation 21 6 6" xfId="11236"/>
    <cellStyle name="Calculation 21 6 7" xfId="11237"/>
    <cellStyle name="Calculation 21 6 8" xfId="11223"/>
    <cellStyle name="Calculation 21 7" xfId="3384"/>
    <cellStyle name="Calculation 21 7 2" xfId="11239"/>
    <cellStyle name="Calculation 21 7 3" xfId="11238"/>
    <cellStyle name="Calculation 21 8" xfId="8325"/>
    <cellStyle name="Calculation 21 8 2" xfId="11240"/>
    <cellStyle name="Calculation 21 9" xfId="11241"/>
    <cellStyle name="Calculation 21 9 2" xfId="11242"/>
    <cellStyle name="Calculation 22" xfId="2577"/>
    <cellStyle name="Calculation 22 10" xfId="11243"/>
    <cellStyle name="Calculation 22 11" xfId="11244"/>
    <cellStyle name="Calculation 22 2" xfId="3385"/>
    <cellStyle name="Calculation 22 2 2" xfId="11246"/>
    <cellStyle name="Calculation 22 2 2 10" xfId="11247"/>
    <cellStyle name="Calculation 22 2 2 2" xfId="11248"/>
    <cellStyle name="Calculation 22 2 2 2 2" xfId="11249"/>
    <cellStyle name="Calculation 22 2 2 2 2 2" xfId="11250"/>
    <cellStyle name="Calculation 22 2 2 2 3" xfId="11251"/>
    <cellStyle name="Calculation 22 2 2 2 4" xfId="11252"/>
    <cellStyle name="Calculation 22 2 2 3" xfId="11253"/>
    <cellStyle name="Calculation 22 2 2 3 2" xfId="11254"/>
    <cellStyle name="Calculation 22 2 2 3 2 2" xfId="11255"/>
    <cellStyle name="Calculation 22 2 2 3 3" xfId="11256"/>
    <cellStyle name="Calculation 22 2 2 4" xfId="11257"/>
    <cellStyle name="Calculation 22 2 2 4 2" xfId="11258"/>
    <cellStyle name="Calculation 22 2 2 4 2 2" xfId="11259"/>
    <cellStyle name="Calculation 22 2 2 4 3" xfId="11260"/>
    <cellStyle name="Calculation 22 2 2 5" xfId="11261"/>
    <cellStyle name="Calculation 22 2 2 5 2" xfId="11262"/>
    <cellStyle name="Calculation 22 2 2 6" xfId="11263"/>
    <cellStyle name="Calculation 22 2 2 6 2" xfId="11264"/>
    <cellStyle name="Calculation 22 2 2 7" xfId="11265"/>
    <cellStyle name="Calculation 22 2 2 7 2" xfId="11266"/>
    <cellStyle name="Calculation 22 2 2 8" xfId="11267"/>
    <cellStyle name="Calculation 22 2 2 8 2" xfId="11268"/>
    <cellStyle name="Calculation 22 2 2 9" xfId="11269"/>
    <cellStyle name="Calculation 22 2 3" xfId="11270"/>
    <cellStyle name="Calculation 22 2 3 2" xfId="11271"/>
    <cellStyle name="Calculation 22 2 3 2 2" xfId="11272"/>
    <cellStyle name="Calculation 22 2 3 2 2 2" xfId="11273"/>
    <cellStyle name="Calculation 22 2 3 2 3" xfId="11274"/>
    <cellStyle name="Calculation 22 2 3 2 4" xfId="11275"/>
    <cellStyle name="Calculation 22 2 3 3" xfId="11276"/>
    <cellStyle name="Calculation 22 2 3 3 2" xfId="11277"/>
    <cellStyle name="Calculation 22 2 3 3 2 2" xfId="11278"/>
    <cellStyle name="Calculation 22 2 3 3 3" xfId="11279"/>
    <cellStyle name="Calculation 22 2 3 4" xfId="11280"/>
    <cellStyle name="Calculation 22 2 3 4 2" xfId="11281"/>
    <cellStyle name="Calculation 22 2 3 5" xfId="11282"/>
    <cellStyle name="Calculation 22 2 3 5 2" xfId="11283"/>
    <cellStyle name="Calculation 22 2 3 6" xfId="11284"/>
    <cellStyle name="Calculation 22 2 3 7" xfId="11285"/>
    <cellStyle name="Calculation 22 2 4" xfId="11286"/>
    <cellStyle name="Calculation 22 2 4 2" xfId="11287"/>
    <cellStyle name="Calculation 22 2 4 3" xfId="11288"/>
    <cellStyle name="Calculation 22 2 5" xfId="11289"/>
    <cellStyle name="Calculation 22 2 5 2" xfId="11290"/>
    <cellStyle name="Calculation 22 2 6" xfId="11291"/>
    <cellStyle name="Calculation 22 2 6 2" xfId="11292"/>
    <cellStyle name="Calculation 22 2 7" xfId="11293"/>
    <cellStyle name="Calculation 22 2 8" xfId="11294"/>
    <cellStyle name="Calculation 22 2 9" xfId="11245"/>
    <cellStyle name="Calculation 22 3" xfId="3386"/>
    <cellStyle name="Calculation 22 3 2" xfId="11296"/>
    <cellStyle name="Calculation 22 3 2 10" xfId="11297"/>
    <cellStyle name="Calculation 22 3 2 2" xfId="11298"/>
    <cellStyle name="Calculation 22 3 2 2 2" xfId="11299"/>
    <cellStyle name="Calculation 22 3 2 2 2 2" xfId="11300"/>
    <cellStyle name="Calculation 22 3 2 2 3" xfId="11301"/>
    <cellStyle name="Calculation 22 3 2 3" xfId="11302"/>
    <cellStyle name="Calculation 22 3 2 3 2" xfId="11303"/>
    <cellStyle name="Calculation 22 3 2 3 2 2" xfId="11304"/>
    <cellStyle name="Calculation 22 3 2 3 3" xfId="11305"/>
    <cellStyle name="Calculation 22 3 2 4" xfId="11306"/>
    <cellStyle name="Calculation 22 3 2 4 2" xfId="11307"/>
    <cellStyle name="Calculation 22 3 2 4 2 2" xfId="11308"/>
    <cellStyle name="Calculation 22 3 2 4 3" xfId="11309"/>
    <cellStyle name="Calculation 22 3 2 5" xfId="11310"/>
    <cellStyle name="Calculation 22 3 2 5 2" xfId="11311"/>
    <cellStyle name="Calculation 22 3 2 6" xfId="11312"/>
    <cellStyle name="Calculation 22 3 2 6 2" xfId="11313"/>
    <cellStyle name="Calculation 22 3 2 7" xfId="11314"/>
    <cellStyle name="Calculation 22 3 2 7 2" xfId="11315"/>
    <cellStyle name="Calculation 22 3 2 8" xfId="11316"/>
    <cellStyle name="Calculation 22 3 2 8 2" xfId="11317"/>
    <cellStyle name="Calculation 22 3 2 9" xfId="11318"/>
    <cellStyle name="Calculation 22 3 3" xfId="11319"/>
    <cellStyle name="Calculation 22 3 3 2" xfId="11320"/>
    <cellStyle name="Calculation 22 3 3 2 2" xfId="11321"/>
    <cellStyle name="Calculation 22 3 3 2 2 2" xfId="11322"/>
    <cellStyle name="Calculation 22 3 3 2 3" xfId="11323"/>
    <cellStyle name="Calculation 22 3 3 3" xfId="11324"/>
    <cellStyle name="Calculation 22 3 3 3 2" xfId="11325"/>
    <cellStyle name="Calculation 22 3 3 3 2 2" xfId="11326"/>
    <cellStyle name="Calculation 22 3 3 3 3" xfId="11327"/>
    <cellStyle name="Calculation 22 3 3 4" xfId="11328"/>
    <cellStyle name="Calculation 22 3 3 4 2" xfId="11329"/>
    <cellStyle name="Calculation 22 3 3 5" xfId="11330"/>
    <cellStyle name="Calculation 22 3 3 5 2" xfId="11331"/>
    <cellStyle name="Calculation 22 3 3 6" xfId="11332"/>
    <cellStyle name="Calculation 22 3 3 7" xfId="11333"/>
    <cellStyle name="Calculation 22 3 4" xfId="11334"/>
    <cellStyle name="Calculation 22 3 4 2" xfId="11335"/>
    <cellStyle name="Calculation 22 3 5" xfId="11336"/>
    <cellStyle name="Calculation 22 3 5 2" xfId="11337"/>
    <cellStyle name="Calculation 22 3 6" xfId="11338"/>
    <cellStyle name="Calculation 22 3 6 2" xfId="11339"/>
    <cellStyle name="Calculation 22 3 7" xfId="11340"/>
    <cellStyle name="Calculation 22 3 8" xfId="11341"/>
    <cellStyle name="Calculation 22 3 9" xfId="11295"/>
    <cellStyle name="Calculation 22 4" xfId="4231"/>
    <cellStyle name="Calculation 22 4 10" xfId="11343"/>
    <cellStyle name="Calculation 22 4 11" xfId="11342"/>
    <cellStyle name="Calculation 22 4 2" xfId="4232"/>
    <cellStyle name="Calculation 22 4 2 2" xfId="11345"/>
    <cellStyle name="Calculation 22 4 2 2 2" xfId="11346"/>
    <cellStyle name="Calculation 22 4 2 3" xfId="11347"/>
    <cellStyle name="Calculation 22 4 2 4" xfId="11348"/>
    <cellStyle name="Calculation 22 4 2 5" xfId="11344"/>
    <cellStyle name="Calculation 22 4 3" xfId="11349"/>
    <cellStyle name="Calculation 22 4 3 2" xfId="11350"/>
    <cellStyle name="Calculation 22 4 3 2 2" xfId="11351"/>
    <cellStyle name="Calculation 22 4 3 3" xfId="11352"/>
    <cellStyle name="Calculation 22 4 4" xfId="11353"/>
    <cellStyle name="Calculation 22 4 4 2" xfId="11354"/>
    <cellStyle name="Calculation 22 4 4 2 2" xfId="11355"/>
    <cellStyle name="Calculation 22 4 4 3" xfId="11356"/>
    <cellStyle name="Calculation 22 4 5" xfId="11357"/>
    <cellStyle name="Calculation 22 4 5 2" xfId="11358"/>
    <cellStyle name="Calculation 22 4 6" xfId="11359"/>
    <cellStyle name="Calculation 22 4 6 2" xfId="11360"/>
    <cellStyle name="Calculation 22 4 7" xfId="11361"/>
    <cellStyle name="Calculation 22 4 7 2" xfId="11362"/>
    <cellStyle name="Calculation 22 4 8" xfId="11363"/>
    <cellStyle name="Calculation 22 4 8 2" xfId="11364"/>
    <cellStyle name="Calculation 22 4 9" xfId="11365"/>
    <cellStyle name="Calculation 22 5" xfId="4233"/>
    <cellStyle name="Calculation 22 5 10" xfId="11367"/>
    <cellStyle name="Calculation 22 5 11" xfId="11366"/>
    <cellStyle name="Calculation 22 5 2" xfId="4234"/>
    <cellStyle name="Calculation 22 5 2 2" xfId="11369"/>
    <cellStyle name="Calculation 22 5 2 2 2" xfId="11370"/>
    <cellStyle name="Calculation 22 5 2 3" xfId="11371"/>
    <cellStyle name="Calculation 22 5 2 4" xfId="11372"/>
    <cellStyle name="Calculation 22 5 2 5" xfId="11368"/>
    <cellStyle name="Calculation 22 5 3" xfId="11373"/>
    <cellStyle name="Calculation 22 5 3 2" xfId="11374"/>
    <cellStyle name="Calculation 22 5 3 2 2" xfId="11375"/>
    <cellStyle name="Calculation 22 5 3 3" xfId="11376"/>
    <cellStyle name="Calculation 22 5 4" xfId="11377"/>
    <cellStyle name="Calculation 22 5 4 2" xfId="11378"/>
    <cellStyle name="Calculation 22 5 4 2 2" xfId="11379"/>
    <cellStyle name="Calculation 22 5 4 3" xfId="11380"/>
    <cellStyle name="Calculation 22 5 5" xfId="11381"/>
    <cellStyle name="Calculation 22 5 5 2" xfId="11382"/>
    <cellStyle name="Calculation 22 5 6" xfId="11383"/>
    <cellStyle name="Calculation 22 5 6 2" xfId="11384"/>
    <cellStyle name="Calculation 22 5 7" xfId="11385"/>
    <cellStyle name="Calculation 22 5 7 2" xfId="11386"/>
    <cellStyle name="Calculation 22 5 8" xfId="11387"/>
    <cellStyle name="Calculation 22 5 8 2" xfId="11388"/>
    <cellStyle name="Calculation 22 5 9" xfId="11389"/>
    <cellStyle name="Calculation 22 6" xfId="5163"/>
    <cellStyle name="Calculation 22 6 2" xfId="11391"/>
    <cellStyle name="Calculation 22 6 2 2" xfId="11392"/>
    <cellStyle name="Calculation 22 6 2 2 2" xfId="11393"/>
    <cellStyle name="Calculation 22 6 2 3" xfId="11394"/>
    <cellStyle name="Calculation 22 6 3" xfId="11395"/>
    <cellStyle name="Calculation 22 6 3 2" xfId="11396"/>
    <cellStyle name="Calculation 22 6 3 2 2" xfId="11397"/>
    <cellStyle name="Calculation 22 6 3 3" xfId="11398"/>
    <cellStyle name="Calculation 22 6 4" xfId="11399"/>
    <cellStyle name="Calculation 22 6 4 2" xfId="11400"/>
    <cellStyle name="Calculation 22 6 5" xfId="11401"/>
    <cellStyle name="Calculation 22 6 5 2" xfId="11402"/>
    <cellStyle name="Calculation 22 6 6" xfId="11403"/>
    <cellStyle name="Calculation 22 6 7" xfId="11404"/>
    <cellStyle name="Calculation 22 6 8" xfId="11390"/>
    <cellStyle name="Calculation 22 7" xfId="3387"/>
    <cellStyle name="Calculation 22 7 2" xfId="11406"/>
    <cellStyle name="Calculation 22 7 3" xfId="11405"/>
    <cellStyle name="Calculation 22 8" xfId="8326"/>
    <cellStyle name="Calculation 22 8 2" xfId="11407"/>
    <cellStyle name="Calculation 22 9" xfId="11408"/>
    <cellStyle name="Calculation 22 9 2" xfId="11409"/>
    <cellStyle name="Calculation 23" xfId="2578"/>
    <cellStyle name="Calculation 23 10" xfId="11410"/>
    <cellStyle name="Calculation 23 11" xfId="11411"/>
    <cellStyle name="Calculation 23 2" xfId="3388"/>
    <cellStyle name="Calculation 23 2 2" xfId="11413"/>
    <cellStyle name="Calculation 23 2 2 10" xfId="11414"/>
    <cellStyle name="Calculation 23 2 2 2" xfId="11415"/>
    <cellStyle name="Calculation 23 2 2 2 2" xfId="11416"/>
    <cellStyle name="Calculation 23 2 2 2 2 2" xfId="11417"/>
    <cellStyle name="Calculation 23 2 2 2 3" xfId="11418"/>
    <cellStyle name="Calculation 23 2 2 2 4" xfId="11419"/>
    <cellStyle name="Calculation 23 2 2 3" xfId="11420"/>
    <cellStyle name="Calculation 23 2 2 3 2" xfId="11421"/>
    <cellStyle name="Calculation 23 2 2 3 2 2" xfId="11422"/>
    <cellStyle name="Calculation 23 2 2 3 3" xfId="11423"/>
    <cellStyle name="Calculation 23 2 2 4" xfId="11424"/>
    <cellStyle name="Calculation 23 2 2 4 2" xfId="11425"/>
    <cellStyle name="Calculation 23 2 2 4 2 2" xfId="11426"/>
    <cellStyle name="Calculation 23 2 2 4 3" xfId="11427"/>
    <cellStyle name="Calculation 23 2 2 5" xfId="11428"/>
    <cellStyle name="Calculation 23 2 2 5 2" xfId="11429"/>
    <cellStyle name="Calculation 23 2 2 6" xfId="11430"/>
    <cellStyle name="Calculation 23 2 2 6 2" xfId="11431"/>
    <cellStyle name="Calculation 23 2 2 7" xfId="11432"/>
    <cellStyle name="Calculation 23 2 2 7 2" xfId="11433"/>
    <cellStyle name="Calculation 23 2 2 8" xfId="11434"/>
    <cellStyle name="Calculation 23 2 2 8 2" xfId="11435"/>
    <cellStyle name="Calculation 23 2 2 9" xfId="11436"/>
    <cellStyle name="Calculation 23 2 3" xfId="11437"/>
    <cellStyle name="Calculation 23 2 3 2" xfId="11438"/>
    <cellStyle name="Calculation 23 2 3 2 2" xfId="11439"/>
    <cellStyle name="Calculation 23 2 3 2 2 2" xfId="11440"/>
    <cellStyle name="Calculation 23 2 3 2 3" xfId="11441"/>
    <cellStyle name="Calculation 23 2 3 2 4" xfId="11442"/>
    <cellStyle name="Calculation 23 2 3 3" xfId="11443"/>
    <cellStyle name="Calculation 23 2 3 3 2" xfId="11444"/>
    <cellStyle name="Calculation 23 2 3 3 2 2" xfId="11445"/>
    <cellStyle name="Calculation 23 2 3 3 3" xfId="11446"/>
    <cellStyle name="Calculation 23 2 3 4" xfId="11447"/>
    <cellStyle name="Calculation 23 2 3 4 2" xfId="11448"/>
    <cellStyle name="Calculation 23 2 3 5" xfId="11449"/>
    <cellStyle name="Calculation 23 2 3 5 2" xfId="11450"/>
    <cellStyle name="Calculation 23 2 3 6" xfId="11451"/>
    <cellStyle name="Calculation 23 2 3 7" xfId="11452"/>
    <cellStyle name="Calculation 23 2 4" xfId="11453"/>
    <cellStyle name="Calculation 23 2 4 2" xfId="11454"/>
    <cellStyle name="Calculation 23 2 4 3" xfId="11455"/>
    <cellStyle name="Calculation 23 2 5" xfId="11456"/>
    <cellStyle name="Calculation 23 2 5 2" xfId="11457"/>
    <cellStyle name="Calculation 23 2 6" xfId="11458"/>
    <cellStyle name="Calculation 23 2 6 2" xfId="11459"/>
    <cellStyle name="Calculation 23 2 7" xfId="11460"/>
    <cellStyle name="Calculation 23 2 8" xfId="11461"/>
    <cellStyle name="Calculation 23 2 9" xfId="11412"/>
    <cellStyle name="Calculation 23 3" xfId="4235"/>
    <cellStyle name="Calculation 23 3 2" xfId="11463"/>
    <cellStyle name="Calculation 23 3 2 10" xfId="11464"/>
    <cellStyle name="Calculation 23 3 2 2" xfId="11465"/>
    <cellStyle name="Calculation 23 3 2 2 2" xfId="11466"/>
    <cellStyle name="Calculation 23 3 2 2 2 2" xfId="11467"/>
    <cellStyle name="Calculation 23 3 2 2 3" xfId="11468"/>
    <cellStyle name="Calculation 23 3 2 3" xfId="11469"/>
    <cellStyle name="Calculation 23 3 2 3 2" xfId="11470"/>
    <cellStyle name="Calculation 23 3 2 3 2 2" xfId="11471"/>
    <cellStyle name="Calculation 23 3 2 3 3" xfId="11472"/>
    <cellStyle name="Calculation 23 3 2 4" xfId="11473"/>
    <cellStyle name="Calculation 23 3 2 4 2" xfId="11474"/>
    <cellStyle name="Calculation 23 3 2 4 2 2" xfId="11475"/>
    <cellStyle name="Calculation 23 3 2 4 3" xfId="11476"/>
    <cellStyle name="Calculation 23 3 2 5" xfId="11477"/>
    <cellStyle name="Calculation 23 3 2 5 2" xfId="11478"/>
    <cellStyle name="Calculation 23 3 2 6" xfId="11479"/>
    <cellStyle name="Calculation 23 3 2 6 2" xfId="11480"/>
    <cellStyle name="Calculation 23 3 2 7" xfId="11481"/>
    <cellStyle name="Calculation 23 3 2 7 2" xfId="11482"/>
    <cellStyle name="Calculation 23 3 2 8" xfId="11483"/>
    <cellStyle name="Calculation 23 3 2 8 2" xfId="11484"/>
    <cellStyle name="Calculation 23 3 2 9" xfId="11485"/>
    <cellStyle name="Calculation 23 3 3" xfId="11486"/>
    <cellStyle name="Calculation 23 3 3 2" xfId="11487"/>
    <cellStyle name="Calculation 23 3 3 2 2" xfId="11488"/>
    <cellStyle name="Calculation 23 3 3 2 2 2" xfId="11489"/>
    <cellStyle name="Calculation 23 3 3 2 3" xfId="11490"/>
    <cellStyle name="Calculation 23 3 3 3" xfId="11491"/>
    <cellStyle name="Calculation 23 3 3 3 2" xfId="11492"/>
    <cellStyle name="Calculation 23 3 3 3 2 2" xfId="11493"/>
    <cellStyle name="Calculation 23 3 3 3 3" xfId="11494"/>
    <cellStyle name="Calculation 23 3 3 4" xfId="11495"/>
    <cellStyle name="Calculation 23 3 3 4 2" xfId="11496"/>
    <cellStyle name="Calculation 23 3 3 5" xfId="11497"/>
    <cellStyle name="Calculation 23 3 3 5 2" xfId="11498"/>
    <cellStyle name="Calculation 23 3 3 6" xfId="11499"/>
    <cellStyle name="Calculation 23 3 3 7" xfId="11500"/>
    <cellStyle name="Calculation 23 3 4" xfId="11501"/>
    <cellStyle name="Calculation 23 3 4 2" xfId="11502"/>
    <cellStyle name="Calculation 23 3 5" xfId="11503"/>
    <cellStyle name="Calculation 23 3 5 2" xfId="11504"/>
    <cellStyle name="Calculation 23 3 6" xfId="11505"/>
    <cellStyle name="Calculation 23 3 6 2" xfId="11506"/>
    <cellStyle name="Calculation 23 3 7" xfId="11507"/>
    <cellStyle name="Calculation 23 3 8" xfId="11508"/>
    <cellStyle name="Calculation 23 3 9" xfId="11462"/>
    <cellStyle name="Calculation 23 4" xfId="4236"/>
    <cellStyle name="Calculation 23 4 10" xfId="11510"/>
    <cellStyle name="Calculation 23 4 11" xfId="11509"/>
    <cellStyle name="Calculation 23 4 2" xfId="4237"/>
    <cellStyle name="Calculation 23 4 2 2" xfId="11512"/>
    <cellStyle name="Calculation 23 4 2 2 2" xfId="11513"/>
    <cellStyle name="Calculation 23 4 2 3" xfId="11514"/>
    <cellStyle name="Calculation 23 4 2 4" xfId="11515"/>
    <cellStyle name="Calculation 23 4 2 5" xfId="11511"/>
    <cellStyle name="Calculation 23 4 3" xfId="11516"/>
    <cellStyle name="Calculation 23 4 3 2" xfId="11517"/>
    <cellStyle name="Calculation 23 4 3 2 2" xfId="11518"/>
    <cellStyle name="Calculation 23 4 3 3" xfId="11519"/>
    <cellStyle name="Calculation 23 4 4" xfId="11520"/>
    <cellStyle name="Calculation 23 4 4 2" xfId="11521"/>
    <cellStyle name="Calculation 23 4 4 2 2" xfId="11522"/>
    <cellStyle name="Calculation 23 4 4 3" xfId="11523"/>
    <cellStyle name="Calculation 23 4 5" xfId="11524"/>
    <cellStyle name="Calculation 23 4 5 2" xfId="11525"/>
    <cellStyle name="Calculation 23 4 6" xfId="11526"/>
    <cellStyle name="Calculation 23 4 6 2" xfId="11527"/>
    <cellStyle name="Calculation 23 4 7" xfId="11528"/>
    <cellStyle name="Calculation 23 4 7 2" xfId="11529"/>
    <cellStyle name="Calculation 23 4 8" xfId="11530"/>
    <cellStyle name="Calculation 23 4 8 2" xfId="11531"/>
    <cellStyle name="Calculation 23 4 9" xfId="11532"/>
    <cellStyle name="Calculation 23 5" xfId="5460"/>
    <cellStyle name="Calculation 23 5 10" xfId="11534"/>
    <cellStyle name="Calculation 23 5 11" xfId="11533"/>
    <cellStyle name="Calculation 23 5 2" xfId="4238"/>
    <cellStyle name="Calculation 23 5 2 2" xfId="11536"/>
    <cellStyle name="Calculation 23 5 2 2 2" xfId="11537"/>
    <cellStyle name="Calculation 23 5 2 3" xfId="11538"/>
    <cellStyle name="Calculation 23 5 2 4" xfId="11539"/>
    <cellStyle name="Calculation 23 5 2 5" xfId="11535"/>
    <cellStyle name="Calculation 23 5 3" xfId="11540"/>
    <cellStyle name="Calculation 23 5 3 2" xfId="11541"/>
    <cellStyle name="Calculation 23 5 3 2 2" xfId="11542"/>
    <cellStyle name="Calculation 23 5 3 3" xfId="11543"/>
    <cellStyle name="Calculation 23 5 4" xfId="11544"/>
    <cellStyle name="Calculation 23 5 4 2" xfId="11545"/>
    <cellStyle name="Calculation 23 5 4 2 2" xfId="11546"/>
    <cellStyle name="Calculation 23 5 4 3" xfId="11547"/>
    <cellStyle name="Calculation 23 5 5" xfId="11548"/>
    <cellStyle name="Calculation 23 5 5 2" xfId="11549"/>
    <cellStyle name="Calculation 23 5 6" xfId="11550"/>
    <cellStyle name="Calculation 23 5 6 2" xfId="11551"/>
    <cellStyle name="Calculation 23 5 7" xfId="11552"/>
    <cellStyle name="Calculation 23 5 7 2" xfId="11553"/>
    <cellStyle name="Calculation 23 5 8" xfId="11554"/>
    <cellStyle name="Calculation 23 5 8 2" xfId="11555"/>
    <cellStyle name="Calculation 23 5 9" xfId="11556"/>
    <cellStyle name="Calculation 23 6" xfId="4239"/>
    <cellStyle name="Calculation 23 6 2" xfId="11558"/>
    <cellStyle name="Calculation 23 6 2 2" xfId="11559"/>
    <cellStyle name="Calculation 23 6 2 2 2" xfId="11560"/>
    <cellStyle name="Calculation 23 6 2 3" xfId="11561"/>
    <cellStyle name="Calculation 23 6 3" xfId="11562"/>
    <cellStyle name="Calculation 23 6 3 2" xfId="11563"/>
    <cellStyle name="Calculation 23 6 3 2 2" xfId="11564"/>
    <cellStyle name="Calculation 23 6 3 3" xfId="11565"/>
    <cellStyle name="Calculation 23 6 4" xfId="11566"/>
    <cellStyle name="Calculation 23 6 4 2" xfId="11567"/>
    <cellStyle name="Calculation 23 6 5" xfId="11568"/>
    <cellStyle name="Calculation 23 6 5 2" xfId="11569"/>
    <cellStyle name="Calculation 23 6 6" xfId="11570"/>
    <cellStyle name="Calculation 23 6 7" xfId="11571"/>
    <cellStyle name="Calculation 23 6 8" xfId="11557"/>
    <cellStyle name="Calculation 23 7" xfId="3389"/>
    <cellStyle name="Calculation 23 7 2" xfId="11573"/>
    <cellStyle name="Calculation 23 7 3" xfId="11572"/>
    <cellStyle name="Calculation 23 8" xfId="8327"/>
    <cellStyle name="Calculation 23 8 2" xfId="11574"/>
    <cellStyle name="Calculation 23 9" xfId="11575"/>
    <cellStyle name="Calculation 23 9 2" xfId="11576"/>
    <cellStyle name="Calculation 24" xfId="2579"/>
    <cellStyle name="Calculation 24 10" xfId="11577"/>
    <cellStyle name="Calculation 24 11" xfId="11578"/>
    <cellStyle name="Calculation 24 2" xfId="4240"/>
    <cellStyle name="Calculation 24 2 2" xfId="11580"/>
    <cellStyle name="Calculation 24 2 2 10" xfId="11581"/>
    <cellStyle name="Calculation 24 2 2 2" xfId="11582"/>
    <cellStyle name="Calculation 24 2 2 2 2" xfId="11583"/>
    <cellStyle name="Calculation 24 2 2 2 2 2" xfId="11584"/>
    <cellStyle name="Calculation 24 2 2 2 3" xfId="11585"/>
    <cellStyle name="Calculation 24 2 2 2 4" xfId="11586"/>
    <cellStyle name="Calculation 24 2 2 3" xfId="11587"/>
    <cellStyle name="Calculation 24 2 2 3 2" xfId="11588"/>
    <cellStyle name="Calculation 24 2 2 3 2 2" xfId="11589"/>
    <cellStyle name="Calculation 24 2 2 3 3" xfId="11590"/>
    <cellStyle name="Calculation 24 2 2 4" xfId="11591"/>
    <cellStyle name="Calculation 24 2 2 4 2" xfId="11592"/>
    <cellStyle name="Calculation 24 2 2 4 2 2" xfId="11593"/>
    <cellStyle name="Calculation 24 2 2 4 3" xfId="11594"/>
    <cellStyle name="Calculation 24 2 2 5" xfId="11595"/>
    <cellStyle name="Calculation 24 2 2 5 2" xfId="11596"/>
    <cellStyle name="Calculation 24 2 2 6" xfId="11597"/>
    <cellStyle name="Calculation 24 2 2 6 2" xfId="11598"/>
    <cellStyle name="Calculation 24 2 2 7" xfId="11599"/>
    <cellStyle name="Calculation 24 2 2 7 2" xfId="11600"/>
    <cellStyle name="Calculation 24 2 2 8" xfId="11601"/>
    <cellStyle name="Calculation 24 2 2 8 2" xfId="11602"/>
    <cellStyle name="Calculation 24 2 2 9" xfId="11603"/>
    <cellStyle name="Calculation 24 2 3" xfId="11604"/>
    <cellStyle name="Calculation 24 2 3 2" xfId="11605"/>
    <cellStyle name="Calculation 24 2 3 2 2" xfId="11606"/>
    <cellStyle name="Calculation 24 2 3 2 2 2" xfId="11607"/>
    <cellStyle name="Calculation 24 2 3 2 3" xfId="11608"/>
    <cellStyle name="Calculation 24 2 3 2 4" xfId="11609"/>
    <cellStyle name="Calculation 24 2 3 3" xfId="11610"/>
    <cellStyle name="Calculation 24 2 3 3 2" xfId="11611"/>
    <cellStyle name="Calculation 24 2 3 3 2 2" xfId="11612"/>
    <cellStyle name="Calculation 24 2 3 3 3" xfId="11613"/>
    <cellStyle name="Calculation 24 2 3 4" xfId="11614"/>
    <cellStyle name="Calculation 24 2 3 4 2" xfId="11615"/>
    <cellStyle name="Calculation 24 2 3 5" xfId="11616"/>
    <cellStyle name="Calculation 24 2 3 5 2" xfId="11617"/>
    <cellStyle name="Calculation 24 2 3 6" xfId="11618"/>
    <cellStyle name="Calculation 24 2 3 7" xfId="11619"/>
    <cellStyle name="Calculation 24 2 4" xfId="11620"/>
    <cellStyle name="Calculation 24 2 4 2" xfId="11621"/>
    <cellStyle name="Calculation 24 2 4 3" xfId="11622"/>
    <cellStyle name="Calculation 24 2 5" xfId="11623"/>
    <cellStyle name="Calculation 24 2 5 2" xfId="11624"/>
    <cellStyle name="Calculation 24 2 6" xfId="11625"/>
    <cellStyle name="Calculation 24 2 6 2" xfId="11626"/>
    <cellStyle name="Calculation 24 2 7" xfId="11627"/>
    <cellStyle name="Calculation 24 2 8" xfId="11628"/>
    <cellStyle name="Calculation 24 2 9" xfId="11579"/>
    <cellStyle name="Calculation 24 3" xfId="3232"/>
    <cellStyle name="Calculation 24 3 2" xfId="11630"/>
    <cellStyle name="Calculation 24 3 2 10" xfId="11631"/>
    <cellStyle name="Calculation 24 3 2 2" xfId="11632"/>
    <cellStyle name="Calculation 24 3 2 2 2" xfId="11633"/>
    <cellStyle name="Calculation 24 3 2 2 2 2" xfId="11634"/>
    <cellStyle name="Calculation 24 3 2 2 3" xfId="11635"/>
    <cellStyle name="Calculation 24 3 2 3" xfId="11636"/>
    <cellStyle name="Calculation 24 3 2 3 2" xfId="11637"/>
    <cellStyle name="Calculation 24 3 2 3 2 2" xfId="11638"/>
    <cellStyle name="Calculation 24 3 2 3 3" xfId="11639"/>
    <cellStyle name="Calculation 24 3 2 4" xfId="11640"/>
    <cellStyle name="Calculation 24 3 2 4 2" xfId="11641"/>
    <cellStyle name="Calculation 24 3 2 4 2 2" xfId="11642"/>
    <cellStyle name="Calculation 24 3 2 4 3" xfId="11643"/>
    <cellStyle name="Calculation 24 3 2 5" xfId="11644"/>
    <cellStyle name="Calculation 24 3 2 5 2" xfId="11645"/>
    <cellStyle name="Calculation 24 3 2 6" xfId="11646"/>
    <cellStyle name="Calculation 24 3 2 6 2" xfId="11647"/>
    <cellStyle name="Calculation 24 3 2 7" xfId="11648"/>
    <cellStyle name="Calculation 24 3 2 7 2" xfId="11649"/>
    <cellStyle name="Calculation 24 3 2 8" xfId="11650"/>
    <cellStyle name="Calculation 24 3 2 8 2" xfId="11651"/>
    <cellStyle name="Calculation 24 3 2 9" xfId="11652"/>
    <cellStyle name="Calculation 24 3 3" xfId="11653"/>
    <cellStyle name="Calculation 24 3 3 2" xfId="11654"/>
    <cellStyle name="Calculation 24 3 3 2 2" xfId="11655"/>
    <cellStyle name="Calculation 24 3 3 2 2 2" xfId="11656"/>
    <cellStyle name="Calculation 24 3 3 2 3" xfId="11657"/>
    <cellStyle name="Calculation 24 3 3 3" xfId="11658"/>
    <cellStyle name="Calculation 24 3 3 3 2" xfId="11659"/>
    <cellStyle name="Calculation 24 3 3 3 2 2" xfId="11660"/>
    <cellStyle name="Calculation 24 3 3 3 3" xfId="11661"/>
    <cellStyle name="Calculation 24 3 3 4" xfId="11662"/>
    <cellStyle name="Calculation 24 3 3 4 2" xfId="11663"/>
    <cellStyle name="Calculation 24 3 3 5" xfId="11664"/>
    <cellStyle name="Calculation 24 3 3 5 2" xfId="11665"/>
    <cellStyle name="Calculation 24 3 3 6" xfId="11666"/>
    <cellStyle name="Calculation 24 3 3 7" xfId="11667"/>
    <cellStyle name="Calculation 24 3 4" xfId="11668"/>
    <cellStyle name="Calculation 24 3 4 2" xfId="11669"/>
    <cellStyle name="Calculation 24 3 5" xfId="11670"/>
    <cellStyle name="Calculation 24 3 5 2" xfId="11671"/>
    <cellStyle name="Calculation 24 3 6" xfId="11672"/>
    <cellStyle name="Calculation 24 3 6 2" xfId="11673"/>
    <cellStyle name="Calculation 24 3 7" xfId="11674"/>
    <cellStyle name="Calculation 24 3 8" xfId="11675"/>
    <cellStyle name="Calculation 24 3 9" xfId="11629"/>
    <cellStyle name="Calculation 24 4" xfId="4241"/>
    <cellStyle name="Calculation 24 4 10" xfId="11677"/>
    <cellStyle name="Calculation 24 4 11" xfId="11676"/>
    <cellStyle name="Calculation 24 4 2" xfId="4242"/>
    <cellStyle name="Calculation 24 4 2 2" xfId="11679"/>
    <cellStyle name="Calculation 24 4 2 2 2" xfId="11680"/>
    <cellStyle name="Calculation 24 4 2 3" xfId="11681"/>
    <cellStyle name="Calculation 24 4 2 4" xfId="11682"/>
    <cellStyle name="Calculation 24 4 2 5" xfId="11678"/>
    <cellStyle name="Calculation 24 4 3" xfId="11683"/>
    <cellStyle name="Calculation 24 4 3 2" xfId="11684"/>
    <cellStyle name="Calculation 24 4 3 2 2" xfId="11685"/>
    <cellStyle name="Calculation 24 4 3 3" xfId="11686"/>
    <cellStyle name="Calculation 24 4 4" xfId="11687"/>
    <cellStyle name="Calculation 24 4 4 2" xfId="11688"/>
    <cellStyle name="Calculation 24 4 4 2 2" xfId="11689"/>
    <cellStyle name="Calculation 24 4 4 3" xfId="11690"/>
    <cellStyle name="Calculation 24 4 5" xfId="11691"/>
    <cellStyle name="Calculation 24 4 5 2" xfId="11692"/>
    <cellStyle name="Calculation 24 4 6" xfId="11693"/>
    <cellStyle name="Calculation 24 4 6 2" xfId="11694"/>
    <cellStyle name="Calculation 24 4 7" xfId="11695"/>
    <cellStyle name="Calculation 24 4 7 2" xfId="11696"/>
    <cellStyle name="Calculation 24 4 8" xfId="11697"/>
    <cellStyle name="Calculation 24 4 8 2" xfId="11698"/>
    <cellStyle name="Calculation 24 4 9" xfId="11699"/>
    <cellStyle name="Calculation 24 5" xfId="3390"/>
    <cellStyle name="Calculation 24 5 10" xfId="11701"/>
    <cellStyle name="Calculation 24 5 11" xfId="11700"/>
    <cellStyle name="Calculation 24 5 2" xfId="4243"/>
    <cellStyle name="Calculation 24 5 2 2" xfId="11703"/>
    <cellStyle name="Calculation 24 5 2 2 2" xfId="11704"/>
    <cellStyle name="Calculation 24 5 2 3" xfId="11705"/>
    <cellStyle name="Calculation 24 5 2 4" xfId="11706"/>
    <cellStyle name="Calculation 24 5 2 5" xfId="11702"/>
    <cellStyle name="Calculation 24 5 3" xfId="11707"/>
    <cellStyle name="Calculation 24 5 3 2" xfId="11708"/>
    <cellStyle name="Calculation 24 5 3 2 2" xfId="11709"/>
    <cellStyle name="Calculation 24 5 3 3" xfId="11710"/>
    <cellStyle name="Calculation 24 5 4" xfId="11711"/>
    <cellStyle name="Calculation 24 5 4 2" xfId="11712"/>
    <cellStyle name="Calculation 24 5 4 2 2" xfId="11713"/>
    <cellStyle name="Calculation 24 5 4 3" xfId="11714"/>
    <cellStyle name="Calculation 24 5 5" xfId="11715"/>
    <cellStyle name="Calculation 24 5 5 2" xfId="11716"/>
    <cellStyle name="Calculation 24 5 6" xfId="11717"/>
    <cellStyle name="Calculation 24 5 6 2" xfId="11718"/>
    <cellStyle name="Calculation 24 5 7" xfId="11719"/>
    <cellStyle name="Calculation 24 5 7 2" xfId="11720"/>
    <cellStyle name="Calculation 24 5 8" xfId="11721"/>
    <cellStyle name="Calculation 24 5 8 2" xfId="11722"/>
    <cellStyle name="Calculation 24 5 9" xfId="11723"/>
    <cellStyle name="Calculation 24 6" xfId="3233"/>
    <cellStyle name="Calculation 24 6 2" xfId="11725"/>
    <cellStyle name="Calculation 24 6 2 2" xfId="11726"/>
    <cellStyle name="Calculation 24 6 2 2 2" xfId="11727"/>
    <cellStyle name="Calculation 24 6 2 3" xfId="11728"/>
    <cellStyle name="Calculation 24 6 3" xfId="11729"/>
    <cellStyle name="Calculation 24 6 3 2" xfId="11730"/>
    <cellStyle name="Calculation 24 6 3 2 2" xfId="11731"/>
    <cellStyle name="Calculation 24 6 3 3" xfId="11732"/>
    <cellStyle name="Calculation 24 6 4" xfId="11733"/>
    <cellStyle name="Calculation 24 6 4 2" xfId="11734"/>
    <cellStyle name="Calculation 24 6 5" xfId="11735"/>
    <cellStyle name="Calculation 24 6 5 2" xfId="11736"/>
    <cellStyle name="Calculation 24 6 6" xfId="11737"/>
    <cellStyle name="Calculation 24 6 7" xfId="11738"/>
    <cellStyle name="Calculation 24 6 8" xfId="11724"/>
    <cellStyle name="Calculation 24 7" xfId="4244"/>
    <cellStyle name="Calculation 24 7 2" xfId="11740"/>
    <cellStyle name="Calculation 24 7 3" xfId="11739"/>
    <cellStyle name="Calculation 24 8" xfId="8328"/>
    <cellStyle name="Calculation 24 8 2" xfId="11741"/>
    <cellStyle name="Calculation 24 9" xfId="11742"/>
    <cellStyle name="Calculation 24 9 2" xfId="11743"/>
    <cellStyle name="Calculation 25" xfId="2580"/>
    <cellStyle name="Calculation 25 10" xfId="11744"/>
    <cellStyle name="Calculation 25 11" xfId="11745"/>
    <cellStyle name="Calculation 25 2" xfId="4245"/>
    <cellStyle name="Calculation 25 2 2" xfId="11747"/>
    <cellStyle name="Calculation 25 2 2 10" xfId="11748"/>
    <cellStyle name="Calculation 25 2 2 2" xfId="11749"/>
    <cellStyle name="Calculation 25 2 2 2 2" xfId="11750"/>
    <cellStyle name="Calculation 25 2 2 2 2 2" xfId="11751"/>
    <cellStyle name="Calculation 25 2 2 2 3" xfId="11752"/>
    <cellStyle name="Calculation 25 2 2 2 4" xfId="11753"/>
    <cellStyle name="Calculation 25 2 2 3" xfId="11754"/>
    <cellStyle name="Calculation 25 2 2 3 2" xfId="11755"/>
    <cellStyle name="Calculation 25 2 2 3 2 2" xfId="11756"/>
    <cellStyle name="Calculation 25 2 2 3 3" xfId="11757"/>
    <cellStyle name="Calculation 25 2 2 4" xfId="11758"/>
    <cellStyle name="Calculation 25 2 2 4 2" xfId="11759"/>
    <cellStyle name="Calculation 25 2 2 4 2 2" xfId="11760"/>
    <cellStyle name="Calculation 25 2 2 4 3" xfId="11761"/>
    <cellStyle name="Calculation 25 2 2 5" xfId="11762"/>
    <cellStyle name="Calculation 25 2 2 5 2" xfId="11763"/>
    <cellStyle name="Calculation 25 2 2 6" xfId="11764"/>
    <cellStyle name="Calculation 25 2 2 6 2" xfId="11765"/>
    <cellStyle name="Calculation 25 2 2 7" xfId="11766"/>
    <cellStyle name="Calculation 25 2 2 7 2" xfId="11767"/>
    <cellStyle name="Calculation 25 2 2 8" xfId="11768"/>
    <cellStyle name="Calculation 25 2 2 8 2" xfId="11769"/>
    <cellStyle name="Calculation 25 2 2 9" xfId="11770"/>
    <cellStyle name="Calculation 25 2 3" xfId="11771"/>
    <cellStyle name="Calculation 25 2 3 2" xfId="11772"/>
    <cellStyle name="Calculation 25 2 3 2 2" xfId="11773"/>
    <cellStyle name="Calculation 25 2 3 2 2 2" xfId="11774"/>
    <cellStyle name="Calculation 25 2 3 2 3" xfId="11775"/>
    <cellStyle name="Calculation 25 2 3 2 4" xfId="11776"/>
    <cellStyle name="Calculation 25 2 3 3" xfId="11777"/>
    <cellStyle name="Calculation 25 2 3 3 2" xfId="11778"/>
    <cellStyle name="Calculation 25 2 3 3 2 2" xfId="11779"/>
    <cellStyle name="Calculation 25 2 3 3 3" xfId="11780"/>
    <cellStyle name="Calculation 25 2 3 4" xfId="11781"/>
    <cellStyle name="Calculation 25 2 3 4 2" xfId="11782"/>
    <cellStyle name="Calculation 25 2 3 5" xfId="11783"/>
    <cellStyle name="Calculation 25 2 3 5 2" xfId="11784"/>
    <cellStyle name="Calculation 25 2 3 6" xfId="11785"/>
    <cellStyle name="Calculation 25 2 3 7" xfId="11786"/>
    <cellStyle name="Calculation 25 2 4" xfId="11787"/>
    <cellStyle name="Calculation 25 2 4 2" xfId="11788"/>
    <cellStyle name="Calculation 25 2 4 3" xfId="11789"/>
    <cellStyle name="Calculation 25 2 5" xfId="11790"/>
    <cellStyle name="Calculation 25 2 5 2" xfId="11791"/>
    <cellStyle name="Calculation 25 2 6" xfId="11792"/>
    <cellStyle name="Calculation 25 2 6 2" xfId="11793"/>
    <cellStyle name="Calculation 25 2 7" xfId="11794"/>
    <cellStyle name="Calculation 25 2 8" xfId="11795"/>
    <cellStyle name="Calculation 25 2 9" xfId="11746"/>
    <cellStyle name="Calculation 25 3" xfId="4246"/>
    <cellStyle name="Calculation 25 3 2" xfId="11797"/>
    <cellStyle name="Calculation 25 3 2 10" xfId="11798"/>
    <cellStyle name="Calculation 25 3 2 2" xfId="11799"/>
    <cellStyle name="Calculation 25 3 2 2 2" xfId="11800"/>
    <cellStyle name="Calculation 25 3 2 2 2 2" xfId="11801"/>
    <cellStyle name="Calculation 25 3 2 2 3" xfId="11802"/>
    <cellStyle name="Calculation 25 3 2 3" xfId="11803"/>
    <cellStyle name="Calculation 25 3 2 3 2" xfId="11804"/>
    <cellStyle name="Calculation 25 3 2 3 2 2" xfId="11805"/>
    <cellStyle name="Calculation 25 3 2 3 3" xfId="11806"/>
    <cellStyle name="Calculation 25 3 2 4" xfId="11807"/>
    <cellStyle name="Calculation 25 3 2 4 2" xfId="11808"/>
    <cellStyle name="Calculation 25 3 2 4 2 2" xfId="11809"/>
    <cellStyle name="Calculation 25 3 2 4 3" xfId="11810"/>
    <cellStyle name="Calculation 25 3 2 5" xfId="11811"/>
    <cellStyle name="Calculation 25 3 2 5 2" xfId="11812"/>
    <cellStyle name="Calculation 25 3 2 6" xfId="11813"/>
    <cellStyle name="Calculation 25 3 2 6 2" xfId="11814"/>
    <cellStyle name="Calculation 25 3 2 7" xfId="11815"/>
    <cellStyle name="Calculation 25 3 2 7 2" xfId="11816"/>
    <cellStyle name="Calculation 25 3 2 8" xfId="11817"/>
    <cellStyle name="Calculation 25 3 2 8 2" xfId="11818"/>
    <cellStyle name="Calculation 25 3 2 9" xfId="11819"/>
    <cellStyle name="Calculation 25 3 3" xfId="11820"/>
    <cellStyle name="Calculation 25 3 3 2" xfId="11821"/>
    <cellStyle name="Calculation 25 3 3 2 2" xfId="11822"/>
    <cellStyle name="Calculation 25 3 3 2 2 2" xfId="11823"/>
    <cellStyle name="Calculation 25 3 3 2 3" xfId="11824"/>
    <cellStyle name="Calculation 25 3 3 3" xfId="11825"/>
    <cellStyle name="Calculation 25 3 3 3 2" xfId="11826"/>
    <cellStyle name="Calculation 25 3 3 3 2 2" xfId="11827"/>
    <cellStyle name="Calculation 25 3 3 3 3" xfId="11828"/>
    <cellStyle name="Calculation 25 3 3 4" xfId="11829"/>
    <cellStyle name="Calculation 25 3 3 4 2" xfId="11830"/>
    <cellStyle name="Calculation 25 3 3 5" xfId="11831"/>
    <cellStyle name="Calculation 25 3 3 5 2" xfId="11832"/>
    <cellStyle name="Calculation 25 3 3 6" xfId="11833"/>
    <cellStyle name="Calculation 25 3 3 7" xfId="11834"/>
    <cellStyle name="Calculation 25 3 4" xfId="11835"/>
    <cellStyle name="Calculation 25 3 4 2" xfId="11836"/>
    <cellStyle name="Calculation 25 3 5" xfId="11837"/>
    <cellStyle name="Calculation 25 3 5 2" xfId="11838"/>
    <cellStyle name="Calculation 25 3 6" xfId="11839"/>
    <cellStyle name="Calculation 25 3 6 2" xfId="11840"/>
    <cellStyle name="Calculation 25 3 7" xfId="11841"/>
    <cellStyle name="Calculation 25 3 8" xfId="11842"/>
    <cellStyle name="Calculation 25 3 9" xfId="11796"/>
    <cellStyle name="Calculation 25 4" xfId="4247"/>
    <cellStyle name="Calculation 25 4 10" xfId="11844"/>
    <cellStyle name="Calculation 25 4 11" xfId="11843"/>
    <cellStyle name="Calculation 25 4 2" xfId="3391"/>
    <cellStyle name="Calculation 25 4 2 2" xfId="11846"/>
    <cellStyle name="Calculation 25 4 2 2 2" xfId="11847"/>
    <cellStyle name="Calculation 25 4 2 3" xfId="11848"/>
    <cellStyle name="Calculation 25 4 2 4" xfId="11849"/>
    <cellStyle name="Calculation 25 4 2 5" xfId="11845"/>
    <cellStyle name="Calculation 25 4 3" xfId="11850"/>
    <cellStyle name="Calculation 25 4 3 2" xfId="11851"/>
    <cellStyle name="Calculation 25 4 3 2 2" xfId="11852"/>
    <cellStyle name="Calculation 25 4 3 3" xfId="11853"/>
    <cellStyle name="Calculation 25 4 4" xfId="11854"/>
    <cellStyle name="Calculation 25 4 4 2" xfId="11855"/>
    <cellStyle name="Calculation 25 4 4 2 2" xfId="11856"/>
    <cellStyle name="Calculation 25 4 4 3" xfId="11857"/>
    <cellStyle name="Calculation 25 4 5" xfId="11858"/>
    <cellStyle name="Calculation 25 4 5 2" xfId="11859"/>
    <cellStyle name="Calculation 25 4 6" xfId="11860"/>
    <cellStyle name="Calculation 25 4 6 2" xfId="11861"/>
    <cellStyle name="Calculation 25 4 7" xfId="11862"/>
    <cellStyle name="Calculation 25 4 7 2" xfId="11863"/>
    <cellStyle name="Calculation 25 4 8" xfId="11864"/>
    <cellStyle name="Calculation 25 4 8 2" xfId="11865"/>
    <cellStyle name="Calculation 25 4 9" xfId="11866"/>
    <cellStyle name="Calculation 25 5" xfId="4248"/>
    <cellStyle name="Calculation 25 5 10" xfId="11868"/>
    <cellStyle name="Calculation 25 5 11" xfId="11867"/>
    <cellStyle name="Calculation 25 5 2" xfId="4249"/>
    <cellStyle name="Calculation 25 5 2 2" xfId="11870"/>
    <cellStyle name="Calculation 25 5 2 2 2" xfId="11871"/>
    <cellStyle name="Calculation 25 5 2 3" xfId="11872"/>
    <cellStyle name="Calculation 25 5 2 4" xfId="11873"/>
    <cellStyle name="Calculation 25 5 2 5" xfId="11869"/>
    <cellStyle name="Calculation 25 5 3" xfId="11874"/>
    <cellStyle name="Calculation 25 5 3 2" xfId="11875"/>
    <cellStyle name="Calculation 25 5 3 2 2" xfId="11876"/>
    <cellStyle name="Calculation 25 5 3 3" xfId="11877"/>
    <cellStyle name="Calculation 25 5 4" xfId="11878"/>
    <cellStyle name="Calculation 25 5 4 2" xfId="11879"/>
    <cellStyle name="Calculation 25 5 4 2 2" xfId="11880"/>
    <cellStyle name="Calculation 25 5 4 3" xfId="11881"/>
    <cellStyle name="Calculation 25 5 5" xfId="11882"/>
    <cellStyle name="Calculation 25 5 5 2" xfId="11883"/>
    <cellStyle name="Calculation 25 5 6" xfId="11884"/>
    <cellStyle name="Calculation 25 5 6 2" xfId="11885"/>
    <cellStyle name="Calculation 25 5 7" xfId="11886"/>
    <cellStyle name="Calculation 25 5 7 2" xfId="11887"/>
    <cellStyle name="Calculation 25 5 8" xfId="11888"/>
    <cellStyle name="Calculation 25 5 8 2" xfId="11889"/>
    <cellStyle name="Calculation 25 5 9" xfId="11890"/>
    <cellStyle name="Calculation 25 6" xfId="4250"/>
    <cellStyle name="Calculation 25 6 2" xfId="11892"/>
    <cellStyle name="Calculation 25 6 2 2" xfId="11893"/>
    <cellStyle name="Calculation 25 6 2 2 2" xfId="11894"/>
    <cellStyle name="Calculation 25 6 2 3" xfId="11895"/>
    <cellStyle name="Calculation 25 6 3" xfId="11896"/>
    <cellStyle name="Calculation 25 6 3 2" xfId="11897"/>
    <cellStyle name="Calculation 25 6 3 2 2" xfId="11898"/>
    <cellStyle name="Calculation 25 6 3 3" xfId="11899"/>
    <cellStyle name="Calculation 25 6 4" xfId="11900"/>
    <cellStyle name="Calculation 25 6 4 2" xfId="11901"/>
    <cellStyle name="Calculation 25 6 5" xfId="11902"/>
    <cellStyle name="Calculation 25 6 5 2" xfId="11903"/>
    <cellStyle name="Calculation 25 6 6" xfId="11904"/>
    <cellStyle name="Calculation 25 6 7" xfId="11905"/>
    <cellStyle name="Calculation 25 6 8" xfId="11891"/>
    <cellStyle name="Calculation 25 7" xfId="4251"/>
    <cellStyle name="Calculation 25 7 2" xfId="11907"/>
    <cellStyle name="Calculation 25 7 3" xfId="11906"/>
    <cellStyle name="Calculation 25 8" xfId="8329"/>
    <cellStyle name="Calculation 25 8 2" xfId="11908"/>
    <cellStyle name="Calculation 25 9" xfId="11909"/>
    <cellStyle name="Calculation 25 9 2" xfId="11910"/>
    <cellStyle name="Calculation 26" xfId="2581"/>
    <cellStyle name="Calculation 26 10" xfId="11911"/>
    <cellStyle name="Calculation 26 11" xfId="11912"/>
    <cellStyle name="Calculation 26 2" xfId="3392"/>
    <cellStyle name="Calculation 26 2 2" xfId="11914"/>
    <cellStyle name="Calculation 26 2 2 10" xfId="11915"/>
    <cellStyle name="Calculation 26 2 2 2" xfId="11916"/>
    <cellStyle name="Calculation 26 2 2 2 2" xfId="11917"/>
    <cellStyle name="Calculation 26 2 2 2 2 2" xfId="11918"/>
    <cellStyle name="Calculation 26 2 2 2 3" xfId="11919"/>
    <cellStyle name="Calculation 26 2 2 2 4" xfId="11920"/>
    <cellStyle name="Calculation 26 2 2 3" xfId="11921"/>
    <cellStyle name="Calculation 26 2 2 3 2" xfId="11922"/>
    <cellStyle name="Calculation 26 2 2 3 2 2" xfId="11923"/>
    <cellStyle name="Calculation 26 2 2 3 3" xfId="11924"/>
    <cellStyle name="Calculation 26 2 2 4" xfId="11925"/>
    <cellStyle name="Calculation 26 2 2 4 2" xfId="11926"/>
    <cellStyle name="Calculation 26 2 2 4 2 2" xfId="11927"/>
    <cellStyle name="Calculation 26 2 2 4 3" xfId="11928"/>
    <cellStyle name="Calculation 26 2 2 5" xfId="11929"/>
    <cellStyle name="Calculation 26 2 2 5 2" xfId="11930"/>
    <cellStyle name="Calculation 26 2 2 6" xfId="11931"/>
    <cellStyle name="Calculation 26 2 2 6 2" xfId="11932"/>
    <cellStyle name="Calculation 26 2 2 7" xfId="11933"/>
    <cellStyle name="Calculation 26 2 2 7 2" xfId="11934"/>
    <cellStyle name="Calculation 26 2 2 8" xfId="11935"/>
    <cellStyle name="Calculation 26 2 2 8 2" xfId="11936"/>
    <cellStyle name="Calculation 26 2 2 9" xfId="11937"/>
    <cellStyle name="Calculation 26 2 3" xfId="11938"/>
    <cellStyle name="Calculation 26 2 3 2" xfId="11939"/>
    <cellStyle name="Calculation 26 2 3 2 2" xfId="11940"/>
    <cellStyle name="Calculation 26 2 3 2 2 2" xfId="11941"/>
    <cellStyle name="Calculation 26 2 3 2 3" xfId="11942"/>
    <cellStyle name="Calculation 26 2 3 2 4" xfId="11943"/>
    <cellStyle name="Calculation 26 2 3 3" xfId="11944"/>
    <cellStyle name="Calculation 26 2 3 3 2" xfId="11945"/>
    <cellStyle name="Calculation 26 2 3 3 2 2" xfId="11946"/>
    <cellStyle name="Calculation 26 2 3 3 3" xfId="11947"/>
    <cellStyle name="Calculation 26 2 3 4" xfId="11948"/>
    <cellStyle name="Calculation 26 2 3 4 2" xfId="11949"/>
    <cellStyle name="Calculation 26 2 3 5" xfId="11950"/>
    <cellStyle name="Calculation 26 2 3 5 2" xfId="11951"/>
    <cellStyle name="Calculation 26 2 3 6" xfId="11952"/>
    <cellStyle name="Calculation 26 2 3 7" xfId="11953"/>
    <cellStyle name="Calculation 26 2 4" xfId="11954"/>
    <cellStyle name="Calculation 26 2 4 2" xfId="11955"/>
    <cellStyle name="Calculation 26 2 4 3" xfId="11956"/>
    <cellStyle name="Calculation 26 2 5" xfId="11957"/>
    <cellStyle name="Calculation 26 2 5 2" xfId="11958"/>
    <cellStyle name="Calculation 26 2 6" xfId="11959"/>
    <cellStyle name="Calculation 26 2 6 2" xfId="11960"/>
    <cellStyle name="Calculation 26 2 7" xfId="11961"/>
    <cellStyle name="Calculation 26 2 8" xfId="11962"/>
    <cellStyle name="Calculation 26 2 9" xfId="11913"/>
    <cellStyle name="Calculation 26 3" xfId="4252"/>
    <cellStyle name="Calculation 26 3 2" xfId="11964"/>
    <cellStyle name="Calculation 26 3 2 10" xfId="11965"/>
    <cellStyle name="Calculation 26 3 2 2" xfId="11966"/>
    <cellStyle name="Calculation 26 3 2 2 2" xfId="11967"/>
    <cellStyle name="Calculation 26 3 2 2 2 2" xfId="11968"/>
    <cellStyle name="Calculation 26 3 2 2 3" xfId="11969"/>
    <cellStyle name="Calculation 26 3 2 3" xfId="11970"/>
    <cellStyle name="Calculation 26 3 2 3 2" xfId="11971"/>
    <cellStyle name="Calculation 26 3 2 3 2 2" xfId="11972"/>
    <cellStyle name="Calculation 26 3 2 3 3" xfId="11973"/>
    <cellStyle name="Calculation 26 3 2 4" xfId="11974"/>
    <cellStyle name="Calculation 26 3 2 4 2" xfId="11975"/>
    <cellStyle name="Calculation 26 3 2 4 2 2" xfId="11976"/>
    <cellStyle name="Calculation 26 3 2 4 3" xfId="11977"/>
    <cellStyle name="Calculation 26 3 2 5" xfId="11978"/>
    <cellStyle name="Calculation 26 3 2 5 2" xfId="11979"/>
    <cellStyle name="Calculation 26 3 2 6" xfId="11980"/>
    <cellStyle name="Calculation 26 3 2 6 2" xfId="11981"/>
    <cellStyle name="Calculation 26 3 2 7" xfId="11982"/>
    <cellStyle name="Calculation 26 3 2 7 2" xfId="11983"/>
    <cellStyle name="Calculation 26 3 2 8" xfId="11984"/>
    <cellStyle name="Calculation 26 3 2 8 2" xfId="11985"/>
    <cellStyle name="Calculation 26 3 2 9" xfId="11986"/>
    <cellStyle name="Calculation 26 3 3" xfId="11987"/>
    <cellStyle name="Calculation 26 3 3 2" xfId="11988"/>
    <cellStyle name="Calculation 26 3 3 2 2" xfId="11989"/>
    <cellStyle name="Calculation 26 3 3 2 2 2" xfId="11990"/>
    <cellStyle name="Calculation 26 3 3 2 3" xfId="11991"/>
    <cellStyle name="Calculation 26 3 3 3" xfId="11992"/>
    <cellStyle name="Calculation 26 3 3 3 2" xfId="11993"/>
    <cellStyle name="Calculation 26 3 3 3 2 2" xfId="11994"/>
    <cellStyle name="Calculation 26 3 3 3 3" xfId="11995"/>
    <cellStyle name="Calculation 26 3 3 4" xfId="11996"/>
    <cellStyle name="Calculation 26 3 3 4 2" xfId="11997"/>
    <cellStyle name="Calculation 26 3 3 5" xfId="11998"/>
    <cellStyle name="Calculation 26 3 3 5 2" xfId="11999"/>
    <cellStyle name="Calculation 26 3 3 6" xfId="12000"/>
    <cellStyle name="Calculation 26 3 3 7" xfId="12001"/>
    <cellStyle name="Calculation 26 3 4" xfId="12002"/>
    <cellStyle name="Calculation 26 3 4 2" xfId="12003"/>
    <cellStyle name="Calculation 26 3 5" xfId="12004"/>
    <cellStyle name="Calculation 26 3 5 2" xfId="12005"/>
    <cellStyle name="Calculation 26 3 6" xfId="12006"/>
    <cellStyle name="Calculation 26 3 6 2" xfId="12007"/>
    <cellStyle name="Calculation 26 3 7" xfId="12008"/>
    <cellStyle name="Calculation 26 3 8" xfId="12009"/>
    <cellStyle name="Calculation 26 3 9" xfId="11963"/>
    <cellStyle name="Calculation 26 4" xfId="4253"/>
    <cellStyle name="Calculation 26 4 10" xfId="12011"/>
    <cellStyle name="Calculation 26 4 11" xfId="12010"/>
    <cellStyle name="Calculation 26 4 2" xfId="4254"/>
    <cellStyle name="Calculation 26 4 2 2" xfId="12013"/>
    <cellStyle name="Calculation 26 4 2 2 2" xfId="12014"/>
    <cellStyle name="Calculation 26 4 2 3" xfId="12015"/>
    <cellStyle name="Calculation 26 4 2 4" xfId="12016"/>
    <cellStyle name="Calculation 26 4 2 5" xfId="12012"/>
    <cellStyle name="Calculation 26 4 3" xfId="12017"/>
    <cellStyle name="Calculation 26 4 3 2" xfId="12018"/>
    <cellStyle name="Calculation 26 4 3 2 2" xfId="12019"/>
    <cellStyle name="Calculation 26 4 3 3" xfId="12020"/>
    <cellStyle name="Calculation 26 4 4" xfId="12021"/>
    <cellStyle name="Calculation 26 4 4 2" xfId="12022"/>
    <cellStyle name="Calculation 26 4 4 2 2" xfId="12023"/>
    <cellStyle name="Calculation 26 4 4 3" xfId="12024"/>
    <cellStyle name="Calculation 26 4 5" xfId="12025"/>
    <cellStyle name="Calculation 26 4 5 2" xfId="12026"/>
    <cellStyle name="Calculation 26 4 6" xfId="12027"/>
    <cellStyle name="Calculation 26 4 6 2" xfId="12028"/>
    <cellStyle name="Calculation 26 4 7" xfId="12029"/>
    <cellStyle name="Calculation 26 4 7 2" xfId="12030"/>
    <cellStyle name="Calculation 26 4 8" xfId="12031"/>
    <cellStyle name="Calculation 26 4 8 2" xfId="12032"/>
    <cellStyle name="Calculation 26 4 9" xfId="12033"/>
    <cellStyle name="Calculation 26 5" xfId="4255"/>
    <cellStyle name="Calculation 26 5 10" xfId="12035"/>
    <cellStyle name="Calculation 26 5 11" xfId="12034"/>
    <cellStyle name="Calculation 26 5 2" xfId="4256"/>
    <cellStyle name="Calculation 26 5 2 2" xfId="12037"/>
    <cellStyle name="Calculation 26 5 2 2 2" xfId="12038"/>
    <cellStyle name="Calculation 26 5 2 3" xfId="12039"/>
    <cellStyle name="Calculation 26 5 2 4" xfId="12040"/>
    <cellStyle name="Calculation 26 5 2 5" xfId="12036"/>
    <cellStyle name="Calculation 26 5 3" xfId="12041"/>
    <cellStyle name="Calculation 26 5 3 2" xfId="12042"/>
    <cellStyle name="Calculation 26 5 3 2 2" xfId="12043"/>
    <cellStyle name="Calculation 26 5 3 3" xfId="12044"/>
    <cellStyle name="Calculation 26 5 4" xfId="12045"/>
    <cellStyle name="Calculation 26 5 4 2" xfId="12046"/>
    <cellStyle name="Calculation 26 5 4 2 2" xfId="12047"/>
    <cellStyle name="Calculation 26 5 4 3" xfId="12048"/>
    <cellStyle name="Calculation 26 5 5" xfId="12049"/>
    <cellStyle name="Calculation 26 5 5 2" xfId="12050"/>
    <cellStyle name="Calculation 26 5 6" xfId="12051"/>
    <cellStyle name="Calculation 26 5 6 2" xfId="12052"/>
    <cellStyle name="Calculation 26 5 7" xfId="12053"/>
    <cellStyle name="Calculation 26 5 7 2" xfId="12054"/>
    <cellStyle name="Calculation 26 5 8" xfId="12055"/>
    <cellStyle name="Calculation 26 5 8 2" xfId="12056"/>
    <cellStyle name="Calculation 26 5 9" xfId="12057"/>
    <cellStyle name="Calculation 26 6" xfId="4257"/>
    <cellStyle name="Calculation 26 6 2" xfId="12059"/>
    <cellStyle name="Calculation 26 6 2 2" xfId="12060"/>
    <cellStyle name="Calculation 26 6 2 2 2" xfId="12061"/>
    <cellStyle name="Calculation 26 6 2 3" xfId="12062"/>
    <cellStyle name="Calculation 26 6 3" xfId="12063"/>
    <cellStyle name="Calculation 26 6 3 2" xfId="12064"/>
    <cellStyle name="Calculation 26 6 3 2 2" xfId="12065"/>
    <cellStyle name="Calculation 26 6 3 3" xfId="12066"/>
    <cellStyle name="Calculation 26 6 4" xfId="12067"/>
    <cellStyle name="Calculation 26 6 4 2" xfId="12068"/>
    <cellStyle name="Calculation 26 6 5" xfId="12069"/>
    <cellStyle name="Calculation 26 6 5 2" xfId="12070"/>
    <cellStyle name="Calculation 26 6 6" xfId="12071"/>
    <cellStyle name="Calculation 26 6 7" xfId="12072"/>
    <cellStyle name="Calculation 26 6 8" xfId="12058"/>
    <cellStyle name="Calculation 26 7" xfId="4258"/>
    <cellStyle name="Calculation 26 7 2" xfId="12074"/>
    <cellStyle name="Calculation 26 7 3" xfId="12073"/>
    <cellStyle name="Calculation 26 8" xfId="8330"/>
    <cellStyle name="Calculation 26 8 2" xfId="12075"/>
    <cellStyle name="Calculation 26 9" xfId="12076"/>
    <cellStyle name="Calculation 26 9 2" xfId="12077"/>
    <cellStyle name="Calculation 27" xfId="2582"/>
    <cellStyle name="Calculation 27 10" xfId="12078"/>
    <cellStyle name="Calculation 27 11" xfId="12079"/>
    <cellStyle name="Calculation 27 2" xfId="5164"/>
    <cellStyle name="Calculation 27 2 2" xfId="12081"/>
    <cellStyle name="Calculation 27 2 2 10" xfId="12082"/>
    <cellStyle name="Calculation 27 2 2 2" xfId="12083"/>
    <cellStyle name="Calculation 27 2 2 2 2" xfId="12084"/>
    <cellStyle name="Calculation 27 2 2 2 2 2" xfId="12085"/>
    <cellStyle name="Calculation 27 2 2 2 3" xfId="12086"/>
    <cellStyle name="Calculation 27 2 2 2 4" xfId="12087"/>
    <cellStyle name="Calculation 27 2 2 3" xfId="12088"/>
    <cellStyle name="Calculation 27 2 2 3 2" xfId="12089"/>
    <cellStyle name="Calculation 27 2 2 3 2 2" xfId="12090"/>
    <cellStyle name="Calculation 27 2 2 3 3" xfId="12091"/>
    <cellStyle name="Calculation 27 2 2 4" xfId="12092"/>
    <cellStyle name="Calculation 27 2 2 4 2" xfId="12093"/>
    <cellStyle name="Calculation 27 2 2 4 2 2" xfId="12094"/>
    <cellStyle name="Calculation 27 2 2 4 3" xfId="12095"/>
    <cellStyle name="Calculation 27 2 2 5" xfId="12096"/>
    <cellStyle name="Calculation 27 2 2 5 2" xfId="12097"/>
    <cellStyle name="Calculation 27 2 2 6" xfId="12098"/>
    <cellStyle name="Calculation 27 2 2 6 2" xfId="12099"/>
    <cellStyle name="Calculation 27 2 2 7" xfId="12100"/>
    <cellStyle name="Calculation 27 2 2 7 2" xfId="12101"/>
    <cellStyle name="Calculation 27 2 2 8" xfId="12102"/>
    <cellStyle name="Calculation 27 2 2 8 2" xfId="12103"/>
    <cellStyle name="Calculation 27 2 2 9" xfId="12104"/>
    <cellStyle name="Calculation 27 2 3" xfId="12105"/>
    <cellStyle name="Calculation 27 2 3 2" xfId="12106"/>
    <cellStyle name="Calculation 27 2 3 2 2" xfId="12107"/>
    <cellStyle name="Calculation 27 2 3 2 2 2" xfId="12108"/>
    <cellStyle name="Calculation 27 2 3 2 3" xfId="12109"/>
    <cellStyle name="Calculation 27 2 3 2 4" xfId="12110"/>
    <cellStyle name="Calculation 27 2 3 3" xfId="12111"/>
    <cellStyle name="Calculation 27 2 3 3 2" xfId="12112"/>
    <cellStyle name="Calculation 27 2 3 3 2 2" xfId="12113"/>
    <cellStyle name="Calculation 27 2 3 3 3" xfId="12114"/>
    <cellStyle name="Calculation 27 2 3 4" xfId="12115"/>
    <cellStyle name="Calculation 27 2 3 4 2" xfId="12116"/>
    <cellStyle name="Calculation 27 2 3 5" xfId="12117"/>
    <cellStyle name="Calculation 27 2 3 5 2" xfId="12118"/>
    <cellStyle name="Calculation 27 2 3 6" xfId="12119"/>
    <cellStyle name="Calculation 27 2 3 7" xfId="12120"/>
    <cellStyle name="Calculation 27 2 4" xfId="12121"/>
    <cellStyle name="Calculation 27 2 4 2" xfId="12122"/>
    <cellStyle name="Calculation 27 2 4 3" xfId="12123"/>
    <cellStyle name="Calculation 27 2 5" xfId="12124"/>
    <cellStyle name="Calculation 27 2 5 2" xfId="12125"/>
    <cellStyle name="Calculation 27 2 6" xfId="12126"/>
    <cellStyle name="Calculation 27 2 6 2" xfId="12127"/>
    <cellStyle name="Calculation 27 2 7" xfId="12128"/>
    <cellStyle name="Calculation 27 2 8" xfId="12129"/>
    <cellStyle name="Calculation 27 2 9" xfId="12080"/>
    <cellStyle name="Calculation 27 3" xfId="4259"/>
    <cellStyle name="Calculation 27 3 2" xfId="12131"/>
    <cellStyle name="Calculation 27 3 2 10" xfId="12132"/>
    <cellStyle name="Calculation 27 3 2 2" xfId="12133"/>
    <cellStyle name="Calculation 27 3 2 2 2" xfId="12134"/>
    <cellStyle name="Calculation 27 3 2 2 2 2" xfId="12135"/>
    <cellStyle name="Calculation 27 3 2 2 3" xfId="12136"/>
    <cellStyle name="Calculation 27 3 2 3" xfId="12137"/>
    <cellStyle name="Calculation 27 3 2 3 2" xfId="12138"/>
    <cellStyle name="Calculation 27 3 2 3 2 2" xfId="12139"/>
    <cellStyle name="Calculation 27 3 2 3 3" xfId="12140"/>
    <cellStyle name="Calculation 27 3 2 4" xfId="12141"/>
    <cellStyle name="Calculation 27 3 2 4 2" xfId="12142"/>
    <cellStyle name="Calculation 27 3 2 4 2 2" xfId="12143"/>
    <cellStyle name="Calculation 27 3 2 4 3" xfId="12144"/>
    <cellStyle name="Calculation 27 3 2 5" xfId="12145"/>
    <cellStyle name="Calculation 27 3 2 5 2" xfId="12146"/>
    <cellStyle name="Calculation 27 3 2 6" xfId="12147"/>
    <cellStyle name="Calculation 27 3 2 6 2" xfId="12148"/>
    <cellStyle name="Calculation 27 3 2 7" xfId="12149"/>
    <cellStyle name="Calculation 27 3 2 7 2" xfId="12150"/>
    <cellStyle name="Calculation 27 3 2 8" xfId="12151"/>
    <cellStyle name="Calculation 27 3 2 8 2" xfId="12152"/>
    <cellStyle name="Calculation 27 3 2 9" xfId="12153"/>
    <cellStyle name="Calculation 27 3 3" xfId="12154"/>
    <cellStyle name="Calculation 27 3 3 2" xfId="12155"/>
    <cellStyle name="Calculation 27 3 3 2 2" xfId="12156"/>
    <cellStyle name="Calculation 27 3 3 2 2 2" xfId="12157"/>
    <cellStyle name="Calculation 27 3 3 2 3" xfId="12158"/>
    <cellStyle name="Calculation 27 3 3 3" xfId="12159"/>
    <cellStyle name="Calculation 27 3 3 3 2" xfId="12160"/>
    <cellStyle name="Calculation 27 3 3 3 2 2" xfId="12161"/>
    <cellStyle name="Calculation 27 3 3 3 3" xfId="12162"/>
    <cellStyle name="Calculation 27 3 3 4" xfId="12163"/>
    <cellStyle name="Calculation 27 3 3 4 2" xfId="12164"/>
    <cellStyle name="Calculation 27 3 3 5" xfId="12165"/>
    <cellStyle name="Calculation 27 3 3 5 2" xfId="12166"/>
    <cellStyle name="Calculation 27 3 3 6" xfId="12167"/>
    <cellStyle name="Calculation 27 3 3 7" xfId="12168"/>
    <cellStyle name="Calculation 27 3 4" xfId="12169"/>
    <cellStyle name="Calculation 27 3 4 2" xfId="12170"/>
    <cellStyle name="Calculation 27 3 5" xfId="12171"/>
    <cellStyle name="Calculation 27 3 5 2" xfId="12172"/>
    <cellStyle name="Calculation 27 3 6" xfId="12173"/>
    <cellStyle name="Calculation 27 3 6 2" xfId="12174"/>
    <cellStyle name="Calculation 27 3 7" xfId="12175"/>
    <cellStyle name="Calculation 27 3 8" xfId="12176"/>
    <cellStyle name="Calculation 27 3 9" xfId="12130"/>
    <cellStyle name="Calculation 27 4" xfId="4260"/>
    <cellStyle name="Calculation 27 4 10" xfId="12178"/>
    <cellStyle name="Calculation 27 4 11" xfId="12177"/>
    <cellStyle name="Calculation 27 4 2" xfId="3235"/>
    <cellStyle name="Calculation 27 4 2 2" xfId="12180"/>
    <cellStyle name="Calculation 27 4 2 2 2" xfId="12181"/>
    <cellStyle name="Calculation 27 4 2 3" xfId="12182"/>
    <cellStyle name="Calculation 27 4 2 4" xfId="12183"/>
    <cellStyle name="Calculation 27 4 2 5" xfId="12179"/>
    <cellStyle name="Calculation 27 4 3" xfId="12184"/>
    <cellStyle name="Calculation 27 4 3 2" xfId="12185"/>
    <cellStyle name="Calculation 27 4 3 2 2" xfId="12186"/>
    <cellStyle name="Calculation 27 4 3 3" xfId="12187"/>
    <cellStyle name="Calculation 27 4 4" xfId="12188"/>
    <cellStyle name="Calculation 27 4 4 2" xfId="12189"/>
    <cellStyle name="Calculation 27 4 4 2 2" xfId="12190"/>
    <cellStyle name="Calculation 27 4 4 3" xfId="12191"/>
    <cellStyle name="Calculation 27 4 5" xfId="12192"/>
    <cellStyle name="Calculation 27 4 5 2" xfId="12193"/>
    <cellStyle name="Calculation 27 4 6" xfId="12194"/>
    <cellStyle name="Calculation 27 4 6 2" xfId="12195"/>
    <cellStyle name="Calculation 27 4 7" xfId="12196"/>
    <cellStyle name="Calculation 27 4 7 2" xfId="12197"/>
    <cellStyle name="Calculation 27 4 8" xfId="12198"/>
    <cellStyle name="Calculation 27 4 8 2" xfId="12199"/>
    <cellStyle name="Calculation 27 4 9" xfId="12200"/>
    <cellStyle name="Calculation 27 5" xfId="5399"/>
    <cellStyle name="Calculation 27 5 10" xfId="12202"/>
    <cellStyle name="Calculation 27 5 11" xfId="12201"/>
    <cellStyle name="Calculation 27 5 2" xfId="4948"/>
    <cellStyle name="Calculation 27 5 2 2" xfId="12204"/>
    <cellStyle name="Calculation 27 5 2 2 2" xfId="12205"/>
    <cellStyle name="Calculation 27 5 2 3" xfId="12206"/>
    <cellStyle name="Calculation 27 5 2 4" xfId="12207"/>
    <cellStyle name="Calculation 27 5 2 5" xfId="12203"/>
    <cellStyle name="Calculation 27 5 3" xfId="12208"/>
    <cellStyle name="Calculation 27 5 3 2" xfId="12209"/>
    <cellStyle name="Calculation 27 5 3 2 2" xfId="12210"/>
    <cellStyle name="Calculation 27 5 3 3" xfId="12211"/>
    <cellStyle name="Calculation 27 5 4" xfId="12212"/>
    <cellStyle name="Calculation 27 5 4 2" xfId="12213"/>
    <cellStyle name="Calculation 27 5 4 2 2" xfId="12214"/>
    <cellStyle name="Calculation 27 5 4 3" xfId="12215"/>
    <cellStyle name="Calculation 27 5 5" xfId="12216"/>
    <cellStyle name="Calculation 27 5 5 2" xfId="12217"/>
    <cellStyle name="Calculation 27 5 6" xfId="12218"/>
    <cellStyle name="Calculation 27 5 6 2" xfId="12219"/>
    <cellStyle name="Calculation 27 5 7" xfId="12220"/>
    <cellStyle name="Calculation 27 5 7 2" xfId="12221"/>
    <cellStyle name="Calculation 27 5 8" xfId="12222"/>
    <cellStyle name="Calculation 27 5 8 2" xfId="12223"/>
    <cellStyle name="Calculation 27 5 9" xfId="12224"/>
    <cellStyle name="Calculation 27 6" xfId="5341"/>
    <cellStyle name="Calculation 27 6 2" xfId="12226"/>
    <cellStyle name="Calculation 27 6 2 2" xfId="12227"/>
    <cellStyle name="Calculation 27 6 2 2 2" xfId="12228"/>
    <cellStyle name="Calculation 27 6 2 3" xfId="12229"/>
    <cellStyle name="Calculation 27 6 3" xfId="12230"/>
    <cellStyle name="Calculation 27 6 3 2" xfId="12231"/>
    <cellStyle name="Calculation 27 6 3 2 2" xfId="12232"/>
    <cellStyle name="Calculation 27 6 3 3" xfId="12233"/>
    <cellStyle name="Calculation 27 6 4" xfId="12234"/>
    <cellStyle name="Calculation 27 6 4 2" xfId="12235"/>
    <cellStyle name="Calculation 27 6 5" xfId="12236"/>
    <cellStyle name="Calculation 27 6 5 2" xfId="12237"/>
    <cellStyle name="Calculation 27 6 6" xfId="12238"/>
    <cellStyle name="Calculation 27 6 7" xfId="12239"/>
    <cellStyle name="Calculation 27 6 8" xfId="12225"/>
    <cellStyle name="Calculation 27 7" xfId="5339"/>
    <cellStyle name="Calculation 27 7 2" xfId="12241"/>
    <cellStyle name="Calculation 27 7 3" xfId="12240"/>
    <cellStyle name="Calculation 27 8" xfId="8331"/>
    <cellStyle name="Calculation 27 8 2" xfId="12242"/>
    <cellStyle name="Calculation 27 9" xfId="12243"/>
    <cellStyle name="Calculation 27 9 2" xfId="12244"/>
    <cellStyle name="Calculation 28" xfId="2583"/>
    <cellStyle name="Calculation 28 10" xfId="12245"/>
    <cellStyle name="Calculation 28 11" xfId="12246"/>
    <cellStyle name="Calculation 28 2" xfId="1634"/>
    <cellStyle name="Calculation 28 2 2" xfId="12248"/>
    <cellStyle name="Calculation 28 2 2 10" xfId="12249"/>
    <cellStyle name="Calculation 28 2 2 2" xfId="12250"/>
    <cellStyle name="Calculation 28 2 2 2 2" xfId="12251"/>
    <cellStyle name="Calculation 28 2 2 2 2 2" xfId="12252"/>
    <cellStyle name="Calculation 28 2 2 2 3" xfId="12253"/>
    <cellStyle name="Calculation 28 2 2 2 4" xfId="12254"/>
    <cellStyle name="Calculation 28 2 2 3" xfId="12255"/>
    <cellStyle name="Calculation 28 2 2 3 2" xfId="12256"/>
    <cellStyle name="Calculation 28 2 2 3 2 2" xfId="12257"/>
    <cellStyle name="Calculation 28 2 2 3 3" xfId="12258"/>
    <cellStyle name="Calculation 28 2 2 4" xfId="12259"/>
    <cellStyle name="Calculation 28 2 2 4 2" xfId="12260"/>
    <cellStyle name="Calculation 28 2 2 4 2 2" xfId="12261"/>
    <cellStyle name="Calculation 28 2 2 4 3" xfId="12262"/>
    <cellStyle name="Calculation 28 2 2 5" xfId="12263"/>
    <cellStyle name="Calculation 28 2 2 5 2" xfId="12264"/>
    <cellStyle name="Calculation 28 2 2 6" xfId="12265"/>
    <cellStyle name="Calculation 28 2 2 6 2" xfId="12266"/>
    <cellStyle name="Calculation 28 2 2 7" xfId="12267"/>
    <cellStyle name="Calculation 28 2 2 7 2" xfId="12268"/>
    <cellStyle name="Calculation 28 2 2 8" xfId="12269"/>
    <cellStyle name="Calculation 28 2 2 8 2" xfId="12270"/>
    <cellStyle name="Calculation 28 2 2 9" xfId="12271"/>
    <cellStyle name="Calculation 28 2 3" xfId="12272"/>
    <cellStyle name="Calculation 28 2 3 2" xfId="12273"/>
    <cellStyle name="Calculation 28 2 3 2 2" xfId="12274"/>
    <cellStyle name="Calculation 28 2 3 2 2 2" xfId="12275"/>
    <cellStyle name="Calculation 28 2 3 2 3" xfId="12276"/>
    <cellStyle name="Calculation 28 2 3 2 4" xfId="12277"/>
    <cellStyle name="Calculation 28 2 3 3" xfId="12278"/>
    <cellStyle name="Calculation 28 2 3 3 2" xfId="12279"/>
    <cellStyle name="Calculation 28 2 3 3 2 2" xfId="12280"/>
    <cellStyle name="Calculation 28 2 3 3 3" xfId="12281"/>
    <cellStyle name="Calculation 28 2 3 4" xfId="12282"/>
    <cellStyle name="Calculation 28 2 3 4 2" xfId="12283"/>
    <cellStyle name="Calculation 28 2 3 5" xfId="12284"/>
    <cellStyle name="Calculation 28 2 3 5 2" xfId="12285"/>
    <cellStyle name="Calculation 28 2 3 6" xfId="12286"/>
    <cellStyle name="Calculation 28 2 3 7" xfId="12287"/>
    <cellStyle name="Calculation 28 2 4" xfId="12288"/>
    <cellStyle name="Calculation 28 2 4 2" xfId="12289"/>
    <cellStyle name="Calculation 28 2 4 3" xfId="12290"/>
    <cellStyle name="Calculation 28 2 5" xfId="12291"/>
    <cellStyle name="Calculation 28 2 5 2" xfId="12292"/>
    <cellStyle name="Calculation 28 2 6" xfId="12293"/>
    <cellStyle name="Calculation 28 2 6 2" xfId="12294"/>
    <cellStyle name="Calculation 28 2 7" xfId="12295"/>
    <cellStyle name="Calculation 28 2 8" xfId="12296"/>
    <cellStyle name="Calculation 28 2 9" xfId="12247"/>
    <cellStyle name="Calculation 28 3" xfId="3265"/>
    <cellStyle name="Calculation 28 3 2" xfId="12298"/>
    <cellStyle name="Calculation 28 3 2 10" xfId="12299"/>
    <cellStyle name="Calculation 28 3 2 2" xfId="12300"/>
    <cellStyle name="Calculation 28 3 2 2 2" xfId="12301"/>
    <cellStyle name="Calculation 28 3 2 2 2 2" xfId="12302"/>
    <cellStyle name="Calculation 28 3 2 2 3" xfId="12303"/>
    <cellStyle name="Calculation 28 3 2 3" xfId="12304"/>
    <cellStyle name="Calculation 28 3 2 3 2" xfId="12305"/>
    <cellStyle name="Calculation 28 3 2 3 2 2" xfId="12306"/>
    <cellStyle name="Calculation 28 3 2 3 3" xfId="12307"/>
    <cellStyle name="Calculation 28 3 2 4" xfId="12308"/>
    <cellStyle name="Calculation 28 3 2 4 2" xfId="12309"/>
    <cellStyle name="Calculation 28 3 2 4 2 2" xfId="12310"/>
    <cellStyle name="Calculation 28 3 2 4 3" xfId="12311"/>
    <cellStyle name="Calculation 28 3 2 5" xfId="12312"/>
    <cellStyle name="Calculation 28 3 2 5 2" xfId="12313"/>
    <cellStyle name="Calculation 28 3 2 6" xfId="12314"/>
    <cellStyle name="Calculation 28 3 2 6 2" xfId="12315"/>
    <cellStyle name="Calculation 28 3 2 7" xfId="12316"/>
    <cellStyle name="Calculation 28 3 2 7 2" xfId="12317"/>
    <cellStyle name="Calculation 28 3 2 8" xfId="12318"/>
    <cellStyle name="Calculation 28 3 2 8 2" xfId="12319"/>
    <cellStyle name="Calculation 28 3 2 9" xfId="12320"/>
    <cellStyle name="Calculation 28 3 3" xfId="12321"/>
    <cellStyle name="Calculation 28 3 3 2" xfId="12322"/>
    <cellStyle name="Calculation 28 3 3 2 2" xfId="12323"/>
    <cellStyle name="Calculation 28 3 3 2 2 2" xfId="12324"/>
    <cellStyle name="Calculation 28 3 3 2 3" xfId="12325"/>
    <cellStyle name="Calculation 28 3 3 3" xfId="12326"/>
    <cellStyle name="Calculation 28 3 3 3 2" xfId="12327"/>
    <cellStyle name="Calculation 28 3 3 3 2 2" xfId="12328"/>
    <cellStyle name="Calculation 28 3 3 3 3" xfId="12329"/>
    <cellStyle name="Calculation 28 3 3 4" xfId="12330"/>
    <cellStyle name="Calculation 28 3 3 4 2" xfId="12331"/>
    <cellStyle name="Calculation 28 3 3 5" xfId="12332"/>
    <cellStyle name="Calculation 28 3 3 5 2" xfId="12333"/>
    <cellStyle name="Calculation 28 3 3 6" xfId="12334"/>
    <cellStyle name="Calculation 28 3 3 7" xfId="12335"/>
    <cellStyle name="Calculation 28 3 4" xfId="12336"/>
    <cellStyle name="Calculation 28 3 4 2" xfId="12337"/>
    <cellStyle name="Calculation 28 3 5" xfId="12338"/>
    <cellStyle name="Calculation 28 3 5 2" xfId="12339"/>
    <cellStyle name="Calculation 28 3 6" xfId="12340"/>
    <cellStyle name="Calculation 28 3 6 2" xfId="12341"/>
    <cellStyle name="Calculation 28 3 7" xfId="12342"/>
    <cellStyle name="Calculation 28 3 8" xfId="12343"/>
    <cellStyle name="Calculation 28 3 9" xfId="12297"/>
    <cellStyle name="Calculation 28 4" xfId="3268"/>
    <cellStyle name="Calculation 28 4 10" xfId="12345"/>
    <cellStyle name="Calculation 28 4 11" xfId="12344"/>
    <cellStyle name="Calculation 28 4 2" xfId="4261"/>
    <cellStyle name="Calculation 28 4 2 2" xfId="12347"/>
    <cellStyle name="Calculation 28 4 2 2 2" xfId="12348"/>
    <cellStyle name="Calculation 28 4 2 3" xfId="12349"/>
    <cellStyle name="Calculation 28 4 2 4" xfId="12350"/>
    <cellStyle name="Calculation 28 4 2 5" xfId="12346"/>
    <cellStyle name="Calculation 28 4 3" xfId="12351"/>
    <cellStyle name="Calculation 28 4 3 2" xfId="12352"/>
    <cellStyle name="Calculation 28 4 3 2 2" xfId="12353"/>
    <cellStyle name="Calculation 28 4 3 3" xfId="12354"/>
    <cellStyle name="Calculation 28 4 4" xfId="12355"/>
    <cellStyle name="Calculation 28 4 4 2" xfId="12356"/>
    <cellStyle name="Calculation 28 4 4 2 2" xfId="12357"/>
    <cellStyle name="Calculation 28 4 4 3" xfId="12358"/>
    <cellStyle name="Calculation 28 4 5" xfId="12359"/>
    <cellStyle name="Calculation 28 4 5 2" xfId="12360"/>
    <cellStyle name="Calculation 28 4 6" xfId="12361"/>
    <cellStyle name="Calculation 28 4 6 2" xfId="12362"/>
    <cellStyle name="Calculation 28 4 7" xfId="12363"/>
    <cellStyle name="Calculation 28 4 7 2" xfId="12364"/>
    <cellStyle name="Calculation 28 4 8" xfId="12365"/>
    <cellStyle name="Calculation 28 4 8 2" xfId="12366"/>
    <cellStyle name="Calculation 28 4 9" xfId="12367"/>
    <cellStyle name="Calculation 28 5" xfId="4262"/>
    <cellStyle name="Calculation 28 5 10" xfId="12369"/>
    <cellStyle name="Calculation 28 5 11" xfId="12368"/>
    <cellStyle name="Calculation 28 5 2" xfId="4263"/>
    <cellStyle name="Calculation 28 5 2 2" xfId="12371"/>
    <cellStyle name="Calculation 28 5 2 2 2" xfId="12372"/>
    <cellStyle name="Calculation 28 5 2 3" xfId="12373"/>
    <cellStyle name="Calculation 28 5 2 4" xfId="12374"/>
    <cellStyle name="Calculation 28 5 2 5" xfId="12370"/>
    <cellStyle name="Calculation 28 5 3" xfId="12375"/>
    <cellStyle name="Calculation 28 5 3 2" xfId="12376"/>
    <cellStyle name="Calculation 28 5 3 2 2" xfId="12377"/>
    <cellStyle name="Calculation 28 5 3 3" xfId="12378"/>
    <cellStyle name="Calculation 28 5 4" xfId="12379"/>
    <cellStyle name="Calculation 28 5 4 2" xfId="12380"/>
    <cellStyle name="Calculation 28 5 4 2 2" xfId="12381"/>
    <cellStyle name="Calculation 28 5 4 3" xfId="12382"/>
    <cellStyle name="Calculation 28 5 5" xfId="12383"/>
    <cellStyle name="Calculation 28 5 5 2" xfId="12384"/>
    <cellStyle name="Calculation 28 5 6" xfId="12385"/>
    <cellStyle name="Calculation 28 5 6 2" xfId="12386"/>
    <cellStyle name="Calculation 28 5 7" xfId="12387"/>
    <cellStyle name="Calculation 28 5 7 2" xfId="12388"/>
    <cellStyle name="Calculation 28 5 8" xfId="12389"/>
    <cellStyle name="Calculation 28 5 8 2" xfId="12390"/>
    <cellStyle name="Calculation 28 5 9" xfId="12391"/>
    <cellStyle name="Calculation 28 6" xfId="4264"/>
    <cellStyle name="Calculation 28 6 2" xfId="12393"/>
    <cellStyle name="Calculation 28 6 2 2" xfId="12394"/>
    <cellStyle name="Calculation 28 6 2 2 2" xfId="12395"/>
    <cellStyle name="Calculation 28 6 2 3" xfId="12396"/>
    <cellStyle name="Calculation 28 6 3" xfId="12397"/>
    <cellStyle name="Calculation 28 6 3 2" xfId="12398"/>
    <cellStyle name="Calculation 28 6 3 2 2" xfId="12399"/>
    <cellStyle name="Calculation 28 6 3 3" xfId="12400"/>
    <cellStyle name="Calculation 28 6 4" xfId="12401"/>
    <cellStyle name="Calculation 28 6 4 2" xfId="12402"/>
    <cellStyle name="Calculation 28 6 5" xfId="12403"/>
    <cellStyle name="Calculation 28 6 5 2" xfId="12404"/>
    <cellStyle name="Calculation 28 6 6" xfId="12405"/>
    <cellStyle name="Calculation 28 6 7" xfId="12406"/>
    <cellStyle name="Calculation 28 6 8" xfId="12392"/>
    <cellStyle name="Calculation 28 7" xfId="4265"/>
    <cellStyle name="Calculation 28 7 2" xfId="12408"/>
    <cellStyle name="Calculation 28 7 3" xfId="12407"/>
    <cellStyle name="Calculation 28 8" xfId="8332"/>
    <cellStyle name="Calculation 28 8 2" xfId="12409"/>
    <cellStyle name="Calculation 28 9" xfId="12410"/>
    <cellStyle name="Calculation 28 9 2" xfId="12411"/>
    <cellStyle name="Calculation 29" xfId="2584"/>
    <cellStyle name="Calculation 29 10" xfId="12412"/>
    <cellStyle name="Calculation 29 11" xfId="12413"/>
    <cellStyle name="Calculation 29 2" xfId="3263"/>
    <cellStyle name="Calculation 29 2 2" xfId="12415"/>
    <cellStyle name="Calculation 29 2 2 10" xfId="12416"/>
    <cellStyle name="Calculation 29 2 2 2" xfId="12417"/>
    <cellStyle name="Calculation 29 2 2 2 2" xfId="12418"/>
    <cellStyle name="Calculation 29 2 2 2 2 2" xfId="12419"/>
    <cellStyle name="Calculation 29 2 2 2 3" xfId="12420"/>
    <cellStyle name="Calculation 29 2 2 2 4" xfId="12421"/>
    <cellStyle name="Calculation 29 2 2 3" xfId="12422"/>
    <cellStyle name="Calculation 29 2 2 3 2" xfId="12423"/>
    <cellStyle name="Calculation 29 2 2 3 2 2" xfId="12424"/>
    <cellStyle name="Calculation 29 2 2 3 3" xfId="12425"/>
    <cellStyle name="Calculation 29 2 2 4" xfId="12426"/>
    <cellStyle name="Calculation 29 2 2 4 2" xfId="12427"/>
    <cellStyle name="Calculation 29 2 2 4 2 2" xfId="12428"/>
    <cellStyle name="Calculation 29 2 2 4 3" xfId="12429"/>
    <cellStyle name="Calculation 29 2 2 5" xfId="12430"/>
    <cellStyle name="Calculation 29 2 2 5 2" xfId="12431"/>
    <cellStyle name="Calculation 29 2 2 6" xfId="12432"/>
    <cellStyle name="Calculation 29 2 2 6 2" xfId="12433"/>
    <cellStyle name="Calculation 29 2 2 7" xfId="12434"/>
    <cellStyle name="Calculation 29 2 2 7 2" xfId="12435"/>
    <cellStyle name="Calculation 29 2 2 8" xfId="12436"/>
    <cellStyle name="Calculation 29 2 2 8 2" xfId="12437"/>
    <cellStyle name="Calculation 29 2 2 9" xfId="12438"/>
    <cellStyle name="Calculation 29 2 3" xfId="12439"/>
    <cellStyle name="Calculation 29 2 3 2" xfId="12440"/>
    <cellStyle name="Calculation 29 2 3 2 2" xfId="12441"/>
    <cellStyle name="Calculation 29 2 3 2 2 2" xfId="12442"/>
    <cellStyle name="Calculation 29 2 3 2 3" xfId="12443"/>
    <cellStyle name="Calculation 29 2 3 2 4" xfId="12444"/>
    <cellStyle name="Calculation 29 2 3 3" xfId="12445"/>
    <cellStyle name="Calculation 29 2 3 3 2" xfId="12446"/>
    <cellStyle name="Calculation 29 2 3 3 2 2" xfId="12447"/>
    <cellStyle name="Calculation 29 2 3 3 3" xfId="12448"/>
    <cellStyle name="Calculation 29 2 3 4" xfId="12449"/>
    <cellStyle name="Calculation 29 2 3 4 2" xfId="12450"/>
    <cellStyle name="Calculation 29 2 3 5" xfId="12451"/>
    <cellStyle name="Calculation 29 2 3 5 2" xfId="12452"/>
    <cellStyle name="Calculation 29 2 3 6" xfId="12453"/>
    <cellStyle name="Calculation 29 2 3 7" xfId="12454"/>
    <cellStyle name="Calculation 29 2 4" xfId="12455"/>
    <cellStyle name="Calculation 29 2 4 2" xfId="12456"/>
    <cellStyle name="Calculation 29 2 4 3" xfId="12457"/>
    <cellStyle name="Calculation 29 2 5" xfId="12458"/>
    <cellStyle name="Calculation 29 2 5 2" xfId="12459"/>
    <cellStyle name="Calculation 29 2 6" xfId="12460"/>
    <cellStyle name="Calculation 29 2 6 2" xfId="12461"/>
    <cellStyle name="Calculation 29 2 7" xfId="12462"/>
    <cellStyle name="Calculation 29 2 8" xfId="12463"/>
    <cellStyle name="Calculation 29 2 9" xfId="12414"/>
    <cellStyle name="Calculation 29 3" xfId="3234"/>
    <cellStyle name="Calculation 29 3 2" xfId="12465"/>
    <cellStyle name="Calculation 29 3 2 10" xfId="12466"/>
    <cellStyle name="Calculation 29 3 2 2" xfId="12467"/>
    <cellStyle name="Calculation 29 3 2 2 2" xfId="12468"/>
    <cellStyle name="Calculation 29 3 2 2 2 2" xfId="12469"/>
    <cellStyle name="Calculation 29 3 2 2 3" xfId="12470"/>
    <cellStyle name="Calculation 29 3 2 3" xfId="12471"/>
    <cellStyle name="Calculation 29 3 2 3 2" xfId="12472"/>
    <cellStyle name="Calculation 29 3 2 3 2 2" xfId="12473"/>
    <cellStyle name="Calculation 29 3 2 3 3" xfId="12474"/>
    <cellStyle name="Calculation 29 3 2 4" xfId="12475"/>
    <cellStyle name="Calculation 29 3 2 4 2" xfId="12476"/>
    <cellStyle name="Calculation 29 3 2 4 2 2" xfId="12477"/>
    <cellStyle name="Calculation 29 3 2 4 3" xfId="12478"/>
    <cellStyle name="Calculation 29 3 2 5" xfId="12479"/>
    <cellStyle name="Calculation 29 3 2 5 2" xfId="12480"/>
    <cellStyle name="Calculation 29 3 2 6" xfId="12481"/>
    <cellStyle name="Calculation 29 3 2 6 2" xfId="12482"/>
    <cellStyle name="Calculation 29 3 2 7" xfId="12483"/>
    <cellStyle name="Calculation 29 3 2 7 2" xfId="12484"/>
    <cellStyle name="Calculation 29 3 2 8" xfId="12485"/>
    <cellStyle name="Calculation 29 3 2 8 2" xfId="12486"/>
    <cellStyle name="Calculation 29 3 2 9" xfId="12487"/>
    <cellStyle name="Calculation 29 3 3" xfId="12488"/>
    <cellStyle name="Calculation 29 3 3 2" xfId="12489"/>
    <cellStyle name="Calculation 29 3 3 2 2" xfId="12490"/>
    <cellStyle name="Calculation 29 3 3 2 2 2" xfId="12491"/>
    <cellStyle name="Calculation 29 3 3 2 3" xfId="12492"/>
    <cellStyle name="Calculation 29 3 3 3" xfId="12493"/>
    <cellStyle name="Calculation 29 3 3 3 2" xfId="12494"/>
    <cellStyle name="Calculation 29 3 3 3 2 2" xfId="12495"/>
    <cellStyle name="Calculation 29 3 3 3 3" xfId="12496"/>
    <cellStyle name="Calculation 29 3 3 4" xfId="12497"/>
    <cellStyle name="Calculation 29 3 3 4 2" xfId="12498"/>
    <cellStyle name="Calculation 29 3 3 5" xfId="12499"/>
    <cellStyle name="Calculation 29 3 3 5 2" xfId="12500"/>
    <cellStyle name="Calculation 29 3 3 6" xfId="12501"/>
    <cellStyle name="Calculation 29 3 3 7" xfId="12502"/>
    <cellStyle name="Calculation 29 3 4" xfId="12503"/>
    <cellStyle name="Calculation 29 3 4 2" xfId="12504"/>
    <cellStyle name="Calculation 29 3 5" xfId="12505"/>
    <cellStyle name="Calculation 29 3 5 2" xfId="12506"/>
    <cellStyle name="Calculation 29 3 6" xfId="12507"/>
    <cellStyle name="Calculation 29 3 6 2" xfId="12508"/>
    <cellStyle name="Calculation 29 3 7" xfId="12509"/>
    <cellStyle name="Calculation 29 3 8" xfId="12510"/>
    <cellStyle name="Calculation 29 3 9" xfId="12464"/>
    <cellStyle name="Calculation 29 4" xfId="3393"/>
    <cellStyle name="Calculation 29 4 10" xfId="12512"/>
    <cellStyle name="Calculation 29 4 11" xfId="12511"/>
    <cellStyle name="Calculation 29 4 2" xfId="3394"/>
    <cellStyle name="Calculation 29 4 2 2" xfId="12514"/>
    <cellStyle name="Calculation 29 4 2 2 2" xfId="12515"/>
    <cellStyle name="Calculation 29 4 2 3" xfId="12516"/>
    <cellStyle name="Calculation 29 4 2 4" xfId="12517"/>
    <cellStyle name="Calculation 29 4 2 5" xfId="12513"/>
    <cellStyle name="Calculation 29 4 3" xfId="12518"/>
    <cellStyle name="Calculation 29 4 3 2" xfId="12519"/>
    <cellStyle name="Calculation 29 4 3 2 2" xfId="12520"/>
    <cellStyle name="Calculation 29 4 3 3" xfId="12521"/>
    <cellStyle name="Calculation 29 4 4" xfId="12522"/>
    <cellStyle name="Calculation 29 4 4 2" xfId="12523"/>
    <cellStyle name="Calculation 29 4 4 2 2" xfId="12524"/>
    <cellStyle name="Calculation 29 4 4 3" xfId="12525"/>
    <cellStyle name="Calculation 29 4 5" xfId="12526"/>
    <cellStyle name="Calculation 29 4 5 2" xfId="12527"/>
    <cellStyle name="Calculation 29 4 6" xfId="12528"/>
    <cellStyle name="Calculation 29 4 6 2" xfId="12529"/>
    <cellStyle name="Calculation 29 4 7" xfId="12530"/>
    <cellStyle name="Calculation 29 4 7 2" xfId="12531"/>
    <cellStyle name="Calculation 29 4 8" xfId="12532"/>
    <cellStyle name="Calculation 29 4 8 2" xfId="12533"/>
    <cellStyle name="Calculation 29 4 9" xfId="12534"/>
    <cellStyle name="Calculation 29 5" xfId="3395"/>
    <cellStyle name="Calculation 29 5 10" xfId="12536"/>
    <cellStyle name="Calculation 29 5 11" xfId="12535"/>
    <cellStyle name="Calculation 29 5 2" xfId="3396"/>
    <cellStyle name="Calculation 29 5 2 2" xfId="12538"/>
    <cellStyle name="Calculation 29 5 2 2 2" xfId="12539"/>
    <cellStyle name="Calculation 29 5 2 3" xfId="12540"/>
    <cellStyle name="Calculation 29 5 2 4" xfId="12541"/>
    <cellStyle name="Calculation 29 5 2 5" xfId="12537"/>
    <cellStyle name="Calculation 29 5 3" xfId="12542"/>
    <cellStyle name="Calculation 29 5 3 2" xfId="12543"/>
    <cellStyle name="Calculation 29 5 3 2 2" xfId="12544"/>
    <cellStyle name="Calculation 29 5 3 3" xfId="12545"/>
    <cellStyle name="Calculation 29 5 4" xfId="12546"/>
    <cellStyle name="Calculation 29 5 4 2" xfId="12547"/>
    <cellStyle name="Calculation 29 5 4 2 2" xfId="12548"/>
    <cellStyle name="Calculation 29 5 4 3" xfId="12549"/>
    <cellStyle name="Calculation 29 5 5" xfId="12550"/>
    <cellStyle name="Calculation 29 5 5 2" xfId="12551"/>
    <cellStyle name="Calculation 29 5 6" xfId="12552"/>
    <cellStyle name="Calculation 29 5 6 2" xfId="12553"/>
    <cellStyle name="Calculation 29 5 7" xfId="12554"/>
    <cellStyle name="Calculation 29 5 7 2" xfId="12555"/>
    <cellStyle name="Calculation 29 5 8" xfId="12556"/>
    <cellStyle name="Calculation 29 5 8 2" xfId="12557"/>
    <cellStyle name="Calculation 29 5 9" xfId="12558"/>
    <cellStyle name="Calculation 29 6" xfId="3397"/>
    <cellStyle name="Calculation 29 6 2" xfId="12560"/>
    <cellStyle name="Calculation 29 6 2 2" xfId="12561"/>
    <cellStyle name="Calculation 29 6 2 2 2" xfId="12562"/>
    <cellStyle name="Calculation 29 6 2 3" xfId="12563"/>
    <cellStyle name="Calculation 29 6 3" xfId="12564"/>
    <cellStyle name="Calculation 29 6 3 2" xfId="12565"/>
    <cellStyle name="Calculation 29 6 3 2 2" xfId="12566"/>
    <cellStyle name="Calculation 29 6 3 3" xfId="12567"/>
    <cellStyle name="Calculation 29 6 4" xfId="12568"/>
    <cellStyle name="Calculation 29 6 4 2" xfId="12569"/>
    <cellStyle name="Calculation 29 6 5" xfId="12570"/>
    <cellStyle name="Calculation 29 6 5 2" xfId="12571"/>
    <cellStyle name="Calculation 29 6 6" xfId="12572"/>
    <cellStyle name="Calculation 29 6 7" xfId="12573"/>
    <cellStyle name="Calculation 29 6 8" xfId="12559"/>
    <cellStyle name="Calculation 29 7" xfId="3398"/>
    <cellStyle name="Calculation 29 7 2" xfId="12575"/>
    <cellStyle name="Calculation 29 7 3" xfId="12574"/>
    <cellStyle name="Calculation 29 8" xfId="8333"/>
    <cellStyle name="Calculation 29 8 2" xfId="12576"/>
    <cellStyle name="Calculation 29 9" xfId="12577"/>
    <cellStyle name="Calculation 29 9 2" xfId="12578"/>
    <cellStyle name="Calculation 3" xfId="483"/>
    <cellStyle name="Calculation 3 10" xfId="12579"/>
    <cellStyle name="Calculation 3 11" xfId="12580"/>
    <cellStyle name="Calculation 3 2" xfId="484"/>
    <cellStyle name="Calculation 3 2 2" xfId="485"/>
    <cellStyle name="Calculation 3 2 2 10" xfId="12581"/>
    <cellStyle name="Calculation 3 2 2 2" xfId="7958"/>
    <cellStyle name="Calculation 3 2 2 2 2" xfId="12582"/>
    <cellStyle name="Calculation 3 2 2 2 2 2" xfId="12583"/>
    <cellStyle name="Calculation 3 2 2 2 3" xfId="12584"/>
    <cellStyle name="Calculation 3 2 2 2 4" xfId="12585"/>
    <cellStyle name="Calculation 3 2 2 3" xfId="12586"/>
    <cellStyle name="Calculation 3 2 2 3 2" xfId="12587"/>
    <cellStyle name="Calculation 3 2 2 3 2 2" xfId="12588"/>
    <cellStyle name="Calculation 3 2 2 3 3" xfId="12589"/>
    <cellStyle name="Calculation 3 2 2 4" xfId="12590"/>
    <cellStyle name="Calculation 3 2 2 4 2" xfId="12591"/>
    <cellStyle name="Calculation 3 2 2 4 2 2" xfId="12592"/>
    <cellStyle name="Calculation 3 2 2 4 3" xfId="12593"/>
    <cellStyle name="Calculation 3 2 2 5" xfId="12594"/>
    <cellStyle name="Calculation 3 2 2 5 2" xfId="12595"/>
    <cellStyle name="Calculation 3 2 2 6" xfId="12596"/>
    <cellStyle name="Calculation 3 2 2 6 2" xfId="12597"/>
    <cellStyle name="Calculation 3 2 2 7" xfId="12598"/>
    <cellStyle name="Calculation 3 2 2 7 2" xfId="12599"/>
    <cellStyle name="Calculation 3 2 2 8" xfId="12600"/>
    <cellStyle name="Calculation 3 2 2 8 2" xfId="12601"/>
    <cellStyle name="Calculation 3 2 2 9" xfId="12602"/>
    <cellStyle name="Calculation 3 2 3" xfId="4266"/>
    <cellStyle name="Calculation 3 2 3 2" xfId="12604"/>
    <cellStyle name="Calculation 3 2 3 2 2" xfId="12605"/>
    <cellStyle name="Calculation 3 2 3 2 2 2" xfId="12606"/>
    <cellStyle name="Calculation 3 2 3 2 3" xfId="12607"/>
    <cellStyle name="Calculation 3 2 3 2 4" xfId="12608"/>
    <cellStyle name="Calculation 3 2 3 3" xfId="12609"/>
    <cellStyle name="Calculation 3 2 3 3 2" xfId="12610"/>
    <cellStyle name="Calculation 3 2 3 3 2 2" xfId="12611"/>
    <cellStyle name="Calculation 3 2 3 3 3" xfId="12612"/>
    <cellStyle name="Calculation 3 2 3 4" xfId="12613"/>
    <cellStyle name="Calculation 3 2 3 4 2" xfId="12614"/>
    <cellStyle name="Calculation 3 2 3 5" xfId="12615"/>
    <cellStyle name="Calculation 3 2 3 5 2" xfId="12616"/>
    <cellStyle name="Calculation 3 2 3 6" xfId="12617"/>
    <cellStyle name="Calculation 3 2 3 7" xfId="12618"/>
    <cellStyle name="Calculation 3 2 3 8" xfId="12603"/>
    <cellStyle name="Calculation 3 2 4" xfId="4267"/>
    <cellStyle name="Calculation 3 2 4 2" xfId="4268"/>
    <cellStyle name="Calculation 3 2 4 2 2" xfId="12620"/>
    <cellStyle name="Calculation 3 2 4 3" xfId="12621"/>
    <cellStyle name="Calculation 3 2 4 4" xfId="12619"/>
    <cellStyle name="Calculation 3 2 5" xfId="4269"/>
    <cellStyle name="Calculation 3 2 5 2" xfId="4270"/>
    <cellStyle name="Calculation 3 2 5 2 2" xfId="12623"/>
    <cellStyle name="Calculation 3 2 5 3" xfId="12622"/>
    <cellStyle name="Calculation 3 2 6" xfId="3399"/>
    <cellStyle name="Calculation 3 2 6 2" xfId="12625"/>
    <cellStyle name="Calculation 3 2 6 3" xfId="12624"/>
    <cellStyle name="Calculation 3 2 7" xfId="3400"/>
    <cellStyle name="Calculation 3 2 7 2" xfId="12626"/>
    <cellStyle name="Calculation 3 2 8" xfId="7957"/>
    <cellStyle name="Calculation 3 3" xfId="486"/>
    <cellStyle name="Calculation 3 3 2" xfId="487"/>
    <cellStyle name="Calculation 3 3 2 10" xfId="12627"/>
    <cellStyle name="Calculation 3 3 2 2" xfId="7960"/>
    <cellStyle name="Calculation 3 3 2 2 2" xfId="12628"/>
    <cellStyle name="Calculation 3 3 2 2 2 2" xfId="12629"/>
    <cellStyle name="Calculation 3 3 2 2 3" xfId="12630"/>
    <cellStyle name="Calculation 3 3 2 3" xfId="12631"/>
    <cellStyle name="Calculation 3 3 2 3 2" xfId="12632"/>
    <cellStyle name="Calculation 3 3 2 3 2 2" xfId="12633"/>
    <cellStyle name="Calculation 3 3 2 3 3" xfId="12634"/>
    <cellStyle name="Calculation 3 3 2 4" xfId="12635"/>
    <cellStyle name="Calculation 3 3 2 4 2" xfId="12636"/>
    <cellStyle name="Calculation 3 3 2 4 2 2" xfId="12637"/>
    <cellStyle name="Calculation 3 3 2 4 3" xfId="12638"/>
    <cellStyle name="Calculation 3 3 2 5" xfId="12639"/>
    <cellStyle name="Calculation 3 3 2 5 2" xfId="12640"/>
    <cellStyle name="Calculation 3 3 2 6" xfId="12641"/>
    <cellStyle name="Calculation 3 3 2 6 2" xfId="12642"/>
    <cellStyle name="Calculation 3 3 2 7" xfId="12643"/>
    <cellStyle name="Calculation 3 3 2 7 2" xfId="12644"/>
    <cellStyle name="Calculation 3 3 2 8" xfId="12645"/>
    <cellStyle name="Calculation 3 3 2 8 2" xfId="12646"/>
    <cellStyle name="Calculation 3 3 2 9" xfId="12647"/>
    <cellStyle name="Calculation 3 3 3" xfId="7959"/>
    <cellStyle name="Calculation 3 3 3 2" xfId="12648"/>
    <cellStyle name="Calculation 3 3 3 2 2" xfId="12649"/>
    <cellStyle name="Calculation 3 3 3 2 2 2" xfId="12650"/>
    <cellStyle name="Calculation 3 3 3 2 3" xfId="12651"/>
    <cellStyle name="Calculation 3 3 3 3" xfId="12652"/>
    <cellStyle name="Calculation 3 3 3 3 2" xfId="12653"/>
    <cellStyle name="Calculation 3 3 3 3 2 2" xfId="12654"/>
    <cellStyle name="Calculation 3 3 3 3 3" xfId="12655"/>
    <cellStyle name="Calculation 3 3 3 4" xfId="12656"/>
    <cellStyle name="Calculation 3 3 3 4 2" xfId="12657"/>
    <cellStyle name="Calculation 3 3 3 5" xfId="12658"/>
    <cellStyle name="Calculation 3 3 3 5 2" xfId="12659"/>
    <cellStyle name="Calculation 3 3 3 6" xfId="12660"/>
    <cellStyle name="Calculation 3 3 3 7" xfId="12661"/>
    <cellStyle name="Calculation 3 3 4" xfId="12662"/>
    <cellStyle name="Calculation 3 3 4 2" xfId="12663"/>
    <cellStyle name="Calculation 3 3 5" xfId="12664"/>
    <cellStyle name="Calculation 3 3 5 2" xfId="12665"/>
    <cellStyle name="Calculation 3 3 6" xfId="12666"/>
    <cellStyle name="Calculation 3 3 6 2" xfId="12667"/>
    <cellStyle name="Calculation 3 3 7" xfId="12668"/>
    <cellStyle name="Calculation 3 3 8" xfId="12669"/>
    <cellStyle name="Calculation 3 4" xfId="488"/>
    <cellStyle name="Calculation 3 4 10" xfId="12670"/>
    <cellStyle name="Calculation 3 4 2" xfId="7961"/>
    <cellStyle name="Calculation 3 4 2 2" xfId="12671"/>
    <cellStyle name="Calculation 3 4 2 2 2" xfId="12672"/>
    <cellStyle name="Calculation 3 4 2 3" xfId="12673"/>
    <cellStyle name="Calculation 3 4 2 4" xfId="12674"/>
    <cellStyle name="Calculation 3 4 3" xfId="12675"/>
    <cellStyle name="Calculation 3 4 3 2" xfId="12676"/>
    <cellStyle name="Calculation 3 4 3 2 2" xfId="12677"/>
    <cellStyle name="Calculation 3 4 3 3" xfId="12678"/>
    <cellStyle name="Calculation 3 4 4" xfId="12679"/>
    <cellStyle name="Calculation 3 4 4 2" xfId="12680"/>
    <cellStyle name="Calculation 3 4 4 2 2" xfId="12681"/>
    <cellStyle name="Calculation 3 4 4 3" xfId="12682"/>
    <cellStyle name="Calculation 3 4 5" xfId="12683"/>
    <cellStyle name="Calculation 3 4 5 2" xfId="12684"/>
    <cellStyle name="Calculation 3 4 6" xfId="12685"/>
    <cellStyle name="Calculation 3 4 6 2" xfId="12686"/>
    <cellStyle name="Calculation 3 4 7" xfId="12687"/>
    <cellStyle name="Calculation 3 4 7 2" xfId="12688"/>
    <cellStyle name="Calculation 3 4 8" xfId="12689"/>
    <cellStyle name="Calculation 3 4 8 2" xfId="12690"/>
    <cellStyle name="Calculation 3 4 9" xfId="12691"/>
    <cellStyle name="Calculation 3 5" xfId="4271"/>
    <cellStyle name="Calculation 3 5 10" xfId="12693"/>
    <cellStyle name="Calculation 3 5 11" xfId="12692"/>
    <cellStyle name="Calculation 3 5 2" xfId="3401"/>
    <cellStyle name="Calculation 3 5 2 2" xfId="12695"/>
    <cellStyle name="Calculation 3 5 2 2 2" xfId="12696"/>
    <cellStyle name="Calculation 3 5 2 3" xfId="12697"/>
    <cellStyle name="Calculation 3 5 2 4" xfId="12698"/>
    <cellStyle name="Calculation 3 5 2 5" xfId="12694"/>
    <cellStyle name="Calculation 3 5 3" xfId="12699"/>
    <cellStyle name="Calculation 3 5 3 2" xfId="12700"/>
    <cellStyle name="Calculation 3 5 3 2 2" xfId="12701"/>
    <cellStyle name="Calculation 3 5 3 3" xfId="12702"/>
    <cellStyle name="Calculation 3 5 4" xfId="12703"/>
    <cellStyle name="Calculation 3 5 4 2" xfId="12704"/>
    <cellStyle name="Calculation 3 5 4 2 2" xfId="12705"/>
    <cellStyle name="Calculation 3 5 4 3" xfId="12706"/>
    <cellStyle name="Calculation 3 5 5" xfId="12707"/>
    <cellStyle name="Calculation 3 5 5 2" xfId="12708"/>
    <cellStyle name="Calculation 3 5 6" xfId="12709"/>
    <cellStyle name="Calculation 3 5 6 2" xfId="12710"/>
    <cellStyle name="Calculation 3 5 7" xfId="12711"/>
    <cellStyle name="Calculation 3 5 7 2" xfId="12712"/>
    <cellStyle name="Calculation 3 5 8" xfId="12713"/>
    <cellStyle name="Calculation 3 5 8 2" xfId="12714"/>
    <cellStyle name="Calculation 3 5 9" xfId="12715"/>
    <cellStyle name="Calculation 3 6" xfId="4272"/>
    <cellStyle name="Calculation 3 6 2" xfId="3402"/>
    <cellStyle name="Calculation 3 6 2 2" xfId="12718"/>
    <cellStyle name="Calculation 3 6 2 2 2" xfId="12719"/>
    <cellStyle name="Calculation 3 6 2 3" xfId="12720"/>
    <cellStyle name="Calculation 3 6 2 4" xfId="12717"/>
    <cellStyle name="Calculation 3 6 3" xfId="12721"/>
    <cellStyle name="Calculation 3 6 3 2" xfId="12722"/>
    <cellStyle name="Calculation 3 6 3 2 2" xfId="12723"/>
    <cellStyle name="Calculation 3 6 3 3" xfId="12724"/>
    <cellStyle name="Calculation 3 6 4" xfId="12725"/>
    <cellStyle name="Calculation 3 6 4 2" xfId="12726"/>
    <cellStyle name="Calculation 3 6 5" xfId="12727"/>
    <cellStyle name="Calculation 3 6 5 2" xfId="12728"/>
    <cellStyle name="Calculation 3 6 6" xfId="12729"/>
    <cellStyle name="Calculation 3 6 7" xfId="12730"/>
    <cellStyle name="Calculation 3 6 8" xfId="12716"/>
    <cellStyle name="Calculation 3 7" xfId="4273"/>
    <cellStyle name="Calculation 3 7 2" xfId="12732"/>
    <cellStyle name="Calculation 3 7 3" xfId="12731"/>
    <cellStyle name="Calculation 3 8" xfId="3403"/>
    <cellStyle name="Calculation 3 8 2" xfId="12734"/>
    <cellStyle name="Calculation 3 8 3" xfId="12733"/>
    <cellStyle name="Calculation 3 9" xfId="7956"/>
    <cellStyle name="Calculation 3 9 2" xfId="12735"/>
    <cellStyle name="Calculation 30" xfId="2585"/>
    <cellStyle name="Calculation 30 10" xfId="12736"/>
    <cellStyle name="Calculation 30 11" xfId="12737"/>
    <cellStyle name="Calculation 30 2" xfId="3404"/>
    <cellStyle name="Calculation 30 2 2" xfId="12739"/>
    <cellStyle name="Calculation 30 2 2 10" xfId="12740"/>
    <cellStyle name="Calculation 30 2 2 2" xfId="12741"/>
    <cellStyle name="Calculation 30 2 2 2 2" xfId="12742"/>
    <cellStyle name="Calculation 30 2 2 2 2 2" xfId="12743"/>
    <cellStyle name="Calculation 30 2 2 2 3" xfId="12744"/>
    <cellStyle name="Calculation 30 2 2 2 4" xfId="12745"/>
    <cellStyle name="Calculation 30 2 2 3" xfId="12746"/>
    <cellStyle name="Calculation 30 2 2 3 2" xfId="12747"/>
    <cellStyle name="Calculation 30 2 2 3 2 2" xfId="12748"/>
    <cellStyle name="Calculation 30 2 2 3 3" xfId="12749"/>
    <cellStyle name="Calculation 30 2 2 4" xfId="12750"/>
    <cellStyle name="Calculation 30 2 2 4 2" xfId="12751"/>
    <cellStyle name="Calculation 30 2 2 4 2 2" xfId="12752"/>
    <cellStyle name="Calculation 30 2 2 4 3" xfId="12753"/>
    <cellStyle name="Calculation 30 2 2 5" xfId="12754"/>
    <cellStyle name="Calculation 30 2 2 5 2" xfId="12755"/>
    <cellStyle name="Calculation 30 2 2 6" xfId="12756"/>
    <cellStyle name="Calculation 30 2 2 6 2" xfId="12757"/>
    <cellStyle name="Calculation 30 2 2 7" xfId="12758"/>
    <cellStyle name="Calculation 30 2 2 7 2" xfId="12759"/>
    <cellStyle name="Calculation 30 2 2 8" xfId="12760"/>
    <cellStyle name="Calculation 30 2 2 8 2" xfId="12761"/>
    <cellStyle name="Calculation 30 2 2 9" xfId="12762"/>
    <cellStyle name="Calculation 30 2 3" xfId="12763"/>
    <cellStyle name="Calculation 30 2 3 2" xfId="12764"/>
    <cellStyle name="Calculation 30 2 3 2 2" xfId="12765"/>
    <cellStyle name="Calculation 30 2 3 2 2 2" xfId="12766"/>
    <cellStyle name="Calculation 30 2 3 2 3" xfId="12767"/>
    <cellStyle name="Calculation 30 2 3 2 4" xfId="12768"/>
    <cellStyle name="Calculation 30 2 3 3" xfId="12769"/>
    <cellStyle name="Calculation 30 2 3 3 2" xfId="12770"/>
    <cellStyle name="Calculation 30 2 3 3 2 2" xfId="12771"/>
    <cellStyle name="Calculation 30 2 3 3 3" xfId="12772"/>
    <cellStyle name="Calculation 30 2 3 4" xfId="12773"/>
    <cellStyle name="Calculation 30 2 3 4 2" xfId="12774"/>
    <cellStyle name="Calculation 30 2 3 5" xfId="12775"/>
    <cellStyle name="Calculation 30 2 3 5 2" xfId="12776"/>
    <cellStyle name="Calculation 30 2 3 6" xfId="12777"/>
    <cellStyle name="Calculation 30 2 3 7" xfId="12778"/>
    <cellStyle name="Calculation 30 2 4" xfId="12779"/>
    <cellStyle name="Calculation 30 2 4 2" xfId="12780"/>
    <cellStyle name="Calculation 30 2 4 3" xfId="12781"/>
    <cellStyle name="Calculation 30 2 5" xfId="12782"/>
    <cellStyle name="Calculation 30 2 5 2" xfId="12783"/>
    <cellStyle name="Calculation 30 2 6" xfId="12784"/>
    <cellStyle name="Calculation 30 2 6 2" xfId="12785"/>
    <cellStyle name="Calculation 30 2 7" xfId="12786"/>
    <cellStyle name="Calculation 30 2 8" xfId="12787"/>
    <cellStyle name="Calculation 30 2 9" xfId="12738"/>
    <cellStyle name="Calculation 30 3" xfId="4274"/>
    <cellStyle name="Calculation 30 3 2" xfId="12789"/>
    <cellStyle name="Calculation 30 3 2 10" xfId="12790"/>
    <cellStyle name="Calculation 30 3 2 2" xfId="12791"/>
    <cellStyle name="Calculation 30 3 2 2 2" xfId="12792"/>
    <cellStyle name="Calculation 30 3 2 2 2 2" xfId="12793"/>
    <cellStyle name="Calculation 30 3 2 2 3" xfId="12794"/>
    <cellStyle name="Calculation 30 3 2 3" xfId="12795"/>
    <cellStyle name="Calculation 30 3 2 3 2" xfId="12796"/>
    <cellStyle name="Calculation 30 3 2 3 2 2" xfId="12797"/>
    <cellStyle name="Calculation 30 3 2 3 3" xfId="12798"/>
    <cellStyle name="Calculation 30 3 2 4" xfId="12799"/>
    <cellStyle name="Calculation 30 3 2 4 2" xfId="12800"/>
    <cellStyle name="Calculation 30 3 2 4 2 2" xfId="12801"/>
    <cellStyle name="Calculation 30 3 2 4 3" xfId="12802"/>
    <cellStyle name="Calculation 30 3 2 5" xfId="12803"/>
    <cellStyle name="Calculation 30 3 2 5 2" xfId="12804"/>
    <cellStyle name="Calculation 30 3 2 6" xfId="12805"/>
    <cellStyle name="Calculation 30 3 2 6 2" xfId="12806"/>
    <cellStyle name="Calculation 30 3 2 7" xfId="12807"/>
    <cellStyle name="Calculation 30 3 2 7 2" xfId="12808"/>
    <cellStyle name="Calculation 30 3 2 8" xfId="12809"/>
    <cellStyle name="Calculation 30 3 2 8 2" xfId="12810"/>
    <cellStyle name="Calculation 30 3 2 9" xfId="12811"/>
    <cellStyle name="Calculation 30 3 3" xfId="12812"/>
    <cellStyle name="Calculation 30 3 3 2" xfId="12813"/>
    <cellStyle name="Calculation 30 3 3 2 2" xfId="12814"/>
    <cellStyle name="Calculation 30 3 3 2 2 2" xfId="12815"/>
    <cellStyle name="Calculation 30 3 3 2 3" xfId="12816"/>
    <cellStyle name="Calculation 30 3 3 3" xfId="12817"/>
    <cellStyle name="Calculation 30 3 3 3 2" xfId="12818"/>
    <cellStyle name="Calculation 30 3 3 3 2 2" xfId="12819"/>
    <cellStyle name="Calculation 30 3 3 3 3" xfId="12820"/>
    <cellStyle name="Calculation 30 3 3 4" xfId="12821"/>
    <cellStyle name="Calculation 30 3 3 4 2" xfId="12822"/>
    <cellStyle name="Calculation 30 3 3 5" xfId="12823"/>
    <cellStyle name="Calculation 30 3 3 5 2" xfId="12824"/>
    <cellStyle name="Calculation 30 3 3 6" xfId="12825"/>
    <cellStyle name="Calculation 30 3 3 7" xfId="12826"/>
    <cellStyle name="Calculation 30 3 4" xfId="12827"/>
    <cellStyle name="Calculation 30 3 4 2" xfId="12828"/>
    <cellStyle name="Calculation 30 3 5" xfId="12829"/>
    <cellStyle name="Calculation 30 3 5 2" xfId="12830"/>
    <cellStyle name="Calculation 30 3 6" xfId="12831"/>
    <cellStyle name="Calculation 30 3 6 2" xfId="12832"/>
    <cellStyle name="Calculation 30 3 7" xfId="12833"/>
    <cellStyle name="Calculation 30 3 8" xfId="12834"/>
    <cellStyle name="Calculation 30 3 9" xfId="12788"/>
    <cellStyle name="Calculation 30 4" xfId="3405"/>
    <cellStyle name="Calculation 30 4 10" xfId="12836"/>
    <cellStyle name="Calculation 30 4 11" xfId="12835"/>
    <cellStyle name="Calculation 30 4 2" xfId="4275"/>
    <cellStyle name="Calculation 30 4 2 2" xfId="12838"/>
    <cellStyle name="Calculation 30 4 2 2 2" xfId="12839"/>
    <cellStyle name="Calculation 30 4 2 3" xfId="12840"/>
    <cellStyle name="Calculation 30 4 2 4" xfId="12841"/>
    <cellStyle name="Calculation 30 4 2 5" xfId="12837"/>
    <cellStyle name="Calculation 30 4 3" xfId="12842"/>
    <cellStyle name="Calculation 30 4 3 2" xfId="12843"/>
    <cellStyle name="Calculation 30 4 3 2 2" xfId="12844"/>
    <cellStyle name="Calculation 30 4 3 3" xfId="12845"/>
    <cellStyle name="Calculation 30 4 4" xfId="12846"/>
    <cellStyle name="Calculation 30 4 4 2" xfId="12847"/>
    <cellStyle name="Calculation 30 4 4 2 2" xfId="12848"/>
    <cellStyle name="Calculation 30 4 4 3" xfId="12849"/>
    <cellStyle name="Calculation 30 4 5" xfId="12850"/>
    <cellStyle name="Calculation 30 4 5 2" xfId="12851"/>
    <cellStyle name="Calculation 30 4 6" xfId="12852"/>
    <cellStyle name="Calculation 30 4 6 2" xfId="12853"/>
    <cellStyle name="Calculation 30 4 7" xfId="12854"/>
    <cellStyle name="Calculation 30 4 7 2" xfId="12855"/>
    <cellStyle name="Calculation 30 4 8" xfId="12856"/>
    <cellStyle name="Calculation 30 4 8 2" xfId="12857"/>
    <cellStyle name="Calculation 30 4 9" xfId="12858"/>
    <cellStyle name="Calculation 30 5" xfId="3406"/>
    <cellStyle name="Calculation 30 5 10" xfId="12860"/>
    <cellStyle name="Calculation 30 5 11" xfId="12859"/>
    <cellStyle name="Calculation 30 5 2" xfId="4276"/>
    <cellStyle name="Calculation 30 5 2 2" xfId="12862"/>
    <cellStyle name="Calculation 30 5 2 2 2" xfId="12863"/>
    <cellStyle name="Calculation 30 5 2 3" xfId="12864"/>
    <cellStyle name="Calculation 30 5 2 4" xfId="12865"/>
    <cellStyle name="Calculation 30 5 2 5" xfId="12861"/>
    <cellStyle name="Calculation 30 5 3" xfId="12866"/>
    <cellStyle name="Calculation 30 5 3 2" xfId="12867"/>
    <cellStyle name="Calculation 30 5 3 2 2" xfId="12868"/>
    <cellStyle name="Calculation 30 5 3 3" xfId="12869"/>
    <cellStyle name="Calculation 30 5 4" xfId="12870"/>
    <cellStyle name="Calculation 30 5 4 2" xfId="12871"/>
    <cellStyle name="Calculation 30 5 4 2 2" xfId="12872"/>
    <cellStyle name="Calculation 30 5 4 3" xfId="12873"/>
    <cellStyle name="Calculation 30 5 5" xfId="12874"/>
    <cellStyle name="Calculation 30 5 5 2" xfId="12875"/>
    <cellStyle name="Calculation 30 5 6" xfId="12876"/>
    <cellStyle name="Calculation 30 5 6 2" xfId="12877"/>
    <cellStyle name="Calculation 30 5 7" xfId="12878"/>
    <cellStyle name="Calculation 30 5 7 2" xfId="12879"/>
    <cellStyle name="Calculation 30 5 8" xfId="12880"/>
    <cellStyle name="Calculation 30 5 8 2" xfId="12881"/>
    <cellStyle name="Calculation 30 5 9" xfId="12882"/>
    <cellStyle name="Calculation 30 6" xfId="4277"/>
    <cellStyle name="Calculation 30 6 2" xfId="12884"/>
    <cellStyle name="Calculation 30 6 2 2" xfId="12885"/>
    <cellStyle name="Calculation 30 6 2 2 2" xfId="12886"/>
    <cellStyle name="Calculation 30 6 2 3" xfId="12887"/>
    <cellStyle name="Calculation 30 6 3" xfId="12888"/>
    <cellStyle name="Calculation 30 6 3 2" xfId="12889"/>
    <cellStyle name="Calculation 30 6 3 2 2" xfId="12890"/>
    <cellStyle name="Calculation 30 6 3 3" xfId="12891"/>
    <cellStyle name="Calculation 30 6 4" xfId="12892"/>
    <cellStyle name="Calculation 30 6 4 2" xfId="12893"/>
    <cellStyle name="Calculation 30 6 5" xfId="12894"/>
    <cellStyle name="Calculation 30 6 5 2" xfId="12895"/>
    <cellStyle name="Calculation 30 6 6" xfId="12896"/>
    <cellStyle name="Calculation 30 6 7" xfId="12897"/>
    <cellStyle name="Calculation 30 6 8" xfId="12883"/>
    <cellStyle name="Calculation 30 7" xfId="4278"/>
    <cellStyle name="Calculation 30 7 2" xfId="12899"/>
    <cellStyle name="Calculation 30 7 3" xfId="12898"/>
    <cellStyle name="Calculation 30 8" xfId="8334"/>
    <cellStyle name="Calculation 30 8 2" xfId="12900"/>
    <cellStyle name="Calculation 30 9" xfId="12901"/>
    <cellStyle name="Calculation 30 9 2" xfId="12902"/>
    <cellStyle name="Calculation 31" xfId="2586"/>
    <cellStyle name="Calculation 31 10" xfId="12903"/>
    <cellStyle name="Calculation 31 11" xfId="12904"/>
    <cellStyle name="Calculation 31 2" xfId="4279"/>
    <cellStyle name="Calculation 31 2 2" xfId="12906"/>
    <cellStyle name="Calculation 31 2 2 10" xfId="12907"/>
    <cellStyle name="Calculation 31 2 2 2" xfId="12908"/>
    <cellStyle name="Calculation 31 2 2 2 2" xfId="12909"/>
    <cellStyle name="Calculation 31 2 2 2 2 2" xfId="12910"/>
    <cellStyle name="Calculation 31 2 2 2 3" xfId="12911"/>
    <cellStyle name="Calculation 31 2 2 2 4" xfId="12912"/>
    <cellStyle name="Calculation 31 2 2 3" xfId="12913"/>
    <cellStyle name="Calculation 31 2 2 3 2" xfId="12914"/>
    <cellStyle name="Calculation 31 2 2 3 2 2" xfId="12915"/>
    <cellStyle name="Calculation 31 2 2 3 3" xfId="12916"/>
    <cellStyle name="Calculation 31 2 2 4" xfId="12917"/>
    <cellStyle name="Calculation 31 2 2 4 2" xfId="12918"/>
    <cellStyle name="Calculation 31 2 2 4 2 2" xfId="12919"/>
    <cellStyle name="Calculation 31 2 2 4 3" xfId="12920"/>
    <cellStyle name="Calculation 31 2 2 5" xfId="12921"/>
    <cellStyle name="Calculation 31 2 2 5 2" xfId="12922"/>
    <cellStyle name="Calculation 31 2 2 6" xfId="12923"/>
    <cellStyle name="Calculation 31 2 2 6 2" xfId="12924"/>
    <cellStyle name="Calculation 31 2 2 7" xfId="12925"/>
    <cellStyle name="Calculation 31 2 2 7 2" xfId="12926"/>
    <cellStyle name="Calculation 31 2 2 8" xfId="12927"/>
    <cellStyle name="Calculation 31 2 2 8 2" xfId="12928"/>
    <cellStyle name="Calculation 31 2 2 9" xfId="12929"/>
    <cellStyle name="Calculation 31 2 3" xfId="12930"/>
    <cellStyle name="Calculation 31 2 3 2" xfId="12931"/>
    <cellStyle name="Calculation 31 2 3 2 2" xfId="12932"/>
    <cellStyle name="Calculation 31 2 3 2 2 2" xfId="12933"/>
    <cellStyle name="Calculation 31 2 3 2 3" xfId="12934"/>
    <cellStyle name="Calculation 31 2 3 2 4" xfId="12935"/>
    <cellStyle name="Calculation 31 2 3 3" xfId="12936"/>
    <cellStyle name="Calculation 31 2 3 3 2" xfId="12937"/>
    <cellStyle name="Calculation 31 2 3 3 2 2" xfId="12938"/>
    <cellStyle name="Calculation 31 2 3 3 3" xfId="12939"/>
    <cellStyle name="Calculation 31 2 3 4" xfId="12940"/>
    <cellStyle name="Calculation 31 2 3 4 2" xfId="12941"/>
    <cellStyle name="Calculation 31 2 3 5" xfId="12942"/>
    <cellStyle name="Calculation 31 2 3 5 2" xfId="12943"/>
    <cellStyle name="Calculation 31 2 3 6" xfId="12944"/>
    <cellStyle name="Calculation 31 2 3 7" xfId="12945"/>
    <cellStyle name="Calculation 31 2 4" xfId="12946"/>
    <cellStyle name="Calculation 31 2 4 2" xfId="12947"/>
    <cellStyle name="Calculation 31 2 4 3" xfId="12948"/>
    <cellStyle name="Calculation 31 2 5" xfId="12949"/>
    <cellStyle name="Calculation 31 2 5 2" xfId="12950"/>
    <cellStyle name="Calculation 31 2 6" xfId="12951"/>
    <cellStyle name="Calculation 31 2 6 2" xfId="12952"/>
    <cellStyle name="Calculation 31 2 7" xfId="12953"/>
    <cellStyle name="Calculation 31 2 8" xfId="12954"/>
    <cellStyle name="Calculation 31 2 9" xfId="12905"/>
    <cellStyle name="Calculation 31 3" xfId="4280"/>
    <cellStyle name="Calculation 31 3 2" xfId="12956"/>
    <cellStyle name="Calculation 31 3 2 10" xfId="12957"/>
    <cellStyle name="Calculation 31 3 2 2" xfId="12958"/>
    <cellStyle name="Calculation 31 3 2 2 2" xfId="12959"/>
    <cellStyle name="Calculation 31 3 2 2 2 2" xfId="12960"/>
    <cellStyle name="Calculation 31 3 2 2 3" xfId="12961"/>
    <cellStyle name="Calculation 31 3 2 3" xfId="12962"/>
    <cellStyle name="Calculation 31 3 2 3 2" xfId="12963"/>
    <cellStyle name="Calculation 31 3 2 3 2 2" xfId="12964"/>
    <cellStyle name="Calculation 31 3 2 3 3" xfId="12965"/>
    <cellStyle name="Calculation 31 3 2 4" xfId="12966"/>
    <cellStyle name="Calculation 31 3 2 4 2" xfId="12967"/>
    <cellStyle name="Calculation 31 3 2 4 2 2" xfId="12968"/>
    <cellStyle name="Calculation 31 3 2 4 3" xfId="12969"/>
    <cellStyle name="Calculation 31 3 2 5" xfId="12970"/>
    <cellStyle name="Calculation 31 3 2 5 2" xfId="12971"/>
    <cellStyle name="Calculation 31 3 2 6" xfId="12972"/>
    <cellStyle name="Calculation 31 3 2 6 2" xfId="12973"/>
    <cellStyle name="Calculation 31 3 2 7" xfId="12974"/>
    <cellStyle name="Calculation 31 3 2 7 2" xfId="12975"/>
    <cellStyle name="Calculation 31 3 2 8" xfId="12976"/>
    <cellStyle name="Calculation 31 3 2 8 2" xfId="12977"/>
    <cellStyle name="Calculation 31 3 2 9" xfId="12978"/>
    <cellStyle name="Calculation 31 3 3" xfId="12979"/>
    <cellStyle name="Calculation 31 3 3 2" xfId="12980"/>
    <cellStyle name="Calculation 31 3 3 2 2" xfId="12981"/>
    <cellStyle name="Calculation 31 3 3 2 2 2" xfId="12982"/>
    <cellStyle name="Calculation 31 3 3 2 3" xfId="12983"/>
    <cellStyle name="Calculation 31 3 3 3" xfId="12984"/>
    <cellStyle name="Calculation 31 3 3 3 2" xfId="12985"/>
    <cellStyle name="Calculation 31 3 3 3 2 2" xfId="12986"/>
    <cellStyle name="Calculation 31 3 3 3 3" xfId="12987"/>
    <cellStyle name="Calculation 31 3 3 4" xfId="12988"/>
    <cellStyle name="Calculation 31 3 3 4 2" xfId="12989"/>
    <cellStyle name="Calculation 31 3 3 5" xfId="12990"/>
    <cellStyle name="Calculation 31 3 3 5 2" xfId="12991"/>
    <cellStyle name="Calculation 31 3 3 6" xfId="12992"/>
    <cellStyle name="Calculation 31 3 3 7" xfId="12993"/>
    <cellStyle name="Calculation 31 3 4" xfId="12994"/>
    <cellStyle name="Calculation 31 3 4 2" xfId="12995"/>
    <cellStyle name="Calculation 31 3 5" xfId="12996"/>
    <cellStyle name="Calculation 31 3 5 2" xfId="12997"/>
    <cellStyle name="Calculation 31 3 6" xfId="12998"/>
    <cellStyle name="Calculation 31 3 6 2" xfId="12999"/>
    <cellStyle name="Calculation 31 3 7" xfId="13000"/>
    <cellStyle name="Calculation 31 3 8" xfId="13001"/>
    <cellStyle name="Calculation 31 3 9" xfId="12955"/>
    <cellStyle name="Calculation 31 4" xfId="4281"/>
    <cellStyle name="Calculation 31 4 10" xfId="13003"/>
    <cellStyle name="Calculation 31 4 11" xfId="13002"/>
    <cellStyle name="Calculation 31 4 2" xfId="4282"/>
    <cellStyle name="Calculation 31 4 2 2" xfId="13005"/>
    <cellStyle name="Calculation 31 4 2 2 2" xfId="13006"/>
    <cellStyle name="Calculation 31 4 2 3" xfId="13007"/>
    <cellStyle name="Calculation 31 4 2 4" xfId="13008"/>
    <cellStyle name="Calculation 31 4 2 5" xfId="13004"/>
    <cellStyle name="Calculation 31 4 3" xfId="13009"/>
    <cellStyle name="Calculation 31 4 3 2" xfId="13010"/>
    <cellStyle name="Calculation 31 4 3 2 2" xfId="13011"/>
    <cellStyle name="Calculation 31 4 3 3" xfId="13012"/>
    <cellStyle name="Calculation 31 4 4" xfId="13013"/>
    <cellStyle name="Calculation 31 4 4 2" xfId="13014"/>
    <cellStyle name="Calculation 31 4 4 2 2" xfId="13015"/>
    <cellStyle name="Calculation 31 4 4 3" xfId="13016"/>
    <cellStyle name="Calculation 31 4 5" xfId="13017"/>
    <cellStyle name="Calculation 31 4 5 2" xfId="13018"/>
    <cellStyle name="Calculation 31 4 6" xfId="13019"/>
    <cellStyle name="Calculation 31 4 6 2" xfId="13020"/>
    <cellStyle name="Calculation 31 4 7" xfId="13021"/>
    <cellStyle name="Calculation 31 4 7 2" xfId="13022"/>
    <cellStyle name="Calculation 31 4 8" xfId="13023"/>
    <cellStyle name="Calculation 31 4 8 2" xfId="13024"/>
    <cellStyle name="Calculation 31 4 9" xfId="13025"/>
    <cellStyle name="Calculation 31 5" xfId="4283"/>
    <cellStyle name="Calculation 31 5 10" xfId="13027"/>
    <cellStyle name="Calculation 31 5 11" xfId="13026"/>
    <cellStyle name="Calculation 31 5 2" xfId="3407"/>
    <cellStyle name="Calculation 31 5 2 2" xfId="13029"/>
    <cellStyle name="Calculation 31 5 2 2 2" xfId="13030"/>
    <cellStyle name="Calculation 31 5 2 3" xfId="13031"/>
    <cellStyle name="Calculation 31 5 2 4" xfId="13032"/>
    <cellStyle name="Calculation 31 5 2 5" xfId="13028"/>
    <cellStyle name="Calculation 31 5 3" xfId="13033"/>
    <cellStyle name="Calculation 31 5 3 2" xfId="13034"/>
    <cellStyle name="Calculation 31 5 3 2 2" xfId="13035"/>
    <cellStyle name="Calculation 31 5 3 3" xfId="13036"/>
    <cellStyle name="Calculation 31 5 4" xfId="13037"/>
    <cellStyle name="Calculation 31 5 4 2" xfId="13038"/>
    <cellStyle name="Calculation 31 5 4 2 2" xfId="13039"/>
    <cellStyle name="Calculation 31 5 4 3" xfId="13040"/>
    <cellStyle name="Calculation 31 5 5" xfId="13041"/>
    <cellStyle name="Calculation 31 5 5 2" xfId="13042"/>
    <cellStyle name="Calculation 31 5 6" xfId="13043"/>
    <cellStyle name="Calculation 31 5 6 2" xfId="13044"/>
    <cellStyle name="Calculation 31 5 7" xfId="13045"/>
    <cellStyle name="Calculation 31 5 7 2" xfId="13046"/>
    <cellStyle name="Calculation 31 5 8" xfId="13047"/>
    <cellStyle name="Calculation 31 5 8 2" xfId="13048"/>
    <cellStyle name="Calculation 31 5 9" xfId="13049"/>
    <cellStyle name="Calculation 31 6" xfId="4284"/>
    <cellStyle name="Calculation 31 6 2" xfId="13051"/>
    <cellStyle name="Calculation 31 6 2 2" xfId="13052"/>
    <cellStyle name="Calculation 31 6 2 2 2" xfId="13053"/>
    <cellStyle name="Calculation 31 6 2 3" xfId="13054"/>
    <cellStyle name="Calculation 31 6 3" xfId="13055"/>
    <cellStyle name="Calculation 31 6 3 2" xfId="13056"/>
    <cellStyle name="Calculation 31 6 3 2 2" xfId="13057"/>
    <cellStyle name="Calculation 31 6 3 3" xfId="13058"/>
    <cellStyle name="Calculation 31 6 4" xfId="13059"/>
    <cellStyle name="Calculation 31 6 4 2" xfId="13060"/>
    <cellStyle name="Calculation 31 6 5" xfId="13061"/>
    <cellStyle name="Calculation 31 6 5 2" xfId="13062"/>
    <cellStyle name="Calculation 31 6 6" xfId="13063"/>
    <cellStyle name="Calculation 31 6 7" xfId="13064"/>
    <cellStyle name="Calculation 31 6 8" xfId="13050"/>
    <cellStyle name="Calculation 31 7" xfId="3408"/>
    <cellStyle name="Calculation 31 7 2" xfId="13066"/>
    <cellStyle name="Calculation 31 7 3" xfId="13065"/>
    <cellStyle name="Calculation 31 8" xfId="8335"/>
    <cellStyle name="Calculation 31 8 2" xfId="13067"/>
    <cellStyle name="Calculation 31 9" xfId="13068"/>
    <cellStyle name="Calculation 31 9 2" xfId="13069"/>
    <cellStyle name="Calculation 32" xfId="2587"/>
    <cellStyle name="Calculation 32 10" xfId="13070"/>
    <cellStyle name="Calculation 32 11" xfId="13071"/>
    <cellStyle name="Calculation 32 2" xfId="3409"/>
    <cellStyle name="Calculation 32 2 2" xfId="13073"/>
    <cellStyle name="Calculation 32 2 2 10" xfId="13074"/>
    <cellStyle name="Calculation 32 2 2 2" xfId="13075"/>
    <cellStyle name="Calculation 32 2 2 2 2" xfId="13076"/>
    <cellStyle name="Calculation 32 2 2 2 2 2" xfId="13077"/>
    <cellStyle name="Calculation 32 2 2 2 3" xfId="13078"/>
    <cellStyle name="Calculation 32 2 2 2 4" xfId="13079"/>
    <cellStyle name="Calculation 32 2 2 3" xfId="13080"/>
    <cellStyle name="Calculation 32 2 2 3 2" xfId="13081"/>
    <cellStyle name="Calculation 32 2 2 3 2 2" xfId="13082"/>
    <cellStyle name="Calculation 32 2 2 3 3" xfId="13083"/>
    <cellStyle name="Calculation 32 2 2 4" xfId="13084"/>
    <cellStyle name="Calculation 32 2 2 4 2" xfId="13085"/>
    <cellStyle name="Calculation 32 2 2 4 2 2" xfId="13086"/>
    <cellStyle name="Calculation 32 2 2 4 3" xfId="13087"/>
    <cellStyle name="Calculation 32 2 2 5" xfId="13088"/>
    <cellStyle name="Calculation 32 2 2 5 2" xfId="13089"/>
    <cellStyle name="Calculation 32 2 2 6" xfId="13090"/>
    <cellStyle name="Calculation 32 2 2 6 2" xfId="13091"/>
    <cellStyle name="Calculation 32 2 2 7" xfId="13092"/>
    <cellStyle name="Calculation 32 2 2 7 2" xfId="13093"/>
    <cellStyle name="Calculation 32 2 2 8" xfId="13094"/>
    <cellStyle name="Calculation 32 2 2 8 2" xfId="13095"/>
    <cellStyle name="Calculation 32 2 2 9" xfId="13096"/>
    <cellStyle name="Calculation 32 2 3" xfId="13097"/>
    <cellStyle name="Calculation 32 2 3 2" xfId="13098"/>
    <cellStyle name="Calculation 32 2 3 2 2" xfId="13099"/>
    <cellStyle name="Calculation 32 2 3 2 2 2" xfId="13100"/>
    <cellStyle name="Calculation 32 2 3 2 3" xfId="13101"/>
    <cellStyle name="Calculation 32 2 3 2 4" xfId="13102"/>
    <cellStyle name="Calculation 32 2 3 3" xfId="13103"/>
    <cellStyle name="Calculation 32 2 3 3 2" xfId="13104"/>
    <cellStyle name="Calculation 32 2 3 3 2 2" xfId="13105"/>
    <cellStyle name="Calculation 32 2 3 3 3" xfId="13106"/>
    <cellStyle name="Calculation 32 2 3 4" xfId="13107"/>
    <cellStyle name="Calculation 32 2 3 4 2" xfId="13108"/>
    <cellStyle name="Calculation 32 2 3 5" xfId="13109"/>
    <cellStyle name="Calculation 32 2 3 5 2" xfId="13110"/>
    <cellStyle name="Calculation 32 2 3 6" xfId="13111"/>
    <cellStyle name="Calculation 32 2 3 7" xfId="13112"/>
    <cellStyle name="Calculation 32 2 4" xfId="13113"/>
    <cellStyle name="Calculation 32 2 4 2" xfId="13114"/>
    <cellStyle name="Calculation 32 2 4 3" xfId="13115"/>
    <cellStyle name="Calculation 32 2 5" xfId="13116"/>
    <cellStyle name="Calculation 32 2 5 2" xfId="13117"/>
    <cellStyle name="Calculation 32 2 6" xfId="13118"/>
    <cellStyle name="Calculation 32 2 6 2" xfId="13119"/>
    <cellStyle name="Calculation 32 2 7" xfId="13120"/>
    <cellStyle name="Calculation 32 2 8" xfId="13121"/>
    <cellStyle name="Calculation 32 2 9" xfId="13072"/>
    <cellStyle name="Calculation 32 3" xfId="4285"/>
    <cellStyle name="Calculation 32 3 2" xfId="13123"/>
    <cellStyle name="Calculation 32 3 2 10" xfId="13124"/>
    <cellStyle name="Calculation 32 3 2 2" xfId="13125"/>
    <cellStyle name="Calculation 32 3 2 2 2" xfId="13126"/>
    <cellStyle name="Calculation 32 3 2 2 2 2" xfId="13127"/>
    <cellStyle name="Calculation 32 3 2 2 3" xfId="13128"/>
    <cellStyle name="Calculation 32 3 2 3" xfId="13129"/>
    <cellStyle name="Calculation 32 3 2 3 2" xfId="13130"/>
    <cellStyle name="Calculation 32 3 2 3 2 2" xfId="13131"/>
    <cellStyle name="Calculation 32 3 2 3 3" xfId="13132"/>
    <cellStyle name="Calculation 32 3 2 4" xfId="13133"/>
    <cellStyle name="Calculation 32 3 2 4 2" xfId="13134"/>
    <cellStyle name="Calculation 32 3 2 4 2 2" xfId="13135"/>
    <cellStyle name="Calculation 32 3 2 4 3" xfId="13136"/>
    <cellStyle name="Calculation 32 3 2 5" xfId="13137"/>
    <cellStyle name="Calculation 32 3 2 5 2" xfId="13138"/>
    <cellStyle name="Calculation 32 3 2 6" xfId="13139"/>
    <cellStyle name="Calculation 32 3 2 6 2" xfId="13140"/>
    <cellStyle name="Calculation 32 3 2 7" xfId="13141"/>
    <cellStyle name="Calculation 32 3 2 7 2" xfId="13142"/>
    <cellStyle name="Calculation 32 3 2 8" xfId="13143"/>
    <cellStyle name="Calculation 32 3 2 8 2" xfId="13144"/>
    <cellStyle name="Calculation 32 3 2 9" xfId="13145"/>
    <cellStyle name="Calculation 32 3 3" xfId="13146"/>
    <cellStyle name="Calculation 32 3 3 2" xfId="13147"/>
    <cellStyle name="Calculation 32 3 3 2 2" xfId="13148"/>
    <cellStyle name="Calculation 32 3 3 2 2 2" xfId="13149"/>
    <cellStyle name="Calculation 32 3 3 2 3" xfId="13150"/>
    <cellStyle name="Calculation 32 3 3 3" xfId="13151"/>
    <cellStyle name="Calculation 32 3 3 3 2" xfId="13152"/>
    <cellStyle name="Calculation 32 3 3 3 2 2" xfId="13153"/>
    <cellStyle name="Calculation 32 3 3 3 3" xfId="13154"/>
    <cellStyle name="Calculation 32 3 3 4" xfId="13155"/>
    <cellStyle name="Calculation 32 3 3 4 2" xfId="13156"/>
    <cellStyle name="Calculation 32 3 3 5" xfId="13157"/>
    <cellStyle name="Calculation 32 3 3 5 2" xfId="13158"/>
    <cellStyle name="Calculation 32 3 3 6" xfId="13159"/>
    <cellStyle name="Calculation 32 3 3 7" xfId="13160"/>
    <cellStyle name="Calculation 32 3 4" xfId="13161"/>
    <cellStyle name="Calculation 32 3 4 2" xfId="13162"/>
    <cellStyle name="Calculation 32 3 5" xfId="13163"/>
    <cellStyle name="Calculation 32 3 5 2" xfId="13164"/>
    <cellStyle name="Calculation 32 3 6" xfId="13165"/>
    <cellStyle name="Calculation 32 3 6 2" xfId="13166"/>
    <cellStyle name="Calculation 32 3 7" xfId="13167"/>
    <cellStyle name="Calculation 32 3 8" xfId="13168"/>
    <cellStyle name="Calculation 32 3 9" xfId="13122"/>
    <cellStyle name="Calculation 32 4" xfId="4286"/>
    <cellStyle name="Calculation 32 4 10" xfId="13170"/>
    <cellStyle name="Calculation 32 4 11" xfId="13169"/>
    <cellStyle name="Calculation 32 4 2" xfId="3410"/>
    <cellStyle name="Calculation 32 4 2 2" xfId="13172"/>
    <cellStyle name="Calculation 32 4 2 2 2" xfId="13173"/>
    <cellStyle name="Calculation 32 4 2 3" xfId="13174"/>
    <cellStyle name="Calculation 32 4 2 4" xfId="13175"/>
    <cellStyle name="Calculation 32 4 2 5" xfId="13171"/>
    <cellStyle name="Calculation 32 4 3" xfId="13176"/>
    <cellStyle name="Calculation 32 4 3 2" xfId="13177"/>
    <cellStyle name="Calculation 32 4 3 2 2" xfId="13178"/>
    <cellStyle name="Calculation 32 4 3 3" xfId="13179"/>
    <cellStyle name="Calculation 32 4 4" xfId="13180"/>
    <cellStyle name="Calculation 32 4 4 2" xfId="13181"/>
    <cellStyle name="Calculation 32 4 4 2 2" xfId="13182"/>
    <cellStyle name="Calculation 32 4 4 3" xfId="13183"/>
    <cellStyle name="Calculation 32 4 5" xfId="13184"/>
    <cellStyle name="Calculation 32 4 5 2" xfId="13185"/>
    <cellStyle name="Calculation 32 4 6" xfId="13186"/>
    <cellStyle name="Calculation 32 4 6 2" xfId="13187"/>
    <cellStyle name="Calculation 32 4 7" xfId="13188"/>
    <cellStyle name="Calculation 32 4 7 2" xfId="13189"/>
    <cellStyle name="Calculation 32 4 8" xfId="13190"/>
    <cellStyle name="Calculation 32 4 8 2" xfId="13191"/>
    <cellStyle name="Calculation 32 4 9" xfId="13192"/>
    <cellStyle name="Calculation 32 5" xfId="4287"/>
    <cellStyle name="Calculation 32 5 10" xfId="13194"/>
    <cellStyle name="Calculation 32 5 11" xfId="13193"/>
    <cellStyle name="Calculation 32 5 2" xfId="4288"/>
    <cellStyle name="Calculation 32 5 2 2" xfId="13196"/>
    <cellStyle name="Calculation 32 5 2 2 2" xfId="13197"/>
    <cellStyle name="Calculation 32 5 2 3" xfId="13198"/>
    <cellStyle name="Calculation 32 5 2 4" xfId="13199"/>
    <cellStyle name="Calculation 32 5 2 5" xfId="13195"/>
    <cellStyle name="Calculation 32 5 3" xfId="13200"/>
    <cellStyle name="Calculation 32 5 3 2" xfId="13201"/>
    <cellStyle name="Calculation 32 5 3 2 2" xfId="13202"/>
    <cellStyle name="Calculation 32 5 3 3" xfId="13203"/>
    <cellStyle name="Calculation 32 5 4" xfId="13204"/>
    <cellStyle name="Calculation 32 5 4 2" xfId="13205"/>
    <cellStyle name="Calculation 32 5 4 2 2" xfId="13206"/>
    <cellStyle name="Calculation 32 5 4 3" xfId="13207"/>
    <cellStyle name="Calculation 32 5 5" xfId="13208"/>
    <cellStyle name="Calculation 32 5 5 2" xfId="13209"/>
    <cellStyle name="Calculation 32 5 6" xfId="13210"/>
    <cellStyle name="Calculation 32 5 6 2" xfId="13211"/>
    <cellStyle name="Calculation 32 5 7" xfId="13212"/>
    <cellStyle name="Calculation 32 5 7 2" xfId="13213"/>
    <cellStyle name="Calculation 32 5 8" xfId="13214"/>
    <cellStyle name="Calculation 32 5 8 2" xfId="13215"/>
    <cellStyle name="Calculation 32 5 9" xfId="13216"/>
    <cellStyle name="Calculation 32 6" xfId="3411"/>
    <cellStyle name="Calculation 32 6 2" xfId="13218"/>
    <cellStyle name="Calculation 32 6 2 2" xfId="13219"/>
    <cellStyle name="Calculation 32 6 2 2 2" xfId="13220"/>
    <cellStyle name="Calculation 32 6 2 3" xfId="13221"/>
    <cellStyle name="Calculation 32 6 3" xfId="13222"/>
    <cellStyle name="Calculation 32 6 3 2" xfId="13223"/>
    <cellStyle name="Calculation 32 6 3 2 2" xfId="13224"/>
    <cellStyle name="Calculation 32 6 3 3" xfId="13225"/>
    <cellStyle name="Calculation 32 6 4" xfId="13226"/>
    <cellStyle name="Calculation 32 6 4 2" xfId="13227"/>
    <cellStyle name="Calculation 32 6 5" xfId="13228"/>
    <cellStyle name="Calculation 32 6 5 2" xfId="13229"/>
    <cellStyle name="Calculation 32 6 6" xfId="13230"/>
    <cellStyle name="Calculation 32 6 7" xfId="13231"/>
    <cellStyle name="Calculation 32 6 8" xfId="13217"/>
    <cellStyle name="Calculation 32 7" xfId="4289"/>
    <cellStyle name="Calculation 32 7 2" xfId="13233"/>
    <cellStyle name="Calculation 32 7 3" xfId="13232"/>
    <cellStyle name="Calculation 32 8" xfId="8336"/>
    <cellStyle name="Calculation 32 8 2" xfId="13234"/>
    <cellStyle name="Calculation 32 9" xfId="13235"/>
    <cellStyle name="Calculation 32 9 2" xfId="13236"/>
    <cellStyle name="Calculation 33" xfId="2588"/>
    <cellStyle name="Calculation 33 10" xfId="13237"/>
    <cellStyle name="Calculation 33 11" xfId="13238"/>
    <cellStyle name="Calculation 33 2" xfId="3412"/>
    <cellStyle name="Calculation 33 2 2" xfId="13240"/>
    <cellStyle name="Calculation 33 2 2 10" xfId="13241"/>
    <cellStyle name="Calculation 33 2 2 2" xfId="13242"/>
    <cellStyle name="Calculation 33 2 2 2 2" xfId="13243"/>
    <cellStyle name="Calculation 33 2 2 2 2 2" xfId="13244"/>
    <cellStyle name="Calculation 33 2 2 2 3" xfId="13245"/>
    <cellStyle name="Calculation 33 2 2 2 4" xfId="13246"/>
    <cellStyle name="Calculation 33 2 2 3" xfId="13247"/>
    <cellStyle name="Calculation 33 2 2 3 2" xfId="13248"/>
    <cellStyle name="Calculation 33 2 2 3 2 2" xfId="13249"/>
    <cellStyle name="Calculation 33 2 2 3 3" xfId="13250"/>
    <cellStyle name="Calculation 33 2 2 4" xfId="13251"/>
    <cellStyle name="Calculation 33 2 2 4 2" xfId="13252"/>
    <cellStyle name="Calculation 33 2 2 4 2 2" xfId="13253"/>
    <cellStyle name="Calculation 33 2 2 4 3" xfId="13254"/>
    <cellStyle name="Calculation 33 2 2 5" xfId="13255"/>
    <cellStyle name="Calculation 33 2 2 5 2" xfId="13256"/>
    <cellStyle name="Calculation 33 2 2 6" xfId="13257"/>
    <cellStyle name="Calculation 33 2 2 6 2" xfId="13258"/>
    <cellStyle name="Calculation 33 2 2 7" xfId="13259"/>
    <cellStyle name="Calculation 33 2 2 7 2" xfId="13260"/>
    <cellStyle name="Calculation 33 2 2 8" xfId="13261"/>
    <cellStyle name="Calculation 33 2 2 8 2" xfId="13262"/>
    <cellStyle name="Calculation 33 2 2 9" xfId="13263"/>
    <cellStyle name="Calculation 33 2 3" xfId="13264"/>
    <cellStyle name="Calculation 33 2 3 2" xfId="13265"/>
    <cellStyle name="Calculation 33 2 3 2 2" xfId="13266"/>
    <cellStyle name="Calculation 33 2 3 2 2 2" xfId="13267"/>
    <cellStyle name="Calculation 33 2 3 2 3" xfId="13268"/>
    <cellStyle name="Calculation 33 2 3 2 4" xfId="13269"/>
    <cellStyle name="Calculation 33 2 3 3" xfId="13270"/>
    <cellStyle name="Calculation 33 2 3 3 2" xfId="13271"/>
    <cellStyle name="Calculation 33 2 3 3 2 2" xfId="13272"/>
    <cellStyle name="Calculation 33 2 3 3 3" xfId="13273"/>
    <cellStyle name="Calculation 33 2 3 4" xfId="13274"/>
    <cellStyle name="Calculation 33 2 3 4 2" xfId="13275"/>
    <cellStyle name="Calculation 33 2 3 5" xfId="13276"/>
    <cellStyle name="Calculation 33 2 3 5 2" xfId="13277"/>
    <cellStyle name="Calculation 33 2 3 6" xfId="13278"/>
    <cellStyle name="Calculation 33 2 3 7" xfId="13279"/>
    <cellStyle name="Calculation 33 2 4" xfId="13280"/>
    <cellStyle name="Calculation 33 2 4 2" xfId="13281"/>
    <cellStyle name="Calculation 33 2 4 3" xfId="13282"/>
    <cellStyle name="Calculation 33 2 5" xfId="13283"/>
    <cellStyle name="Calculation 33 2 5 2" xfId="13284"/>
    <cellStyle name="Calculation 33 2 6" xfId="13285"/>
    <cellStyle name="Calculation 33 2 6 2" xfId="13286"/>
    <cellStyle name="Calculation 33 2 7" xfId="13287"/>
    <cellStyle name="Calculation 33 2 8" xfId="13288"/>
    <cellStyle name="Calculation 33 2 9" xfId="13239"/>
    <cellStyle name="Calculation 33 3" xfId="4290"/>
    <cellStyle name="Calculation 33 3 2" xfId="13290"/>
    <cellStyle name="Calculation 33 3 2 10" xfId="13291"/>
    <cellStyle name="Calculation 33 3 2 2" xfId="13292"/>
    <cellStyle name="Calculation 33 3 2 2 2" xfId="13293"/>
    <cellStyle name="Calculation 33 3 2 2 2 2" xfId="13294"/>
    <cellStyle name="Calculation 33 3 2 2 3" xfId="13295"/>
    <cellStyle name="Calculation 33 3 2 3" xfId="13296"/>
    <cellStyle name="Calculation 33 3 2 3 2" xfId="13297"/>
    <cellStyle name="Calculation 33 3 2 3 2 2" xfId="13298"/>
    <cellStyle name="Calculation 33 3 2 3 3" xfId="13299"/>
    <cellStyle name="Calculation 33 3 2 4" xfId="13300"/>
    <cellStyle name="Calculation 33 3 2 4 2" xfId="13301"/>
    <cellStyle name="Calculation 33 3 2 4 2 2" xfId="13302"/>
    <cellStyle name="Calculation 33 3 2 4 3" xfId="13303"/>
    <cellStyle name="Calculation 33 3 2 5" xfId="13304"/>
    <cellStyle name="Calculation 33 3 2 5 2" xfId="13305"/>
    <cellStyle name="Calculation 33 3 2 6" xfId="13306"/>
    <cellStyle name="Calculation 33 3 2 6 2" xfId="13307"/>
    <cellStyle name="Calculation 33 3 2 7" xfId="13308"/>
    <cellStyle name="Calculation 33 3 2 7 2" xfId="13309"/>
    <cellStyle name="Calculation 33 3 2 8" xfId="13310"/>
    <cellStyle name="Calculation 33 3 2 8 2" xfId="13311"/>
    <cellStyle name="Calculation 33 3 2 9" xfId="13312"/>
    <cellStyle name="Calculation 33 3 3" xfId="13313"/>
    <cellStyle name="Calculation 33 3 3 2" xfId="13314"/>
    <cellStyle name="Calculation 33 3 3 2 2" xfId="13315"/>
    <cellStyle name="Calculation 33 3 3 2 2 2" xfId="13316"/>
    <cellStyle name="Calculation 33 3 3 2 3" xfId="13317"/>
    <cellStyle name="Calculation 33 3 3 3" xfId="13318"/>
    <cellStyle name="Calculation 33 3 3 3 2" xfId="13319"/>
    <cellStyle name="Calculation 33 3 3 3 2 2" xfId="13320"/>
    <cellStyle name="Calculation 33 3 3 3 3" xfId="13321"/>
    <cellStyle name="Calculation 33 3 3 4" xfId="13322"/>
    <cellStyle name="Calculation 33 3 3 4 2" xfId="13323"/>
    <cellStyle name="Calculation 33 3 3 5" xfId="13324"/>
    <cellStyle name="Calculation 33 3 3 5 2" xfId="13325"/>
    <cellStyle name="Calculation 33 3 3 6" xfId="13326"/>
    <cellStyle name="Calculation 33 3 3 7" xfId="13327"/>
    <cellStyle name="Calculation 33 3 4" xfId="13328"/>
    <cellStyle name="Calculation 33 3 4 2" xfId="13329"/>
    <cellStyle name="Calculation 33 3 5" xfId="13330"/>
    <cellStyle name="Calculation 33 3 5 2" xfId="13331"/>
    <cellStyle name="Calculation 33 3 6" xfId="13332"/>
    <cellStyle name="Calculation 33 3 6 2" xfId="13333"/>
    <cellStyle name="Calculation 33 3 7" xfId="13334"/>
    <cellStyle name="Calculation 33 3 8" xfId="13335"/>
    <cellStyle name="Calculation 33 3 9" xfId="13289"/>
    <cellStyle name="Calculation 33 4" xfId="4291"/>
    <cellStyle name="Calculation 33 4 10" xfId="13337"/>
    <cellStyle name="Calculation 33 4 11" xfId="13336"/>
    <cellStyle name="Calculation 33 4 2" xfId="3413"/>
    <cellStyle name="Calculation 33 4 2 2" xfId="13339"/>
    <cellStyle name="Calculation 33 4 2 2 2" xfId="13340"/>
    <cellStyle name="Calculation 33 4 2 3" xfId="13341"/>
    <cellStyle name="Calculation 33 4 2 4" xfId="13342"/>
    <cellStyle name="Calculation 33 4 2 5" xfId="13338"/>
    <cellStyle name="Calculation 33 4 3" xfId="13343"/>
    <cellStyle name="Calculation 33 4 3 2" xfId="13344"/>
    <cellStyle name="Calculation 33 4 3 2 2" xfId="13345"/>
    <cellStyle name="Calculation 33 4 3 3" xfId="13346"/>
    <cellStyle name="Calculation 33 4 4" xfId="13347"/>
    <cellStyle name="Calculation 33 4 4 2" xfId="13348"/>
    <cellStyle name="Calculation 33 4 4 2 2" xfId="13349"/>
    <cellStyle name="Calculation 33 4 4 3" xfId="13350"/>
    <cellStyle name="Calculation 33 4 5" xfId="13351"/>
    <cellStyle name="Calculation 33 4 5 2" xfId="13352"/>
    <cellStyle name="Calculation 33 4 6" xfId="13353"/>
    <cellStyle name="Calculation 33 4 6 2" xfId="13354"/>
    <cellStyle name="Calculation 33 4 7" xfId="13355"/>
    <cellStyle name="Calculation 33 4 7 2" xfId="13356"/>
    <cellStyle name="Calculation 33 4 8" xfId="13357"/>
    <cellStyle name="Calculation 33 4 8 2" xfId="13358"/>
    <cellStyle name="Calculation 33 4 9" xfId="13359"/>
    <cellStyle name="Calculation 33 5" xfId="4292"/>
    <cellStyle name="Calculation 33 5 10" xfId="13361"/>
    <cellStyle name="Calculation 33 5 11" xfId="13360"/>
    <cellStyle name="Calculation 33 5 2" xfId="4293"/>
    <cellStyle name="Calculation 33 5 2 2" xfId="13363"/>
    <cellStyle name="Calculation 33 5 2 2 2" xfId="13364"/>
    <cellStyle name="Calculation 33 5 2 3" xfId="13365"/>
    <cellStyle name="Calculation 33 5 2 4" xfId="13366"/>
    <cellStyle name="Calculation 33 5 2 5" xfId="13362"/>
    <cellStyle name="Calculation 33 5 3" xfId="13367"/>
    <cellStyle name="Calculation 33 5 3 2" xfId="13368"/>
    <cellStyle name="Calculation 33 5 3 2 2" xfId="13369"/>
    <cellStyle name="Calculation 33 5 3 3" xfId="13370"/>
    <cellStyle name="Calculation 33 5 4" xfId="13371"/>
    <cellStyle name="Calculation 33 5 4 2" xfId="13372"/>
    <cellStyle name="Calculation 33 5 4 2 2" xfId="13373"/>
    <cellStyle name="Calculation 33 5 4 3" xfId="13374"/>
    <cellStyle name="Calculation 33 5 5" xfId="13375"/>
    <cellStyle name="Calculation 33 5 5 2" xfId="13376"/>
    <cellStyle name="Calculation 33 5 6" xfId="13377"/>
    <cellStyle name="Calculation 33 5 6 2" xfId="13378"/>
    <cellStyle name="Calculation 33 5 7" xfId="13379"/>
    <cellStyle name="Calculation 33 5 7 2" xfId="13380"/>
    <cellStyle name="Calculation 33 5 8" xfId="13381"/>
    <cellStyle name="Calculation 33 5 8 2" xfId="13382"/>
    <cellStyle name="Calculation 33 5 9" xfId="13383"/>
    <cellStyle name="Calculation 33 6" xfId="3414"/>
    <cellStyle name="Calculation 33 6 2" xfId="13385"/>
    <cellStyle name="Calculation 33 6 2 2" xfId="13386"/>
    <cellStyle name="Calculation 33 6 2 2 2" xfId="13387"/>
    <cellStyle name="Calculation 33 6 2 3" xfId="13388"/>
    <cellStyle name="Calculation 33 6 3" xfId="13389"/>
    <cellStyle name="Calculation 33 6 3 2" xfId="13390"/>
    <cellStyle name="Calculation 33 6 3 2 2" xfId="13391"/>
    <cellStyle name="Calculation 33 6 3 3" xfId="13392"/>
    <cellStyle name="Calculation 33 6 4" xfId="13393"/>
    <cellStyle name="Calculation 33 6 4 2" xfId="13394"/>
    <cellStyle name="Calculation 33 6 5" xfId="13395"/>
    <cellStyle name="Calculation 33 6 5 2" xfId="13396"/>
    <cellStyle name="Calculation 33 6 6" xfId="13397"/>
    <cellStyle name="Calculation 33 6 7" xfId="13398"/>
    <cellStyle name="Calculation 33 6 8" xfId="13384"/>
    <cellStyle name="Calculation 33 7" xfId="4294"/>
    <cellStyle name="Calculation 33 7 2" xfId="13400"/>
    <cellStyle name="Calculation 33 7 3" xfId="13399"/>
    <cellStyle name="Calculation 33 8" xfId="8337"/>
    <cellStyle name="Calculation 33 8 2" xfId="13401"/>
    <cellStyle name="Calculation 33 9" xfId="13402"/>
    <cellStyle name="Calculation 33 9 2" xfId="13403"/>
    <cellStyle name="Calculation 34" xfId="2589"/>
    <cellStyle name="Calculation 34 10" xfId="13404"/>
    <cellStyle name="Calculation 34 11" xfId="13405"/>
    <cellStyle name="Calculation 34 2" xfId="3415"/>
    <cellStyle name="Calculation 34 2 2" xfId="13407"/>
    <cellStyle name="Calculation 34 2 2 10" xfId="13408"/>
    <cellStyle name="Calculation 34 2 2 2" xfId="13409"/>
    <cellStyle name="Calculation 34 2 2 2 2" xfId="13410"/>
    <cellStyle name="Calculation 34 2 2 2 2 2" xfId="13411"/>
    <cellStyle name="Calculation 34 2 2 2 3" xfId="13412"/>
    <cellStyle name="Calculation 34 2 2 2 4" xfId="13413"/>
    <cellStyle name="Calculation 34 2 2 3" xfId="13414"/>
    <cellStyle name="Calculation 34 2 2 3 2" xfId="13415"/>
    <cellStyle name="Calculation 34 2 2 3 2 2" xfId="13416"/>
    <cellStyle name="Calculation 34 2 2 3 3" xfId="13417"/>
    <cellStyle name="Calculation 34 2 2 4" xfId="13418"/>
    <cellStyle name="Calculation 34 2 2 4 2" xfId="13419"/>
    <cellStyle name="Calculation 34 2 2 4 2 2" xfId="13420"/>
    <cellStyle name="Calculation 34 2 2 4 3" xfId="13421"/>
    <cellStyle name="Calculation 34 2 2 5" xfId="13422"/>
    <cellStyle name="Calculation 34 2 2 5 2" xfId="13423"/>
    <cellStyle name="Calculation 34 2 2 6" xfId="13424"/>
    <cellStyle name="Calculation 34 2 2 6 2" xfId="13425"/>
    <cellStyle name="Calculation 34 2 2 7" xfId="13426"/>
    <cellStyle name="Calculation 34 2 2 7 2" xfId="13427"/>
    <cellStyle name="Calculation 34 2 2 8" xfId="13428"/>
    <cellStyle name="Calculation 34 2 2 8 2" xfId="13429"/>
    <cellStyle name="Calculation 34 2 2 9" xfId="13430"/>
    <cellStyle name="Calculation 34 2 3" xfId="13431"/>
    <cellStyle name="Calculation 34 2 3 2" xfId="13432"/>
    <cellStyle name="Calculation 34 2 3 2 2" xfId="13433"/>
    <cellStyle name="Calculation 34 2 3 2 2 2" xfId="13434"/>
    <cellStyle name="Calculation 34 2 3 2 3" xfId="13435"/>
    <cellStyle name="Calculation 34 2 3 2 4" xfId="13436"/>
    <cellStyle name="Calculation 34 2 3 3" xfId="13437"/>
    <cellStyle name="Calculation 34 2 3 3 2" xfId="13438"/>
    <cellStyle name="Calculation 34 2 3 3 2 2" xfId="13439"/>
    <cellStyle name="Calculation 34 2 3 3 3" xfId="13440"/>
    <cellStyle name="Calculation 34 2 3 4" xfId="13441"/>
    <cellStyle name="Calculation 34 2 3 4 2" xfId="13442"/>
    <cellStyle name="Calculation 34 2 3 5" xfId="13443"/>
    <cellStyle name="Calculation 34 2 3 5 2" xfId="13444"/>
    <cellStyle name="Calculation 34 2 3 6" xfId="13445"/>
    <cellStyle name="Calculation 34 2 3 7" xfId="13446"/>
    <cellStyle name="Calculation 34 2 4" xfId="13447"/>
    <cellStyle name="Calculation 34 2 4 2" xfId="13448"/>
    <cellStyle name="Calculation 34 2 4 3" xfId="13449"/>
    <cellStyle name="Calculation 34 2 5" xfId="13450"/>
    <cellStyle name="Calculation 34 2 5 2" xfId="13451"/>
    <cellStyle name="Calculation 34 2 6" xfId="13452"/>
    <cellStyle name="Calculation 34 2 6 2" xfId="13453"/>
    <cellStyle name="Calculation 34 2 7" xfId="13454"/>
    <cellStyle name="Calculation 34 2 8" xfId="13455"/>
    <cellStyle name="Calculation 34 2 9" xfId="13406"/>
    <cellStyle name="Calculation 34 3" xfId="4295"/>
    <cellStyle name="Calculation 34 3 2" xfId="13457"/>
    <cellStyle name="Calculation 34 3 2 10" xfId="13458"/>
    <cellStyle name="Calculation 34 3 2 2" xfId="13459"/>
    <cellStyle name="Calculation 34 3 2 2 2" xfId="13460"/>
    <cellStyle name="Calculation 34 3 2 2 2 2" xfId="13461"/>
    <cellStyle name="Calculation 34 3 2 2 3" xfId="13462"/>
    <cellStyle name="Calculation 34 3 2 3" xfId="13463"/>
    <cellStyle name="Calculation 34 3 2 3 2" xfId="13464"/>
    <cellStyle name="Calculation 34 3 2 3 2 2" xfId="13465"/>
    <cellStyle name="Calculation 34 3 2 3 3" xfId="13466"/>
    <cellStyle name="Calculation 34 3 2 4" xfId="13467"/>
    <cellStyle name="Calculation 34 3 2 4 2" xfId="13468"/>
    <cellStyle name="Calculation 34 3 2 4 2 2" xfId="13469"/>
    <cellStyle name="Calculation 34 3 2 4 3" xfId="13470"/>
    <cellStyle name="Calculation 34 3 2 5" xfId="13471"/>
    <cellStyle name="Calculation 34 3 2 5 2" xfId="13472"/>
    <cellStyle name="Calculation 34 3 2 6" xfId="13473"/>
    <cellStyle name="Calculation 34 3 2 6 2" xfId="13474"/>
    <cellStyle name="Calculation 34 3 2 7" xfId="13475"/>
    <cellStyle name="Calculation 34 3 2 7 2" xfId="13476"/>
    <cellStyle name="Calculation 34 3 2 8" xfId="13477"/>
    <cellStyle name="Calculation 34 3 2 8 2" xfId="13478"/>
    <cellStyle name="Calculation 34 3 2 9" xfId="13479"/>
    <cellStyle name="Calculation 34 3 3" xfId="13480"/>
    <cellStyle name="Calculation 34 3 3 2" xfId="13481"/>
    <cellStyle name="Calculation 34 3 3 2 2" xfId="13482"/>
    <cellStyle name="Calculation 34 3 3 2 2 2" xfId="13483"/>
    <cellStyle name="Calculation 34 3 3 2 3" xfId="13484"/>
    <cellStyle name="Calculation 34 3 3 3" xfId="13485"/>
    <cellStyle name="Calculation 34 3 3 3 2" xfId="13486"/>
    <cellStyle name="Calculation 34 3 3 3 2 2" xfId="13487"/>
    <cellStyle name="Calculation 34 3 3 3 3" xfId="13488"/>
    <cellStyle name="Calculation 34 3 3 4" xfId="13489"/>
    <cellStyle name="Calculation 34 3 3 4 2" xfId="13490"/>
    <cellStyle name="Calculation 34 3 3 5" xfId="13491"/>
    <cellStyle name="Calculation 34 3 3 5 2" xfId="13492"/>
    <cellStyle name="Calculation 34 3 3 6" xfId="13493"/>
    <cellStyle name="Calculation 34 3 3 7" xfId="13494"/>
    <cellStyle name="Calculation 34 3 4" xfId="13495"/>
    <cellStyle name="Calculation 34 3 4 2" xfId="13496"/>
    <cellStyle name="Calculation 34 3 5" xfId="13497"/>
    <cellStyle name="Calculation 34 3 5 2" xfId="13498"/>
    <cellStyle name="Calculation 34 3 6" xfId="13499"/>
    <cellStyle name="Calculation 34 3 6 2" xfId="13500"/>
    <cellStyle name="Calculation 34 3 7" xfId="13501"/>
    <cellStyle name="Calculation 34 3 8" xfId="13502"/>
    <cellStyle name="Calculation 34 3 9" xfId="13456"/>
    <cellStyle name="Calculation 34 4" xfId="4296"/>
    <cellStyle name="Calculation 34 4 10" xfId="13504"/>
    <cellStyle name="Calculation 34 4 11" xfId="13503"/>
    <cellStyle name="Calculation 34 4 2" xfId="4297"/>
    <cellStyle name="Calculation 34 4 2 2" xfId="13506"/>
    <cellStyle name="Calculation 34 4 2 2 2" xfId="13507"/>
    <cellStyle name="Calculation 34 4 2 3" xfId="13508"/>
    <cellStyle name="Calculation 34 4 2 4" xfId="13509"/>
    <cellStyle name="Calculation 34 4 2 5" xfId="13505"/>
    <cellStyle name="Calculation 34 4 3" xfId="13510"/>
    <cellStyle name="Calculation 34 4 3 2" xfId="13511"/>
    <cellStyle name="Calculation 34 4 3 2 2" xfId="13512"/>
    <cellStyle name="Calculation 34 4 3 3" xfId="13513"/>
    <cellStyle name="Calculation 34 4 4" xfId="13514"/>
    <cellStyle name="Calculation 34 4 4 2" xfId="13515"/>
    <cellStyle name="Calculation 34 4 4 2 2" xfId="13516"/>
    <cellStyle name="Calculation 34 4 4 3" xfId="13517"/>
    <cellStyle name="Calculation 34 4 5" xfId="13518"/>
    <cellStyle name="Calculation 34 4 5 2" xfId="13519"/>
    <cellStyle name="Calculation 34 4 6" xfId="13520"/>
    <cellStyle name="Calculation 34 4 6 2" xfId="13521"/>
    <cellStyle name="Calculation 34 4 7" xfId="13522"/>
    <cellStyle name="Calculation 34 4 7 2" xfId="13523"/>
    <cellStyle name="Calculation 34 4 8" xfId="13524"/>
    <cellStyle name="Calculation 34 4 8 2" xfId="13525"/>
    <cellStyle name="Calculation 34 4 9" xfId="13526"/>
    <cellStyle name="Calculation 34 5" xfId="4298"/>
    <cellStyle name="Calculation 34 5 10" xfId="13528"/>
    <cellStyle name="Calculation 34 5 11" xfId="13527"/>
    <cellStyle name="Calculation 34 5 2" xfId="4299"/>
    <cellStyle name="Calculation 34 5 2 2" xfId="13530"/>
    <cellStyle name="Calculation 34 5 2 2 2" xfId="13531"/>
    <cellStyle name="Calculation 34 5 2 3" xfId="13532"/>
    <cellStyle name="Calculation 34 5 2 4" xfId="13533"/>
    <cellStyle name="Calculation 34 5 2 5" xfId="13529"/>
    <cellStyle name="Calculation 34 5 3" xfId="13534"/>
    <cellStyle name="Calculation 34 5 3 2" xfId="13535"/>
    <cellStyle name="Calculation 34 5 3 2 2" xfId="13536"/>
    <cellStyle name="Calculation 34 5 3 3" xfId="13537"/>
    <cellStyle name="Calculation 34 5 4" xfId="13538"/>
    <cellStyle name="Calculation 34 5 4 2" xfId="13539"/>
    <cellStyle name="Calculation 34 5 4 2 2" xfId="13540"/>
    <cellStyle name="Calculation 34 5 4 3" xfId="13541"/>
    <cellStyle name="Calculation 34 5 5" xfId="13542"/>
    <cellStyle name="Calculation 34 5 5 2" xfId="13543"/>
    <cellStyle name="Calculation 34 5 6" xfId="13544"/>
    <cellStyle name="Calculation 34 5 6 2" xfId="13545"/>
    <cellStyle name="Calculation 34 5 7" xfId="13546"/>
    <cellStyle name="Calculation 34 5 7 2" xfId="13547"/>
    <cellStyle name="Calculation 34 5 8" xfId="13548"/>
    <cellStyle name="Calculation 34 5 8 2" xfId="13549"/>
    <cellStyle name="Calculation 34 5 9" xfId="13550"/>
    <cellStyle name="Calculation 34 6" xfId="3416"/>
    <cellStyle name="Calculation 34 6 2" xfId="13552"/>
    <cellStyle name="Calculation 34 6 2 2" xfId="13553"/>
    <cellStyle name="Calculation 34 6 2 2 2" xfId="13554"/>
    <cellStyle name="Calculation 34 6 2 3" xfId="13555"/>
    <cellStyle name="Calculation 34 6 3" xfId="13556"/>
    <cellStyle name="Calculation 34 6 3 2" xfId="13557"/>
    <cellStyle name="Calculation 34 6 3 2 2" xfId="13558"/>
    <cellStyle name="Calculation 34 6 3 3" xfId="13559"/>
    <cellStyle name="Calculation 34 6 4" xfId="13560"/>
    <cellStyle name="Calculation 34 6 4 2" xfId="13561"/>
    <cellStyle name="Calculation 34 6 5" xfId="13562"/>
    <cellStyle name="Calculation 34 6 5 2" xfId="13563"/>
    <cellStyle name="Calculation 34 6 6" xfId="13564"/>
    <cellStyle name="Calculation 34 6 7" xfId="13565"/>
    <cellStyle name="Calculation 34 6 8" xfId="13551"/>
    <cellStyle name="Calculation 34 7" xfId="4300"/>
    <cellStyle name="Calculation 34 7 2" xfId="13567"/>
    <cellStyle name="Calculation 34 7 3" xfId="13566"/>
    <cellStyle name="Calculation 34 8" xfId="8338"/>
    <cellStyle name="Calculation 34 8 2" xfId="13568"/>
    <cellStyle name="Calculation 34 9" xfId="13569"/>
    <cellStyle name="Calculation 34 9 2" xfId="13570"/>
    <cellStyle name="Calculation 35" xfId="2590"/>
    <cellStyle name="Calculation 35 10" xfId="13571"/>
    <cellStyle name="Calculation 35 11" xfId="13572"/>
    <cellStyle name="Calculation 35 2" xfId="4301"/>
    <cellStyle name="Calculation 35 2 2" xfId="13574"/>
    <cellStyle name="Calculation 35 2 2 10" xfId="13575"/>
    <cellStyle name="Calculation 35 2 2 2" xfId="13576"/>
    <cellStyle name="Calculation 35 2 2 2 2" xfId="13577"/>
    <cellStyle name="Calculation 35 2 2 2 2 2" xfId="13578"/>
    <cellStyle name="Calculation 35 2 2 2 3" xfId="13579"/>
    <cellStyle name="Calculation 35 2 2 2 4" xfId="13580"/>
    <cellStyle name="Calculation 35 2 2 3" xfId="13581"/>
    <cellStyle name="Calculation 35 2 2 3 2" xfId="13582"/>
    <cellStyle name="Calculation 35 2 2 3 2 2" xfId="13583"/>
    <cellStyle name="Calculation 35 2 2 3 3" xfId="13584"/>
    <cellStyle name="Calculation 35 2 2 4" xfId="13585"/>
    <cellStyle name="Calculation 35 2 2 4 2" xfId="13586"/>
    <cellStyle name="Calculation 35 2 2 4 2 2" xfId="13587"/>
    <cellStyle name="Calculation 35 2 2 4 3" xfId="13588"/>
    <cellStyle name="Calculation 35 2 2 5" xfId="13589"/>
    <cellStyle name="Calculation 35 2 2 5 2" xfId="13590"/>
    <cellStyle name="Calculation 35 2 2 6" xfId="13591"/>
    <cellStyle name="Calculation 35 2 2 6 2" xfId="13592"/>
    <cellStyle name="Calculation 35 2 2 7" xfId="13593"/>
    <cellStyle name="Calculation 35 2 2 7 2" xfId="13594"/>
    <cellStyle name="Calculation 35 2 2 8" xfId="13595"/>
    <cellStyle name="Calculation 35 2 2 8 2" xfId="13596"/>
    <cellStyle name="Calculation 35 2 2 9" xfId="13597"/>
    <cellStyle name="Calculation 35 2 3" xfId="13598"/>
    <cellStyle name="Calculation 35 2 3 2" xfId="13599"/>
    <cellStyle name="Calculation 35 2 3 2 2" xfId="13600"/>
    <cellStyle name="Calculation 35 2 3 2 2 2" xfId="13601"/>
    <cellStyle name="Calculation 35 2 3 2 3" xfId="13602"/>
    <cellStyle name="Calculation 35 2 3 2 4" xfId="13603"/>
    <cellStyle name="Calculation 35 2 3 3" xfId="13604"/>
    <cellStyle name="Calculation 35 2 3 3 2" xfId="13605"/>
    <cellStyle name="Calculation 35 2 3 3 2 2" xfId="13606"/>
    <cellStyle name="Calculation 35 2 3 3 3" xfId="13607"/>
    <cellStyle name="Calculation 35 2 3 4" xfId="13608"/>
    <cellStyle name="Calculation 35 2 3 4 2" xfId="13609"/>
    <cellStyle name="Calculation 35 2 3 5" xfId="13610"/>
    <cellStyle name="Calculation 35 2 3 5 2" xfId="13611"/>
    <cellStyle name="Calculation 35 2 3 6" xfId="13612"/>
    <cellStyle name="Calculation 35 2 3 7" xfId="13613"/>
    <cellStyle name="Calculation 35 2 4" xfId="13614"/>
    <cellStyle name="Calculation 35 2 4 2" xfId="13615"/>
    <cellStyle name="Calculation 35 2 4 3" xfId="13616"/>
    <cellStyle name="Calculation 35 2 5" xfId="13617"/>
    <cellStyle name="Calculation 35 2 5 2" xfId="13618"/>
    <cellStyle name="Calculation 35 2 6" xfId="13619"/>
    <cellStyle name="Calculation 35 2 6 2" xfId="13620"/>
    <cellStyle name="Calculation 35 2 7" xfId="13621"/>
    <cellStyle name="Calculation 35 2 8" xfId="13622"/>
    <cellStyle name="Calculation 35 2 9" xfId="13573"/>
    <cellStyle name="Calculation 35 3" xfId="4302"/>
    <cellStyle name="Calculation 35 3 2" xfId="13624"/>
    <cellStyle name="Calculation 35 3 2 10" xfId="13625"/>
    <cellStyle name="Calculation 35 3 2 2" xfId="13626"/>
    <cellStyle name="Calculation 35 3 2 2 2" xfId="13627"/>
    <cellStyle name="Calculation 35 3 2 2 2 2" xfId="13628"/>
    <cellStyle name="Calculation 35 3 2 2 3" xfId="13629"/>
    <cellStyle name="Calculation 35 3 2 3" xfId="13630"/>
    <cellStyle name="Calculation 35 3 2 3 2" xfId="13631"/>
    <cellStyle name="Calculation 35 3 2 3 2 2" xfId="13632"/>
    <cellStyle name="Calculation 35 3 2 3 3" xfId="13633"/>
    <cellStyle name="Calculation 35 3 2 4" xfId="13634"/>
    <cellStyle name="Calculation 35 3 2 4 2" xfId="13635"/>
    <cellStyle name="Calculation 35 3 2 4 2 2" xfId="13636"/>
    <cellStyle name="Calculation 35 3 2 4 3" xfId="13637"/>
    <cellStyle name="Calculation 35 3 2 5" xfId="13638"/>
    <cellStyle name="Calculation 35 3 2 5 2" xfId="13639"/>
    <cellStyle name="Calculation 35 3 2 6" xfId="13640"/>
    <cellStyle name="Calculation 35 3 2 6 2" xfId="13641"/>
    <cellStyle name="Calculation 35 3 2 7" xfId="13642"/>
    <cellStyle name="Calculation 35 3 2 7 2" xfId="13643"/>
    <cellStyle name="Calculation 35 3 2 8" xfId="13644"/>
    <cellStyle name="Calculation 35 3 2 8 2" xfId="13645"/>
    <cellStyle name="Calculation 35 3 2 9" xfId="13646"/>
    <cellStyle name="Calculation 35 3 3" xfId="13647"/>
    <cellStyle name="Calculation 35 3 3 2" xfId="13648"/>
    <cellStyle name="Calculation 35 3 3 2 2" xfId="13649"/>
    <cellStyle name="Calculation 35 3 3 2 2 2" xfId="13650"/>
    <cellStyle name="Calculation 35 3 3 2 3" xfId="13651"/>
    <cellStyle name="Calculation 35 3 3 3" xfId="13652"/>
    <cellStyle name="Calculation 35 3 3 3 2" xfId="13653"/>
    <cellStyle name="Calculation 35 3 3 3 2 2" xfId="13654"/>
    <cellStyle name="Calculation 35 3 3 3 3" xfId="13655"/>
    <cellStyle name="Calculation 35 3 3 4" xfId="13656"/>
    <cellStyle name="Calculation 35 3 3 4 2" xfId="13657"/>
    <cellStyle name="Calculation 35 3 3 5" xfId="13658"/>
    <cellStyle name="Calculation 35 3 3 5 2" xfId="13659"/>
    <cellStyle name="Calculation 35 3 3 6" xfId="13660"/>
    <cellStyle name="Calculation 35 3 3 7" xfId="13661"/>
    <cellStyle name="Calculation 35 3 4" xfId="13662"/>
    <cellStyle name="Calculation 35 3 4 2" xfId="13663"/>
    <cellStyle name="Calculation 35 3 5" xfId="13664"/>
    <cellStyle name="Calculation 35 3 5 2" xfId="13665"/>
    <cellStyle name="Calculation 35 3 6" xfId="13666"/>
    <cellStyle name="Calculation 35 3 6 2" xfId="13667"/>
    <cellStyle name="Calculation 35 3 7" xfId="13668"/>
    <cellStyle name="Calculation 35 3 8" xfId="13669"/>
    <cellStyle name="Calculation 35 3 9" xfId="13623"/>
    <cellStyle name="Calculation 35 4" xfId="4303"/>
    <cellStyle name="Calculation 35 4 10" xfId="13671"/>
    <cellStyle name="Calculation 35 4 11" xfId="13670"/>
    <cellStyle name="Calculation 35 4 2" xfId="4304"/>
    <cellStyle name="Calculation 35 4 2 2" xfId="13673"/>
    <cellStyle name="Calculation 35 4 2 2 2" xfId="13674"/>
    <cellStyle name="Calculation 35 4 2 3" xfId="13675"/>
    <cellStyle name="Calculation 35 4 2 4" xfId="13676"/>
    <cellStyle name="Calculation 35 4 2 5" xfId="13672"/>
    <cellStyle name="Calculation 35 4 3" xfId="13677"/>
    <cellStyle name="Calculation 35 4 3 2" xfId="13678"/>
    <cellStyle name="Calculation 35 4 3 2 2" xfId="13679"/>
    <cellStyle name="Calculation 35 4 3 3" xfId="13680"/>
    <cellStyle name="Calculation 35 4 4" xfId="13681"/>
    <cellStyle name="Calculation 35 4 4 2" xfId="13682"/>
    <cellStyle name="Calculation 35 4 4 2 2" xfId="13683"/>
    <cellStyle name="Calculation 35 4 4 3" xfId="13684"/>
    <cellStyle name="Calculation 35 4 5" xfId="13685"/>
    <cellStyle name="Calculation 35 4 5 2" xfId="13686"/>
    <cellStyle name="Calculation 35 4 6" xfId="13687"/>
    <cellStyle name="Calculation 35 4 6 2" xfId="13688"/>
    <cellStyle name="Calculation 35 4 7" xfId="13689"/>
    <cellStyle name="Calculation 35 4 7 2" xfId="13690"/>
    <cellStyle name="Calculation 35 4 8" xfId="13691"/>
    <cellStyle name="Calculation 35 4 8 2" xfId="13692"/>
    <cellStyle name="Calculation 35 4 9" xfId="13693"/>
    <cellStyle name="Calculation 35 5" xfId="4305"/>
    <cellStyle name="Calculation 35 5 10" xfId="13695"/>
    <cellStyle name="Calculation 35 5 11" xfId="13694"/>
    <cellStyle name="Calculation 35 5 2" xfId="4306"/>
    <cellStyle name="Calculation 35 5 2 2" xfId="13697"/>
    <cellStyle name="Calculation 35 5 2 2 2" xfId="13698"/>
    <cellStyle name="Calculation 35 5 2 3" xfId="13699"/>
    <cellStyle name="Calculation 35 5 2 4" xfId="13700"/>
    <cellStyle name="Calculation 35 5 2 5" xfId="13696"/>
    <cellStyle name="Calculation 35 5 3" xfId="13701"/>
    <cellStyle name="Calculation 35 5 3 2" xfId="13702"/>
    <cellStyle name="Calculation 35 5 3 2 2" xfId="13703"/>
    <cellStyle name="Calculation 35 5 3 3" xfId="13704"/>
    <cellStyle name="Calculation 35 5 4" xfId="13705"/>
    <cellStyle name="Calculation 35 5 4 2" xfId="13706"/>
    <cellStyle name="Calculation 35 5 4 2 2" xfId="13707"/>
    <cellStyle name="Calculation 35 5 4 3" xfId="13708"/>
    <cellStyle name="Calculation 35 5 5" xfId="13709"/>
    <cellStyle name="Calculation 35 5 5 2" xfId="13710"/>
    <cellStyle name="Calculation 35 5 6" xfId="13711"/>
    <cellStyle name="Calculation 35 5 6 2" xfId="13712"/>
    <cellStyle name="Calculation 35 5 7" xfId="13713"/>
    <cellStyle name="Calculation 35 5 7 2" xfId="13714"/>
    <cellStyle name="Calculation 35 5 8" xfId="13715"/>
    <cellStyle name="Calculation 35 5 8 2" xfId="13716"/>
    <cellStyle name="Calculation 35 5 9" xfId="13717"/>
    <cellStyle name="Calculation 35 6" xfId="4307"/>
    <cellStyle name="Calculation 35 6 2" xfId="13719"/>
    <cellStyle name="Calculation 35 6 2 2" xfId="13720"/>
    <cellStyle name="Calculation 35 6 2 2 2" xfId="13721"/>
    <cellStyle name="Calculation 35 6 2 3" xfId="13722"/>
    <cellStyle name="Calculation 35 6 3" xfId="13723"/>
    <cellStyle name="Calculation 35 6 3 2" xfId="13724"/>
    <cellStyle name="Calculation 35 6 3 2 2" xfId="13725"/>
    <cellStyle name="Calculation 35 6 3 3" xfId="13726"/>
    <cellStyle name="Calculation 35 6 4" xfId="13727"/>
    <cellStyle name="Calculation 35 6 4 2" xfId="13728"/>
    <cellStyle name="Calculation 35 6 5" xfId="13729"/>
    <cellStyle name="Calculation 35 6 5 2" xfId="13730"/>
    <cellStyle name="Calculation 35 6 6" xfId="13731"/>
    <cellStyle name="Calculation 35 6 7" xfId="13732"/>
    <cellStyle name="Calculation 35 6 8" xfId="13718"/>
    <cellStyle name="Calculation 35 7" xfId="4308"/>
    <cellStyle name="Calculation 35 7 2" xfId="13734"/>
    <cellStyle name="Calculation 35 7 3" xfId="13733"/>
    <cellStyle name="Calculation 35 8" xfId="8339"/>
    <cellStyle name="Calculation 35 8 2" xfId="13735"/>
    <cellStyle name="Calculation 35 9" xfId="13736"/>
    <cellStyle name="Calculation 35 9 2" xfId="13737"/>
    <cellStyle name="Calculation 36" xfId="2591"/>
    <cellStyle name="Calculation 36 10" xfId="13738"/>
    <cellStyle name="Calculation 36 11" xfId="13739"/>
    <cellStyle name="Calculation 36 2" xfId="4309"/>
    <cellStyle name="Calculation 36 2 2" xfId="13741"/>
    <cellStyle name="Calculation 36 2 2 10" xfId="13742"/>
    <cellStyle name="Calculation 36 2 2 2" xfId="13743"/>
    <cellStyle name="Calculation 36 2 2 2 2" xfId="13744"/>
    <cellStyle name="Calculation 36 2 2 2 2 2" xfId="13745"/>
    <cellStyle name="Calculation 36 2 2 2 3" xfId="13746"/>
    <cellStyle name="Calculation 36 2 2 2 4" xfId="13747"/>
    <cellStyle name="Calculation 36 2 2 3" xfId="13748"/>
    <cellStyle name="Calculation 36 2 2 3 2" xfId="13749"/>
    <cellStyle name="Calculation 36 2 2 3 2 2" xfId="13750"/>
    <cellStyle name="Calculation 36 2 2 3 3" xfId="13751"/>
    <cellStyle name="Calculation 36 2 2 4" xfId="13752"/>
    <cellStyle name="Calculation 36 2 2 4 2" xfId="13753"/>
    <cellStyle name="Calculation 36 2 2 4 2 2" xfId="13754"/>
    <cellStyle name="Calculation 36 2 2 4 3" xfId="13755"/>
    <cellStyle name="Calculation 36 2 2 5" xfId="13756"/>
    <cellStyle name="Calculation 36 2 2 5 2" xfId="13757"/>
    <cellStyle name="Calculation 36 2 2 6" xfId="13758"/>
    <cellStyle name="Calculation 36 2 2 6 2" xfId="13759"/>
    <cellStyle name="Calculation 36 2 2 7" xfId="13760"/>
    <cellStyle name="Calculation 36 2 2 7 2" xfId="13761"/>
    <cellStyle name="Calculation 36 2 2 8" xfId="13762"/>
    <cellStyle name="Calculation 36 2 2 8 2" xfId="13763"/>
    <cellStyle name="Calculation 36 2 2 9" xfId="13764"/>
    <cellStyle name="Calculation 36 2 3" xfId="13765"/>
    <cellStyle name="Calculation 36 2 3 2" xfId="13766"/>
    <cellStyle name="Calculation 36 2 3 2 2" xfId="13767"/>
    <cellStyle name="Calculation 36 2 3 2 2 2" xfId="13768"/>
    <cellStyle name="Calculation 36 2 3 2 3" xfId="13769"/>
    <cellStyle name="Calculation 36 2 3 2 4" xfId="13770"/>
    <cellStyle name="Calculation 36 2 3 3" xfId="13771"/>
    <cellStyle name="Calculation 36 2 3 3 2" xfId="13772"/>
    <cellStyle name="Calculation 36 2 3 3 2 2" xfId="13773"/>
    <cellStyle name="Calculation 36 2 3 3 3" xfId="13774"/>
    <cellStyle name="Calculation 36 2 3 4" xfId="13775"/>
    <cellStyle name="Calculation 36 2 3 4 2" xfId="13776"/>
    <cellStyle name="Calculation 36 2 3 5" xfId="13777"/>
    <cellStyle name="Calculation 36 2 3 5 2" xfId="13778"/>
    <cellStyle name="Calculation 36 2 3 6" xfId="13779"/>
    <cellStyle name="Calculation 36 2 3 7" xfId="13780"/>
    <cellStyle name="Calculation 36 2 4" xfId="13781"/>
    <cellStyle name="Calculation 36 2 4 2" xfId="13782"/>
    <cellStyle name="Calculation 36 2 4 3" xfId="13783"/>
    <cellStyle name="Calculation 36 2 5" xfId="13784"/>
    <cellStyle name="Calculation 36 2 5 2" xfId="13785"/>
    <cellStyle name="Calculation 36 2 6" xfId="13786"/>
    <cellStyle name="Calculation 36 2 6 2" xfId="13787"/>
    <cellStyle name="Calculation 36 2 7" xfId="13788"/>
    <cellStyle name="Calculation 36 2 8" xfId="13789"/>
    <cellStyle name="Calculation 36 2 9" xfId="13740"/>
    <cellStyle name="Calculation 36 3" xfId="4310"/>
    <cellStyle name="Calculation 36 3 2" xfId="13791"/>
    <cellStyle name="Calculation 36 3 2 10" xfId="13792"/>
    <cellStyle name="Calculation 36 3 2 2" xfId="13793"/>
    <cellStyle name="Calculation 36 3 2 2 2" xfId="13794"/>
    <cellStyle name="Calculation 36 3 2 2 2 2" xfId="13795"/>
    <cellStyle name="Calculation 36 3 2 2 3" xfId="13796"/>
    <cellStyle name="Calculation 36 3 2 3" xfId="13797"/>
    <cellStyle name="Calculation 36 3 2 3 2" xfId="13798"/>
    <cellStyle name="Calculation 36 3 2 3 2 2" xfId="13799"/>
    <cellStyle name="Calculation 36 3 2 3 3" xfId="13800"/>
    <cellStyle name="Calculation 36 3 2 4" xfId="13801"/>
    <cellStyle name="Calculation 36 3 2 4 2" xfId="13802"/>
    <cellStyle name="Calculation 36 3 2 4 2 2" xfId="13803"/>
    <cellStyle name="Calculation 36 3 2 4 3" xfId="13804"/>
    <cellStyle name="Calculation 36 3 2 5" xfId="13805"/>
    <cellStyle name="Calculation 36 3 2 5 2" xfId="13806"/>
    <cellStyle name="Calculation 36 3 2 6" xfId="13807"/>
    <cellStyle name="Calculation 36 3 2 6 2" xfId="13808"/>
    <cellStyle name="Calculation 36 3 2 7" xfId="13809"/>
    <cellStyle name="Calculation 36 3 2 7 2" xfId="13810"/>
    <cellStyle name="Calculation 36 3 2 8" xfId="13811"/>
    <cellStyle name="Calculation 36 3 2 8 2" xfId="13812"/>
    <cellStyle name="Calculation 36 3 2 9" xfId="13813"/>
    <cellStyle name="Calculation 36 3 3" xfId="13814"/>
    <cellStyle name="Calculation 36 3 3 2" xfId="13815"/>
    <cellStyle name="Calculation 36 3 3 2 2" xfId="13816"/>
    <cellStyle name="Calculation 36 3 3 2 2 2" xfId="13817"/>
    <cellStyle name="Calculation 36 3 3 2 3" xfId="13818"/>
    <cellStyle name="Calculation 36 3 3 3" xfId="13819"/>
    <cellStyle name="Calculation 36 3 3 3 2" xfId="13820"/>
    <cellStyle name="Calculation 36 3 3 3 2 2" xfId="13821"/>
    <cellStyle name="Calculation 36 3 3 3 3" xfId="13822"/>
    <cellStyle name="Calculation 36 3 3 4" xfId="13823"/>
    <cellStyle name="Calculation 36 3 3 4 2" xfId="13824"/>
    <cellStyle name="Calculation 36 3 3 5" xfId="13825"/>
    <cellStyle name="Calculation 36 3 3 5 2" xfId="13826"/>
    <cellStyle name="Calculation 36 3 3 6" xfId="13827"/>
    <cellStyle name="Calculation 36 3 3 7" xfId="13828"/>
    <cellStyle name="Calculation 36 3 4" xfId="13829"/>
    <cellStyle name="Calculation 36 3 4 2" xfId="13830"/>
    <cellStyle name="Calculation 36 3 5" xfId="13831"/>
    <cellStyle name="Calculation 36 3 5 2" xfId="13832"/>
    <cellStyle name="Calculation 36 3 6" xfId="13833"/>
    <cellStyle name="Calculation 36 3 6 2" xfId="13834"/>
    <cellStyle name="Calculation 36 3 7" xfId="13835"/>
    <cellStyle name="Calculation 36 3 8" xfId="13836"/>
    <cellStyle name="Calculation 36 3 9" xfId="13790"/>
    <cellStyle name="Calculation 36 4" xfId="4311"/>
    <cellStyle name="Calculation 36 4 10" xfId="13838"/>
    <cellStyle name="Calculation 36 4 11" xfId="13837"/>
    <cellStyle name="Calculation 36 4 2" xfId="4312"/>
    <cellStyle name="Calculation 36 4 2 2" xfId="13840"/>
    <cellStyle name="Calculation 36 4 2 2 2" xfId="13841"/>
    <cellStyle name="Calculation 36 4 2 3" xfId="13842"/>
    <cellStyle name="Calculation 36 4 2 4" xfId="13843"/>
    <cellStyle name="Calculation 36 4 2 5" xfId="13839"/>
    <cellStyle name="Calculation 36 4 3" xfId="13844"/>
    <cellStyle name="Calculation 36 4 3 2" xfId="13845"/>
    <cellStyle name="Calculation 36 4 3 2 2" xfId="13846"/>
    <cellStyle name="Calculation 36 4 3 3" xfId="13847"/>
    <cellStyle name="Calculation 36 4 4" xfId="13848"/>
    <cellStyle name="Calculation 36 4 4 2" xfId="13849"/>
    <cellStyle name="Calculation 36 4 4 2 2" xfId="13850"/>
    <cellStyle name="Calculation 36 4 4 3" xfId="13851"/>
    <cellStyle name="Calculation 36 4 5" xfId="13852"/>
    <cellStyle name="Calculation 36 4 5 2" xfId="13853"/>
    <cellStyle name="Calculation 36 4 6" xfId="13854"/>
    <cellStyle name="Calculation 36 4 6 2" xfId="13855"/>
    <cellStyle name="Calculation 36 4 7" xfId="13856"/>
    <cellStyle name="Calculation 36 4 7 2" xfId="13857"/>
    <cellStyle name="Calculation 36 4 8" xfId="13858"/>
    <cellStyle name="Calculation 36 4 8 2" xfId="13859"/>
    <cellStyle name="Calculation 36 4 9" xfId="13860"/>
    <cellStyle name="Calculation 36 5" xfId="4313"/>
    <cellStyle name="Calculation 36 5 10" xfId="13862"/>
    <cellStyle name="Calculation 36 5 11" xfId="13861"/>
    <cellStyle name="Calculation 36 5 2" xfId="4314"/>
    <cellStyle name="Calculation 36 5 2 2" xfId="13864"/>
    <cellStyle name="Calculation 36 5 2 2 2" xfId="13865"/>
    <cellStyle name="Calculation 36 5 2 3" xfId="13866"/>
    <cellStyle name="Calculation 36 5 2 4" xfId="13867"/>
    <cellStyle name="Calculation 36 5 2 5" xfId="13863"/>
    <cellStyle name="Calculation 36 5 3" xfId="13868"/>
    <cellStyle name="Calculation 36 5 3 2" xfId="13869"/>
    <cellStyle name="Calculation 36 5 3 2 2" xfId="13870"/>
    <cellStyle name="Calculation 36 5 3 3" xfId="13871"/>
    <cellStyle name="Calculation 36 5 4" xfId="13872"/>
    <cellStyle name="Calculation 36 5 4 2" xfId="13873"/>
    <cellStyle name="Calculation 36 5 4 2 2" xfId="13874"/>
    <cellStyle name="Calculation 36 5 4 3" xfId="13875"/>
    <cellStyle name="Calculation 36 5 5" xfId="13876"/>
    <cellStyle name="Calculation 36 5 5 2" xfId="13877"/>
    <cellStyle name="Calculation 36 5 6" xfId="13878"/>
    <cellStyle name="Calculation 36 5 6 2" xfId="13879"/>
    <cellStyle name="Calculation 36 5 7" xfId="13880"/>
    <cellStyle name="Calculation 36 5 7 2" xfId="13881"/>
    <cellStyle name="Calculation 36 5 8" xfId="13882"/>
    <cellStyle name="Calculation 36 5 8 2" xfId="13883"/>
    <cellStyle name="Calculation 36 5 9" xfId="13884"/>
    <cellStyle name="Calculation 36 6" xfId="4901"/>
    <cellStyle name="Calculation 36 6 2" xfId="13886"/>
    <cellStyle name="Calculation 36 6 2 2" xfId="13887"/>
    <cellStyle name="Calculation 36 6 2 2 2" xfId="13888"/>
    <cellStyle name="Calculation 36 6 2 3" xfId="13889"/>
    <cellStyle name="Calculation 36 6 3" xfId="13890"/>
    <cellStyle name="Calculation 36 6 3 2" xfId="13891"/>
    <cellStyle name="Calculation 36 6 3 2 2" xfId="13892"/>
    <cellStyle name="Calculation 36 6 3 3" xfId="13893"/>
    <cellStyle name="Calculation 36 6 4" xfId="13894"/>
    <cellStyle name="Calculation 36 6 4 2" xfId="13895"/>
    <cellStyle name="Calculation 36 6 5" xfId="13896"/>
    <cellStyle name="Calculation 36 6 5 2" xfId="13897"/>
    <cellStyle name="Calculation 36 6 6" xfId="13898"/>
    <cellStyle name="Calculation 36 6 7" xfId="13899"/>
    <cellStyle name="Calculation 36 6 8" xfId="13885"/>
    <cellStyle name="Calculation 36 7" xfId="4316"/>
    <cellStyle name="Calculation 36 7 2" xfId="13901"/>
    <cellStyle name="Calculation 36 7 3" xfId="13900"/>
    <cellStyle name="Calculation 36 8" xfId="8340"/>
    <cellStyle name="Calculation 36 8 2" xfId="13902"/>
    <cellStyle name="Calculation 36 9" xfId="13903"/>
    <cellStyle name="Calculation 36 9 2" xfId="13904"/>
    <cellStyle name="Calculation 37" xfId="2592"/>
    <cellStyle name="Calculation 37 10" xfId="13905"/>
    <cellStyle name="Calculation 37 11" xfId="13906"/>
    <cellStyle name="Calculation 37 2" xfId="4317"/>
    <cellStyle name="Calculation 37 2 2" xfId="13908"/>
    <cellStyle name="Calculation 37 2 2 10" xfId="13909"/>
    <cellStyle name="Calculation 37 2 2 2" xfId="13910"/>
    <cellStyle name="Calculation 37 2 2 2 2" xfId="13911"/>
    <cellStyle name="Calculation 37 2 2 2 2 2" xfId="13912"/>
    <cellStyle name="Calculation 37 2 2 2 3" xfId="13913"/>
    <cellStyle name="Calculation 37 2 2 2 4" xfId="13914"/>
    <cellStyle name="Calculation 37 2 2 3" xfId="13915"/>
    <cellStyle name="Calculation 37 2 2 3 2" xfId="13916"/>
    <cellStyle name="Calculation 37 2 2 3 2 2" xfId="13917"/>
    <cellStyle name="Calculation 37 2 2 3 3" xfId="13918"/>
    <cellStyle name="Calculation 37 2 2 4" xfId="13919"/>
    <cellStyle name="Calculation 37 2 2 4 2" xfId="13920"/>
    <cellStyle name="Calculation 37 2 2 4 2 2" xfId="13921"/>
    <cellStyle name="Calculation 37 2 2 4 3" xfId="13922"/>
    <cellStyle name="Calculation 37 2 2 5" xfId="13923"/>
    <cellStyle name="Calculation 37 2 2 5 2" xfId="13924"/>
    <cellStyle name="Calculation 37 2 2 6" xfId="13925"/>
    <cellStyle name="Calculation 37 2 2 6 2" xfId="13926"/>
    <cellStyle name="Calculation 37 2 2 7" xfId="13927"/>
    <cellStyle name="Calculation 37 2 2 7 2" xfId="13928"/>
    <cellStyle name="Calculation 37 2 2 8" xfId="13929"/>
    <cellStyle name="Calculation 37 2 2 8 2" xfId="13930"/>
    <cellStyle name="Calculation 37 2 2 9" xfId="13931"/>
    <cellStyle name="Calculation 37 2 3" xfId="13932"/>
    <cellStyle name="Calculation 37 2 3 2" xfId="13933"/>
    <cellStyle name="Calculation 37 2 3 2 2" xfId="13934"/>
    <cellStyle name="Calculation 37 2 3 2 2 2" xfId="13935"/>
    <cellStyle name="Calculation 37 2 3 2 3" xfId="13936"/>
    <cellStyle name="Calculation 37 2 3 2 4" xfId="13937"/>
    <cellStyle name="Calculation 37 2 3 3" xfId="13938"/>
    <cellStyle name="Calculation 37 2 3 3 2" xfId="13939"/>
    <cellStyle name="Calculation 37 2 3 3 2 2" xfId="13940"/>
    <cellStyle name="Calculation 37 2 3 3 3" xfId="13941"/>
    <cellStyle name="Calculation 37 2 3 4" xfId="13942"/>
    <cellStyle name="Calculation 37 2 3 4 2" xfId="13943"/>
    <cellStyle name="Calculation 37 2 3 5" xfId="13944"/>
    <cellStyle name="Calculation 37 2 3 5 2" xfId="13945"/>
    <cellStyle name="Calculation 37 2 3 6" xfId="13946"/>
    <cellStyle name="Calculation 37 2 3 7" xfId="13947"/>
    <cellStyle name="Calculation 37 2 4" xfId="13948"/>
    <cellStyle name="Calculation 37 2 4 2" xfId="13949"/>
    <cellStyle name="Calculation 37 2 4 3" xfId="13950"/>
    <cellStyle name="Calculation 37 2 5" xfId="13951"/>
    <cellStyle name="Calculation 37 2 5 2" xfId="13952"/>
    <cellStyle name="Calculation 37 2 6" xfId="13953"/>
    <cellStyle name="Calculation 37 2 6 2" xfId="13954"/>
    <cellStyle name="Calculation 37 2 7" xfId="13955"/>
    <cellStyle name="Calculation 37 2 8" xfId="13956"/>
    <cellStyle name="Calculation 37 2 9" xfId="13907"/>
    <cellStyle name="Calculation 37 3" xfId="4318"/>
    <cellStyle name="Calculation 37 3 2" xfId="13958"/>
    <cellStyle name="Calculation 37 3 2 10" xfId="13959"/>
    <cellStyle name="Calculation 37 3 2 2" xfId="13960"/>
    <cellStyle name="Calculation 37 3 2 2 2" xfId="13961"/>
    <cellStyle name="Calculation 37 3 2 2 2 2" xfId="13962"/>
    <cellStyle name="Calculation 37 3 2 2 3" xfId="13963"/>
    <cellStyle name="Calculation 37 3 2 3" xfId="13964"/>
    <cellStyle name="Calculation 37 3 2 3 2" xfId="13965"/>
    <cellStyle name="Calculation 37 3 2 3 2 2" xfId="13966"/>
    <cellStyle name="Calculation 37 3 2 3 3" xfId="13967"/>
    <cellStyle name="Calculation 37 3 2 4" xfId="13968"/>
    <cellStyle name="Calculation 37 3 2 4 2" xfId="13969"/>
    <cellStyle name="Calculation 37 3 2 4 2 2" xfId="13970"/>
    <cellStyle name="Calculation 37 3 2 4 3" xfId="13971"/>
    <cellStyle name="Calculation 37 3 2 5" xfId="13972"/>
    <cellStyle name="Calculation 37 3 2 5 2" xfId="13973"/>
    <cellStyle name="Calculation 37 3 2 6" xfId="13974"/>
    <cellStyle name="Calculation 37 3 2 6 2" xfId="13975"/>
    <cellStyle name="Calculation 37 3 2 7" xfId="13976"/>
    <cellStyle name="Calculation 37 3 2 7 2" xfId="13977"/>
    <cellStyle name="Calculation 37 3 2 8" xfId="13978"/>
    <cellStyle name="Calculation 37 3 2 8 2" xfId="13979"/>
    <cellStyle name="Calculation 37 3 2 9" xfId="13980"/>
    <cellStyle name="Calculation 37 3 3" xfId="13981"/>
    <cellStyle name="Calculation 37 3 3 2" xfId="13982"/>
    <cellStyle name="Calculation 37 3 3 2 2" xfId="13983"/>
    <cellStyle name="Calculation 37 3 3 2 2 2" xfId="13984"/>
    <cellStyle name="Calculation 37 3 3 2 3" xfId="13985"/>
    <cellStyle name="Calculation 37 3 3 3" xfId="13986"/>
    <cellStyle name="Calculation 37 3 3 3 2" xfId="13987"/>
    <cellStyle name="Calculation 37 3 3 3 2 2" xfId="13988"/>
    <cellStyle name="Calculation 37 3 3 3 3" xfId="13989"/>
    <cellStyle name="Calculation 37 3 3 4" xfId="13990"/>
    <cellStyle name="Calculation 37 3 3 4 2" xfId="13991"/>
    <cellStyle name="Calculation 37 3 3 5" xfId="13992"/>
    <cellStyle name="Calculation 37 3 3 5 2" xfId="13993"/>
    <cellStyle name="Calculation 37 3 3 6" xfId="13994"/>
    <cellStyle name="Calculation 37 3 3 7" xfId="13995"/>
    <cellStyle name="Calculation 37 3 4" xfId="13996"/>
    <cellStyle name="Calculation 37 3 4 2" xfId="13997"/>
    <cellStyle name="Calculation 37 3 5" xfId="13998"/>
    <cellStyle name="Calculation 37 3 5 2" xfId="13999"/>
    <cellStyle name="Calculation 37 3 6" xfId="14000"/>
    <cellStyle name="Calculation 37 3 6 2" xfId="14001"/>
    <cellStyle name="Calculation 37 3 7" xfId="14002"/>
    <cellStyle name="Calculation 37 3 8" xfId="14003"/>
    <cellStyle name="Calculation 37 3 9" xfId="13957"/>
    <cellStyle name="Calculation 37 4" xfId="1857"/>
    <cellStyle name="Calculation 37 4 10" xfId="14005"/>
    <cellStyle name="Calculation 37 4 11" xfId="14004"/>
    <cellStyle name="Calculation 37 4 2" xfId="4319"/>
    <cellStyle name="Calculation 37 4 2 2" xfId="14007"/>
    <cellStyle name="Calculation 37 4 2 2 2" xfId="14008"/>
    <cellStyle name="Calculation 37 4 2 3" xfId="14009"/>
    <cellStyle name="Calculation 37 4 2 4" xfId="14010"/>
    <cellStyle name="Calculation 37 4 2 5" xfId="14006"/>
    <cellStyle name="Calculation 37 4 3" xfId="14011"/>
    <cellStyle name="Calculation 37 4 3 2" xfId="14012"/>
    <cellStyle name="Calculation 37 4 3 2 2" xfId="14013"/>
    <cellStyle name="Calculation 37 4 3 3" xfId="14014"/>
    <cellStyle name="Calculation 37 4 4" xfId="14015"/>
    <cellStyle name="Calculation 37 4 4 2" xfId="14016"/>
    <cellStyle name="Calculation 37 4 4 2 2" xfId="14017"/>
    <cellStyle name="Calculation 37 4 4 3" xfId="14018"/>
    <cellStyle name="Calculation 37 4 5" xfId="14019"/>
    <cellStyle name="Calculation 37 4 5 2" xfId="14020"/>
    <cellStyle name="Calculation 37 4 6" xfId="14021"/>
    <cellStyle name="Calculation 37 4 6 2" xfId="14022"/>
    <cellStyle name="Calculation 37 4 7" xfId="14023"/>
    <cellStyle name="Calculation 37 4 7 2" xfId="14024"/>
    <cellStyle name="Calculation 37 4 8" xfId="14025"/>
    <cellStyle name="Calculation 37 4 8 2" xfId="14026"/>
    <cellStyle name="Calculation 37 4 9" xfId="14027"/>
    <cellStyle name="Calculation 37 5" xfId="4320"/>
    <cellStyle name="Calculation 37 5 10" xfId="14029"/>
    <cellStyle name="Calculation 37 5 11" xfId="14028"/>
    <cellStyle name="Calculation 37 5 2" xfId="4321"/>
    <cellStyle name="Calculation 37 5 2 2" xfId="14031"/>
    <cellStyle name="Calculation 37 5 2 2 2" xfId="14032"/>
    <cellStyle name="Calculation 37 5 2 3" xfId="14033"/>
    <cellStyle name="Calculation 37 5 2 4" xfId="14034"/>
    <cellStyle name="Calculation 37 5 2 5" xfId="14030"/>
    <cellStyle name="Calculation 37 5 3" xfId="14035"/>
    <cellStyle name="Calculation 37 5 3 2" xfId="14036"/>
    <cellStyle name="Calculation 37 5 3 2 2" xfId="14037"/>
    <cellStyle name="Calculation 37 5 3 3" xfId="14038"/>
    <cellStyle name="Calculation 37 5 4" xfId="14039"/>
    <cellStyle name="Calculation 37 5 4 2" xfId="14040"/>
    <cellStyle name="Calculation 37 5 4 2 2" xfId="14041"/>
    <cellStyle name="Calculation 37 5 4 3" xfId="14042"/>
    <cellStyle name="Calculation 37 5 5" xfId="14043"/>
    <cellStyle name="Calculation 37 5 5 2" xfId="14044"/>
    <cellStyle name="Calculation 37 5 6" xfId="14045"/>
    <cellStyle name="Calculation 37 5 6 2" xfId="14046"/>
    <cellStyle name="Calculation 37 5 7" xfId="14047"/>
    <cellStyle name="Calculation 37 5 7 2" xfId="14048"/>
    <cellStyle name="Calculation 37 5 8" xfId="14049"/>
    <cellStyle name="Calculation 37 5 8 2" xfId="14050"/>
    <cellStyle name="Calculation 37 5 9" xfId="14051"/>
    <cellStyle name="Calculation 37 6" xfId="4322"/>
    <cellStyle name="Calculation 37 6 2" xfId="14053"/>
    <cellStyle name="Calculation 37 6 2 2" xfId="14054"/>
    <cellStyle name="Calculation 37 6 2 2 2" xfId="14055"/>
    <cellStyle name="Calculation 37 6 2 3" xfId="14056"/>
    <cellStyle name="Calculation 37 6 3" xfId="14057"/>
    <cellStyle name="Calculation 37 6 3 2" xfId="14058"/>
    <cellStyle name="Calculation 37 6 3 2 2" xfId="14059"/>
    <cellStyle name="Calculation 37 6 3 3" xfId="14060"/>
    <cellStyle name="Calculation 37 6 4" xfId="14061"/>
    <cellStyle name="Calculation 37 6 4 2" xfId="14062"/>
    <cellStyle name="Calculation 37 6 5" xfId="14063"/>
    <cellStyle name="Calculation 37 6 5 2" xfId="14064"/>
    <cellStyle name="Calculation 37 6 6" xfId="14065"/>
    <cellStyle name="Calculation 37 6 7" xfId="14066"/>
    <cellStyle name="Calculation 37 6 8" xfId="14052"/>
    <cellStyle name="Calculation 37 7" xfId="4323"/>
    <cellStyle name="Calculation 37 7 2" xfId="14068"/>
    <cellStyle name="Calculation 37 7 3" xfId="14067"/>
    <cellStyle name="Calculation 37 8" xfId="8341"/>
    <cellStyle name="Calculation 37 8 2" xfId="14069"/>
    <cellStyle name="Calculation 37 9" xfId="14070"/>
    <cellStyle name="Calculation 37 9 2" xfId="14071"/>
    <cellStyle name="Calculation 38" xfId="474"/>
    <cellStyle name="Calculation 38 10" xfId="14073"/>
    <cellStyle name="Calculation 38 11" xfId="14074"/>
    <cellStyle name="Calculation 38 12" xfId="14072"/>
    <cellStyle name="Calculation 38 2" xfId="4324"/>
    <cellStyle name="Calculation 38 2 2" xfId="14075"/>
    <cellStyle name="Calculation 38 2 2 10" xfId="14076"/>
    <cellStyle name="Calculation 38 2 2 2" xfId="14077"/>
    <cellStyle name="Calculation 38 2 2 2 2" xfId="14078"/>
    <cellStyle name="Calculation 38 2 2 2 2 2" xfId="14079"/>
    <cellStyle name="Calculation 38 2 2 2 3" xfId="14080"/>
    <cellStyle name="Calculation 38 2 2 3" xfId="14081"/>
    <cellStyle name="Calculation 38 2 2 3 2" xfId="14082"/>
    <cellStyle name="Calculation 38 2 2 3 2 2" xfId="14083"/>
    <cellStyle name="Calculation 38 2 2 3 3" xfId="14084"/>
    <cellStyle name="Calculation 38 2 2 4" xfId="14085"/>
    <cellStyle name="Calculation 38 2 2 4 2" xfId="14086"/>
    <cellStyle name="Calculation 38 2 2 4 2 2" xfId="14087"/>
    <cellStyle name="Calculation 38 2 2 4 3" xfId="14088"/>
    <cellStyle name="Calculation 38 2 2 5" xfId="14089"/>
    <cellStyle name="Calculation 38 2 2 5 2" xfId="14090"/>
    <cellStyle name="Calculation 38 2 2 6" xfId="14091"/>
    <cellStyle name="Calculation 38 2 2 6 2" xfId="14092"/>
    <cellStyle name="Calculation 38 2 2 7" xfId="14093"/>
    <cellStyle name="Calculation 38 2 2 7 2" xfId="14094"/>
    <cellStyle name="Calculation 38 2 2 8" xfId="14095"/>
    <cellStyle name="Calculation 38 2 2 8 2" xfId="14096"/>
    <cellStyle name="Calculation 38 2 2 9" xfId="14097"/>
    <cellStyle name="Calculation 38 3" xfId="4325"/>
    <cellStyle name="Calculation 38 3 10" xfId="14099"/>
    <cellStyle name="Calculation 38 3 11" xfId="14098"/>
    <cellStyle name="Calculation 38 3 2" xfId="4326"/>
    <cellStyle name="Calculation 38 3 2 2" xfId="14101"/>
    <cellStyle name="Calculation 38 3 2 2 2" xfId="14102"/>
    <cellStyle name="Calculation 38 3 2 3" xfId="14103"/>
    <cellStyle name="Calculation 38 3 2 4" xfId="14100"/>
    <cellStyle name="Calculation 38 3 3" xfId="14104"/>
    <cellStyle name="Calculation 38 3 3 2" xfId="14105"/>
    <cellStyle name="Calculation 38 3 3 2 2" xfId="14106"/>
    <cellStyle name="Calculation 38 3 3 3" xfId="14107"/>
    <cellStyle name="Calculation 38 3 4" xfId="14108"/>
    <cellStyle name="Calculation 38 3 4 2" xfId="14109"/>
    <cellStyle name="Calculation 38 3 4 2 2" xfId="14110"/>
    <cellStyle name="Calculation 38 3 4 3" xfId="14111"/>
    <cellStyle name="Calculation 38 3 5" xfId="14112"/>
    <cellStyle name="Calculation 38 3 5 2" xfId="14113"/>
    <cellStyle name="Calculation 38 3 6" xfId="14114"/>
    <cellStyle name="Calculation 38 3 6 2" xfId="14115"/>
    <cellStyle name="Calculation 38 3 7" xfId="14116"/>
    <cellStyle name="Calculation 38 3 7 2" xfId="14117"/>
    <cellStyle name="Calculation 38 3 8" xfId="14118"/>
    <cellStyle name="Calculation 38 3 8 2" xfId="14119"/>
    <cellStyle name="Calculation 38 3 9" xfId="14120"/>
    <cellStyle name="Calculation 38 4" xfId="4327"/>
    <cellStyle name="Calculation 38 4 10" xfId="14122"/>
    <cellStyle name="Calculation 38 4 11" xfId="14121"/>
    <cellStyle name="Calculation 38 4 2" xfId="14123"/>
    <cellStyle name="Calculation 38 4 2 2" xfId="14124"/>
    <cellStyle name="Calculation 38 4 2 2 2" xfId="14125"/>
    <cellStyle name="Calculation 38 4 2 3" xfId="14126"/>
    <cellStyle name="Calculation 38 4 3" xfId="14127"/>
    <cellStyle name="Calculation 38 4 3 2" xfId="14128"/>
    <cellStyle name="Calculation 38 4 3 2 2" xfId="14129"/>
    <cellStyle name="Calculation 38 4 3 3" xfId="14130"/>
    <cellStyle name="Calculation 38 4 4" xfId="14131"/>
    <cellStyle name="Calculation 38 4 4 2" xfId="14132"/>
    <cellStyle name="Calculation 38 4 4 2 2" xfId="14133"/>
    <cellStyle name="Calculation 38 4 4 3" xfId="14134"/>
    <cellStyle name="Calculation 38 4 5" xfId="14135"/>
    <cellStyle name="Calculation 38 4 5 2" xfId="14136"/>
    <cellStyle name="Calculation 38 4 6" xfId="14137"/>
    <cellStyle name="Calculation 38 4 6 2" xfId="14138"/>
    <cellStyle name="Calculation 38 4 7" xfId="14139"/>
    <cellStyle name="Calculation 38 4 7 2" xfId="14140"/>
    <cellStyle name="Calculation 38 4 8" xfId="14141"/>
    <cellStyle name="Calculation 38 4 8 2" xfId="14142"/>
    <cellStyle name="Calculation 38 4 9" xfId="14143"/>
    <cellStyle name="Calculation 38 5" xfId="4328"/>
    <cellStyle name="Calculation 38 5 10" xfId="14144"/>
    <cellStyle name="Calculation 38 5 2" xfId="14145"/>
    <cellStyle name="Calculation 38 5 2 2" xfId="14146"/>
    <cellStyle name="Calculation 38 5 2 2 2" xfId="14147"/>
    <cellStyle name="Calculation 38 5 2 3" xfId="14148"/>
    <cellStyle name="Calculation 38 5 3" xfId="14149"/>
    <cellStyle name="Calculation 38 5 3 2" xfId="14150"/>
    <cellStyle name="Calculation 38 5 3 2 2" xfId="14151"/>
    <cellStyle name="Calculation 38 5 3 3" xfId="14152"/>
    <cellStyle name="Calculation 38 5 4" xfId="14153"/>
    <cellStyle name="Calculation 38 5 4 2" xfId="14154"/>
    <cellStyle name="Calculation 38 5 4 2 2" xfId="14155"/>
    <cellStyle name="Calculation 38 5 4 3" xfId="14156"/>
    <cellStyle name="Calculation 38 5 5" xfId="14157"/>
    <cellStyle name="Calculation 38 5 5 2" xfId="14158"/>
    <cellStyle name="Calculation 38 5 6" xfId="14159"/>
    <cellStyle name="Calculation 38 5 6 2" xfId="14160"/>
    <cellStyle name="Calculation 38 5 7" xfId="14161"/>
    <cellStyle name="Calculation 38 5 7 2" xfId="14162"/>
    <cellStyle name="Calculation 38 5 8" xfId="14163"/>
    <cellStyle name="Calculation 38 5 8 2" xfId="14164"/>
    <cellStyle name="Calculation 38 5 9" xfId="14165"/>
    <cellStyle name="Calculation 38 6" xfId="4329"/>
    <cellStyle name="Calculation 38 6 2" xfId="3417"/>
    <cellStyle name="Calculation 38 6 2 2" xfId="14168"/>
    <cellStyle name="Calculation 38 6 2 2 2" xfId="14169"/>
    <cellStyle name="Calculation 38 6 2 3" xfId="14170"/>
    <cellStyle name="Calculation 38 6 2 4" xfId="14167"/>
    <cellStyle name="Calculation 38 6 3" xfId="14171"/>
    <cellStyle name="Calculation 38 6 3 2" xfId="14172"/>
    <cellStyle name="Calculation 38 6 3 2 2" xfId="14173"/>
    <cellStyle name="Calculation 38 6 3 3" xfId="14174"/>
    <cellStyle name="Calculation 38 6 4" xfId="14175"/>
    <cellStyle name="Calculation 38 6 4 2" xfId="14176"/>
    <cellStyle name="Calculation 38 6 5" xfId="14177"/>
    <cellStyle name="Calculation 38 6 5 2" xfId="14178"/>
    <cellStyle name="Calculation 38 6 6" xfId="14179"/>
    <cellStyle name="Calculation 38 6 7" xfId="14180"/>
    <cellStyle name="Calculation 38 6 8" xfId="14166"/>
    <cellStyle name="Calculation 38 7" xfId="3418"/>
    <cellStyle name="Calculation 38 7 2" xfId="3419"/>
    <cellStyle name="Calculation 38 7 2 2" xfId="14182"/>
    <cellStyle name="Calculation 38 7 3" xfId="14181"/>
    <cellStyle name="Calculation 38 8" xfId="14183"/>
    <cellStyle name="Calculation 38 8 2" xfId="14184"/>
    <cellStyle name="Calculation 38 9" xfId="14185"/>
    <cellStyle name="Calculation 38 9 2" xfId="14186"/>
    <cellStyle name="Calculation 39" xfId="7814"/>
    <cellStyle name="Calculation 39 2" xfId="14188"/>
    <cellStyle name="Calculation 39 3" xfId="14189"/>
    <cellStyle name="Calculation 39 4" xfId="14187"/>
    <cellStyle name="Calculation 4" xfId="489"/>
    <cellStyle name="Calculation 4 10" xfId="14190"/>
    <cellStyle name="Calculation 4 11" xfId="14191"/>
    <cellStyle name="Calculation 4 2" xfId="490"/>
    <cellStyle name="Calculation 4 2 2" xfId="491"/>
    <cellStyle name="Calculation 4 2 2 10" xfId="14192"/>
    <cellStyle name="Calculation 4 2 2 2" xfId="7964"/>
    <cellStyle name="Calculation 4 2 2 2 2" xfId="14193"/>
    <cellStyle name="Calculation 4 2 2 2 2 2" xfId="14194"/>
    <cellStyle name="Calculation 4 2 2 2 3" xfId="14195"/>
    <cellStyle name="Calculation 4 2 2 2 4" xfId="14196"/>
    <cellStyle name="Calculation 4 2 2 3" xfId="14197"/>
    <cellStyle name="Calculation 4 2 2 3 2" xfId="14198"/>
    <cellStyle name="Calculation 4 2 2 3 2 2" xfId="14199"/>
    <cellStyle name="Calculation 4 2 2 3 3" xfId="14200"/>
    <cellStyle name="Calculation 4 2 2 4" xfId="14201"/>
    <cellStyle name="Calculation 4 2 2 4 2" xfId="14202"/>
    <cellStyle name="Calculation 4 2 2 4 2 2" xfId="14203"/>
    <cellStyle name="Calculation 4 2 2 4 3" xfId="14204"/>
    <cellStyle name="Calculation 4 2 2 5" xfId="14205"/>
    <cellStyle name="Calculation 4 2 2 5 2" xfId="14206"/>
    <cellStyle name="Calculation 4 2 2 6" xfId="14207"/>
    <cellStyle name="Calculation 4 2 2 6 2" xfId="14208"/>
    <cellStyle name="Calculation 4 2 2 7" xfId="14209"/>
    <cellStyle name="Calculation 4 2 2 7 2" xfId="14210"/>
    <cellStyle name="Calculation 4 2 2 8" xfId="14211"/>
    <cellStyle name="Calculation 4 2 2 8 2" xfId="14212"/>
    <cellStyle name="Calculation 4 2 2 9" xfId="14213"/>
    <cellStyle name="Calculation 4 2 3" xfId="4330"/>
    <cellStyle name="Calculation 4 2 3 2" xfId="14215"/>
    <cellStyle name="Calculation 4 2 3 2 2" xfId="14216"/>
    <cellStyle name="Calculation 4 2 3 2 2 2" xfId="14217"/>
    <cellStyle name="Calculation 4 2 3 2 3" xfId="14218"/>
    <cellStyle name="Calculation 4 2 3 2 4" xfId="14219"/>
    <cellStyle name="Calculation 4 2 3 3" xfId="14220"/>
    <cellStyle name="Calculation 4 2 3 3 2" xfId="14221"/>
    <cellStyle name="Calculation 4 2 3 3 2 2" xfId="14222"/>
    <cellStyle name="Calculation 4 2 3 3 3" xfId="14223"/>
    <cellStyle name="Calculation 4 2 3 4" xfId="14224"/>
    <cellStyle name="Calculation 4 2 3 4 2" xfId="14225"/>
    <cellStyle name="Calculation 4 2 3 5" xfId="14226"/>
    <cellStyle name="Calculation 4 2 3 5 2" xfId="14227"/>
    <cellStyle name="Calculation 4 2 3 6" xfId="14228"/>
    <cellStyle name="Calculation 4 2 3 7" xfId="14229"/>
    <cellStyle name="Calculation 4 2 3 8" xfId="14214"/>
    <cellStyle name="Calculation 4 2 4" xfId="4331"/>
    <cellStyle name="Calculation 4 2 4 2" xfId="4332"/>
    <cellStyle name="Calculation 4 2 4 2 2" xfId="14231"/>
    <cellStyle name="Calculation 4 2 4 3" xfId="14232"/>
    <cellStyle name="Calculation 4 2 4 4" xfId="14230"/>
    <cellStyle name="Calculation 4 2 5" xfId="4333"/>
    <cellStyle name="Calculation 4 2 5 2" xfId="3420"/>
    <cellStyle name="Calculation 4 2 5 2 2" xfId="14234"/>
    <cellStyle name="Calculation 4 2 5 3" xfId="14233"/>
    <cellStyle name="Calculation 4 2 6" xfId="3421"/>
    <cellStyle name="Calculation 4 2 6 2" xfId="14236"/>
    <cellStyle name="Calculation 4 2 6 3" xfId="14235"/>
    <cellStyle name="Calculation 4 2 7" xfId="3422"/>
    <cellStyle name="Calculation 4 2 7 2" xfId="14237"/>
    <cellStyle name="Calculation 4 2 8" xfId="7963"/>
    <cellStyle name="Calculation 4 3" xfId="492"/>
    <cellStyle name="Calculation 4 3 2" xfId="493"/>
    <cellStyle name="Calculation 4 3 2 10" xfId="14238"/>
    <cellStyle name="Calculation 4 3 2 2" xfId="7966"/>
    <cellStyle name="Calculation 4 3 2 2 2" xfId="14239"/>
    <cellStyle name="Calculation 4 3 2 2 2 2" xfId="14240"/>
    <cellStyle name="Calculation 4 3 2 2 3" xfId="14241"/>
    <cellStyle name="Calculation 4 3 2 3" xfId="14242"/>
    <cellStyle name="Calculation 4 3 2 3 2" xfId="14243"/>
    <cellStyle name="Calculation 4 3 2 3 2 2" xfId="14244"/>
    <cellStyle name="Calculation 4 3 2 3 3" xfId="14245"/>
    <cellStyle name="Calculation 4 3 2 4" xfId="14246"/>
    <cellStyle name="Calculation 4 3 2 4 2" xfId="14247"/>
    <cellStyle name="Calculation 4 3 2 4 2 2" xfId="14248"/>
    <cellStyle name="Calculation 4 3 2 4 3" xfId="14249"/>
    <cellStyle name="Calculation 4 3 2 5" xfId="14250"/>
    <cellStyle name="Calculation 4 3 2 5 2" xfId="14251"/>
    <cellStyle name="Calculation 4 3 2 6" xfId="14252"/>
    <cellStyle name="Calculation 4 3 2 6 2" xfId="14253"/>
    <cellStyle name="Calculation 4 3 2 7" xfId="14254"/>
    <cellStyle name="Calculation 4 3 2 7 2" xfId="14255"/>
    <cellStyle name="Calculation 4 3 2 8" xfId="14256"/>
    <cellStyle name="Calculation 4 3 2 8 2" xfId="14257"/>
    <cellStyle name="Calculation 4 3 2 9" xfId="14258"/>
    <cellStyle name="Calculation 4 3 3" xfId="7965"/>
    <cellStyle name="Calculation 4 3 3 2" xfId="14259"/>
    <cellStyle name="Calculation 4 3 3 2 2" xfId="14260"/>
    <cellStyle name="Calculation 4 3 3 2 2 2" xfId="14261"/>
    <cellStyle name="Calculation 4 3 3 2 3" xfId="14262"/>
    <cellStyle name="Calculation 4 3 3 3" xfId="14263"/>
    <cellStyle name="Calculation 4 3 3 3 2" xfId="14264"/>
    <cellStyle name="Calculation 4 3 3 3 2 2" xfId="14265"/>
    <cellStyle name="Calculation 4 3 3 3 3" xfId="14266"/>
    <cellStyle name="Calculation 4 3 3 4" xfId="14267"/>
    <cellStyle name="Calculation 4 3 3 4 2" xfId="14268"/>
    <cellStyle name="Calculation 4 3 3 5" xfId="14269"/>
    <cellStyle name="Calculation 4 3 3 5 2" xfId="14270"/>
    <cellStyle name="Calculation 4 3 3 6" xfId="14271"/>
    <cellStyle name="Calculation 4 3 3 7" xfId="14272"/>
    <cellStyle name="Calculation 4 3 4" xfId="14273"/>
    <cellStyle name="Calculation 4 3 4 2" xfId="14274"/>
    <cellStyle name="Calculation 4 3 5" xfId="14275"/>
    <cellStyle name="Calculation 4 3 5 2" xfId="14276"/>
    <cellStyle name="Calculation 4 3 6" xfId="14277"/>
    <cellStyle name="Calculation 4 3 6 2" xfId="14278"/>
    <cellStyle name="Calculation 4 3 7" xfId="14279"/>
    <cellStyle name="Calculation 4 3 8" xfId="14280"/>
    <cellStyle name="Calculation 4 4" xfId="494"/>
    <cellStyle name="Calculation 4 4 10" xfId="14281"/>
    <cellStyle name="Calculation 4 4 2" xfId="7967"/>
    <cellStyle name="Calculation 4 4 2 2" xfId="14282"/>
    <cellStyle name="Calculation 4 4 2 2 2" xfId="14283"/>
    <cellStyle name="Calculation 4 4 2 3" xfId="14284"/>
    <cellStyle name="Calculation 4 4 2 4" xfId="14285"/>
    <cellStyle name="Calculation 4 4 3" xfId="14286"/>
    <cellStyle name="Calculation 4 4 3 2" xfId="14287"/>
    <cellStyle name="Calculation 4 4 3 2 2" xfId="14288"/>
    <cellStyle name="Calculation 4 4 3 3" xfId="14289"/>
    <cellStyle name="Calculation 4 4 4" xfId="14290"/>
    <cellStyle name="Calculation 4 4 4 2" xfId="14291"/>
    <cellStyle name="Calculation 4 4 4 2 2" xfId="14292"/>
    <cellStyle name="Calculation 4 4 4 3" xfId="14293"/>
    <cellStyle name="Calculation 4 4 5" xfId="14294"/>
    <cellStyle name="Calculation 4 4 5 2" xfId="14295"/>
    <cellStyle name="Calculation 4 4 6" xfId="14296"/>
    <cellStyle name="Calculation 4 4 6 2" xfId="14297"/>
    <cellStyle name="Calculation 4 4 7" xfId="14298"/>
    <cellStyle name="Calculation 4 4 7 2" xfId="14299"/>
    <cellStyle name="Calculation 4 4 8" xfId="14300"/>
    <cellStyle name="Calculation 4 4 8 2" xfId="14301"/>
    <cellStyle name="Calculation 4 4 9" xfId="14302"/>
    <cellStyle name="Calculation 4 5" xfId="3423"/>
    <cellStyle name="Calculation 4 5 10" xfId="14304"/>
    <cellStyle name="Calculation 4 5 11" xfId="14303"/>
    <cellStyle name="Calculation 4 5 2" xfId="3424"/>
    <cellStyle name="Calculation 4 5 2 2" xfId="14306"/>
    <cellStyle name="Calculation 4 5 2 2 2" xfId="14307"/>
    <cellStyle name="Calculation 4 5 2 3" xfId="14308"/>
    <cellStyle name="Calculation 4 5 2 4" xfId="14309"/>
    <cellStyle name="Calculation 4 5 2 5" xfId="14305"/>
    <cellStyle name="Calculation 4 5 3" xfId="14310"/>
    <cellStyle name="Calculation 4 5 3 2" xfId="14311"/>
    <cellStyle name="Calculation 4 5 3 2 2" xfId="14312"/>
    <cellStyle name="Calculation 4 5 3 3" xfId="14313"/>
    <cellStyle name="Calculation 4 5 4" xfId="14314"/>
    <cellStyle name="Calculation 4 5 4 2" xfId="14315"/>
    <cellStyle name="Calculation 4 5 4 2 2" xfId="14316"/>
    <cellStyle name="Calculation 4 5 4 3" xfId="14317"/>
    <cellStyle name="Calculation 4 5 5" xfId="14318"/>
    <cellStyle name="Calculation 4 5 5 2" xfId="14319"/>
    <cellStyle name="Calculation 4 5 6" xfId="14320"/>
    <cellStyle name="Calculation 4 5 6 2" xfId="14321"/>
    <cellStyle name="Calculation 4 5 7" xfId="14322"/>
    <cellStyle name="Calculation 4 5 7 2" xfId="14323"/>
    <cellStyle name="Calculation 4 5 8" xfId="14324"/>
    <cellStyle name="Calculation 4 5 8 2" xfId="14325"/>
    <cellStyle name="Calculation 4 5 9" xfId="14326"/>
    <cellStyle name="Calculation 4 6" xfId="3425"/>
    <cellStyle name="Calculation 4 6 2" xfId="4334"/>
    <cellStyle name="Calculation 4 6 2 2" xfId="14329"/>
    <cellStyle name="Calculation 4 6 2 2 2" xfId="14330"/>
    <cellStyle name="Calculation 4 6 2 3" xfId="14331"/>
    <cellStyle name="Calculation 4 6 2 4" xfId="14328"/>
    <cellStyle name="Calculation 4 6 3" xfId="14332"/>
    <cellStyle name="Calculation 4 6 3 2" xfId="14333"/>
    <cellStyle name="Calculation 4 6 3 2 2" xfId="14334"/>
    <cellStyle name="Calculation 4 6 3 3" xfId="14335"/>
    <cellStyle name="Calculation 4 6 4" xfId="14336"/>
    <cellStyle name="Calculation 4 6 4 2" xfId="14337"/>
    <cellStyle name="Calculation 4 6 5" xfId="14338"/>
    <cellStyle name="Calculation 4 6 5 2" xfId="14339"/>
    <cellStyle name="Calculation 4 6 6" xfId="14340"/>
    <cellStyle name="Calculation 4 6 7" xfId="14341"/>
    <cellStyle name="Calculation 4 6 8" xfId="14327"/>
    <cellStyle name="Calculation 4 7" xfId="3426"/>
    <cellStyle name="Calculation 4 7 2" xfId="14343"/>
    <cellStyle name="Calculation 4 7 3" xfId="14342"/>
    <cellStyle name="Calculation 4 8" xfId="5267"/>
    <cellStyle name="Calculation 4 8 2" xfId="14345"/>
    <cellStyle name="Calculation 4 8 3" xfId="14344"/>
    <cellStyle name="Calculation 4 9" xfId="7962"/>
    <cellStyle name="Calculation 4 9 2" xfId="14346"/>
    <cellStyle name="Calculation 40" xfId="7947"/>
    <cellStyle name="Calculation 5" xfId="495"/>
    <cellStyle name="Calculation 5 10" xfId="14347"/>
    <cellStyle name="Calculation 5 11" xfId="14348"/>
    <cellStyle name="Calculation 5 2" xfId="496"/>
    <cellStyle name="Calculation 5 2 2" xfId="3427"/>
    <cellStyle name="Calculation 5 2 2 10" xfId="14350"/>
    <cellStyle name="Calculation 5 2 2 11" xfId="14349"/>
    <cellStyle name="Calculation 5 2 2 2" xfId="14351"/>
    <cellStyle name="Calculation 5 2 2 2 2" xfId="14352"/>
    <cellStyle name="Calculation 5 2 2 2 2 2" xfId="14353"/>
    <cellStyle name="Calculation 5 2 2 2 3" xfId="14354"/>
    <cellStyle name="Calculation 5 2 2 2 4" xfId="14355"/>
    <cellStyle name="Calculation 5 2 2 3" xfId="14356"/>
    <cellStyle name="Calculation 5 2 2 3 2" xfId="14357"/>
    <cellStyle name="Calculation 5 2 2 3 2 2" xfId="14358"/>
    <cellStyle name="Calculation 5 2 2 3 3" xfId="14359"/>
    <cellStyle name="Calculation 5 2 2 4" xfId="14360"/>
    <cellStyle name="Calculation 5 2 2 4 2" xfId="14361"/>
    <cellStyle name="Calculation 5 2 2 4 2 2" xfId="14362"/>
    <cellStyle name="Calculation 5 2 2 4 3" xfId="14363"/>
    <cellStyle name="Calculation 5 2 2 5" xfId="14364"/>
    <cellStyle name="Calculation 5 2 2 5 2" xfId="14365"/>
    <cellStyle name="Calculation 5 2 2 6" xfId="14366"/>
    <cellStyle name="Calculation 5 2 2 6 2" xfId="14367"/>
    <cellStyle name="Calculation 5 2 2 7" xfId="14368"/>
    <cellStyle name="Calculation 5 2 2 7 2" xfId="14369"/>
    <cellStyle name="Calculation 5 2 2 8" xfId="14370"/>
    <cellStyle name="Calculation 5 2 2 8 2" xfId="14371"/>
    <cellStyle name="Calculation 5 2 2 9" xfId="14372"/>
    <cellStyle name="Calculation 5 2 3" xfId="3428"/>
    <cellStyle name="Calculation 5 2 3 2" xfId="14374"/>
    <cellStyle name="Calculation 5 2 3 2 2" xfId="14375"/>
    <cellStyle name="Calculation 5 2 3 2 2 2" xfId="14376"/>
    <cellStyle name="Calculation 5 2 3 2 3" xfId="14377"/>
    <cellStyle name="Calculation 5 2 3 2 4" xfId="14378"/>
    <cellStyle name="Calculation 5 2 3 3" xfId="14379"/>
    <cellStyle name="Calculation 5 2 3 3 2" xfId="14380"/>
    <cellStyle name="Calculation 5 2 3 3 2 2" xfId="14381"/>
    <cellStyle name="Calculation 5 2 3 3 3" xfId="14382"/>
    <cellStyle name="Calculation 5 2 3 4" xfId="14383"/>
    <cellStyle name="Calculation 5 2 3 4 2" xfId="14384"/>
    <cellStyle name="Calculation 5 2 3 5" xfId="14385"/>
    <cellStyle name="Calculation 5 2 3 5 2" xfId="14386"/>
    <cellStyle name="Calculation 5 2 3 6" xfId="14387"/>
    <cellStyle name="Calculation 5 2 3 7" xfId="14388"/>
    <cellStyle name="Calculation 5 2 3 8" xfId="14373"/>
    <cellStyle name="Calculation 5 2 4" xfId="4974"/>
    <cellStyle name="Calculation 5 2 4 2" xfId="3429"/>
    <cellStyle name="Calculation 5 2 4 2 2" xfId="14390"/>
    <cellStyle name="Calculation 5 2 4 3" xfId="14391"/>
    <cellStyle name="Calculation 5 2 4 4" xfId="14389"/>
    <cellStyle name="Calculation 5 2 5" xfId="3430"/>
    <cellStyle name="Calculation 5 2 5 2" xfId="3431"/>
    <cellStyle name="Calculation 5 2 5 2 2" xfId="14393"/>
    <cellStyle name="Calculation 5 2 5 3" xfId="14392"/>
    <cellStyle name="Calculation 5 2 6" xfId="4335"/>
    <cellStyle name="Calculation 5 2 6 2" xfId="14395"/>
    <cellStyle name="Calculation 5 2 6 3" xfId="14394"/>
    <cellStyle name="Calculation 5 2 7" xfId="4336"/>
    <cellStyle name="Calculation 5 2 7 2" xfId="14396"/>
    <cellStyle name="Calculation 5 2 8" xfId="7969"/>
    <cellStyle name="Calculation 5 3" xfId="3432"/>
    <cellStyle name="Calculation 5 3 2" xfId="14398"/>
    <cellStyle name="Calculation 5 3 2 10" xfId="14399"/>
    <cellStyle name="Calculation 5 3 2 2" xfId="14400"/>
    <cellStyle name="Calculation 5 3 2 2 2" xfId="14401"/>
    <cellStyle name="Calculation 5 3 2 2 2 2" xfId="14402"/>
    <cellStyle name="Calculation 5 3 2 2 3" xfId="14403"/>
    <cellStyle name="Calculation 5 3 2 3" xfId="14404"/>
    <cellStyle name="Calculation 5 3 2 3 2" xfId="14405"/>
    <cellStyle name="Calculation 5 3 2 3 2 2" xfId="14406"/>
    <cellStyle name="Calculation 5 3 2 3 3" xfId="14407"/>
    <cellStyle name="Calculation 5 3 2 4" xfId="14408"/>
    <cellStyle name="Calculation 5 3 2 4 2" xfId="14409"/>
    <cellStyle name="Calculation 5 3 2 4 2 2" xfId="14410"/>
    <cellStyle name="Calculation 5 3 2 4 3" xfId="14411"/>
    <cellStyle name="Calculation 5 3 2 5" xfId="14412"/>
    <cellStyle name="Calculation 5 3 2 5 2" xfId="14413"/>
    <cellStyle name="Calculation 5 3 2 6" xfId="14414"/>
    <cellStyle name="Calculation 5 3 2 6 2" xfId="14415"/>
    <cellStyle name="Calculation 5 3 2 7" xfId="14416"/>
    <cellStyle name="Calculation 5 3 2 7 2" xfId="14417"/>
    <cellStyle name="Calculation 5 3 2 8" xfId="14418"/>
    <cellStyle name="Calculation 5 3 2 8 2" xfId="14419"/>
    <cellStyle name="Calculation 5 3 2 9" xfId="14420"/>
    <cellStyle name="Calculation 5 3 3" xfId="14421"/>
    <cellStyle name="Calculation 5 3 3 2" xfId="14422"/>
    <cellStyle name="Calculation 5 3 3 2 2" xfId="14423"/>
    <cellStyle name="Calculation 5 3 3 2 2 2" xfId="14424"/>
    <cellStyle name="Calculation 5 3 3 2 3" xfId="14425"/>
    <cellStyle name="Calculation 5 3 3 3" xfId="14426"/>
    <cellStyle name="Calculation 5 3 3 3 2" xfId="14427"/>
    <cellStyle name="Calculation 5 3 3 3 2 2" xfId="14428"/>
    <cellStyle name="Calculation 5 3 3 3 3" xfId="14429"/>
    <cellStyle name="Calculation 5 3 3 4" xfId="14430"/>
    <cellStyle name="Calculation 5 3 3 4 2" xfId="14431"/>
    <cellStyle name="Calculation 5 3 3 5" xfId="14432"/>
    <cellStyle name="Calculation 5 3 3 5 2" xfId="14433"/>
    <cellStyle name="Calculation 5 3 3 6" xfId="14434"/>
    <cellStyle name="Calculation 5 3 3 7" xfId="14435"/>
    <cellStyle name="Calculation 5 3 4" xfId="14436"/>
    <cellStyle name="Calculation 5 3 4 2" xfId="14437"/>
    <cellStyle name="Calculation 5 3 5" xfId="14438"/>
    <cellStyle name="Calculation 5 3 5 2" xfId="14439"/>
    <cellStyle name="Calculation 5 3 6" xfId="14440"/>
    <cellStyle name="Calculation 5 3 6 2" xfId="14441"/>
    <cellStyle name="Calculation 5 3 7" xfId="14442"/>
    <cellStyle name="Calculation 5 3 8" xfId="14443"/>
    <cellStyle name="Calculation 5 3 9" xfId="14397"/>
    <cellStyle name="Calculation 5 4" xfId="3433"/>
    <cellStyle name="Calculation 5 4 10" xfId="14445"/>
    <cellStyle name="Calculation 5 4 11" xfId="14444"/>
    <cellStyle name="Calculation 5 4 2" xfId="14446"/>
    <cellStyle name="Calculation 5 4 2 2" xfId="14447"/>
    <cellStyle name="Calculation 5 4 2 2 2" xfId="14448"/>
    <cellStyle name="Calculation 5 4 2 3" xfId="14449"/>
    <cellStyle name="Calculation 5 4 2 4" xfId="14450"/>
    <cellStyle name="Calculation 5 4 3" xfId="14451"/>
    <cellStyle name="Calculation 5 4 3 2" xfId="14452"/>
    <cellStyle name="Calculation 5 4 3 2 2" xfId="14453"/>
    <cellStyle name="Calculation 5 4 3 3" xfId="14454"/>
    <cellStyle name="Calculation 5 4 4" xfId="14455"/>
    <cellStyle name="Calculation 5 4 4 2" xfId="14456"/>
    <cellStyle name="Calculation 5 4 4 2 2" xfId="14457"/>
    <cellStyle name="Calculation 5 4 4 3" xfId="14458"/>
    <cellStyle name="Calculation 5 4 5" xfId="14459"/>
    <cellStyle name="Calculation 5 4 5 2" xfId="14460"/>
    <cellStyle name="Calculation 5 4 6" xfId="14461"/>
    <cellStyle name="Calculation 5 4 6 2" xfId="14462"/>
    <cellStyle name="Calculation 5 4 7" xfId="14463"/>
    <cellStyle name="Calculation 5 4 7 2" xfId="14464"/>
    <cellStyle name="Calculation 5 4 8" xfId="14465"/>
    <cellStyle name="Calculation 5 4 8 2" xfId="14466"/>
    <cellStyle name="Calculation 5 4 9" xfId="14467"/>
    <cellStyle name="Calculation 5 5" xfId="3434"/>
    <cellStyle name="Calculation 5 5 10" xfId="14469"/>
    <cellStyle name="Calculation 5 5 11" xfId="14468"/>
    <cellStyle name="Calculation 5 5 2" xfId="3435"/>
    <cellStyle name="Calculation 5 5 2 2" xfId="14471"/>
    <cellStyle name="Calculation 5 5 2 2 2" xfId="14472"/>
    <cellStyle name="Calculation 5 5 2 3" xfId="14473"/>
    <cellStyle name="Calculation 5 5 2 4" xfId="14474"/>
    <cellStyle name="Calculation 5 5 2 5" xfId="14470"/>
    <cellStyle name="Calculation 5 5 3" xfId="14475"/>
    <cellStyle name="Calculation 5 5 3 2" xfId="14476"/>
    <cellStyle name="Calculation 5 5 3 2 2" xfId="14477"/>
    <cellStyle name="Calculation 5 5 3 3" xfId="14478"/>
    <cellStyle name="Calculation 5 5 4" xfId="14479"/>
    <cellStyle name="Calculation 5 5 4 2" xfId="14480"/>
    <cellStyle name="Calculation 5 5 4 2 2" xfId="14481"/>
    <cellStyle name="Calculation 5 5 4 3" xfId="14482"/>
    <cellStyle name="Calculation 5 5 5" xfId="14483"/>
    <cellStyle name="Calculation 5 5 5 2" xfId="14484"/>
    <cellStyle name="Calculation 5 5 6" xfId="14485"/>
    <cellStyle name="Calculation 5 5 6 2" xfId="14486"/>
    <cellStyle name="Calculation 5 5 7" xfId="14487"/>
    <cellStyle name="Calculation 5 5 7 2" xfId="14488"/>
    <cellStyle name="Calculation 5 5 8" xfId="14489"/>
    <cellStyle name="Calculation 5 5 8 2" xfId="14490"/>
    <cellStyle name="Calculation 5 5 9" xfId="14491"/>
    <cellStyle name="Calculation 5 6" xfId="3436"/>
    <cellStyle name="Calculation 5 6 2" xfId="3437"/>
    <cellStyle name="Calculation 5 6 2 2" xfId="14494"/>
    <cellStyle name="Calculation 5 6 2 2 2" xfId="14495"/>
    <cellStyle name="Calculation 5 6 2 3" xfId="14496"/>
    <cellStyle name="Calculation 5 6 2 4" xfId="14493"/>
    <cellStyle name="Calculation 5 6 3" xfId="14497"/>
    <cellStyle name="Calculation 5 6 3 2" xfId="14498"/>
    <cellStyle name="Calculation 5 6 3 2 2" xfId="14499"/>
    <cellStyle name="Calculation 5 6 3 3" xfId="14500"/>
    <cellStyle name="Calculation 5 6 4" xfId="14501"/>
    <cellStyle name="Calculation 5 6 4 2" xfId="14502"/>
    <cellStyle name="Calculation 5 6 5" xfId="14503"/>
    <cellStyle name="Calculation 5 6 5 2" xfId="14504"/>
    <cellStyle name="Calculation 5 6 6" xfId="14505"/>
    <cellStyle name="Calculation 5 6 7" xfId="14506"/>
    <cellStyle name="Calculation 5 6 8" xfId="14492"/>
    <cellStyle name="Calculation 5 7" xfId="3438"/>
    <cellStyle name="Calculation 5 7 2" xfId="14508"/>
    <cellStyle name="Calculation 5 7 3" xfId="14507"/>
    <cellStyle name="Calculation 5 8" xfId="3439"/>
    <cellStyle name="Calculation 5 8 2" xfId="14510"/>
    <cellStyle name="Calculation 5 8 3" xfId="14509"/>
    <cellStyle name="Calculation 5 9" xfId="7968"/>
    <cellStyle name="Calculation 5 9 2" xfId="14511"/>
    <cellStyle name="Calculation 6" xfId="497"/>
    <cellStyle name="Calculation 6 10" xfId="5268"/>
    <cellStyle name="Calculation 6 10 2" xfId="14512"/>
    <cellStyle name="Calculation 6 11" xfId="14513"/>
    <cellStyle name="Calculation 6 2" xfId="498"/>
    <cellStyle name="Calculation 6 2 10" xfId="14514"/>
    <cellStyle name="Calculation 6 2 2" xfId="499"/>
    <cellStyle name="Calculation 6 2 2 10" xfId="14516"/>
    <cellStyle name="Calculation 6 2 2 11" xfId="14515"/>
    <cellStyle name="Calculation 6 2 2 2" xfId="4337"/>
    <cellStyle name="Calculation 6 2 2 2 2" xfId="14518"/>
    <cellStyle name="Calculation 6 2 2 2 2 2" xfId="14519"/>
    <cellStyle name="Calculation 6 2 2 2 3" xfId="14520"/>
    <cellStyle name="Calculation 6 2 2 2 4" xfId="14521"/>
    <cellStyle name="Calculation 6 2 2 2 5" xfId="14517"/>
    <cellStyle name="Calculation 6 2 2 3" xfId="7971"/>
    <cellStyle name="Calculation 6 2 2 3 2" xfId="14523"/>
    <cellStyle name="Calculation 6 2 2 3 2 2" xfId="14524"/>
    <cellStyle name="Calculation 6 2 2 3 3" xfId="14525"/>
    <cellStyle name="Calculation 6 2 2 3 4" xfId="14522"/>
    <cellStyle name="Calculation 6 2 2 4" xfId="14526"/>
    <cellStyle name="Calculation 6 2 2 4 2" xfId="14527"/>
    <cellStyle name="Calculation 6 2 2 4 2 2" xfId="14528"/>
    <cellStyle name="Calculation 6 2 2 4 3" xfId="14529"/>
    <cellStyle name="Calculation 6 2 2 5" xfId="14530"/>
    <cellStyle name="Calculation 6 2 2 5 2" xfId="14531"/>
    <cellStyle name="Calculation 6 2 2 6" xfId="14532"/>
    <cellStyle name="Calculation 6 2 2 6 2" xfId="14533"/>
    <cellStyle name="Calculation 6 2 2 7" xfId="14534"/>
    <cellStyle name="Calculation 6 2 2 7 2" xfId="14535"/>
    <cellStyle name="Calculation 6 2 2 8" xfId="14536"/>
    <cellStyle name="Calculation 6 2 2 8 2" xfId="14537"/>
    <cellStyle name="Calculation 6 2 2 9" xfId="14538"/>
    <cellStyle name="Calculation 6 2 3" xfId="4975"/>
    <cellStyle name="Calculation 6 2 3 2" xfId="14540"/>
    <cellStyle name="Calculation 6 2 3 2 2" xfId="14541"/>
    <cellStyle name="Calculation 6 2 3 2 2 2" xfId="14542"/>
    <cellStyle name="Calculation 6 2 3 2 3" xfId="14543"/>
    <cellStyle name="Calculation 6 2 3 2 4" xfId="14544"/>
    <cellStyle name="Calculation 6 2 3 3" xfId="14545"/>
    <cellStyle name="Calculation 6 2 3 3 2" xfId="14546"/>
    <cellStyle name="Calculation 6 2 3 3 2 2" xfId="14547"/>
    <cellStyle name="Calculation 6 2 3 3 3" xfId="14548"/>
    <cellStyle name="Calculation 6 2 3 4" xfId="14549"/>
    <cellStyle name="Calculation 6 2 3 4 2" xfId="14550"/>
    <cellStyle name="Calculation 6 2 3 5" xfId="14551"/>
    <cellStyle name="Calculation 6 2 3 5 2" xfId="14552"/>
    <cellStyle name="Calculation 6 2 3 6" xfId="14553"/>
    <cellStyle name="Calculation 6 2 3 7" xfId="14554"/>
    <cellStyle name="Calculation 6 2 3 8" xfId="14539"/>
    <cellStyle name="Calculation 6 2 4" xfId="3441"/>
    <cellStyle name="Calculation 6 2 4 2" xfId="3442"/>
    <cellStyle name="Calculation 6 2 4 2 2" xfId="14556"/>
    <cellStyle name="Calculation 6 2 4 3" xfId="14557"/>
    <cellStyle name="Calculation 6 2 4 4" xfId="14555"/>
    <cellStyle name="Calculation 6 2 5" xfId="4338"/>
    <cellStyle name="Calculation 6 2 5 2" xfId="3443"/>
    <cellStyle name="Calculation 6 2 5 2 2" xfId="14559"/>
    <cellStyle name="Calculation 6 2 5 3" xfId="14558"/>
    <cellStyle name="Calculation 6 2 6" xfId="4339"/>
    <cellStyle name="Calculation 6 2 6 2" xfId="14561"/>
    <cellStyle name="Calculation 6 2 6 3" xfId="14560"/>
    <cellStyle name="Calculation 6 2 7" xfId="4340"/>
    <cellStyle name="Calculation 6 2 7 2" xfId="14562"/>
    <cellStyle name="Calculation 6 2 8" xfId="3440"/>
    <cellStyle name="Calculation 6 2 8 2" xfId="14563"/>
    <cellStyle name="Calculation 6 2 9" xfId="7970"/>
    <cellStyle name="Calculation 6 3" xfId="500"/>
    <cellStyle name="Calculation 6 3 2" xfId="4342"/>
    <cellStyle name="Calculation 6 3 2 10" xfId="14566"/>
    <cellStyle name="Calculation 6 3 2 11" xfId="14565"/>
    <cellStyle name="Calculation 6 3 2 2" xfId="14567"/>
    <cellStyle name="Calculation 6 3 2 2 2" xfId="14568"/>
    <cellStyle name="Calculation 6 3 2 2 2 2" xfId="14569"/>
    <cellStyle name="Calculation 6 3 2 2 3" xfId="14570"/>
    <cellStyle name="Calculation 6 3 2 3" xfId="14571"/>
    <cellStyle name="Calculation 6 3 2 3 2" xfId="14572"/>
    <cellStyle name="Calculation 6 3 2 3 2 2" xfId="14573"/>
    <cellStyle name="Calculation 6 3 2 3 3" xfId="14574"/>
    <cellStyle name="Calculation 6 3 2 4" xfId="14575"/>
    <cellStyle name="Calculation 6 3 2 4 2" xfId="14576"/>
    <cellStyle name="Calculation 6 3 2 4 2 2" xfId="14577"/>
    <cellStyle name="Calculation 6 3 2 4 3" xfId="14578"/>
    <cellStyle name="Calculation 6 3 2 5" xfId="14579"/>
    <cellStyle name="Calculation 6 3 2 5 2" xfId="14580"/>
    <cellStyle name="Calculation 6 3 2 6" xfId="14581"/>
    <cellStyle name="Calculation 6 3 2 6 2" xfId="14582"/>
    <cellStyle name="Calculation 6 3 2 7" xfId="14583"/>
    <cellStyle name="Calculation 6 3 2 7 2" xfId="14584"/>
    <cellStyle name="Calculation 6 3 2 8" xfId="14585"/>
    <cellStyle name="Calculation 6 3 2 8 2" xfId="14586"/>
    <cellStyle name="Calculation 6 3 2 9" xfId="14587"/>
    <cellStyle name="Calculation 6 3 3" xfId="4341"/>
    <cellStyle name="Calculation 6 3 3 2" xfId="14589"/>
    <cellStyle name="Calculation 6 3 3 2 2" xfId="14590"/>
    <cellStyle name="Calculation 6 3 3 2 2 2" xfId="14591"/>
    <cellStyle name="Calculation 6 3 3 2 3" xfId="14592"/>
    <cellStyle name="Calculation 6 3 3 3" xfId="14593"/>
    <cellStyle name="Calculation 6 3 3 3 2" xfId="14594"/>
    <cellStyle name="Calculation 6 3 3 3 2 2" xfId="14595"/>
    <cellStyle name="Calculation 6 3 3 3 3" xfId="14596"/>
    <cellStyle name="Calculation 6 3 3 4" xfId="14597"/>
    <cellStyle name="Calculation 6 3 3 4 2" xfId="14598"/>
    <cellStyle name="Calculation 6 3 3 5" xfId="14599"/>
    <cellStyle name="Calculation 6 3 3 5 2" xfId="14600"/>
    <cellStyle name="Calculation 6 3 3 6" xfId="14601"/>
    <cellStyle name="Calculation 6 3 3 7" xfId="14602"/>
    <cellStyle name="Calculation 6 3 3 8" xfId="14588"/>
    <cellStyle name="Calculation 6 3 4" xfId="7972"/>
    <cellStyle name="Calculation 6 3 4 2" xfId="14604"/>
    <cellStyle name="Calculation 6 3 4 3" xfId="14603"/>
    <cellStyle name="Calculation 6 3 5" xfId="14605"/>
    <cellStyle name="Calculation 6 3 5 2" xfId="14606"/>
    <cellStyle name="Calculation 6 3 6" xfId="14607"/>
    <cellStyle name="Calculation 6 3 6 2" xfId="14608"/>
    <cellStyle name="Calculation 6 3 7" xfId="14609"/>
    <cellStyle name="Calculation 6 3 8" xfId="14610"/>
    <cellStyle name="Calculation 6 3 9" xfId="14564"/>
    <cellStyle name="Calculation 6 4" xfId="501"/>
    <cellStyle name="Calculation 6 4 10" xfId="14612"/>
    <cellStyle name="Calculation 6 4 11" xfId="14611"/>
    <cellStyle name="Calculation 6 4 2" xfId="4343"/>
    <cellStyle name="Calculation 6 4 2 2" xfId="14614"/>
    <cellStyle name="Calculation 6 4 2 2 2" xfId="14615"/>
    <cellStyle name="Calculation 6 4 2 3" xfId="14616"/>
    <cellStyle name="Calculation 6 4 2 4" xfId="14617"/>
    <cellStyle name="Calculation 6 4 2 5" xfId="14613"/>
    <cellStyle name="Calculation 6 4 3" xfId="14618"/>
    <cellStyle name="Calculation 6 4 3 2" xfId="14619"/>
    <cellStyle name="Calculation 6 4 3 2 2" xfId="14620"/>
    <cellStyle name="Calculation 6 4 3 3" xfId="14621"/>
    <cellStyle name="Calculation 6 4 4" xfId="14622"/>
    <cellStyle name="Calculation 6 4 4 2" xfId="14623"/>
    <cellStyle name="Calculation 6 4 4 2 2" xfId="14624"/>
    <cellStyle name="Calculation 6 4 4 3" xfId="14625"/>
    <cellStyle name="Calculation 6 4 5" xfId="14626"/>
    <cellStyle name="Calculation 6 4 5 2" xfId="14627"/>
    <cellStyle name="Calculation 6 4 6" xfId="14628"/>
    <cellStyle name="Calculation 6 4 6 2" xfId="14629"/>
    <cellStyle name="Calculation 6 4 7" xfId="14630"/>
    <cellStyle name="Calculation 6 4 7 2" xfId="14631"/>
    <cellStyle name="Calculation 6 4 8" xfId="14632"/>
    <cellStyle name="Calculation 6 4 8 2" xfId="14633"/>
    <cellStyle name="Calculation 6 4 9" xfId="14634"/>
    <cellStyle name="Calculation 6 5" xfId="2593"/>
    <cellStyle name="Calculation 6 5 10" xfId="14635"/>
    <cellStyle name="Calculation 6 5 2" xfId="3444"/>
    <cellStyle name="Calculation 6 5 2 2" xfId="14637"/>
    <cellStyle name="Calculation 6 5 2 2 2" xfId="14638"/>
    <cellStyle name="Calculation 6 5 2 3" xfId="14639"/>
    <cellStyle name="Calculation 6 5 2 4" xfId="14640"/>
    <cellStyle name="Calculation 6 5 2 5" xfId="14636"/>
    <cellStyle name="Calculation 6 5 3" xfId="8342"/>
    <cellStyle name="Calculation 6 5 3 2" xfId="14641"/>
    <cellStyle name="Calculation 6 5 3 2 2" xfId="14642"/>
    <cellStyle name="Calculation 6 5 3 3" xfId="14643"/>
    <cellStyle name="Calculation 6 5 4" xfId="14644"/>
    <cellStyle name="Calculation 6 5 4 2" xfId="14645"/>
    <cellStyle name="Calculation 6 5 4 2 2" xfId="14646"/>
    <cellStyle name="Calculation 6 5 4 3" xfId="14647"/>
    <cellStyle name="Calculation 6 5 5" xfId="14648"/>
    <cellStyle name="Calculation 6 5 5 2" xfId="14649"/>
    <cellStyle name="Calculation 6 5 6" xfId="14650"/>
    <cellStyle name="Calculation 6 5 6 2" xfId="14651"/>
    <cellStyle name="Calculation 6 5 7" xfId="14652"/>
    <cellStyle name="Calculation 6 5 7 2" xfId="14653"/>
    <cellStyle name="Calculation 6 5 8" xfId="14654"/>
    <cellStyle name="Calculation 6 5 8 2" xfId="14655"/>
    <cellStyle name="Calculation 6 5 9" xfId="14656"/>
    <cellStyle name="Calculation 6 6" xfId="3445"/>
    <cellStyle name="Calculation 6 6 2" xfId="3446"/>
    <cellStyle name="Calculation 6 6 2 2" xfId="14659"/>
    <cellStyle name="Calculation 6 6 2 2 2" xfId="14660"/>
    <cellStyle name="Calculation 6 6 2 3" xfId="14661"/>
    <cellStyle name="Calculation 6 6 2 4" xfId="14658"/>
    <cellStyle name="Calculation 6 6 3" xfId="14662"/>
    <cellStyle name="Calculation 6 6 3 2" xfId="14663"/>
    <cellStyle name="Calculation 6 6 3 2 2" xfId="14664"/>
    <cellStyle name="Calculation 6 6 3 3" xfId="14665"/>
    <cellStyle name="Calculation 6 6 4" xfId="14666"/>
    <cellStyle name="Calculation 6 6 4 2" xfId="14667"/>
    <cellStyle name="Calculation 6 6 5" xfId="14668"/>
    <cellStyle name="Calculation 6 6 5 2" xfId="14669"/>
    <cellStyle name="Calculation 6 6 6" xfId="14670"/>
    <cellStyle name="Calculation 6 6 7" xfId="14671"/>
    <cellStyle name="Calculation 6 6 8" xfId="14657"/>
    <cellStyle name="Calculation 6 7" xfId="3447"/>
    <cellStyle name="Calculation 6 7 2" xfId="3448"/>
    <cellStyle name="Calculation 6 7 2 2" xfId="14673"/>
    <cellStyle name="Calculation 6 7 3" xfId="14672"/>
    <cellStyle name="Calculation 6 8" xfId="3449"/>
    <cellStyle name="Calculation 6 8 2" xfId="14675"/>
    <cellStyle name="Calculation 6 8 3" xfId="14674"/>
    <cellStyle name="Calculation 6 9" xfId="3450"/>
    <cellStyle name="Calculation 6 9 2" xfId="14677"/>
    <cellStyle name="Calculation 6 9 3" xfId="14676"/>
    <cellStyle name="Calculation 7" xfId="502"/>
    <cellStyle name="Calculation 7 10" xfId="3451"/>
    <cellStyle name="Calculation 7 10 2" xfId="14678"/>
    <cellStyle name="Calculation 7 11" xfId="7973"/>
    <cellStyle name="Calculation 7 11 2" xfId="14679"/>
    <cellStyle name="Calculation 7 2" xfId="503"/>
    <cellStyle name="Calculation 7 2 10" xfId="14680"/>
    <cellStyle name="Calculation 7 2 2" xfId="3452"/>
    <cellStyle name="Calculation 7 2 2 10" xfId="14682"/>
    <cellStyle name="Calculation 7 2 2 11" xfId="14681"/>
    <cellStyle name="Calculation 7 2 2 2" xfId="14683"/>
    <cellStyle name="Calculation 7 2 2 2 2" xfId="14684"/>
    <cellStyle name="Calculation 7 2 2 2 2 2" xfId="14685"/>
    <cellStyle name="Calculation 7 2 2 2 3" xfId="14686"/>
    <cellStyle name="Calculation 7 2 2 2 4" xfId="14687"/>
    <cellStyle name="Calculation 7 2 2 3" xfId="14688"/>
    <cellStyle name="Calculation 7 2 2 3 2" xfId="14689"/>
    <cellStyle name="Calculation 7 2 2 3 2 2" xfId="14690"/>
    <cellStyle name="Calculation 7 2 2 3 3" xfId="14691"/>
    <cellStyle name="Calculation 7 2 2 4" xfId="14692"/>
    <cellStyle name="Calculation 7 2 2 4 2" xfId="14693"/>
    <cellStyle name="Calculation 7 2 2 4 2 2" xfId="14694"/>
    <cellStyle name="Calculation 7 2 2 4 3" xfId="14695"/>
    <cellStyle name="Calculation 7 2 2 5" xfId="14696"/>
    <cellStyle name="Calculation 7 2 2 5 2" xfId="14697"/>
    <cellStyle name="Calculation 7 2 2 6" xfId="14698"/>
    <cellStyle name="Calculation 7 2 2 6 2" xfId="14699"/>
    <cellStyle name="Calculation 7 2 2 7" xfId="14700"/>
    <cellStyle name="Calculation 7 2 2 7 2" xfId="14701"/>
    <cellStyle name="Calculation 7 2 2 8" xfId="14702"/>
    <cellStyle name="Calculation 7 2 2 8 2" xfId="14703"/>
    <cellStyle name="Calculation 7 2 2 9" xfId="14704"/>
    <cellStyle name="Calculation 7 2 3" xfId="4976"/>
    <cellStyle name="Calculation 7 2 3 2" xfId="14706"/>
    <cellStyle name="Calculation 7 2 3 2 2" xfId="14707"/>
    <cellStyle name="Calculation 7 2 3 2 2 2" xfId="14708"/>
    <cellStyle name="Calculation 7 2 3 2 3" xfId="14709"/>
    <cellStyle name="Calculation 7 2 3 2 4" xfId="14710"/>
    <cellStyle name="Calculation 7 2 3 3" xfId="14711"/>
    <cellStyle name="Calculation 7 2 3 3 2" xfId="14712"/>
    <cellStyle name="Calculation 7 2 3 3 2 2" xfId="14713"/>
    <cellStyle name="Calculation 7 2 3 3 3" xfId="14714"/>
    <cellStyle name="Calculation 7 2 3 4" xfId="14715"/>
    <cellStyle name="Calculation 7 2 3 4 2" xfId="14716"/>
    <cellStyle name="Calculation 7 2 3 5" xfId="14717"/>
    <cellStyle name="Calculation 7 2 3 5 2" xfId="14718"/>
    <cellStyle name="Calculation 7 2 3 6" xfId="14719"/>
    <cellStyle name="Calculation 7 2 3 7" xfId="14720"/>
    <cellStyle name="Calculation 7 2 3 8" xfId="14705"/>
    <cellStyle name="Calculation 7 2 4" xfId="3453"/>
    <cellStyle name="Calculation 7 2 4 2" xfId="3454"/>
    <cellStyle name="Calculation 7 2 4 2 2" xfId="14722"/>
    <cellStyle name="Calculation 7 2 4 3" xfId="14723"/>
    <cellStyle name="Calculation 7 2 4 4" xfId="14721"/>
    <cellStyle name="Calculation 7 2 5" xfId="3455"/>
    <cellStyle name="Calculation 7 2 5 2" xfId="3456"/>
    <cellStyle name="Calculation 7 2 5 2 2" xfId="14725"/>
    <cellStyle name="Calculation 7 2 5 3" xfId="14724"/>
    <cellStyle name="Calculation 7 2 6" xfId="3457"/>
    <cellStyle name="Calculation 7 2 6 2" xfId="14727"/>
    <cellStyle name="Calculation 7 2 6 3" xfId="14726"/>
    <cellStyle name="Calculation 7 2 7" xfId="3458"/>
    <cellStyle name="Calculation 7 2 7 2" xfId="14728"/>
    <cellStyle name="Calculation 7 2 8" xfId="4344"/>
    <cellStyle name="Calculation 7 2 8 2" xfId="14729"/>
    <cellStyle name="Calculation 7 2 9" xfId="7974"/>
    <cellStyle name="Calculation 7 3" xfId="2594"/>
    <cellStyle name="Calculation 7 3 2" xfId="3460"/>
    <cellStyle name="Calculation 7 3 2 10" xfId="14731"/>
    <cellStyle name="Calculation 7 3 2 11" xfId="14730"/>
    <cellStyle name="Calculation 7 3 2 2" xfId="14732"/>
    <cellStyle name="Calculation 7 3 2 2 2" xfId="14733"/>
    <cellStyle name="Calculation 7 3 2 2 2 2" xfId="14734"/>
    <cellStyle name="Calculation 7 3 2 2 3" xfId="14735"/>
    <cellStyle name="Calculation 7 3 2 3" xfId="14736"/>
    <cellStyle name="Calculation 7 3 2 3 2" xfId="14737"/>
    <cellStyle name="Calculation 7 3 2 3 2 2" xfId="14738"/>
    <cellStyle name="Calculation 7 3 2 3 3" xfId="14739"/>
    <cellStyle name="Calculation 7 3 2 4" xfId="14740"/>
    <cellStyle name="Calculation 7 3 2 4 2" xfId="14741"/>
    <cellStyle name="Calculation 7 3 2 4 2 2" xfId="14742"/>
    <cellStyle name="Calculation 7 3 2 4 3" xfId="14743"/>
    <cellStyle name="Calculation 7 3 2 5" xfId="14744"/>
    <cellStyle name="Calculation 7 3 2 5 2" xfId="14745"/>
    <cellStyle name="Calculation 7 3 2 6" xfId="14746"/>
    <cellStyle name="Calculation 7 3 2 6 2" xfId="14747"/>
    <cellStyle name="Calculation 7 3 2 7" xfId="14748"/>
    <cellStyle name="Calculation 7 3 2 7 2" xfId="14749"/>
    <cellStyle name="Calculation 7 3 2 8" xfId="14750"/>
    <cellStyle name="Calculation 7 3 2 8 2" xfId="14751"/>
    <cellStyle name="Calculation 7 3 2 9" xfId="14752"/>
    <cellStyle name="Calculation 7 3 3" xfId="3459"/>
    <cellStyle name="Calculation 7 3 3 2" xfId="14754"/>
    <cellStyle name="Calculation 7 3 3 2 2" xfId="14755"/>
    <cellStyle name="Calculation 7 3 3 2 2 2" xfId="14756"/>
    <cellStyle name="Calculation 7 3 3 2 3" xfId="14757"/>
    <cellStyle name="Calculation 7 3 3 3" xfId="14758"/>
    <cellStyle name="Calculation 7 3 3 3 2" xfId="14759"/>
    <cellStyle name="Calculation 7 3 3 3 2 2" xfId="14760"/>
    <cellStyle name="Calculation 7 3 3 3 3" xfId="14761"/>
    <cellStyle name="Calculation 7 3 3 4" xfId="14762"/>
    <cellStyle name="Calculation 7 3 3 4 2" xfId="14763"/>
    <cellStyle name="Calculation 7 3 3 5" xfId="14764"/>
    <cellStyle name="Calculation 7 3 3 5 2" xfId="14765"/>
    <cellStyle name="Calculation 7 3 3 6" xfId="14766"/>
    <cellStyle name="Calculation 7 3 3 7" xfId="14767"/>
    <cellStyle name="Calculation 7 3 3 8" xfId="14753"/>
    <cellStyle name="Calculation 7 3 4" xfId="8343"/>
    <cellStyle name="Calculation 7 3 4 2" xfId="14768"/>
    <cellStyle name="Calculation 7 3 5" xfId="14769"/>
    <cellStyle name="Calculation 7 3 5 2" xfId="14770"/>
    <cellStyle name="Calculation 7 3 6" xfId="14771"/>
    <cellStyle name="Calculation 7 3 6 2" xfId="14772"/>
    <cellStyle name="Calculation 7 3 7" xfId="14773"/>
    <cellStyle name="Calculation 7 3 8" xfId="14774"/>
    <cellStyle name="Calculation 7 4" xfId="4345"/>
    <cellStyle name="Calculation 7 4 10" xfId="14776"/>
    <cellStyle name="Calculation 7 4 11" xfId="14775"/>
    <cellStyle name="Calculation 7 4 2" xfId="14777"/>
    <cellStyle name="Calculation 7 4 2 2" xfId="14778"/>
    <cellStyle name="Calculation 7 4 2 2 2" xfId="14779"/>
    <cellStyle name="Calculation 7 4 2 3" xfId="14780"/>
    <cellStyle name="Calculation 7 4 2 4" xfId="14781"/>
    <cellStyle name="Calculation 7 4 3" xfId="14782"/>
    <cellStyle name="Calculation 7 4 3 2" xfId="14783"/>
    <cellStyle name="Calculation 7 4 3 2 2" xfId="14784"/>
    <cellStyle name="Calculation 7 4 3 3" xfId="14785"/>
    <cellStyle name="Calculation 7 4 4" xfId="14786"/>
    <cellStyle name="Calculation 7 4 4 2" xfId="14787"/>
    <cellStyle name="Calculation 7 4 4 2 2" xfId="14788"/>
    <cellStyle name="Calculation 7 4 4 3" xfId="14789"/>
    <cellStyle name="Calculation 7 4 5" xfId="14790"/>
    <cellStyle name="Calculation 7 4 5 2" xfId="14791"/>
    <cellStyle name="Calculation 7 4 6" xfId="14792"/>
    <cellStyle name="Calculation 7 4 6 2" xfId="14793"/>
    <cellStyle name="Calculation 7 4 7" xfId="14794"/>
    <cellStyle name="Calculation 7 4 7 2" xfId="14795"/>
    <cellStyle name="Calculation 7 4 8" xfId="14796"/>
    <cellStyle name="Calculation 7 4 8 2" xfId="14797"/>
    <cellStyle name="Calculation 7 4 9" xfId="14798"/>
    <cellStyle name="Calculation 7 5" xfId="4346"/>
    <cellStyle name="Calculation 7 5 10" xfId="14800"/>
    <cellStyle name="Calculation 7 5 11" xfId="14799"/>
    <cellStyle name="Calculation 7 5 2" xfId="14801"/>
    <cellStyle name="Calculation 7 5 2 2" xfId="14802"/>
    <cellStyle name="Calculation 7 5 2 2 2" xfId="14803"/>
    <cellStyle name="Calculation 7 5 2 3" xfId="14804"/>
    <cellStyle name="Calculation 7 5 2 4" xfId="14805"/>
    <cellStyle name="Calculation 7 5 3" xfId="14806"/>
    <cellStyle name="Calculation 7 5 3 2" xfId="14807"/>
    <cellStyle name="Calculation 7 5 3 2 2" xfId="14808"/>
    <cellStyle name="Calculation 7 5 3 3" xfId="14809"/>
    <cellStyle name="Calculation 7 5 4" xfId="14810"/>
    <cellStyle name="Calculation 7 5 4 2" xfId="14811"/>
    <cellStyle name="Calculation 7 5 4 2 2" xfId="14812"/>
    <cellStyle name="Calculation 7 5 4 3" xfId="14813"/>
    <cellStyle name="Calculation 7 5 5" xfId="14814"/>
    <cellStyle name="Calculation 7 5 5 2" xfId="14815"/>
    <cellStyle name="Calculation 7 5 6" xfId="14816"/>
    <cellStyle name="Calculation 7 5 6 2" xfId="14817"/>
    <cellStyle name="Calculation 7 5 7" xfId="14818"/>
    <cellStyle name="Calculation 7 5 7 2" xfId="14819"/>
    <cellStyle name="Calculation 7 5 8" xfId="14820"/>
    <cellStyle name="Calculation 7 5 8 2" xfId="14821"/>
    <cellStyle name="Calculation 7 5 9" xfId="14822"/>
    <cellStyle name="Calculation 7 6" xfId="4977"/>
    <cellStyle name="Calculation 7 6 2" xfId="4978"/>
    <cellStyle name="Calculation 7 6 2 2" xfId="14825"/>
    <cellStyle name="Calculation 7 6 2 2 2" xfId="14826"/>
    <cellStyle name="Calculation 7 6 2 3" xfId="14827"/>
    <cellStyle name="Calculation 7 6 2 4" xfId="14824"/>
    <cellStyle name="Calculation 7 6 3" xfId="14828"/>
    <cellStyle name="Calculation 7 6 3 2" xfId="14829"/>
    <cellStyle name="Calculation 7 6 3 2 2" xfId="14830"/>
    <cellStyle name="Calculation 7 6 3 3" xfId="14831"/>
    <cellStyle name="Calculation 7 6 4" xfId="14832"/>
    <cellStyle name="Calculation 7 6 4 2" xfId="14833"/>
    <cellStyle name="Calculation 7 6 5" xfId="14834"/>
    <cellStyle name="Calculation 7 6 5 2" xfId="14835"/>
    <cellStyle name="Calculation 7 6 6" xfId="14836"/>
    <cellStyle name="Calculation 7 6 7" xfId="14837"/>
    <cellStyle name="Calculation 7 6 8" xfId="14823"/>
    <cellStyle name="Calculation 7 7" xfId="4979"/>
    <cellStyle name="Calculation 7 7 2" xfId="4980"/>
    <cellStyle name="Calculation 7 7 2 2" xfId="14839"/>
    <cellStyle name="Calculation 7 7 3" xfId="14838"/>
    <cellStyle name="Calculation 7 8" xfId="3461"/>
    <cellStyle name="Calculation 7 8 2" xfId="14841"/>
    <cellStyle name="Calculation 7 8 3" xfId="14840"/>
    <cellStyle name="Calculation 7 9" xfId="4981"/>
    <cellStyle name="Calculation 7 9 2" xfId="14843"/>
    <cellStyle name="Calculation 7 9 3" xfId="14842"/>
    <cellStyle name="Calculation 8" xfId="504"/>
    <cellStyle name="Calculation 8 10" xfId="4982"/>
    <cellStyle name="Calculation 8 10 2" xfId="14844"/>
    <cellStyle name="Calculation 8 11" xfId="7975"/>
    <cellStyle name="Calculation 8 11 2" xfId="14845"/>
    <cellStyle name="Calculation 8 2" xfId="505"/>
    <cellStyle name="Calculation 8 2 10" xfId="14846"/>
    <cellStyle name="Calculation 8 2 2" xfId="4984"/>
    <cellStyle name="Calculation 8 2 2 10" xfId="14848"/>
    <cellStyle name="Calculation 8 2 2 11" xfId="14847"/>
    <cellStyle name="Calculation 8 2 2 2" xfId="14849"/>
    <cellStyle name="Calculation 8 2 2 2 2" xfId="14850"/>
    <cellStyle name="Calculation 8 2 2 2 2 2" xfId="14851"/>
    <cellStyle name="Calculation 8 2 2 2 3" xfId="14852"/>
    <cellStyle name="Calculation 8 2 2 2 4" xfId="14853"/>
    <cellStyle name="Calculation 8 2 2 3" xfId="14854"/>
    <cellStyle name="Calculation 8 2 2 3 2" xfId="14855"/>
    <cellStyle name="Calculation 8 2 2 3 2 2" xfId="14856"/>
    <cellStyle name="Calculation 8 2 2 3 3" xfId="14857"/>
    <cellStyle name="Calculation 8 2 2 4" xfId="14858"/>
    <cellStyle name="Calculation 8 2 2 4 2" xfId="14859"/>
    <cellStyle name="Calculation 8 2 2 4 2 2" xfId="14860"/>
    <cellStyle name="Calculation 8 2 2 4 3" xfId="14861"/>
    <cellStyle name="Calculation 8 2 2 5" xfId="14862"/>
    <cellStyle name="Calculation 8 2 2 5 2" xfId="14863"/>
    <cellStyle name="Calculation 8 2 2 6" xfId="14864"/>
    <cellStyle name="Calculation 8 2 2 6 2" xfId="14865"/>
    <cellStyle name="Calculation 8 2 2 7" xfId="14866"/>
    <cellStyle name="Calculation 8 2 2 7 2" xfId="14867"/>
    <cellStyle name="Calculation 8 2 2 8" xfId="14868"/>
    <cellStyle name="Calculation 8 2 2 8 2" xfId="14869"/>
    <cellStyle name="Calculation 8 2 2 9" xfId="14870"/>
    <cellStyle name="Calculation 8 2 3" xfId="4985"/>
    <cellStyle name="Calculation 8 2 3 2" xfId="14872"/>
    <cellStyle name="Calculation 8 2 3 2 2" xfId="14873"/>
    <cellStyle name="Calculation 8 2 3 2 2 2" xfId="14874"/>
    <cellStyle name="Calculation 8 2 3 2 3" xfId="14875"/>
    <cellStyle name="Calculation 8 2 3 2 4" xfId="14876"/>
    <cellStyle name="Calculation 8 2 3 3" xfId="14877"/>
    <cellStyle name="Calculation 8 2 3 3 2" xfId="14878"/>
    <cellStyle name="Calculation 8 2 3 3 2 2" xfId="14879"/>
    <cellStyle name="Calculation 8 2 3 3 3" xfId="14880"/>
    <cellStyle name="Calculation 8 2 3 4" xfId="14881"/>
    <cellStyle name="Calculation 8 2 3 4 2" xfId="14882"/>
    <cellStyle name="Calculation 8 2 3 5" xfId="14883"/>
    <cellStyle name="Calculation 8 2 3 5 2" xfId="14884"/>
    <cellStyle name="Calculation 8 2 3 6" xfId="14885"/>
    <cellStyle name="Calculation 8 2 3 7" xfId="14886"/>
    <cellStyle name="Calculation 8 2 3 8" xfId="14871"/>
    <cellStyle name="Calculation 8 2 4" xfId="4347"/>
    <cellStyle name="Calculation 8 2 4 2" xfId="4986"/>
    <cellStyle name="Calculation 8 2 4 2 2" xfId="14888"/>
    <cellStyle name="Calculation 8 2 4 3" xfId="14889"/>
    <cellStyle name="Calculation 8 2 4 4" xfId="14887"/>
    <cellStyle name="Calculation 8 2 5" xfId="4987"/>
    <cellStyle name="Calculation 8 2 5 2" xfId="4988"/>
    <cellStyle name="Calculation 8 2 5 2 2" xfId="14891"/>
    <cellStyle name="Calculation 8 2 5 3" xfId="14890"/>
    <cellStyle name="Calculation 8 2 6" xfId="4348"/>
    <cellStyle name="Calculation 8 2 6 2" xfId="14893"/>
    <cellStyle name="Calculation 8 2 6 3" xfId="14892"/>
    <cellStyle name="Calculation 8 2 7" xfId="4989"/>
    <cellStyle name="Calculation 8 2 7 2" xfId="14894"/>
    <cellStyle name="Calculation 8 2 8" xfId="4983"/>
    <cellStyle name="Calculation 8 2 8 2" xfId="14895"/>
    <cellStyle name="Calculation 8 2 9" xfId="7976"/>
    <cellStyle name="Calculation 8 3" xfId="2595"/>
    <cellStyle name="Calculation 8 3 2" xfId="4350"/>
    <cellStyle name="Calculation 8 3 2 10" xfId="14897"/>
    <cellStyle name="Calculation 8 3 2 11" xfId="14896"/>
    <cellStyle name="Calculation 8 3 2 2" xfId="14898"/>
    <cellStyle name="Calculation 8 3 2 2 2" xfId="14899"/>
    <cellStyle name="Calculation 8 3 2 2 2 2" xfId="14900"/>
    <cellStyle name="Calculation 8 3 2 2 3" xfId="14901"/>
    <cellStyle name="Calculation 8 3 2 3" xfId="14902"/>
    <cellStyle name="Calculation 8 3 2 3 2" xfId="14903"/>
    <cellStyle name="Calculation 8 3 2 3 2 2" xfId="14904"/>
    <cellStyle name="Calculation 8 3 2 3 3" xfId="14905"/>
    <cellStyle name="Calculation 8 3 2 4" xfId="14906"/>
    <cellStyle name="Calculation 8 3 2 4 2" xfId="14907"/>
    <cellStyle name="Calculation 8 3 2 4 2 2" xfId="14908"/>
    <cellStyle name="Calculation 8 3 2 4 3" xfId="14909"/>
    <cellStyle name="Calculation 8 3 2 5" xfId="14910"/>
    <cellStyle name="Calculation 8 3 2 5 2" xfId="14911"/>
    <cellStyle name="Calculation 8 3 2 6" xfId="14912"/>
    <cellStyle name="Calculation 8 3 2 6 2" xfId="14913"/>
    <cellStyle name="Calculation 8 3 2 7" xfId="14914"/>
    <cellStyle name="Calculation 8 3 2 7 2" xfId="14915"/>
    <cellStyle name="Calculation 8 3 2 8" xfId="14916"/>
    <cellStyle name="Calculation 8 3 2 8 2" xfId="14917"/>
    <cellStyle name="Calculation 8 3 2 9" xfId="14918"/>
    <cellStyle name="Calculation 8 3 3" xfId="4349"/>
    <cellStyle name="Calculation 8 3 3 2" xfId="14920"/>
    <cellStyle name="Calculation 8 3 3 2 2" xfId="14921"/>
    <cellStyle name="Calculation 8 3 3 2 2 2" xfId="14922"/>
    <cellStyle name="Calculation 8 3 3 2 3" xfId="14923"/>
    <cellStyle name="Calculation 8 3 3 3" xfId="14924"/>
    <cellStyle name="Calculation 8 3 3 3 2" xfId="14925"/>
    <cellStyle name="Calculation 8 3 3 3 2 2" xfId="14926"/>
    <cellStyle name="Calculation 8 3 3 3 3" xfId="14927"/>
    <cellStyle name="Calculation 8 3 3 4" xfId="14928"/>
    <cellStyle name="Calculation 8 3 3 4 2" xfId="14929"/>
    <cellStyle name="Calculation 8 3 3 5" xfId="14930"/>
    <cellStyle name="Calculation 8 3 3 5 2" xfId="14931"/>
    <cellStyle name="Calculation 8 3 3 6" xfId="14932"/>
    <cellStyle name="Calculation 8 3 3 7" xfId="14933"/>
    <cellStyle name="Calculation 8 3 3 8" xfId="14919"/>
    <cellStyle name="Calculation 8 3 4" xfId="8344"/>
    <cellStyle name="Calculation 8 3 4 2" xfId="14934"/>
    <cellStyle name="Calculation 8 3 5" xfId="14935"/>
    <cellStyle name="Calculation 8 3 5 2" xfId="14936"/>
    <cellStyle name="Calculation 8 3 6" xfId="14937"/>
    <cellStyle name="Calculation 8 3 6 2" xfId="14938"/>
    <cellStyle name="Calculation 8 3 7" xfId="14939"/>
    <cellStyle name="Calculation 8 3 8" xfId="14940"/>
    <cellStyle name="Calculation 8 4" xfId="4351"/>
    <cellStyle name="Calculation 8 4 10" xfId="14942"/>
    <cellStyle name="Calculation 8 4 11" xfId="14941"/>
    <cellStyle name="Calculation 8 4 2" xfId="14943"/>
    <cellStyle name="Calculation 8 4 2 2" xfId="14944"/>
    <cellStyle name="Calculation 8 4 2 2 2" xfId="14945"/>
    <cellStyle name="Calculation 8 4 2 3" xfId="14946"/>
    <cellStyle name="Calculation 8 4 2 4" xfId="14947"/>
    <cellStyle name="Calculation 8 4 3" xfId="14948"/>
    <cellStyle name="Calculation 8 4 3 2" xfId="14949"/>
    <cellStyle name="Calculation 8 4 3 2 2" xfId="14950"/>
    <cellStyle name="Calculation 8 4 3 3" xfId="14951"/>
    <cellStyle name="Calculation 8 4 4" xfId="14952"/>
    <cellStyle name="Calculation 8 4 4 2" xfId="14953"/>
    <cellStyle name="Calculation 8 4 4 2 2" xfId="14954"/>
    <cellStyle name="Calculation 8 4 4 3" xfId="14955"/>
    <cellStyle name="Calculation 8 4 5" xfId="14956"/>
    <cellStyle name="Calculation 8 4 5 2" xfId="14957"/>
    <cellStyle name="Calculation 8 4 6" xfId="14958"/>
    <cellStyle name="Calculation 8 4 6 2" xfId="14959"/>
    <cellStyle name="Calculation 8 4 7" xfId="14960"/>
    <cellStyle name="Calculation 8 4 7 2" xfId="14961"/>
    <cellStyle name="Calculation 8 4 8" xfId="14962"/>
    <cellStyle name="Calculation 8 4 8 2" xfId="14963"/>
    <cellStyle name="Calculation 8 4 9" xfId="14964"/>
    <cellStyle name="Calculation 8 5" xfId="4352"/>
    <cellStyle name="Calculation 8 5 10" xfId="14966"/>
    <cellStyle name="Calculation 8 5 11" xfId="14965"/>
    <cellStyle name="Calculation 8 5 2" xfId="14967"/>
    <cellStyle name="Calculation 8 5 2 2" xfId="14968"/>
    <cellStyle name="Calculation 8 5 2 2 2" xfId="14969"/>
    <cellStyle name="Calculation 8 5 2 3" xfId="14970"/>
    <cellStyle name="Calculation 8 5 2 4" xfId="14971"/>
    <cellStyle name="Calculation 8 5 3" xfId="14972"/>
    <cellStyle name="Calculation 8 5 3 2" xfId="14973"/>
    <cellStyle name="Calculation 8 5 3 2 2" xfId="14974"/>
    <cellStyle name="Calculation 8 5 3 3" xfId="14975"/>
    <cellStyle name="Calculation 8 5 4" xfId="14976"/>
    <cellStyle name="Calculation 8 5 4 2" xfId="14977"/>
    <cellStyle name="Calculation 8 5 4 2 2" xfId="14978"/>
    <cellStyle name="Calculation 8 5 4 3" xfId="14979"/>
    <cellStyle name="Calculation 8 5 5" xfId="14980"/>
    <cellStyle name="Calculation 8 5 5 2" xfId="14981"/>
    <cellStyle name="Calculation 8 5 6" xfId="14982"/>
    <cellStyle name="Calculation 8 5 6 2" xfId="14983"/>
    <cellStyle name="Calculation 8 5 7" xfId="14984"/>
    <cellStyle name="Calculation 8 5 7 2" xfId="14985"/>
    <cellStyle name="Calculation 8 5 8" xfId="14986"/>
    <cellStyle name="Calculation 8 5 8 2" xfId="14987"/>
    <cellStyle name="Calculation 8 5 9" xfId="14988"/>
    <cellStyle name="Calculation 8 6" xfId="4353"/>
    <cellStyle name="Calculation 8 6 2" xfId="4990"/>
    <cellStyle name="Calculation 8 6 2 2" xfId="14991"/>
    <cellStyle name="Calculation 8 6 2 2 2" xfId="14992"/>
    <cellStyle name="Calculation 8 6 2 3" xfId="14993"/>
    <cellStyle name="Calculation 8 6 2 4" xfId="14990"/>
    <cellStyle name="Calculation 8 6 3" xfId="14994"/>
    <cellStyle name="Calculation 8 6 3 2" xfId="14995"/>
    <cellStyle name="Calculation 8 6 3 2 2" xfId="14996"/>
    <cellStyle name="Calculation 8 6 3 3" xfId="14997"/>
    <cellStyle name="Calculation 8 6 4" xfId="14998"/>
    <cellStyle name="Calculation 8 6 4 2" xfId="14999"/>
    <cellStyle name="Calculation 8 6 5" xfId="15000"/>
    <cellStyle name="Calculation 8 6 5 2" xfId="15001"/>
    <cellStyle name="Calculation 8 6 6" xfId="15002"/>
    <cellStyle name="Calculation 8 6 7" xfId="15003"/>
    <cellStyle name="Calculation 8 6 8" xfId="14989"/>
    <cellStyle name="Calculation 8 7" xfId="3462"/>
    <cellStyle name="Calculation 8 7 2" xfId="3463"/>
    <cellStyle name="Calculation 8 7 2 2" xfId="15005"/>
    <cellStyle name="Calculation 8 7 3" xfId="15004"/>
    <cellStyle name="Calculation 8 8" xfId="3464"/>
    <cellStyle name="Calculation 8 8 2" xfId="15007"/>
    <cellStyle name="Calculation 8 8 3" xfId="15006"/>
    <cellStyle name="Calculation 8 9" xfId="3465"/>
    <cellStyle name="Calculation 8 9 2" xfId="15009"/>
    <cellStyle name="Calculation 8 9 3" xfId="15008"/>
    <cellStyle name="Calculation 9" xfId="506"/>
    <cellStyle name="Calculation 9 10" xfId="3466"/>
    <cellStyle name="Calculation 9 10 2" xfId="15010"/>
    <cellStyle name="Calculation 9 11" xfId="7977"/>
    <cellStyle name="Calculation 9 11 2" xfId="15011"/>
    <cellStyle name="Calculation 9 2" xfId="2596"/>
    <cellStyle name="Calculation 9 2 2" xfId="3467"/>
    <cellStyle name="Calculation 9 2 2 10" xfId="15013"/>
    <cellStyle name="Calculation 9 2 2 11" xfId="15012"/>
    <cellStyle name="Calculation 9 2 2 2" xfId="15014"/>
    <cellStyle name="Calculation 9 2 2 2 2" xfId="15015"/>
    <cellStyle name="Calculation 9 2 2 2 2 2" xfId="15016"/>
    <cellStyle name="Calculation 9 2 2 2 3" xfId="15017"/>
    <cellStyle name="Calculation 9 2 2 2 4" xfId="15018"/>
    <cellStyle name="Calculation 9 2 2 3" xfId="15019"/>
    <cellStyle name="Calculation 9 2 2 3 2" xfId="15020"/>
    <cellStyle name="Calculation 9 2 2 3 2 2" xfId="15021"/>
    <cellStyle name="Calculation 9 2 2 3 3" xfId="15022"/>
    <cellStyle name="Calculation 9 2 2 4" xfId="15023"/>
    <cellStyle name="Calculation 9 2 2 4 2" xfId="15024"/>
    <cellStyle name="Calculation 9 2 2 4 2 2" xfId="15025"/>
    <cellStyle name="Calculation 9 2 2 4 3" xfId="15026"/>
    <cellStyle name="Calculation 9 2 2 5" xfId="15027"/>
    <cellStyle name="Calculation 9 2 2 5 2" xfId="15028"/>
    <cellStyle name="Calculation 9 2 2 6" xfId="15029"/>
    <cellStyle name="Calculation 9 2 2 6 2" xfId="15030"/>
    <cellStyle name="Calculation 9 2 2 7" xfId="15031"/>
    <cellStyle name="Calculation 9 2 2 7 2" xfId="15032"/>
    <cellStyle name="Calculation 9 2 2 8" xfId="15033"/>
    <cellStyle name="Calculation 9 2 2 8 2" xfId="15034"/>
    <cellStyle name="Calculation 9 2 2 9" xfId="15035"/>
    <cellStyle name="Calculation 9 2 3" xfId="4354"/>
    <cellStyle name="Calculation 9 2 3 2" xfId="15037"/>
    <cellStyle name="Calculation 9 2 3 2 2" xfId="15038"/>
    <cellStyle name="Calculation 9 2 3 2 2 2" xfId="15039"/>
    <cellStyle name="Calculation 9 2 3 2 3" xfId="15040"/>
    <cellStyle name="Calculation 9 2 3 2 4" xfId="15041"/>
    <cellStyle name="Calculation 9 2 3 3" xfId="15042"/>
    <cellStyle name="Calculation 9 2 3 3 2" xfId="15043"/>
    <cellStyle name="Calculation 9 2 3 3 2 2" xfId="15044"/>
    <cellStyle name="Calculation 9 2 3 3 3" xfId="15045"/>
    <cellStyle name="Calculation 9 2 3 4" xfId="15046"/>
    <cellStyle name="Calculation 9 2 3 4 2" xfId="15047"/>
    <cellStyle name="Calculation 9 2 3 5" xfId="15048"/>
    <cellStyle name="Calculation 9 2 3 5 2" xfId="15049"/>
    <cellStyle name="Calculation 9 2 3 6" xfId="15050"/>
    <cellStyle name="Calculation 9 2 3 7" xfId="15051"/>
    <cellStyle name="Calculation 9 2 3 8" xfId="15036"/>
    <cellStyle name="Calculation 9 2 4" xfId="3468"/>
    <cellStyle name="Calculation 9 2 4 2" xfId="4991"/>
    <cellStyle name="Calculation 9 2 4 2 2" xfId="15053"/>
    <cellStyle name="Calculation 9 2 4 3" xfId="15054"/>
    <cellStyle name="Calculation 9 2 4 4" xfId="15052"/>
    <cellStyle name="Calculation 9 2 5" xfId="4992"/>
    <cellStyle name="Calculation 9 2 5 2" xfId="4993"/>
    <cellStyle name="Calculation 9 2 5 2 2" xfId="15056"/>
    <cellStyle name="Calculation 9 2 5 3" xfId="15055"/>
    <cellStyle name="Calculation 9 2 6" xfId="4994"/>
    <cellStyle name="Calculation 9 2 6 2" xfId="15058"/>
    <cellStyle name="Calculation 9 2 6 3" xfId="15057"/>
    <cellStyle name="Calculation 9 2 7" xfId="4995"/>
    <cellStyle name="Calculation 9 2 7 2" xfId="15059"/>
    <cellStyle name="Calculation 9 2 8" xfId="8345"/>
    <cellStyle name="Calculation 9 3" xfId="4996"/>
    <cellStyle name="Calculation 9 3 2" xfId="4997"/>
    <cellStyle name="Calculation 9 3 2 10" xfId="15062"/>
    <cellStyle name="Calculation 9 3 2 11" xfId="15061"/>
    <cellStyle name="Calculation 9 3 2 2" xfId="15063"/>
    <cellStyle name="Calculation 9 3 2 2 2" xfId="15064"/>
    <cellStyle name="Calculation 9 3 2 2 2 2" xfId="15065"/>
    <cellStyle name="Calculation 9 3 2 2 3" xfId="15066"/>
    <cellStyle name="Calculation 9 3 2 3" xfId="15067"/>
    <cellStyle name="Calculation 9 3 2 3 2" xfId="15068"/>
    <cellStyle name="Calculation 9 3 2 3 2 2" xfId="15069"/>
    <cellStyle name="Calculation 9 3 2 3 3" xfId="15070"/>
    <cellStyle name="Calculation 9 3 2 4" xfId="15071"/>
    <cellStyle name="Calculation 9 3 2 4 2" xfId="15072"/>
    <cellStyle name="Calculation 9 3 2 4 2 2" xfId="15073"/>
    <cellStyle name="Calculation 9 3 2 4 3" xfId="15074"/>
    <cellStyle name="Calculation 9 3 2 5" xfId="15075"/>
    <cellStyle name="Calculation 9 3 2 5 2" xfId="15076"/>
    <cellStyle name="Calculation 9 3 2 6" xfId="15077"/>
    <cellStyle name="Calculation 9 3 2 6 2" xfId="15078"/>
    <cellStyle name="Calculation 9 3 2 7" xfId="15079"/>
    <cellStyle name="Calculation 9 3 2 7 2" xfId="15080"/>
    <cellStyle name="Calculation 9 3 2 8" xfId="15081"/>
    <cellStyle name="Calculation 9 3 2 8 2" xfId="15082"/>
    <cellStyle name="Calculation 9 3 2 9" xfId="15083"/>
    <cellStyle name="Calculation 9 3 3" xfId="15084"/>
    <cellStyle name="Calculation 9 3 3 2" xfId="15085"/>
    <cellStyle name="Calculation 9 3 3 2 2" xfId="15086"/>
    <cellStyle name="Calculation 9 3 3 2 2 2" xfId="15087"/>
    <cellStyle name="Calculation 9 3 3 2 3" xfId="15088"/>
    <cellStyle name="Calculation 9 3 3 3" xfId="15089"/>
    <cellStyle name="Calculation 9 3 3 3 2" xfId="15090"/>
    <cellStyle name="Calculation 9 3 3 3 2 2" xfId="15091"/>
    <cellStyle name="Calculation 9 3 3 3 3" xfId="15092"/>
    <cellStyle name="Calculation 9 3 3 4" xfId="15093"/>
    <cellStyle name="Calculation 9 3 3 4 2" xfId="15094"/>
    <cellStyle name="Calculation 9 3 3 5" xfId="15095"/>
    <cellStyle name="Calculation 9 3 3 5 2" xfId="15096"/>
    <cellStyle name="Calculation 9 3 3 6" xfId="15097"/>
    <cellStyle name="Calculation 9 3 3 7" xfId="15098"/>
    <cellStyle name="Calculation 9 3 4" xfId="15099"/>
    <cellStyle name="Calculation 9 3 4 2" xfId="15100"/>
    <cellStyle name="Calculation 9 3 5" xfId="15101"/>
    <cellStyle name="Calculation 9 3 5 2" xfId="15102"/>
    <cellStyle name="Calculation 9 3 6" xfId="15103"/>
    <cellStyle name="Calculation 9 3 6 2" xfId="15104"/>
    <cellStyle name="Calculation 9 3 7" xfId="15105"/>
    <cellStyle name="Calculation 9 3 8" xfId="15106"/>
    <cellStyle name="Calculation 9 3 9" xfId="15060"/>
    <cellStyle name="Calculation 9 4" xfId="4998"/>
    <cellStyle name="Calculation 9 4 10" xfId="15108"/>
    <cellStyle name="Calculation 9 4 11" xfId="15107"/>
    <cellStyle name="Calculation 9 4 2" xfId="15109"/>
    <cellStyle name="Calculation 9 4 2 2" xfId="15110"/>
    <cellStyle name="Calculation 9 4 2 2 2" xfId="15111"/>
    <cellStyle name="Calculation 9 4 2 3" xfId="15112"/>
    <cellStyle name="Calculation 9 4 2 4" xfId="15113"/>
    <cellStyle name="Calculation 9 4 3" xfId="15114"/>
    <cellStyle name="Calculation 9 4 3 2" xfId="15115"/>
    <cellStyle name="Calculation 9 4 3 2 2" xfId="15116"/>
    <cellStyle name="Calculation 9 4 3 3" xfId="15117"/>
    <cellStyle name="Calculation 9 4 4" xfId="15118"/>
    <cellStyle name="Calculation 9 4 4 2" xfId="15119"/>
    <cellStyle name="Calculation 9 4 4 2 2" xfId="15120"/>
    <cellStyle name="Calculation 9 4 4 3" xfId="15121"/>
    <cellStyle name="Calculation 9 4 5" xfId="15122"/>
    <cellStyle name="Calculation 9 4 5 2" xfId="15123"/>
    <cellStyle name="Calculation 9 4 6" xfId="15124"/>
    <cellStyle name="Calculation 9 4 6 2" xfId="15125"/>
    <cellStyle name="Calculation 9 4 7" xfId="15126"/>
    <cellStyle name="Calculation 9 4 7 2" xfId="15127"/>
    <cellStyle name="Calculation 9 4 8" xfId="15128"/>
    <cellStyle name="Calculation 9 4 8 2" xfId="15129"/>
    <cellStyle name="Calculation 9 4 9" xfId="15130"/>
    <cellStyle name="Calculation 9 5" xfId="4999"/>
    <cellStyle name="Calculation 9 5 10" xfId="15132"/>
    <cellStyle name="Calculation 9 5 11" xfId="15131"/>
    <cellStyle name="Calculation 9 5 2" xfId="15133"/>
    <cellStyle name="Calculation 9 5 2 2" xfId="15134"/>
    <cellStyle name="Calculation 9 5 2 2 2" xfId="15135"/>
    <cellStyle name="Calculation 9 5 2 3" xfId="15136"/>
    <cellStyle name="Calculation 9 5 2 4" xfId="15137"/>
    <cellStyle name="Calculation 9 5 3" xfId="15138"/>
    <cellStyle name="Calculation 9 5 3 2" xfId="15139"/>
    <cellStyle name="Calculation 9 5 3 2 2" xfId="15140"/>
    <cellStyle name="Calculation 9 5 3 3" xfId="15141"/>
    <cellStyle name="Calculation 9 5 4" xfId="15142"/>
    <cellStyle name="Calculation 9 5 4 2" xfId="15143"/>
    <cellStyle name="Calculation 9 5 4 2 2" xfId="15144"/>
    <cellStyle name="Calculation 9 5 4 3" xfId="15145"/>
    <cellStyle name="Calculation 9 5 5" xfId="15146"/>
    <cellStyle name="Calculation 9 5 5 2" xfId="15147"/>
    <cellStyle name="Calculation 9 5 6" xfId="15148"/>
    <cellStyle name="Calculation 9 5 6 2" xfId="15149"/>
    <cellStyle name="Calculation 9 5 7" xfId="15150"/>
    <cellStyle name="Calculation 9 5 7 2" xfId="15151"/>
    <cellStyle name="Calculation 9 5 8" xfId="15152"/>
    <cellStyle name="Calculation 9 5 8 2" xfId="15153"/>
    <cellStyle name="Calculation 9 5 9" xfId="15154"/>
    <cellStyle name="Calculation 9 6" xfId="4355"/>
    <cellStyle name="Calculation 9 6 2" xfId="4356"/>
    <cellStyle name="Calculation 9 6 2 2" xfId="15157"/>
    <cellStyle name="Calculation 9 6 2 2 2" xfId="15158"/>
    <cellStyle name="Calculation 9 6 2 3" xfId="15159"/>
    <cellStyle name="Calculation 9 6 2 4" xfId="15156"/>
    <cellStyle name="Calculation 9 6 3" xfId="15160"/>
    <cellStyle name="Calculation 9 6 3 2" xfId="15161"/>
    <cellStyle name="Calculation 9 6 3 2 2" xfId="15162"/>
    <cellStyle name="Calculation 9 6 3 3" xfId="15163"/>
    <cellStyle name="Calculation 9 6 4" xfId="15164"/>
    <cellStyle name="Calculation 9 6 4 2" xfId="15165"/>
    <cellStyle name="Calculation 9 6 5" xfId="15166"/>
    <cellStyle name="Calculation 9 6 5 2" xfId="15167"/>
    <cellStyle name="Calculation 9 6 6" xfId="15168"/>
    <cellStyle name="Calculation 9 6 7" xfId="15169"/>
    <cellStyle name="Calculation 9 6 8" xfId="15155"/>
    <cellStyle name="Calculation 9 7" xfId="5000"/>
    <cellStyle name="Calculation 9 7 2" xfId="3469"/>
    <cellStyle name="Calculation 9 7 2 2" xfId="15171"/>
    <cellStyle name="Calculation 9 7 3" xfId="15170"/>
    <cellStyle name="Calculation 9 8" xfId="3470"/>
    <cellStyle name="Calculation 9 8 2" xfId="15173"/>
    <cellStyle name="Calculation 9 8 3" xfId="15172"/>
    <cellStyle name="Calculation 9 9" xfId="3471"/>
    <cellStyle name="Calculation 9 9 2" xfId="15175"/>
    <cellStyle name="Calculation 9 9 3" xfId="15174"/>
    <cellStyle name="Check Cell 10" xfId="3472"/>
    <cellStyle name="Check Cell 11" xfId="3473"/>
    <cellStyle name="Check Cell 12" xfId="3474"/>
    <cellStyle name="Check Cell 13" xfId="5001"/>
    <cellStyle name="Check Cell 14" xfId="5002"/>
    <cellStyle name="Check Cell 15" xfId="5003"/>
    <cellStyle name="Check Cell 16" xfId="4357"/>
    <cellStyle name="Check Cell 17" xfId="4358"/>
    <cellStyle name="Check Cell 18" xfId="15176"/>
    <cellStyle name="Check Cell 2" xfId="508"/>
    <cellStyle name="Check Cell 2 2" xfId="509"/>
    <cellStyle name="Check Cell 2 2 2" xfId="4359"/>
    <cellStyle name="Check Cell 2 3" xfId="4360"/>
    <cellStyle name="Check Cell 3" xfId="510"/>
    <cellStyle name="Check Cell 4" xfId="511"/>
    <cellStyle name="Check Cell 5" xfId="512"/>
    <cellStyle name="Check Cell 5 2" xfId="15177"/>
    <cellStyle name="Check Cell 6" xfId="513"/>
    <cellStyle name="Check Cell 6 2" xfId="4361"/>
    <cellStyle name="Check Cell 7" xfId="507"/>
    <cellStyle name="Check Cell 7 2" xfId="4362"/>
    <cellStyle name="Check Cell 8" xfId="4363"/>
    <cellStyle name="Check Cell 9" xfId="4364"/>
    <cellStyle name="Cím" xfId="40342"/>
    <cellStyle name="Címsor 1" xfId="40343"/>
    <cellStyle name="Címsor 2" xfId="40344"/>
    <cellStyle name="Címsor 3" xfId="40345"/>
    <cellStyle name="Címsor 4" xfId="40346"/>
    <cellStyle name="Comma" xfId="3" builtinId="3" customBuiltin="1"/>
    <cellStyle name="Comma  - Style1" xfId="515"/>
    <cellStyle name="Comma  - Style1 2" xfId="516"/>
    <cellStyle name="Comma  - Style1 2 2" xfId="517"/>
    <cellStyle name="Comma  - Style1 2 2 2" xfId="15180"/>
    <cellStyle name="Comma  - Style1 2 2 3" xfId="15181"/>
    <cellStyle name="Comma  - Style1 2 2 4" xfId="15179"/>
    <cellStyle name="Comma  - Style1 2 3" xfId="518"/>
    <cellStyle name="Comma  - Style1 2 3 2" xfId="15182"/>
    <cellStyle name="Comma  - Style1 2 4" xfId="15183"/>
    <cellStyle name="Comma  - Style1 2 5" xfId="15178"/>
    <cellStyle name="Comma  - Style1 3" xfId="519"/>
    <cellStyle name="Comma  - Style1 3 2" xfId="4365"/>
    <cellStyle name="Comma  - Style1 3 3" xfId="15184"/>
    <cellStyle name="Comma  - Style1 4" xfId="520"/>
    <cellStyle name="Comma  - Style1 5" xfId="521"/>
    <cellStyle name="Comma  - Style1 6" xfId="522"/>
    <cellStyle name="Comma  - Style1 7" xfId="523"/>
    <cellStyle name="Comma  - Style2" xfId="524"/>
    <cellStyle name="Comma  - Style2 2" xfId="525"/>
    <cellStyle name="Comma  - Style2 2 2" xfId="526"/>
    <cellStyle name="Comma  - Style2 2 2 2" xfId="15187"/>
    <cellStyle name="Comma  - Style2 2 2 3" xfId="15188"/>
    <cellStyle name="Comma  - Style2 2 2 4" xfId="15186"/>
    <cellStyle name="Comma  - Style2 2 3" xfId="527"/>
    <cellStyle name="Comma  - Style2 2 3 2" xfId="15189"/>
    <cellStyle name="Comma  - Style2 2 4" xfId="15190"/>
    <cellStyle name="Comma  - Style2 2 5" xfId="15185"/>
    <cellStyle name="Comma  - Style2 3" xfId="528"/>
    <cellStyle name="Comma  - Style2 3 2" xfId="4366"/>
    <cellStyle name="Comma  - Style2 3 3" xfId="15191"/>
    <cellStyle name="Comma  - Style2 4" xfId="529"/>
    <cellStyle name="Comma  - Style2 5" xfId="530"/>
    <cellStyle name="Comma  - Style2 6" xfId="531"/>
    <cellStyle name="Comma  - Style2 7" xfId="532"/>
    <cellStyle name="Comma  - Style3" xfId="533"/>
    <cellStyle name="Comma  - Style3 2" xfId="534"/>
    <cellStyle name="Comma  - Style3 2 2" xfId="535"/>
    <cellStyle name="Comma  - Style3 2 2 2" xfId="15194"/>
    <cellStyle name="Comma  - Style3 2 2 3" xfId="15195"/>
    <cellStyle name="Comma  - Style3 2 2 4" xfId="15193"/>
    <cellStyle name="Comma  - Style3 2 3" xfId="536"/>
    <cellStyle name="Comma  - Style3 2 3 2" xfId="15196"/>
    <cellStyle name="Comma  - Style3 2 4" xfId="15197"/>
    <cellStyle name="Comma  - Style3 2 5" xfId="15192"/>
    <cellStyle name="Comma  - Style3 3" xfId="537"/>
    <cellStyle name="Comma  - Style3 3 2" xfId="5462"/>
    <cellStyle name="Comma  - Style3 3 3" xfId="15198"/>
    <cellStyle name="Comma  - Style3 4" xfId="538"/>
    <cellStyle name="Comma  - Style3 5" xfId="539"/>
    <cellStyle name="Comma  - Style3 6" xfId="540"/>
    <cellStyle name="Comma  - Style3 7" xfId="541"/>
    <cellStyle name="Comma  - Style4" xfId="542"/>
    <cellStyle name="Comma  - Style4 2" xfId="543"/>
    <cellStyle name="Comma  - Style4 2 2" xfId="544"/>
    <cellStyle name="Comma  - Style4 2 2 2" xfId="15201"/>
    <cellStyle name="Comma  - Style4 2 2 3" xfId="15202"/>
    <cellStyle name="Comma  - Style4 2 2 4" xfId="15200"/>
    <cellStyle name="Comma  - Style4 2 3" xfId="545"/>
    <cellStyle name="Comma  - Style4 2 3 2" xfId="15203"/>
    <cellStyle name="Comma  - Style4 2 4" xfId="15204"/>
    <cellStyle name="Comma  - Style4 2 5" xfId="15199"/>
    <cellStyle name="Comma  - Style4 3" xfId="546"/>
    <cellStyle name="Comma  - Style4 3 2" xfId="4367"/>
    <cellStyle name="Comma  - Style4 3 3" xfId="15205"/>
    <cellStyle name="Comma  - Style4 4" xfId="547"/>
    <cellStyle name="Comma  - Style4 5" xfId="548"/>
    <cellStyle name="Comma  - Style4 6" xfId="549"/>
    <cellStyle name="Comma  - Style4 7" xfId="550"/>
    <cellStyle name="Comma  - Style5" xfId="551"/>
    <cellStyle name="Comma  - Style5 2" xfId="552"/>
    <cellStyle name="Comma  - Style5 2 2" xfId="553"/>
    <cellStyle name="Comma  - Style5 2 2 2" xfId="15208"/>
    <cellStyle name="Comma  - Style5 2 2 3" xfId="15209"/>
    <cellStyle name="Comma  - Style5 2 2 4" xfId="15207"/>
    <cellStyle name="Comma  - Style5 2 3" xfId="554"/>
    <cellStyle name="Comma  - Style5 2 3 2" xfId="15210"/>
    <cellStyle name="Comma  - Style5 2 4" xfId="15211"/>
    <cellStyle name="Comma  - Style5 2 5" xfId="15206"/>
    <cellStyle name="Comma  - Style5 3" xfId="555"/>
    <cellStyle name="Comma  - Style5 3 2" xfId="4368"/>
    <cellStyle name="Comma  - Style5 3 3" xfId="15212"/>
    <cellStyle name="Comma  - Style5 4" xfId="556"/>
    <cellStyle name="Comma  - Style5 5" xfId="557"/>
    <cellStyle name="Comma  - Style5 6" xfId="558"/>
    <cellStyle name="Comma  - Style5 7" xfId="559"/>
    <cellStyle name="Comma  - Style6" xfId="560"/>
    <cellStyle name="Comma  - Style6 2" xfId="561"/>
    <cellStyle name="Comma  - Style6 2 2" xfId="562"/>
    <cellStyle name="Comma  - Style6 2 2 2" xfId="15215"/>
    <cellStyle name="Comma  - Style6 2 2 3" xfId="15216"/>
    <cellStyle name="Comma  - Style6 2 2 4" xfId="15214"/>
    <cellStyle name="Comma  - Style6 2 3" xfId="563"/>
    <cellStyle name="Comma  - Style6 2 3 2" xfId="15217"/>
    <cellStyle name="Comma  - Style6 2 4" xfId="15218"/>
    <cellStyle name="Comma  - Style6 2 5" xfId="15213"/>
    <cellStyle name="Comma  - Style6 3" xfId="564"/>
    <cellStyle name="Comma  - Style6 3 2" xfId="5165"/>
    <cellStyle name="Comma  - Style6 3 3" xfId="15219"/>
    <cellStyle name="Comma  - Style6 4" xfId="565"/>
    <cellStyle name="Comma  - Style6 5" xfId="566"/>
    <cellStyle name="Comma  - Style6 6" xfId="567"/>
    <cellStyle name="Comma  - Style6 7" xfId="568"/>
    <cellStyle name="Comma  - Style7" xfId="569"/>
    <cellStyle name="Comma  - Style7 2" xfId="570"/>
    <cellStyle name="Comma  - Style7 2 2" xfId="571"/>
    <cellStyle name="Comma  - Style7 2 2 2" xfId="15222"/>
    <cellStyle name="Comma  - Style7 2 2 3" xfId="15223"/>
    <cellStyle name="Comma  - Style7 2 2 4" xfId="15221"/>
    <cellStyle name="Comma  - Style7 2 3" xfId="572"/>
    <cellStyle name="Comma  - Style7 2 3 2" xfId="15224"/>
    <cellStyle name="Comma  - Style7 2 4" xfId="15225"/>
    <cellStyle name="Comma  - Style7 2 5" xfId="15220"/>
    <cellStyle name="Comma  - Style7 3" xfId="573"/>
    <cellStyle name="Comma  - Style7 3 2" xfId="4369"/>
    <cellStyle name="Comma  - Style7 3 3" xfId="15226"/>
    <cellStyle name="Comma  - Style7 4" xfId="574"/>
    <cellStyle name="Comma  - Style7 5" xfId="575"/>
    <cellStyle name="Comma  - Style7 6" xfId="576"/>
    <cellStyle name="Comma  - Style7 7" xfId="577"/>
    <cellStyle name="Comma  - Style8" xfId="578"/>
    <cellStyle name="Comma  - Style8 2" xfId="579"/>
    <cellStyle name="Comma  - Style8 2 2" xfId="580"/>
    <cellStyle name="Comma  - Style8 2 2 2" xfId="15229"/>
    <cellStyle name="Comma  - Style8 2 2 3" xfId="15230"/>
    <cellStyle name="Comma  - Style8 2 2 4" xfId="15228"/>
    <cellStyle name="Comma  - Style8 2 3" xfId="581"/>
    <cellStyle name="Comma  - Style8 2 3 2" xfId="15231"/>
    <cellStyle name="Comma  - Style8 2 4" xfId="15232"/>
    <cellStyle name="Comma  - Style8 2 5" xfId="15227"/>
    <cellStyle name="Comma  - Style8 3" xfId="582"/>
    <cellStyle name="Comma  - Style8 3 2" xfId="4370"/>
    <cellStyle name="Comma  - Style8 3 3" xfId="15233"/>
    <cellStyle name="Comma  - Style8 4" xfId="583"/>
    <cellStyle name="Comma  - Style8 5" xfId="584"/>
    <cellStyle name="Comma  - Style8 6" xfId="585"/>
    <cellStyle name="Comma  - Style8 7" xfId="586"/>
    <cellStyle name="Comma [0] 2" xfId="2597"/>
    <cellStyle name="Comma [0] 3" xfId="2598"/>
    <cellStyle name="Comma [0] 3 2" xfId="2599"/>
    <cellStyle name="Comma [00]" xfId="2600"/>
    <cellStyle name="Comma [00] 2" xfId="15234"/>
    <cellStyle name="Comma 10" xfId="42"/>
    <cellStyle name="Comma 10 10" xfId="8499"/>
    <cellStyle name="Comma 10 11" xfId="15235"/>
    <cellStyle name="Comma 10 2" xfId="47"/>
    <cellStyle name="Comma 10 2 2" xfId="77"/>
    <cellStyle name="Comma 10 2 2 2" xfId="590"/>
    <cellStyle name="Comma 10 2 2 3" xfId="589"/>
    <cellStyle name="Comma 10 2 3" xfId="591"/>
    <cellStyle name="Comma 10 2 4" xfId="592"/>
    <cellStyle name="Comma 10 2 5" xfId="588"/>
    <cellStyle name="Comma 10 3" xfId="73"/>
    <cellStyle name="Comma 10 3 2" xfId="594"/>
    <cellStyle name="Comma 10 3 2 2" xfId="15237"/>
    <cellStyle name="Comma 10 3 2 3" xfId="15236"/>
    <cellStyle name="Comma 10 3 3" xfId="2939"/>
    <cellStyle name="Comma 10 3 3 2" xfId="15238"/>
    <cellStyle name="Comma 10 3 4" xfId="593"/>
    <cellStyle name="Comma 10 3 5" xfId="4371"/>
    <cellStyle name="Comma 10 4" xfId="84"/>
    <cellStyle name="Comma 10 4 2" xfId="596"/>
    <cellStyle name="Comma 10 4 2 2" xfId="15240"/>
    <cellStyle name="Comma 10 4 3" xfId="597"/>
    <cellStyle name="Comma 10 4 3 2" xfId="15242"/>
    <cellStyle name="Comma 10 4 3 2 2" xfId="15243"/>
    <cellStyle name="Comma 10 4 3 2 2 2" xfId="15244"/>
    <cellStyle name="Comma 10 4 3 2 2 2 2" xfId="15245"/>
    <cellStyle name="Comma 10 4 3 2 2 3" xfId="15246"/>
    <cellStyle name="Comma 10 4 3 2 3" xfId="15247"/>
    <cellStyle name="Comma 10 4 3 2 3 2" xfId="15248"/>
    <cellStyle name="Comma 10 4 3 2 4" xfId="15249"/>
    <cellStyle name="Comma 10 4 3 2 5" xfId="15250"/>
    <cellStyle name="Comma 10 4 3 3" xfId="15251"/>
    <cellStyle name="Comma 10 4 3 3 2" xfId="15252"/>
    <cellStyle name="Comma 10 4 3 3 2 2" xfId="15253"/>
    <cellStyle name="Comma 10 4 3 3 2 2 2" xfId="15254"/>
    <cellStyle name="Comma 10 4 3 3 2 3" xfId="15255"/>
    <cellStyle name="Comma 10 4 3 3 3" xfId="15256"/>
    <cellStyle name="Comma 10 4 3 3 3 2" xfId="15257"/>
    <cellStyle name="Comma 10 4 3 3 4" xfId="15258"/>
    <cellStyle name="Comma 10 4 3 4" xfId="15259"/>
    <cellStyle name="Comma 10 4 3 4 2" xfId="15260"/>
    <cellStyle name="Comma 10 4 3 4 2 2" xfId="15261"/>
    <cellStyle name="Comma 10 4 3 4 3" xfId="15262"/>
    <cellStyle name="Comma 10 4 3 5" xfId="15263"/>
    <cellStyle name="Comma 10 4 3 5 2" xfId="15264"/>
    <cellStyle name="Comma 10 4 3 5 2 2" xfId="15265"/>
    <cellStyle name="Comma 10 4 3 5 3" xfId="15266"/>
    <cellStyle name="Comma 10 4 3 6" xfId="15267"/>
    <cellStyle name="Comma 10 4 3 6 2" xfId="15268"/>
    <cellStyle name="Comma 10 4 3 7" xfId="15269"/>
    <cellStyle name="Comma 10 4 3 8" xfId="15270"/>
    <cellStyle name="Comma 10 4 3 9" xfId="15241"/>
    <cellStyle name="Comma 10 4 4" xfId="595"/>
    <cellStyle name="Comma 10 4 5" xfId="15239"/>
    <cellStyle name="Comma 10 5" xfId="96"/>
    <cellStyle name="Comma 10 5 2" xfId="2940"/>
    <cellStyle name="Comma 10 5 2 2" xfId="15273"/>
    <cellStyle name="Comma 10 5 2 2 2" xfId="15274"/>
    <cellStyle name="Comma 10 5 2 2 2 2" xfId="15275"/>
    <cellStyle name="Comma 10 5 2 2 3" xfId="15276"/>
    <cellStyle name="Comma 10 5 2 3" xfId="15277"/>
    <cellStyle name="Comma 10 5 2 3 2" xfId="15278"/>
    <cellStyle name="Comma 10 5 2 4" xfId="15279"/>
    <cellStyle name="Comma 10 5 2 5" xfId="15280"/>
    <cellStyle name="Comma 10 5 2 6" xfId="15272"/>
    <cellStyle name="Comma 10 5 3" xfId="598"/>
    <cellStyle name="Comma 10 5 3 2" xfId="15282"/>
    <cellStyle name="Comma 10 5 3 2 2" xfId="15283"/>
    <cellStyle name="Comma 10 5 3 2 2 2" xfId="15284"/>
    <cellStyle name="Comma 10 5 3 2 3" xfId="15285"/>
    <cellStyle name="Comma 10 5 3 3" xfId="15286"/>
    <cellStyle name="Comma 10 5 3 3 2" xfId="15287"/>
    <cellStyle name="Comma 10 5 3 4" xfId="15288"/>
    <cellStyle name="Comma 10 5 3 5" xfId="15281"/>
    <cellStyle name="Comma 10 5 4" xfId="15289"/>
    <cellStyle name="Comma 10 5 4 2" xfId="15290"/>
    <cellStyle name="Comma 10 5 4 2 2" xfId="15291"/>
    <cellStyle name="Comma 10 5 4 3" xfId="15292"/>
    <cellStyle name="Comma 10 5 5" xfId="15293"/>
    <cellStyle name="Comma 10 5 5 2" xfId="15294"/>
    <cellStyle name="Comma 10 5 5 2 2" xfId="15295"/>
    <cellStyle name="Comma 10 5 5 3" xfId="15296"/>
    <cellStyle name="Comma 10 5 6" xfId="15297"/>
    <cellStyle name="Comma 10 5 6 2" xfId="15298"/>
    <cellStyle name="Comma 10 5 7" xfId="15299"/>
    <cellStyle name="Comma 10 5 7 2" xfId="15300"/>
    <cellStyle name="Comma 10 5 8" xfId="15271"/>
    <cellStyle name="Comma 10 6" xfId="599"/>
    <cellStyle name="Comma 10 6 2" xfId="15302"/>
    <cellStyle name="Comma 10 6 3" xfId="15303"/>
    <cellStyle name="Comma 10 6 4" xfId="15304"/>
    <cellStyle name="Comma 10 6 5" xfId="15305"/>
    <cellStyle name="Comma 10 6 6" xfId="15301"/>
    <cellStyle name="Comma 10 7" xfId="600"/>
    <cellStyle name="Comma 10 7 2" xfId="15307"/>
    <cellStyle name="Comma 10 7 2 2" xfId="15308"/>
    <cellStyle name="Comma 10 7 2 2 2" xfId="15309"/>
    <cellStyle name="Comma 10 7 2 3" xfId="15310"/>
    <cellStyle name="Comma 10 7 3" xfId="15311"/>
    <cellStyle name="Comma 10 7 3 2" xfId="15312"/>
    <cellStyle name="Comma 10 7 3 2 2" xfId="15313"/>
    <cellStyle name="Comma 10 7 3 3" xfId="15314"/>
    <cellStyle name="Comma 10 7 4" xfId="15315"/>
    <cellStyle name="Comma 10 7 4 2" xfId="15316"/>
    <cellStyle name="Comma 10 7 5" xfId="15317"/>
    <cellStyle name="Comma 10 7 6" xfId="15318"/>
    <cellStyle name="Comma 10 7 7" xfId="15306"/>
    <cellStyle name="Comma 10 8" xfId="601"/>
    <cellStyle name="Comma 10 8 2" xfId="15319"/>
    <cellStyle name="Comma 10 9" xfId="2601"/>
    <cellStyle name="Comma 10 9 2" xfId="15320"/>
    <cellStyle name="Comma 10_Capital Gain" xfId="2602"/>
    <cellStyle name="Comma 100" xfId="3666"/>
    <cellStyle name="Comma 101" xfId="3667"/>
    <cellStyle name="Comma 102" xfId="3281"/>
    <cellStyle name="Comma 103" xfId="3282"/>
    <cellStyle name="Comma 104" xfId="3283"/>
    <cellStyle name="Comma 105" xfId="3284"/>
    <cellStyle name="Comma 106" xfId="3670"/>
    <cellStyle name="Comma 107" xfId="3285"/>
    <cellStyle name="Comma 108" xfId="3668"/>
    <cellStyle name="Comma 109" xfId="3672"/>
    <cellStyle name="Comma 11" xfId="38"/>
    <cellStyle name="Comma 11 10" xfId="603"/>
    <cellStyle name="Comma 11 2" xfId="604"/>
    <cellStyle name="Comma 11 2 2" xfId="605"/>
    <cellStyle name="Comma 11 2 2 2" xfId="3187"/>
    <cellStyle name="Comma 11 2 2 3" xfId="5338"/>
    <cellStyle name="Comma 11 2 2 3 2" xfId="15322"/>
    <cellStyle name="Comma 11 2 2 4" xfId="15323"/>
    <cellStyle name="Comma 11 2 2 5" xfId="15321"/>
    <cellStyle name="Comma 11 2 3" xfId="606"/>
    <cellStyle name="Comma 11 2 3 2" xfId="15325"/>
    <cellStyle name="Comma 11 2 3 2 2" xfId="15326"/>
    <cellStyle name="Comma 11 2 3 2 2 2" xfId="15327"/>
    <cellStyle name="Comma 11 2 3 2 2 2 2" xfId="15328"/>
    <cellStyle name="Comma 11 2 3 2 2 3" xfId="15329"/>
    <cellStyle name="Comma 11 2 3 2 2 4" xfId="15330"/>
    <cellStyle name="Comma 11 2 3 2 3" xfId="15331"/>
    <cellStyle name="Comma 11 2 3 2 3 2" xfId="15332"/>
    <cellStyle name="Comma 11 2 3 2 4" xfId="15333"/>
    <cellStyle name="Comma 11 2 3 2 5" xfId="15334"/>
    <cellStyle name="Comma 11 2 3 3" xfId="15335"/>
    <cellStyle name="Comma 11 2 3 3 2" xfId="15336"/>
    <cellStyle name="Comma 11 2 3 3 2 2" xfId="15337"/>
    <cellStyle name="Comma 11 2 3 3 2 2 2" xfId="15338"/>
    <cellStyle name="Comma 11 2 3 3 2 3" xfId="15339"/>
    <cellStyle name="Comma 11 2 3 3 3" xfId="15340"/>
    <cellStyle name="Comma 11 2 3 3 3 2" xfId="15341"/>
    <cellStyle name="Comma 11 2 3 3 4" xfId="15342"/>
    <cellStyle name="Comma 11 2 3 4" xfId="15343"/>
    <cellStyle name="Comma 11 2 3 4 2" xfId="15344"/>
    <cellStyle name="Comma 11 2 3 4 2 2" xfId="15345"/>
    <cellStyle name="Comma 11 2 3 4 3" xfId="15346"/>
    <cellStyle name="Comma 11 2 3 5" xfId="15347"/>
    <cellStyle name="Comma 11 2 3 5 2" xfId="15348"/>
    <cellStyle name="Comma 11 2 3 5 2 2" xfId="15349"/>
    <cellStyle name="Comma 11 2 3 5 3" xfId="15350"/>
    <cellStyle name="Comma 11 2 3 6" xfId="15351"/>
    <cellStyle name="Comma 11 2 3 6 2" xfId="15352"/>
    <cellStyle name="Comma 11 2 3 7" xfId="15353"/>
    <cellStyle name="Comma 11 2 3 8" xfId="15324"/>
    <cellStyle name="Comma 11 2 4" xfId="607"/>
    <cellStyle name="Comma 11 2 4 2" xfId="15354"/>
    <cellStyle name="Comma 11 2 5" xfId="4372"/>
    <cellStyle name="Comma 11 2 5 2" xfId="15356"/>
    <cellStyle name="Comma 11 2 5 3" xfId="15357"/>
    <cellStyle name="Comma 11 2 5 4" xfId="15355"/>
    <cellStyle name="Comma 11 3" xfId="608"/>
    <cellStyle name="Comma 11 3 2" xfId="609"/>
    <cellStyle name="Comma 11 3 3" xfId="610"/>
    <cellStyle name="Comma 11 3 3 2" xfId="15359"/>
    <cellStyle name="Comma 11 3 4" xfId="611"/>
    <cellStyle name="Comma 11 3 4 2" xfId="15360"/>
    <cellStyle name="Comma 11 3 5" xfId="612"/>
    <cellStyle name="Comma 11 3 5 2" xfId="15361"/>
    <cellStyle name="Comma 11 3 6" xfId="15358"/>
    <cellStyle name="Comma 11 4" xfId="613"/>
    <cellStyle name="Comma 11 4 2" xfId="614"/>
    <cellStyle name="Comma 11 4 2 2" xfId="15363"/>
    <cellStyle name="Comma 11 4 3" xfId="15364"/>
    <cellStyle name="Comma 11 4 4" xfId="15362"/>
    <cellStyle name="Comma 11 5" xfId="615"/>
    <cellStyle name="Comma 11 5 2" xfId="15365"/>
    <cellStyle name="Comma 11 6" xfId="616"/>
    <cellStyle name="Comma 11 7" xfId="617"/>
    <cellStyle name="Comma 11 8" xfId="618"/>
    <cellStyle name="Comma 11 9" xfId="602"/>
    <cellStyle name="Comma 110" xfId="3673"/>
    <cellStyle name="Comma 111" xfId="7815"/>
    <cellStyle name="Comma 111 2" xfId="7887"/>
    <cellStyle name="Comma 112" xfId="7893"/>
    <cellStyle name="Comma 113" xfId="7890"/>
    <cellStyle name="Comma 114" xfId="7978"/>
    <cellStyle name="Comma 115" xfId="8498"/>
    <cellStyle name="Comma 116" xfId="8508"/>
    <cellStyle name="Comma 117" xfId="40396"/>
    <cellStyle name="Comma 118" xfId="40399"/>
    <cellStyle name="Comma 119" xfId="40402"/>
    <cellStyle name="Comma 12" xfId="48"/>
    <cellStyle name="Comma 12 2" xfId="74"/>
    <cellStyle name="Comma 12 2 2" xfId="621"/>
    <cellStyle name="Comma 12 2 2 2" xfId="15367"/>
    <cellStyle name="Comma 12 2 2 3" xfId="15368"/>
    <cellStyle name="Comma 12 2 2 4" xfId="15366"/>
    <cellStyle name="Comma 12 2 3" xfId="622"/>
    <cellStyle name="Comma 12 2 3 2" xfId="15369"/>
    <cellStyle name="Comma 12 2 4" xfId="623"/>
    <cellStyle name="Comma 12 2 5" xfId="620"/>
    <cellStyle name="Comma 12 3" xfId="85"/>
    <cellStyle name="Comma 12 3 2" xfId="624"/>
    <cellStyle name="Comma 12 3 2 2" xfId="15371"/>
    <cellStyle name="Comma 12 3 3" xfId="7816"/>
    <cellStyle name="Comma 12 3 4" xfId="15370"/>
    <cellStyle name="Comma 12 4" xfId="98"/>
    <cellStyle name="Comma 12 4 2" xfId="625"/>
    <cellStyle name="Comma 12 4 2 2" xfId="15373"/>
    <cellStyle name="Comma 12 4 3" xfId="15374"/>
    <cellStyle name="Comma 12 4 4" xfId="15372"/>
    <cellStyle name="Comma 12 5" xfId="626"/>
    <cellStyle name="Comma 12 5 2" xfId="15375"/>
    <cellStyle name="Comma 12 6" xfId="619"/>
    <cellStyle name="Comma 12 7" xfId="8500"/>
    <cellStyle name="Comma 120" xfId="40414"/>
    <cellStyle name="Comma 13" xfId="83"/>
    <cellStyle name="Comma 13 2" xfId="628"/>
    <cellStyle name="Comma 13 2 2" xfId="629"/>
    <cellStyle name="Comma 13 2 2 2" xfId="15378"/>
    <cellStyle name="Comma 13 2 2 3" xfId="15377"/>
    <cellStyle name="Comma 13 2 3" xfId="630"/>
    <cellStyle name="Comma 13 2 3 2" xfId="15379"/>
    <cellStyle name="Comma 13 2 4" xfId="3106"/>
    <cellStyle name="Comma 13 2 5" xfId="7863"/>
    <cellStyle name="Comma 13 2 6" xfId="15376"/>
    <cellStyle name="Comma 13 3" xfId="631"/>
    <cellStyle name="Comma 13 3 2" xfId="15381"/>
    <cellStyle name="Comma 13 3 2 2" xfId="15382"/>
    <cellStyle name="Comma 13 3 3" xfId="15383"/>
    <cellStyle name="Comma 13 3 4" xfId="15380"/>
    <cellStyle name="Comma 13 4" xfId="632"/>
    <cellStyle name="Comma 13 4 2" xfId="15385"/>
    <cellStyle name="Comma 13 4 3" xfId="15386"/>
    <cellStyle name="Comma 13 4 4" xfId="15387"/>
    <cellStyle name="Comma 13 4 5" xfId="15384"/>
    <cellStyle name="Comma 13 5" xfId="633"/>
    <cellStyle name="Comma 13 5 2" xfId="15388"/>
    <cellStyle name="Comma 13 6" xfId="627"/>
    <cellStyle name="Comma 14" xfId="71"/>
    <cellStyle name="Comma 14 2" xfId="635"/>
    <cellStyle name="Comma 14 2 2" xfId="3107"/>
    <cellStyle name="Comma 14 2 2 2" xfId="15390"/>
    <cellStyle name="Comma 14 2 3" xfId="5448"/>
    <cellStyle name="Comma 14 2 3 2" xfId="15391"/>
    <cellStyle name="Comma 14 2 4" xfId="15389"/>
    <cellStyle name="Comma 14 3" xfId="636"/>
    <cellStyle name="Comma 14 3 2" xfId="7875"/>
    <cellStyle name="Comma 14 3 2 2" xfId="15393"/>
    <cellStyle name="Comma 14 3 3" xfId="15392"/>
    <cellStyle name="Comma 14 4" xfId="637"/>
    <cellStyle name="Comma 14 5" xfId="638"/>
    <cellStyle name="Comma 14 6" xfId="639"/>
    <cellStyle name="Comma 14 7" xfId="634"/>
    <cellStyle name="Comma 15" xfId="640"/>
    <cellStyle name="Comma 15 2" xfId="641"/>
    <cellStyle name="Comma 15 2 2" xfId="3108"/>
    <cellStyle name="Comma 15 2 2 2" xfId="15395"/>
    <cellStyle name="Comma 15 2 3" xfId="15394"/>
    <cellStyle name="Comma 15 3" xfId="642"/>
    <cellStyle name="Comma 15 3 2" xfId="4374"/>
    <cellStyle name="Comma 15 3 2 2" xfId="4375"/>
    <cellStyle name="Comma 15 3 2 3" xfId="15397"/>
    <cellStyle name="Comma 15 3 3" xfId="3601"/>
    <cellStyle name="Comma 15 3 3 2" xfId="15398"/>
    <cellStyle name="Comma 15 3 4" xfId="5308"/>
    <cellStyle name="Comma 15 3 4 2" xfId="15399"/>
    <cellStyle name="Comma 15 3 5" xfId="4373"/>
    <cellStyle name="Comma 15 3 6" xfId="15396"/>
    <cellStyle name="Comma 15 4" xfId="643"/>
    <cellStyle name="Comma 15 4 2" xfId="7879"/>
    <cellStyle name="Comma 15 5" xfId="644"/>
    <cellStyle name="Comma 16" xfId="645"/>
    <cellStyle name="Comma 16 2" xfId="646"/>
    <cellStyle name="Comma 16 2 2" xfId="3109"/>
    <cellStyle name="Comma 16 2 2 2" xfId="15401"/>
    <cellStyle name="Comma 16 2 3" xfId="15400"/>
    <cellStyle name="Comma 16 3" xfId="647"/>
    <cellStyle name="Comma 16 3 2" xfId="15403"/>
    <cellStyle name="Comma 16 3 3" xfId="15404"/>
    <cellStyle name="Comma 16 3 4" xfId="15402"/>
    <cellStyle name="Comma 17" xfId="648"/>
    <cellStyle name="Comma 17 2" xfId="649"/>
    <cellStyle name="Comma 17 2 2" xfId="3110"/>
    <cellStyle name="Comma 17 2 2 2" xfId="15407"/>
    <cellStyle name="Comma 17 2 2 3" xfId="15406"/>
    <cellStyle name="Comma 17 2 3" xfId="15405"/>
    <cellStyle name="Comma 17 3" xfId="650"/>
    <cellStyle name="Comma 17 4" xfId="651"/>
    <cellStyle name="Comma 17 5" xfId="652"/>
    <cellStyle name="Comma 18" xfId="653"/>
    <cellStyle name="Comma 18 2" xfId="654"/>
    <cellStyle name="Comma 18 2 2" xfId="15408"/>
    <cellStyle name="Comma 18 3" xfId="655"/>
    <cellStyle name="Comma 18 3 2" xfId="15410"/>
    <cellStyle name="Comma 18 3 2 2" xfId="15411"/>
    <cellStyle name="Comma 18 3 3" xfId="15412"/>
    <cellStyle name="Comma 18 3 4" xfId="15409"/>
    <cellStyle name="Comma 18 4" xfId="656"/>
    <cellStyle name="Comma 18 5" xfId="657"/>
    <cellStyle name="Comma 18 6" xfId="2413"/>
    <cellStyle name="Comma 19" xfId="658"/>
    <cellStyle name="Comma 19 2" xfId="659"/>
    <cellStyle name="Comma 19 2 2" xfId="2941"/>
    <cellStyle name="Comma 19 2 3" xfId="15413"/>
    <cellStyle name="Comma 2" xfId="20"/>
    <cellStyle name="Comma 2 10" xfId="660"/>
    <cellStyle name="Comma 2 10 2" xfId="661"/>
    <cellStyle name="Comma 2 10 2 2" xfId="3638"/>
    <cellStyle name="Comma 2 10 3" xfId="4376"/>
    <cellStyle name="Comma 2 10 4" xfId="3602"/>
    <cellStyle name="Comma 2 11" xfId="662"/>
    <cellStyle name="Comma 2 11 2" xfId="663"/>
    <cellStyle name="Comma 2 11 2 2" xfId="15414"/>
    <cellStyle name="Comma 2 12" xfId="664"/>
    <cellStyle name="Comma 2 12 2" xfId="665"/>
    <cellStyle name="Comma 2 13" xfId="666"/>
    <cellStyle name="Comma 2 14" xfId="667"/>
    <cellStyle name="Comma 2 14 2" xfId="668"/>
    <cellStyle name="Comma 2 15" xfId="669"/>
    <cellStyle name="Comma 2 15 2" xfId="670"/>
    <cellStyle name="Comma 2 16" xfId="671"/>
    <cellStyle name="Comma 2 16 2" xfId="672"/>
    <cellStyle name="Comma 2 17" xfId="673"/>
    <cellStyle name="Comma 2 17 2" xfId="674"/>
    <cellStyle name="Comma 2 18" xfId="675"/>
    <cellStyle name="Comma 2 18 2" xfId="676"/>
    <cellStyle name="Comma 2 19" xfId="677"/>
    <cellStyle name="Comma 2 19 2" xfId="678"/>
    <cellStyle name="Comma 2 2" xfId="31"/>
    <cellStyle name="Comma 2 2 10" xfId="679"/>
    <cellStyle name="Comma 2 2 11" xfId="680"/>
    <cellStyle name="Comma 2 2 11 2" xfId="681"/>
    <cellStyle name="Comma 2 2 12" xfId="682"/>
    <cellStyle name="Comma 2 2 12 2" xfId="683"/>
    <cellStyle name="Comma 2 2 13" xfId="684"/>
    <cellStyle name="Comma 2 2 13 2" xfId="685"/>
    <cellStyle name="Comma 2 2 14" xfId="686"/>
    <cellStyle name="Comma 2 2 14 2" xfId="687"/>
    <cellStyle name="Comma 2 2 15" xfId="688"/>
    <cellStyle name="Comma 2 2 15 2" xfId="689"/>
    <cellStyle name="Comma 2 2 16" xfId="690"/>
    <cellStyle name="Comma 2 2 16 2" xfId="691"/>
    <cellStyle name="Comma 2 2 17" xfId="692"/>
    <cellStyle name="Comma 2 2 17 2" xfId="693"/>
    <cellStyle name="Comma 2 2 18" xfId="694"/>
    <cellStyle name="Comma 2 2 19" xfId="695"/>
    <cellStyle name="Comma 2 2 2" xfId="22"/>
    <cellStyle name="Comma 2 2 2 10" xfId="697"/>
    <cellStyle name="Comma 2 2 2 11" xfId="698"/>
    <cellStyle name="Comma 2 2 2 12" xfId="699"/>
    <cellStyle name="Comma 2 2 2 13" xfId="700"/>
    <cellStyle name="Comma 2 2 2 14" xfId="701"/>
    <cellStyle name="Comma 2 2 2 15" xfId="702"/>
    <cellStyle name="Comma 2 2 2 16" xfId="703"/>
    <cellStyle name="Comma 2 2 2 17" xfId="704"/>
    <cellStyle name="Comma 2 2 2 18" xfId="705"/>
    <cellStyle name="Comma 2 2 2 19" xfId="706"/>
    <cellStyle name="Comma 2 2 2 2" xfId="49"/>
    <cellStyle name="Comma 2 2 2 2 2" xfId="708"/>
    <cellStyle name="Comma 2 2 2 2 2 2" xfId="3111"/>
    <cellStyle name="Comma 2 2 2 2 2 2 2" xfId="15416"/>
    <cellStyle name="Comma 2 2 2 2 3" xfId="709"/>
    <cellStyle name="Comma 2 2 2 2 3 2" xfId="4377"/>
    <cellStyle name="Comma 2 2 2 2 3 3" xfId="15417"/>
    <cellStyle name="Comma 2 2 2 2 4" xfId="710"/>
    <cellStyle name="Comma 2 2 2 2 5" xfId="707"/>
    <cellStyle name="Comma 2 2 2 20" xfId="711"/>
    <cellStyle name="Comma 2 2 2 21" xfId="712"/>
    <cellStyle name="Comma 2 2 2 22" xfId="713"/>
    <cellStyle name="Comma 2 2 2 23" xfId="714"/>
    <cellStyle name="Comma 2 2 2 24" xfId="715"/>
    <cellStyle name="Comma 2 2 2 25" xfId="716"/>
    <cellStyle name="Comma 2 2 2 26" xfId="717"/>
    <cellStyle name="Comma 2 2 2 27" xfId="718"/>
    <cellStyle name="Comma 2 2 2 28" xfId="719"/>
    <cellStyle name="Comma 2 2 2 29" xfId="720"/>
    <cellStyle name="Comma 2 2 2 3" xfId="50"/>
    <cellStyle name="Comma 2 2 2 3 2" xfId="29"/>
    <cellStyle name="Comma 2 2 2 3 3" xfId="2942"/>
    <cellStyle name="Comma 2 2 2 3 4" xfId="721"/>
    <cellStyle name="Comma 2 2 2 30" xfId="722"/>
    <cellStyle name="Comma 2 2 2 31" xfId="723"/>
    <cellStyle name="Comma 2 2 2 32" xfId="724"/>
    <cellStyle name="Comma 2 2 2 33" xfId="725"/>
    <cellStyle name="Comma 2 2 2 34" xfId="726"/>
    <cellStyle name="Comma 2 2 2 35" xfId="727"/>
    <cellStyle name="Comma 2 2 2 36" xfId="728"/>
    <cellStyle name="Comma 2 2 2 37" xfId="729"/>
    <cellStyle name="Comma 2 2 2 38" xfId="730"/>
    <cellStyle name="Comma 2 2 2 39" xfId="731"/>
    <cellStyle name="Comma 2 2 2 4" xfId="732"/>
    <cellStyle name="Comma 2 2 2 4 2" xfId="733"/>
    <cellStyle name="Comma 2 2 2 4 2 2" xfId="15418"/>
    <cellStyle name="Comma 2 2 2 4 3" xfId="4378"/>
    <cellStyle name="Comma 2 2 2 40" xfId="734"/>
    <cellStyle name="Comma 2 2 2 41" xfId="735"/>
    <cellStyle name="Comma 2 2 2 42" xfId="736"/>
    <cellStyle name="Comma 2 2 2 43" xfId="737"/>
    <cellStyle name="Comma 2 2 2 44" xfId="738"/>
    <cellStyle name="Comma 2 2 2 45" xfId="696"/>
    <cellStyle name="Comma 2 2 2 5" xfId="739"/>
    <cellStyle name="Comma 2 2 2 5 2" xfId="7864"/>
    <cellStyle name="Comma 2 2 2 5 2 2" xfId="15420"/>
    <cellStyle name="Comma 2 2 2 5 3" xfId="5446"/>
    <cellStyle name="Comma 2 2 2 5 3 2" xfId="15421"/>
    <cellStyle name="Comma 2 2 2 5 4" xfId="15419"/>
    <cellStyle name="Comma 2 2 2 6" xfId="740"/>
    <cellStyle name="Comma 2 2 2 6 2" xfId="7865"/>
    <cellStyle name="Comma 2 2 2 6 3" xfId="4379"/>
    <cellStyle name="Comma 2 2 2 7" xfId="741"/>
    <cellStyle name="Comma 2 2 2 8" xfId="742"/>
    <cellStyle name="Comma 2 2 2 9" xfId="743"/>
    <cellStyle name="Comma 2 2 20" xfId="744"/>
    <cellStyle name="Comma 2 2 20 10" xfId="15423"/>
    <cellStyle name="Comma 2 2 20 11" xfId="15422"/>
    <cellStyle name="Comma 2 2 20 2" xfId="745"/>
    <cellStyle name="Comma 2 2 20 2 2" xfId="4382"/>
    <cellStyle name="Comma 2 2 20 2 2 2" xfId="4383"/>
    <cellStyle name="Comma 2 2 20 2 2 2 2" xfId="15427"/>
    <cellStyle name="Comma 2 2 20 2 2 2 2 2" xfId="15428"/>
    <cellStyle name="Comma 2 2 20 2 2 2 3" xfId="15429"/>
    <cellStyle name="Comma 2 2 20 2 2 2 4" xfId="15426"/>
    <cellStyle name="Comma 2 2 20 2 2 3" xfId="15430"/>
    <cellStyle name="Comma 2 2 20 2 2 3 2" xfId="15431"/>
    <cellStyle name="Comma 2 2 20 2 2 4" xfId="15432"/>
    <cellStyle name="Comma 2 2 20 2 2 5" xfId="15433"/>
    <cellStyle name="Comma 2 2 20 2 2 6" xfId="15425"/>
    <cellStyle name="Comma 2 2 20 2 3" xfId="4384"/>
    <cellStyle name="Comma 2 2 20 2 3 2" xfId="15435"/>
    <cellStyle name="Comma 2 2 20 2 3 2 2" xfId="15436"/>
    <cellStyle name="Comma 2 2 20 2 3 2 2 2" xfId="15437"/>
    <cellStyle name="Comma 2 2 20 2 3 2 3" xfId="15438"/>
    <cellStyle name="Comma 2 2 20 2 3 3" xfId="15439"/>
    <cellStyle name="Comma 2 2 20 2 3 3 2" xfId="15440"/>
    <cellStyle name="Comma 2 2 20 2 3 4" xfId="15441"/>
    <cellStyle name="Comma 2 2 20 2 3 5" xfId="15442"/>
    <cellStyle name="Comma 2 2 20 2 3 6" xfId="15434"/>
    <cellStyle name="Comma 2 2 20 2 4" xfId="4385"/>
    <cellStyle name="Comma 2 2 20 2 4 2" xfId="15444"/>
    <cellStyle name="Comma 2 2 20 2 4 2 2" xfId="15445"/>
    <cellStyle name="Comma 2 2 20 2 4 3" xfId="15446"/>
    <cellStyle name="Comma 2 2 20 2 4 4" xfId="15443"/>
    <cellStyle name="Comma 2 2 20 2 5" xfId="4381"/>
    <cellStyle name="Comma 2 2 20 2 5 2" xfId="15448"/>
    <cellStyle name="Comma 2 2 20 2 5 2 2" xfId="15449"/>
    <cellStyle name="Comma 2 2 20 2 5 3" xfId="15450"/>
    <cellStyle name="Comma 2 2 20 2 5 4" xfId="15447"/>
    <cellStyle name="Comma 2 2 20 2 6" xfId="15451"/>
    <cellStyle name="Comma 2 2 20 2 6 2" xfId="15452"/>
    <cellStyle name="Comma 2 2 20 2 7" xfId="15453"/>
    <cellStyle name="Comma 2 2 20 2 8" xfId="15454"/>
    <cellStyle name="Comma 2 2 20 2 9" xfId="15424"/>
    <cellStyle name="Comma 2 2 20 3" xfId="3475"/>
    <cellStyle name="Comma 2 2 20 3 2" xfId="4861"/>
    <cellStyle name="Comma 2 2 20 3 2 2" xfId="15457"/>
    <cellStyle name="Comma 2 2 20 3 2 2 2" xfId="15458"/>
    <cellStyle name="Comma 2 2 20 3 2 2 2 2" xfId="15459"/>
    <cellStyle name="Comma 2 2 20 3 2 2 3" xfId="15460"/>
    <cellStyle name="Comma 2 2 20 3 2 3" xfId="15461"/>
    <cellStyle name="Comma 2 2 20 3 2 3 2" xfId="15462"/>
    <cellStyle name="Comma 2 2 20 3 2 4" xfId="15463"/>
    <cellStyle name="Comma 2 2 20 3 2 5" xfId="15464"/>
    <cellStyle name="Comma 2 2 20 3 2 6" xfId="15456"/>
    <cellStyle name="Comma 2 2 20 3 3" xfId="15465"/>
    <cellStyle name="Comma 2 2 20 3 3 2" xfId="15466"/>
    <cellStyle name="Comma 2 2 20 3 3 2 2" xfId="15467"/>
    <cellStyle name="Comma 2 2 20 3 3 2 2 2" xfId="15468"/>
    <cellStyle name="Comma 2 2 20 3 3 2 3" xfId="15469"/>
    <cellStyle name="Comma 2 2 20 3 3 3" xfId="15470"/>
    <cellStyle name="Comma 2 2 20 3 3 3 2" xfId="15471"/>
    <cellStyle name="Comma 2 2 20 3 3 4" xfId="15472"/>
    <cellStyle name="Comma 2 2 20 3 4" xfId="15473"/>
    <cellStyle name="Comma 2 2 20 3 4 2" xfId="15474"/>
    <cellStyle name="Comma 2 2 20 3 4 2 2" xfId="15475"/>
    <cellStyle name="Comma 2 2 20 3 4 3" xfId="15476"/>
    <cellStyle name="Comma 2 2 20 3 5" xfId="15477"/>
    <cellStyle name="Comma 2 2 20 3 5 2" xfId="15478"/>
    <cellStyle name="Comma 2 2 20 3 5 2 2" xfId="15479"/>
    <cellStyle name="Comma 2 2 20 3 5 3" xfId="15480"/>
    <cellStyle name="Comma 2 2 20 3 6" xfId="15481"/>
    <cellStyle name="Comma 2 2 20 3 6 2" xfId="15482"/>
    <cellStyle name="Comma 2 2 20 3 7" xfId="15483"/>
    <cellStyle name="Comma 2 2 20 3 8" xfId="15484"/>
    <cellStyle name="Comma 2 2 20 3 9" xfId="15455"/>
    <cellStyle name="Comma 2 2 20 4" xfId="4386"/>
    <cellStyle name="Comma 2 2 20 4 2" xfId="15486"/>
    <cellStyle name="Comma 2 2 20 4 2 2" xfId="15487"/>
    <cellStyle name="Comma 2 2 20 4 2 2 2" xfId="15488"/>
    <cellStyle name="Comma 2 2 20 4 2 2 2 2" xfId="15489"/>
    <cellStyle name="Comma 2 2 20 4 2 2 3" xfId="15490"/>
    <cellStyle name="Comma 2 2 20 4 2 3" xfId="15491"/>
    <cellStyle name="Comma 2 2 20 4 2 3 2" xfId="15492"/>
    <cellStyle name="Comma 2 2 20 4 2 4" xfId="15493"/>
    <cellStyle name="Comma 2 2 20 4 3" xfId="15494"/>
    <cellStyle name="Comma 2 2 20 4 3 2" xfId="15495"/>
    <cellStyle name="Comma 2 2 20 4 3 2 2" xfId="15496"/>
    <cellStyle name="Comma 2 2 20 4 3 3" xfId="15497"/>
    <cellStyle name="Comma 2 2 20 4 4" xfId="15498"/>
    <cellStyle name="Comma 2 2 20 4 4 2" xfId="15499"/>
    <cellStyle name="Comma 2 2 20 4 4 2 2" xfId="15500"/>
    <cellStyle name="Comma 2 2 20 4 4 3" xfId="15501"/>
    <cellStyle name="Comma 2 2 20 4 5" xfId="15502"/>
    <cellStyle name="Comma 2 2 20 4 5 2" xfId="15503"/>
    <cellStyle name="Comma 2 2 20 4 6" xfId="15504"/>
    <cellStyle name="Comma 2 2 20 4 7" xfId="15505"/>
    <cellStyle name="Comma 2 2 20 4 8" xfId="15485"/>
    <cellStyle name="Comma 2 2 20 5" xfId="5306"/>
    <cellStyle name="Comma 2 2 20 5 2" xfId="15507"/>
    <cellStyle name="Comma 2 2 20 5 2 2" xfId="15508"/>
    <cellStyle name="Comma 2 2 20 5 2 2 2" xfId="15509"/>
    <cellStyle name="Comma 2 2 20 5 2 3" xfId="15510"/>
    <cellStyle name="Comma 2 2 20 5 3" xfId="15511"/>
    <cellStyle name="Comma 2 2 20 5 3 2" xfId="15512"/>
    <cellStyle name="Comma 2 2 20 5 4" xfId="15513"/>
    <cellStyle name="Comma 2 2 20 5 5" xfId="15514"/>
    <cellStyle name="Comma 2 2 20 5 6" xfId="15506"/>
    <cellStyle name="Comma 2 2 20 6" xfId="7866"/>
    <cellStyle name="Comma 2 2 20 6 2" xfId="15516"/>
    <cellStyle name="Comma 2 2 20 6 2 2" xfId="15517"/>
    <cellStyle name="Comma 2 2 20 6 3" xfId="15518"/>
    <cellStyle name="Comma 2 2 20 6 4" xfId="15515"/>
    <cellStyle name="Comma 2 2 20 7" xfId="4380"/>
    <cellStyle name="Comma 2 2 20 7 2" xfId="15520"/>
    <cellStyle name="Comma 2 2 20 7 2 2" xfId="15521"/>
    <cellStyle name="Comma 2 2 20 7 3" xfId="15522"/>
    <cellStyle name="Comma 2 2 20 7 4" xfId="15519"/>
    <cellStyle name="Comma 2 2 20 8" xfId="15523"/>
    <cellStyle name="Comma 2 2 20 8 2" xfId="15524"/>
    <cellStyle name="Comma 2 2 20 9" xfId="15525"/>
    <cellStyle name="Comma 2 2 21" xfId="746"/>
    <cellStyle name="Comma 2 2 21 2" xfId="15526"/>
    <cellStyle name="Comma 2 2 22" xfId="747"/>
    <cellStyle name="Comma 2 2 22 2" xfId="15527"/>
    <cellStyle name="Comma 2 2 23" xfId="748"/>
    <cellStyle name="Comma 2 2 24" xfId="749"/>
    <cellStyle name="Comma 2 2 25" xfId="750"/>
    <cellStyle name="Comma 2 2 26" xfId="751"/>
    <cellStyle name="Comma 2 2 27" xfId="752"/>
    <cellStyle name="Comma 2 2 28" xfId="753"/>
    <cellStyle name="Comma 2 2 29" xfId="754"/>
    <cellStyle name="Comma 2 2 3" xfId="755"/>
    <cellStyle name="Comma 2 2 3 10" xfId="15528"/>
    <cellStyle name="Comma 2 2 3 2" xfId="756"/>
    <cellStyle name="Comma 2 2 3 2 2" xfId="2604"/>
    <cellStyle name="Comma 2 2 3 2 3" xfId="4903"/>
    <cellStyle name="Comma 2 2 3 2 4" xfId="4904"/>
    <cellStyle name="Comma 2 2 3 2 5" xfId="3476"/>
    <cellStyle name="Comma 2 2 3 3" xfId="757"/>
    <cellStyle name="Comma 2 2 3 3 2" xfId="4905"/>
    <cellStyle name="Comma 2 2 3 3 2 2" xfId="15529"/>
    <cellStyle name="Comma 2 2 3 4" xfId="758"/>
    <cellStyle name="Comma 2 2 3 4 2" xfId="4906"/>
    <cellStyle name="Comma 2 2 3 4 2 2" xfId="15531"/>
    <cellStyle name="Comma 2 2 3 4 3" xfId="15530"/>
    <cellStyle name="Comma 2 2 3 5" xfId="2603"/>
    <cellStyle name="Comma 2 2 3 5 2" xfId="4907"/>
    <cellStyle name="Comma 2 2 3 5 2 2" xfId="15532"/>
    <cellStyle name="Comma 2 2 3 5 3" xfId="15533"/>
    <cellStyle name="Comma 2 2 3 6" xfId="4908"/>
    <cellStyle name="Comma 2 2 3 7" xfId="4909"/>
    <cellStyle name="Comma 2 2 3 8" xfId="4910"/>
    <cellStyle name="Comma 2 2 3 9" xfId="4387"/>
    <cellStyle name="Comma 2 2 30" xfId="759"/>
    <cellStyle name="Comma 2 2 31" xfId="760"/>
    <cellStyle name="Comma 2 2 32" xfId="761"/>
    <cellStyle name="Comma 2 2 33" xfId="762"/>
    <cellStyle name="Comma 2 2 34" xfId="763"/>
    <cellStyle name="Comma 2 2 35" xfId="764"/>
    <cellStyle name="Comma 2 2 36" xfId="765"/>
    <cellStyle name="Comma 2 2 37" xfId="766"/>
    <cellStyle name="Comma 2 2 38" xfId="767"/>
    <cellStyle name="Comma 2 2 39" xfId="768"/>
    <cellStyle name="Comma 2 2 4" xfId="769"/>
    <cellStyle name="Comma 2 2 4 2" xfId="770"/>
    <cellStyle name="Comma 2 2 4 2 2" xfId="771"/>
    <cellStyle name="Comma 2 2 4 3" xfId="772"/>
    <cellStyle name="Comma 2 2 4 3 2" xfId="4902"/>
    <cellStyle name="Comma 2 2 4 4" xfId="773"/>
    <cellStyle name="Comma 2 2 4 4 2" xfId="4388"/>
    <cellStyle name="Comma 2 2 4 5" xfId="4389"/>
    <cellStyle name="Comma 2 2 4 6" xfId="4390"/>
    <cellStyle name="Comma 2 2 40" xfId="774"/>
    <cellStyle name="Comma 2 2 41" xfId="775"/>
    <cellStyle name="Comma 2 2 42" xfId="776"/>
    <cellStyle name="Comma 2 2 43" xfId="777"/>
    <cellStyle name="Comma 2 2 44" xfId="778"/>
    <cellStyle name="Comma 2 2 45" xfId="15415"/>
    <cellStyle name="Comma 2 2 5" xfId="779"/>
    <cellStyle name="Comma 2 2 5 2" xfId="780"/>
    <cellStyle name="Comma 2 2 5 2 2" xfId="4391"/>
    <cellStyle name="Comma 2 2 5 3" xfId="781"/>
    <cellStyle name="Comma 2 2 5 4" xfId="782"/>
    <cellStyle name="Comma 2 2 6" xfId="783"/>
    <cellStyle name="Comma 2 2 6 2" xfId="4862"/>
    <cellStyle name="Comma 2 2 6 3" xfId="4392"/>
    <cellStyle name="Comma 2 2 7" xfId="784"/>
    <cellStyle name="Comma 2 2 7 2" xfId="3236"/>
    <cellStyle name="Comma 2 2 7 3" xfId="4393"/>
    <cellStyle name="Comma 2 2 8" xfId="785"/>
    <cellStyle name="Comma 2 2 8 2" xfId="4394"/>
    <cellStyle name="Comma 2 2 8 3" xfId="4911"/>
    <cellStyle name="Comma 2 2 9" xfId="786"/>
    <cellStyle name="Comma 2 2_accounts AAAF formatted" xfId="3112"/>
    <cellStyle name="Comma 2 20" xfId="787"/>
    <cellStyle name="Comma 2 20 2" xfId="788"/>
    <cellStyle name="Comma 2 21" xfId="789"/>
    <cellStyle name="Comma 2 21 2" xfId="790"/>
    <cellStyle name="Comma 2 22" xfId="791"/>
    <cellStyle name="Comma 2 22 2" xfId="2414"/>
    <cellStyle name="Comma 2 22 2 2" xfId="3237"/>
    <cellStyle name="Comma 2 22 2 2 2" xfId="587"/>
    <cellStyle name="Comma 2 22 2 2 2 2" xfId="15537"/>
    <cellStyle name="Comma 2 22 2 2 2 3" xfId="15536"/>
    <cellStyle name="Comma 2 22 2 2 3" xfId="15538"/>
    <cellStyle name="Comma 2 22 2 2 4" xfId="15539"/>
    <cellStyle name="Comma 2 22 2 2 5" xfId="15535"/>
    <cellStyle name="Comma 2 22 2 3" xfId="4913"/>
    <cellStyle name="Comma 2 22 2 3 2" xfId="15541"/>
    <cellStyle name="Comma 2 22 2 3 2 2" xfId="15542"/>
    <cellStyle name="Comma 2 22 2 3 3" xfId="15543"/>
    <cellStyle name="Comma 2 22 2 3 4" xfId="15544"/>
    <cellStyle name="Comma 2 22 2 3 5" xfId="15540"/>
    <cellStyle name="Comma 2 22 2 4" xfId="3615"/>
    <cellStyle name="Comma 2 22 2 4 2" xfId="15546"/>
    <cellStyle name="Comma 2 22 2 4 3" xfId="15545"/>
    <cellStyle name="Comma 2 22 2 5" xfId="3603"/>
    <cellStyle name="Comma 2 22 2 5 2" xfId="15547"/>
    <cellStyle name="Comma 2 22 2 6" xfId="15548"/>
    <cellStyle name="Comma 2 22 2 7" xfId="15534"/>
    <cellStyle name="Comma 2 22 3" xfId="4914"/>
    <cellStyle name="Comma 2 22 3 2" xfId="4395"/>
    <cellStyle name="Comma 2 22 3 2 2" xfId="15551"/>
    <cellStyle name="Comma 2 22 3 2 3" xfId="15550"/>
    <cellStyle name="Comma 2 22 3 3" xfId="15552"/>
    <cellStyle name="Comma 2 22 3 4" xfId="15553"/>
    <cellStyle name="Comma 2 22 3 5" xfId="15549"/>
    <cellStyle name="Comma 2 22 4" xfId="4396"/>
    <cellStyle name="Comma 2 22 4 2" xfId="15555"/>
    <cellStyle name="Comma 2 22 4 2 2" xfId="15556"/>
    <cellStyle name="Comma 2 22 4 3" xfId="15557"/>
    <cellStyle name="Comma 2 22 4 4" xfId="15558"/>
    <cellStyle name="Comma 2 22 4 5" xfId="15554"/>
    <cellStyle name="Comma 2 22 5" xfId="4397"/>
    <cellStyle name="Comma 2 22 5 2" xfId="15559"/>
    <cellStyle name="Comma 2 22 6" xfId="7867"/>
    <cellStyle name="Comma 2 22 7" xfId="4912"/>
    <cellStyle name="Comma 2 23" xfId="792"/>
    <cellStyle name="Comma 2 23 10" xfId="15561"/>
    <cellStyle name="Comma 2 23 11" xfId="15562"/>
    <cellStyle name="Comma 2 23 12" xfId="15560"/>
    <cellStyle name="Comma 2 23 2" xfId="15563"/>
    <cellStyle name="Comma 2 23 2 2" xfId="15564"/>
    <cellStyle name="Comma 2 23 2 2 2" xfId="15565"/>
    <cellStyle name="Comma 2 23 2 2 2 2" xfId="15566"/>
    <cellStyle name="Comma 2 23 2 2 2 2 2" xfId="15567"/>
    <cellStyle name="Comma 2 23 2 2 2 3" xfId="15568"/>
    <cellStyle name="Comma 2 23 2 2 3" xfId="15569"/>
    <cellStyle name="Comma 2 23 2 2 3 2" xfId="15570"/>
    <cellStyle name="Comma 2 23 2 2 4" xfId="15571"/>
    <cellStyle name="Comma 2 23 2 2 5" xfId="15572"/>
    <cellStyle name="Comma 2 23 2 3" xfId="15573"/>
    <cellStyle name="Comma 2 23 2 3 2" xfId="15574"/>
    <cellStyle name="Comma 2 23 2 3 2 2" xfId="15575"/>
    <cellStyle name="Comma 2 23 2 3 2 2 2" xfId="15576"/>
    <cellStyle name="Comma 2 23 2 3 2 3" xfId="15577"/>
    <cellStyle name="Comma 2 23 2 3 3" xfId="15578"/>
    <cellStyle name="Comma 2 23 2 3 3 2" xfId="15579"/>
    <cellStyle name="Comma 2 23 2 3 4" xfId="15580"/>
    <cellStyle name="Comma 2 23 2 4" xfId="15581"/>
    <cellStyle name="Comma 2 23 2 4 2" xfId="15582"/>
    <cellStyle name="Comma 2 23 2 4 2 2" xfId="15583"/>
    <cellStyle name="Comma 2 23 2 4 3" xfId="15584"/>
    <cellStyle name="Comma 2 23 2 5" xfId="15585"/>
    <cellStyle name="Comma 2 23 2 5 2" xfId="15586"/>
    <cellStyle name="Comma 2 23 2 5 2 2" xfId="15587"/>
    <cellStyle name="Comma 2 23 2 5 3" xfId="15588"/>
    <cellStyle name="Comma 2 23 2 6" xfId="15589"/>
    <cellStyle name="Comma 2 23 2 6 2" xfId="15590"/>
    <cellStyle name="Comma 2 23 2 7" xfId="15591"/>
    <cellStyle name="Comma 2 23 2 7 2" xfId="15592"/>
    <cellStyle name="Comma 2 23 2 8" xfId="15593"/>
    <cellStyle name="Comma 2 23 3" xfId="15594"/>
    <cellStyle name="Comma 2 23 3 2" xfId="15595"/>
    <cellStyle name="Comma 2 23 3 2 2" xfId="15596"/>
    <cellStyle name="Comma 2 23 3 2 2 2" xfId="15597"/>
    <cellStyle name="Comma 2 23 3 2 2 2 2" xfId="15598"/>
    <cellStyle name="Comma 2 23 3 2 2 3" xfId="15599"/>
    <cellStyle name="Comma 2 23 3 2 3" xfId="15600"/>
    <cellStyle name="Comma 2 23 3 2 3 2" xfId="15601"/>
    <cellStyle name="Comma 2 23 3 2 4" xfId="15602"/>
    <cellStyle name="Comma 2 23 3 2 5" xfId="15603"/>
    <cellStyle name="Comma 2 23 3 3" xfId="15604"/>
    <cellStyle name="Comma 2 23 3 3 2" xfId="15605"/>
    <cellStyle name="Comma 2 23 3 3 2 2" xfId="15606"/>
    <cellStyle name="Comma 2 23 3 3 2 2 2" xfId="15607"/>
    <cellStyle name="Comma 2 23 3 3 2 3" xfId="15608"/>
    <cellStyle name="Comma 2 23 3 3 3" xfId="15609"/>
    <cellStyle name="Comma 2 23 3 3 3 2" xfId="15610"/>
    <cellStyle name="Comma 2 23 3 3 4" xfId="15611"/>
    <cellStyle name="Comma 2 23 3 4" xfId="15612"/>
    <cellStyle name="Comma 2 23 3 4 2" xfId="15613"/>
    <cellStyle name="Comma 2 23 3 4 2 2" xfId="15614"/>
    <cellStyle name="Comma 2 23 3 4 3" xfId="15615"/>
    <cellStyle name="Comma 2 23 3 5" xfId="15616"/>
    <cellStyle name="Comma 2 23 3 5 2" xfId="15617"/>
    <cellStyle name="Comma 2 23 3 5 2 2" xfId="15618"/>
    <cellStyle name="Comma 2 23 3 5 3" xfId="15619"/>
    <cellStyle name="Comma 2 23 3 6" xfId="15620"/>
    <cellStyle name="Comma 2 23 3 6 2" xfId="15621"/>
    <cellStyle name="Comma 2 23 3 7" xfId="15622"/>
    <cellStyle name="Comma 2 23 3 8" xfId="15623"/>
    <cellStyle name="Comma 2 23 4" xfId="15624"/>
    <cellStyle name="Comma 2 23 4 2" xfId="15625"/>
    <cellStyle name="Comma 2 23 4 2 2" xfId="15626"/>
    <cellStyle name="Comma 2 23 4 2 2 2" xfId="15627"/>
    <cellStyle name="Comma 2 23 4 2 2 2 2" xfId="15628"/>
    <cellStyle name="Comma 2 23 4 2 2 3" xfId="15629"/>
    <cellStyle name="Comma 2 23 4 2 3" xfId="15630"/>
    <cellStyle name="Comma 2 23 4 2 3 2" xfId="15631"/>
    <cellStyle name="Comma 2 23 4 2 4" xfId="15632"/>
    <cellStyle name="Comma 2 23 4 2 5" xfId="15633"/>
    <cellStyle name="Comma 2 23 4 3" xfId="15634"/>
    <cellStyle name="Comma 2 23 4 3 2" xfId="15635"/>
    <cellStyle name="Comma 2 23 4 3 2 2" xfId="15636"/>
    <cellStyle name="Comma 2 23 4 3 2 2 2" xfId="15637"/>
    <cellStyle name="Comma 2 23 4 3 2 3" xfId="15638"/>
    <cellStyle name="Comma 2 23 4 3 3" xfId="15639"/>
    <cellStyle name="Comma 2 23 4 3 3 2" xfId="15640"/>
    <cellStyle name="Comma 2 23 4 3 4" xfId="15641"/>
    <cellStyle name="Comma 2 23 4 4" xfId="15642"/>
    <cellStyle name="Comma 2 23 4 4 2" xfId="15643"/>
    <cellStyle name="Comma 2 23 4 4 2 2" xfId="15644"/>
    <cellStyle name="Comma 2 23 4 4 3" xfId="15645"/>
    <cellStyle name="Comma 2 23 4 5" xfId="15646"/>
    <cellStyle name="Comma 2 23 4 5 2" xfId="15647"/>
    <cellStyle name="Comma 2 23 4 5 2 2" xfId="15648"/>
    <cellStyle name="Comma 2 23 4 5 3" xfId="15649"/>
    <cellStyle name="Comma 2 23 4 6" xfId="15650"/>
    <cellStyle name="Comma 2 23 4 6 2" xfId="15651"/>
    <cellStyle name="Comma 2 23 4 7" xfId="15652"/>
    <cellStyle name="Comma 2 23 4 8" xfId="15653"/>
    <cellStyle name="Comma 2 23 5" xfId="15654"/>
    <cellStyle name="Comma 2 23 5 2" xfId="15655"/>
    <cellStyle name="Comma 2 23 5 2 2" xfId="15656"/>
    <cellStyle name="Comma 2 23 5 2 2 2" xfId="15657"/>
    <cellStyle name="Comma 2 23 5 2 2 2 2" xfId="15658"/>
    <cellStyle name="Comma 2 23 5 2 2 3" xfId="15659"/>
    <cellStyle name="Comma 2 23 5 2 3" xfId="15660"/>
    <cellStyle name="Comma 2 23 5 2 3 2" xfId="15661"/>
    <cellStyle name="Comma 2 23 5 2 4" xfId="15662"/>
    <cellStyle name="Comma 2 23 5 3" xfId="15663"/>
    <cellStyle name="Comma 2 23 5 3 2" xfId="15664"/>
    <cellStyle name="Comma 2 23 5 3 2 2" xfId="15665"/>
    <cellStyle name="Comma 2 23 5 3 3" xfId="15666"/>
    <cellStyle name="Comma 2 23 5 4" xfId="15667"/>
    <cellStyle name="Comma 2 23 5 4 2" xfId="15668"/>
    <cellStyle name="Comma 2 23 5 4 2 2" xfId="15669"/>
    <cellStyle name="Comma 2 23 5 4 3" xfId="15670"/>
    <cellStyle name="Comma 2 23 5 5" xfId="15671"/>
    <cellStyle name="Comma 2 23 5 5 2" xfId="15672"/>
    <cellStyle name="Comma 2 23 5 6" xfId="15673"/>
    <cellStyle name="Comma 2 23 5 7" xfId="15674"/>
    <cellStyle name="Comma 2 23 6" xfId="15675"/>
    <cellStyle name="Comma 2 23 6 2" xfId="15676"/>
    <cellStyle name="Comma 2 23 6 2 2" xfId="15677"/>
    <cellStyle name="Comma 2 23 6 2 2 2" xfId="15678"/>
    <cellStyle name="Comma 2 23 6 2 3" xfId="15679"/>
    <cellStyle name="Comma 2 23 6 3" xfId="15680"/>
    <cellStyle name="Comma 2 23 6 3 2" xfId="15681"/>
    <cellStyle name="Comma 2 23 6 4" xfId="15682"/>
    <cellStyle name="Comma 2 23 6 5" xfId="15683"/>
    <cellStyle name="Comma 2 23 7" xfId="15684"/>
    <cellStyle name="Comma 2 23 7 2" xfId="15685"/>
    <cellStyle name="Comma 2 23 7 2 2" xfId="15686"/>
    <cellStyle name="Comma 2 23 7 3" xfId="15687"/>
    <cellStyle name="Comma 2 23 8" xfId="15688"/>
    <cellStyle name="Comma 2 23 8 2" xfId="15689"/>
    <cellStyle name="Comma 2 23 8 2 2" xfId="15690"/>
    <cellStyle name="Comma 2 23 8 3" xfId="15691"/>
    <cellStyle name="Comma 2 23 9" xfId="15692"/>
    <cellStyle name="Comma 2 23 9 2" xfId="15693"/>
    <cellStyle name="Comma 2 24" xfId="793"/>
    <cellStyle name="Comma 2 24 2" xfId="15695"/>
    <cellStyle name="Comma 2 24 3" xfId="15696"/>
    <cellStyle name="Comma 2 24 4" xfId="15697"/>
    <cellStyle name="Comma 2 24 5" xfId="15694"/>
    <cellStyle name="Comma 2 25" xfId="794"/>
    <cellStyle name="Comma 2 25 2" xfId="15698"/>
    <cellStyle name="Comma 2 26" xfId="795"/>
    <cellStyle name="Comma 2 26 2" xfId="15700"/>
    <cellStyle name="Comma 2 26 3" xfId="15701"/>
    <cellStyle name="Comma 2 26 4" xfId="15699"/>
    <cellStyle name="Comma 2 27" xfId="796"/>
    <cellStyle name="Comma 2 27 2" xfId="15703"/>
    <cellStyle name="Comma 2 27 3" xfId="15704"/>
    <cellStyle name="Comma 2 27 4" xfId="15702"/>
    <cellStyle name="Comma 2 28" xfId="797"/>
    <cellStyle name="Comma 2 28 2" xfId="15706"/>
    <cellStyle name="Comma 2 28 3" xfId="15707"/>
    <cellStyle name="Comma 2 28 4" xfId="15708"/>
    <cellStyle name="Comma 2 28 5" xfId="15705"/>
    <cellStyle name="Comma 2 29" xfId="798"/>
    <cellStyle name="Comma 2 29 2" xfId="15709"/>
    <cellStyle name="Comma 2 3" xfId="799"/>
    <cellStyle name="Comma 2 3 2" xfId="800"/>
    <cellStyle name="Comma 2 3 2 2" xfId="801"/>
    <cellStyle name="Comma 2 3 2 2 2" xfId="3113"/>
    <cellStyle name="Comma 2 3 2 2 2 2" xfId="15710"/>
    <cellStyle name="Comma 2 3 2 2 3" xfId="5450"/>
    <cellStyle name="Comma 2 3 2 3" xfId="4398"/>
    <cellStyle name="Comma 2 3 2 3 2" xfId="15711"/>
    <cellStyle name="Comma 2 3 3" xfId="802"/>
    <cellStyle name="Comma 2 3 3 2" xfId="803"/>
    <cellStyle name="Comma 2 3 3 2 2" xfId="15712"/>
    <cellStyle name="Comma 2 3 3 3" xfId="804"/>
    <cellStyle name="Comma 2 3 3 3 2" xfId="15713"/>
    <cellStyle name="Comma 2 3 3 4" xfId="2605"/>
    <cellStyle name="Comma 2 3 4" xfId="805"/>
    <cellStyle name="Comma 2 3 4 2" xfId="2943"/>
    <cellStyle name="Comma 2 3 5" xfId="4399"/>
    <cellStyle name="Comma 2 3 5 2" xfId="15715"/>
    <cellStyle name="Comma 2 3 5 3" xfId="15716"/>
    <cellStyle name="Comma 2 3 5 4" xfId="15714"/>
    <cellStyle name="Comma 2 3 6" xfId="5457"/>
    <cellStyle name="Comma 2 3 6 2" xfId="15717"/>
    <cellStyle name="Comma 2 3 7" xfId="4400"/>
    <cellStyle name="Comma 2 3_Book1sarah" xfId="2606"/>
    <cellStyle name="Comma 2 30" xfId="806"/>
    <cellStyle name="Comma 2 30 2" xfId="15718"/>
    <cellStyle name="Comma 2 31" xfId="807"/>
    <cellStyle name="Comma 2 31 2" xfId="15719"/>
    <cellStyle name="Comma 2 32" xfId="808"/>
    <cellStyle name="Comma 2 32 2" xfId="15720"/>
    <cellStyle name="Comma 2 33" xfId="809"/>
    <cellStyle name="Comma 2 33 2" xfId="15721"/>
    <cellStyle name="Comma 2 34" xfId="810"/>
    <cellStyle name="Comma 2 34 2" xfId="15722"/>
    <cellStyle name="Comma 2 35" xfId="811"/>
    <cellStyle name="Comma 2 35 2" xfId="15723"/>
    <cellStyle name="Comma 2 36" xfId="812"/>
    <cellStyle name="Comma 2 36 2" xfId="15724"/>
    <cellStyle name="Comma 2 37" xfId="813"/>
    <cellStyle name="Comma 2 37 2" xfId="15725"/>
    <cellStyle name="Comma 2 38" xfId="814"/>
    <cellStyle name="Comma 2 38 2" xfId="15726"/>
    <cellStyle name="Comma 2 39" xfId="815"/>
    <cellStyle name="Comma 2 4" xfId="816"/>
    <cellStyle name="Comma 2 4 2" xfId="817"/>
    <cellStyle name="Comma 2 4 2 2" xfId="818"/>
    <cellStyle name="Comma 2 4 2 2 2" xfId="4401"/>
    <cellStyle name="Comma 2 4 2 2 2 2" xfId="15728"/>
    <cellStyle name="Comma 2 4 2 2 3" xfId="15729"/>
    <cellStyle name="Comma 2 4 2 2 4" xfId="15727"/>
    <cellStyle name="Comma 2 4 2 3" xfId="5166"/>
    <cellStyle name="Comma 2 4 2 3 2" xfId="15731"/>
    <cellStyle name="Comma 2 4 2 3 3" xfId="15732"/>
    <cellStyle name="Comma 2 4 2 3 4" xfId="15730"/>
    <cellStyle name="Comma 2 4 3" xfId="819"/>
    <cellStyle name="Comma 2 4 3 2" xfId="4402"/>
    <cellStyle name="Comma 2 4 3 3" xfId="15733"/>
    <cellStyle name="Comma 2 4 4" xfId="2415"/>
    <cellStyle name="Comma 2 4 4 2" xfId="15734"/>
    <cellStyle name="Comma 2 4 5" xfId="15735"/>
    <cellStyle name="Comma 2 4 5 2" xfId="15736"/>
    <cellStyle name="Comma 2 4 5 3" xfId="15737"/>
    <cellStyle name="Comma 2 40" xfId="820"/>
    <cellStyle name="Comma 2 41" xfId="821"/>
    <cellStyle name="Comma 2 42" xfId="822"/>
    <cellStyle name="Comma 2 43" xfId="823"/>
    <cellStyle name="Comma 2 44" xfId="824"/>
    <cellStyle name="Comma 2 45" xfId="825"/>
    <cellStyle name="Comma 2 46" xfId="826"/>
    <cellStyle name="Comma 2 47" xfId="827"/>
    <cellStyle name="Comma 2 48" xfId="828"/>
    <cellStyle name="Comma 2 49" xfId="4403"/>
    <cellStyle name="Comma 2 49 2" xfId="7880"/>
    <cellStyle name="Comma 2 5" xfId="829"/>
    <cellStyle name="Comma 2 5 2" xfId="830"/>
    <cellStyle name="Comma 2 5 3" xfId="831"/>
    <cellStyle name="Comma 2 5 3 2" xfId="15739"/>
    <cellStyle name="Comma 2 5 3 3" xfId="15740"/>
    <cellStyle name="Comma 2 5 3 4" xfId="15738"/>
    <cellStyle name="Comma 2 5 4" xfId="2416"/>
    <cellStyle name="Comma 2 5 4 2" xfId="15741"/>
    <cellStyle name="Comma 2 50" xfId="4404"/>
    <cellStyle name="Comma 2 51" xfId="3477"/>
    <cellStyle name="Comma 2 52" xfId="4405"/>
    <cellStyle name="Comma 2 53" xfId="3231"/>
    <cellStyle name="Comma 2 54" xfId="5309"/>
    <cellStyle name="Comma 2 55" xfId="5310"/>
    <cellStyle name="Comma 2 56" xfId="3478"/>
    <cellStyle name="Comma 2 57" xfId="5311"/>
    <cellStyle name="Comma 2 58" xfId="5312"/>
    <cellStyle name="Comma 2 59" xfId="3479"/>
    <cellStyle name="Comma 2 6" xfId="832"/>
    <cellStyle name="Comma 2 6 2" xfId="833"/>
    <cellStyle name="Comma 2 6 2 2" xfId="2944"/>
    <cellStyle name="Comma 2 6 2 2 2" xfId="5313"/>
    <cellStyle name="Comma 2 6 2 2 3" xfId="15743"/>
    <cellStyle name="Comma 2 6 2 3" xfId="15744"/>
    <cellStyle name="Comma 2 6 2 4" xfId="15742"/>
    <cellStyle name="Comma 2 6 3" xfId="834"/>
    <cellStyle name="Comma 2 6 3 2" xfId="4406"/>
    <cellStyle name="Comma 2 6 3 2 2" xfId="15745"/>
    <cellStyle name="Comma 2 6 4" xfId="2417"/>
    <cellStyle name="Comma 2 6 4 2" xfId="3604"/>
    <cellStyle name="Comma 2 6 5" xfId="3605"/>
    <cellStyle name="Comma 2 6 6" xfId="3242"/>
    <cellStyle name="Comma 2 60" xfId="169"/>
    <cellStyle name="Comma 2 61" xfId="3238"/>
    <cellStyle name="Comma 2 62" xfId="4407"/>
    <cellStyle name="Comma 2 63" xfId="3239"/>
    <cellStyle name="Comma 2 64" xfId="4408"/>
    <cellStyle name="Comma 2 65" xfId="5314"/>
    <cellStyle name="Comma 2 66" xfId="4409"/>
    <cellStyle name="Comma 2 67" xfId="3240"/>
    <cellStyle name="Comma 2 68" xfId="4410"/>
    <cellStyle name="Comma 2 69" xfId="4411"/>
    <cellStyle name="Comma 2 7" xfId="835"/>
    <cellStyle name="Comma 2 7 2" xfId="836"/>
    <cellStyle name="Comma 2 7 2 2" xfId="2945"/>
    <cellStyle name="Comma 2 7 2 2 2" xfId="5315"/>
    <cellStyle name="Comma 2 7 2 2 3" xfId="15747"/>
    <cellStyle name="Comma 2 7 2 3" xfId="4412"/>
    <cellStyle name="Comma 2 7 2 3 2" xfId="15748"/>
    <cellStyle name="Comma 2 7 3" xfId="837"/>
    <cellStyle name="Comma 2 7 3 2" xfId="3241"/>
    <cellStyle name="Comma 2 7 3 2 2" xfId="15751"/>
    <cellStyle name="Comma 2 7 3 2 2 2" xfId="15752"/>
    <cellStyle name="Comma 2 7 3 2 2 2 2" xfId="15753"/>
    <cellStyle name="Comma 2 7 3 2 2 3" xfId="15754"/>
    <cellStyle name="Comma 2 7 3 2 3" xfId="15755"/>
    <cellStyle name="Comma 2 7 3 2 3 2" xfId="15756"/>
    <cellStyle name="Comma 2 7 3 2 4" xfId="15757"/>
    <cellStyle name="Comma 2 7 3 2 5" xfId="15758"/>
    <cellStyle name="Comma 2 7 3 2 6" xfId="15750"/>
    <cellStyle name="Comma 2 7 3 3" xfId="15759"/>
    <cellStyle name="Comma 2 7 3 3 2" xfId="15760"/>
    <cellStyle name="Comma 2 7 3 3 2 2" xfId="15761"/>
    <cellStyle name="Comma 2 7 3 3 2 2 2" xfId="15762"/>
    <cellStyle name="Comma 2 7 3 3 2 3" xfId="15763"/>
    <cellStyle name="Comma 2 7 3 3 3" xfId="15764"/>
    <cellStyle name="Comma 2 7 3 3 3 2" xfId="15765"/>
    <cellStyle name="Comma 2 7 3 3 4" xfId="15766"/>
    <cellStyle name="Comma 2 7 3 4" xfId="15767"/>
    <cellStyle name="Comma 2 7 3 4 2" xfId="15768"/>
    <cellStyle name="Comma 2 7 3 4 2 2" xfId="15769"/>
    <cellStyle name="Comma 2 7 3 4 3" xfId="15770"/>
    <cellStyle name="Comma 2 7 3 5" xfId="15771"/>
    <cellStyle name="Comma 2 7 3 5 2" xfId="15772"/>
    <cellStyle name="Comma 2 7 3 5 2 2" xfId="15773"/>
    <cellStyle name="Comma 2 7 3 5 3" xfId="15774"/>
    <cellStyle name="Comma 2 7 3 6" xfId="15775"/>
    <cellStyle name="Comma 2 7 3 6 2" xfId="15776"/>
    <cellStyle name="Comma 2 7 3 7" xfId="15777"/>
    <cellStyle name="Comma 2 7 3 7 2" xfId="15778"/>
    <cellStyle name="Comma 2 7 3 8" xfId="15779"/>
    <cellStyle name="Comma 2 7 3 9" xfId="15749"/>
    <cellStyle name="Comma 2 7 4" xfId="15780"/>
    <cellStyle name="Comma 2 7 4 2" xfId="15781"/>
    <cellStyle name="Comma 2 7 4 3" xfId="15782"/>
    <cellStyle name="Comma 2 7 5" xfId="15783"/>
    <cellStyle name="Comma 2 7 5 2" xfId="15784"/>
    <cellStyle name="Comma 2 7 5 3" xfId="15785"/>
    <cellStyle name="Comma 2 7 6" xfId="15786"/>
    <cellStyle name="Comma 2 7 7" xfId="15746"/>
    <cellStyle name="Comma 2 70" xfId="4413"/>
    <cellStyle name="Comma 2 71" xfId="5422"/>
    <cellStyle name="Comma 2 72" xfId="5423"/>
    <cellStyle name="Comma 2 73" xfId="5424"/>
    <cellStyle name="Comma 2 74" xfId="5425"/>
    <cellStyle name="Comma 2 75" xfId="3261"/>
    <cellStyle name="Comma 2 76" xfId="4414"/>
    <cellStyle name="Comma 2 77" xfId="3270"/>
    <cellStyle name="Comma 2 77 2" xfId="7888"/>
    <cellStyle name="Comma 2 77 3" xfId="7889"/>
    <cellStyle name="Comma 2 78" xfId="3634"/>
    <cellStyle name="Comma 2 79" xfId="8512"/>
    <cellStyle name="Comma 2 8" xfId="838"/>
    <cellStyle name="Comma 2 8 2" xfId="839"/>
    <cellStyle name="Comma 2 8 2 2" xfId="2946"/>
    <cellStyle name="Comma 2 8 2 3" xfId="15787"/>
    <cellStyle name="Comma 2 8 3" xfId="840"/>
    <cellStyle name="Comma 2 8 3 2" xfId="15788"/>
    <cellStyle name="Comma 2 8 4" xfId="841"/>
    <cellStyle name="Comma 2 8 4 2" xfId="15789"/>
    <cellStyle name="Comma 2 8 5" xfId="15790"/>
    <cellStyle name="Comma 2 9" xfId="842"/>
    <cellStyle name="Comma 2 9 2" xfId="843"/>
    <cellStyle name="Comma 2 9 2 2" xfId="2947"/>
    <cellStyle name="Comma 2 9 3" xfId="15791"/>
    <cellStyle name="Comma 2 9 4" xfId="15792"/>
    <cellStyle name="Comma 2_Account(31-Dec-09)" xfId="844"/>
    <cellStyle name="Comma 20" xfId="845"/>
    <cellStyle name="Comma 20 2" xfId="846"/>
    <cellStyle name="Comma 20 2 2" xfId="4415"/>
    <cellStyle name="Comma 20 3" xfId="847"/>
    <cellStyle name="Comma 20 3 2" xfId="4946"/>
    <cellStyle name="Comma 20 4" xfId="848"/>
    <cellStyle name="Comma 20 4 2" xfId="4416"/>
    <cellStyle name="Comma 20 5" xfId="4417"/>
    <cellStyle name="Comma 20 6" xfId="15793"/>
    <cellStyle name="Comma 20_Book1sarah" xfId="2607"/>
    <cellStyle name="Comma 21" xfId="849"/>
    <cellStyle name="Comma 21 2" xfId="850"/>
    <cellStyle name="Comma 21 2 2" xfId="851"/>
    <cellStyle name="Comma 21 2 2 2" xfId="4418"/>
    <cellStyle name="Comma 21 2 3" xfId="852"/>
    <cellStyle name="Comma 21 3" xfId="853"/>
    <cellStyle name="Comma 21 3 2" xfId="15794"/>
    <cellStyle name="Comma 21 4" xfId="2418"/>
    <cellStyle name="Comma 22" xfId="854"/>
    <cellStyle name="Comma 22 2" xfId="855"/>
    <cellStyle name="Comma 22 2 2" xfId="856"/>
    <cellStyle name="Comma 22 3" xfId="857"/>
    <cellStyle name="Comma 22 3 2" xfId="4419"/>
    <cellStyle name="Comma 22 4" xfId="2608"/>
    <cellStyle name="Comma 22 4 2" xfId="3606"/>
    <cellStyle name="Comma 22 4 2 2" xfId="5466"/>
    <cellStyle name="Comma 22 4 3" xfId="4421"/>
    <cellStyle name="Comma 22 4 4" xfId="3243"/>
    <cellStyle name="Comma 22 4 5" xfId="4420"/>
    <cellStyle name="Comma 22 5" xfId="3609"/>
    <cellStyle name="Comma 22 5 2" xfId="4422"/>
    <cellStyle name="Comma 22 5 2 2" xfId="3247"/>
    <cellStyle name="Comma 22 5 3" xfId="4423"/>
    <cellStyle name="Comma 22 5 4" xfId="166"/>
    <cellStyle name="Comma 22 6" xfId="4424"/>
    <cellStyle name="Comma 22 7" xfId="3244"/>
    <cellStyle name="Comma 23" xfId="51"/>
    <cellStyle name="Comma 23 2" xfId="859"/>
    <cellStyle name="Comma 23 2 2" xfId="4425"/>
    <cellStyle name="Comma 23 2 2 2" xfId="15797"/>
    <cellStyle name="Comma 23 2 2 2 2" xfId="15798"/>
    <cellStyle name="Comma 23 2 2 2 2 2" xfId="15799"/>
    <cellStyle name="Comma 23 2 2 2 3" xfId="15800"/>
    <cellStyle name="Comma 23 2 2 2 4" xfId="15801"/>
    <cellStyle name="Comma 23 2 2 3" xfId="15802"/>
    <cellStyle name="Comma 23 2 2 3 2" xfId="15803"/>
    <cellStyle name="Comma 23 2 2 4" xfId="15804"/>
    <cellStyle name="Comma 23 2 2 5" xfId="15805"/>
    <cellStyle name="Comma 23 2 2 6" xfId="15796"/>
    <cellStyle name="Comma 23 2 3" xfId="15806"/>
    <cellStyle name="Comma 23 2 3 2" xfId="15807"/>
    <cellStyle name="Comma 23 2 3 2 2" xfId="15808"/>
    <cellStyle name="Comma 23 2 3 3" xfId="15809"/>
    <cellStyle name="Comma 23 2 3 4" xfId="15810"/>
    <cellStyle name="Comma 23 2 4" xfId="15811"/>
    <cellStyle name="Comma 23 2 4 2" xfId="15812"/>
    <cellStyle name="Comma 23 2 4 2 2" xfId="15813"/>
    <cellStyle name="Comma 23 2 4 3" xfId="15814"/>
    <cellStyle name="Comma 23 2 4 4" xfId="15815"/>
    <cellStyle name="Comma 23 2 5" xfId="15816"/>
    <cellStyle name="Comma 23 2 5 2" xfId="15817"/>
    <cellStyle name="Comma 23 2 5 2 2" xfId="15818"/>
    <cellStyle name="Comma 23 2 5 3" xfId="15819"/>
    <cellStyle name="Comma 23 2 5 4" xfId="15820"/>
    <cellStyle name="Comma 23 2 6" xfId="15821"/>
    <cellStyle name="Comma 23 2 6 2" xfId="15822"/>
    <cellStyle name="Comma 23 2 7" xfId="15823"/>
    <cellStyle name="Comma 23 2 8" xfId="15824"/>
    <cellStyle name="Comma 23 2 9" xfId="15795"/>
    <cellStyle name="Comma 23 3" xfId="860"/>
    <cellStyle name="Comma 23 3 2" xfId="3607"/>
    <cellStyle name="Comma 23 3 2 2" xfId="4427"/>
    <cellStyle name="Comma 23 3 2 2 2" xfId="15828"/>
    <cellStyle name="Comma 23 3 2 2 3" xfId="15827"/>
    <cellStyle name="Comma 23 3 2 3" xfId="15829"/>
    <cellStyle name="Comma 23 3 2 4" xfId="15830"/>
    <cellStyle name="Comma 23 3 2 5" xfId="15826"/>
    <cellStyle name="Comma 23 3 3" xfId="4428"/>
    <cellStyle name="Comma 23 3 3 2" xfId="15832"/>
    <cellStyle name="Comma 23 3 3 2 2" xfId="15833"/>
    <cellStyle name="Comma 23 3 3 3" xfId="15834"/>
    <cellStyle name="Comma 23 3 3 4" xfId="15835"/>
    <cellStyle name="Comma 23 3 3 5" xfId="15831"/>
    <cellStyle name="Comma 23 3 4" xfId="3245"/>
    <cellStyle name="Comma 23 3 4 2" xfId="15837"/>
    <cellStyle name="Comma 23 3 4 3" xfId="15838"/>
    <cellStyle name="Comma 23 3 4 4" xfId="15839"/>
    <cellStyle name="Comma 23 3 4 5" xfId="15836"/>
    <cellStyle name="Comma 23 3 5" xfId="4426"/>
    <cellStyle name="Comma 23 3 6" xfId="15825"/>
    <cellStyle name="Comma 23 4" xfId="861"/>
    <cellStyle name="Comma 23 4 2" xfId="4430"/>
    <cellStyle name="Comma 23 4 2 2" xfId="3608"/>
    <cellStyle name="Comma 23 4 2 2 2" xfId="15842"/>
    <cellStyle name="Comma 23 4 2 3" xfId="15843"/>
    <cellStyle name="Comma 23 4 2 4" xfId="15841"/>
    <cellStyle name="Comma 23 4 3" xfId="5426"/>
    <cellStyle name="Comma 23 4 3 2" xfId="15844"/>
    <cellStyle name="Comma 23 4 4" xfId="3246"/>
    <cellStyle name="Comma 23 4 4 2" xfId="15845"/>
    <cellStyle name="Comma 23 4 5" xfId="4429"/>
    <cellStyle name="Comma 23 4 6" xfId="15840"/>
    <cellStyle name="Comma 23 5" xfId="862"/>
    <cellStyle name="Comma 23 5 2" xfId="15847"/>
    <cellStyle name="Comma 23 5 2 2" xfId="15848"/>
    <cellStyle name="Comma 23 5 3" xfId="15849"/>
    <cellStyle name="Comma 23 5 4" xfId="15850"/>
    <cellStyle name="Comma 23 5 5" xfId="15846"/>
    <cellStyle name="Comma 23 6" xfId="2609"/>
    <cellStyle name="Comma 23 6 2" xfId="4431"/>
    <cellStyle name="Comma 23 6 2 2" xfId="15853"/>
    <cellStyle name="Comma 23 6 2 3" xfId="15852"/>
    <cellStyle name="Comma 23 6 3" xfId="15854"/>
    <cellStyle name="Comma 23 6 4" xfId="15855"/>
    <cellStyle name="Comma 23 6 5" xfId="15856"/>
    <cellStyle name="Comma 23 6 6" xfId="15851"/>
    <cellStyle name="Comma 23 7" xfId="858"/>
    <cellStyle name="Comma 23 7 2" xfId="4432"/>
    <cellStyle name="Comma 23 7 3" xfId="15857"/>
    <cellStyle name="Comma 23 8" xfId="15858"/>
    <cellStyle name="Comma 24" xfId="863"/>
    <cellStyle name="Comma 24 2" xfId="864"/>
    <cellStyle name="Comma 24 2 2" xfId="5004"/>
    <cellStyle name="Comma 24 2 2 2" xfId="15860"/>
    <cellStyle name="Comma 24 2 3" xfId="15861"/>
    <cellStyle name="Comma 24 2 4" xfId="15859"/>
    <cellStyle name="Comma 24 3" xfId="865"/>
    <cellStyle name="Comma 24 3 2" xfId="866"/>
    <cellStyle name="Comma 24 3 3" xfId="15862"/>
    <cellStyle name="Comma 24 4" xfId="867"/>
    <cellStyle name="Comma 24 5" xfId="3269"/>
    <cellStyle name="Comma 24 5 2" xfId="4434"/>
    <cellStyle name="Comma 24 5 2 2" xfId="4435"/>
    <cellStyle name="Comma 24 5 3" xfId="3480"/>
    <cellStyle name="Comma 24 5 4" xfId="4436"/>
    <cellStyle name="Comma 24 6" xfId="4437"/>
    <cellStyle name="Comma 24 6 2" xfId="1499"/>
    <cellStyle name="Comma 24 7" xfId="4915"/>
    <cellStyle name="Comma 24 7 2" xfId="4438"/>
    <cellStyle name="Comma 24 8" xfId="4433"/>
    <cellStyle name="Comma 25" xfId="868"/>
    <cellStyle name="Comma 25 2" xfId="869"/>
    <cellStyle name="Comma 25 2 2" xfId="3481"/>
    <cellStyle name="Comma 25 2 2 2" xfId="4440"/>
    <cellStyle name="Comma 25 2 2 2 2" xfId="4441"/>
    <cellStyle name="Comma 25 2 2 3" xfId="3230"/>
    <cellStyle name="Comma 25 2 2 4" xfId="4442"/>
    <cellStyle name="Comma 25 2 3" xfId="4443"/>
    <cellStyle name="Comma 25 2 3 2" xfId="5005"/>
    <cellStyle name="Comma 25 2 4" xfId="4444"/>
    <cellStyle name="Comma 25 2 5" xfId="4445"/>
    <cellStyle name="Comma 25 2 6" xfId="4439"/>
    <cellStyle name="Comma 25 2 7" xfId="15863"/>
    <cellStyle name="Comma 25 3" xfId="870"/>
    <cellStyle name="Comma 25 3 2" xfId="5347"/>
    <cellStyle name="Comma 25 3 2 2" xfId="4446"/>
    <cellStyle name="Comma 25 3 2 2 2" xfId="5427"/>
    <cellStyle name="Comma 25 3 2 3" xfId="4447"/>
    <cellStyle name="Comma 25 3 2 4" xfId="3482"/>
    <cellStyle name="Comma 25 3 3" xfId="5428"/>
    <cellStyle name="Comma 25 3 3 2" xfId="4448"/>
    <cellStyle name="Comma 25 3 4" xfId="5429"/>
    <cellStyle name="Comma 25 3 5" xfId="4449"/>
    <cellStyle name="Comma 25 3 6" xfId="5316"/>
    <cellStyle name="Comma 25 3 7" xfId="15864"/>
    <cellStyle name="Comma 25 4" xfId="2610"/>
    <cellStyle name="Comma 25 5" xfId="4450"/>
    <cellStyle name="Comma 25 6" xfId="93"/>
    <cellStyle name="Comma 25 7" xfId="4949"/>
    <cellStyle name="Comma 25 8" xfId="40400"/>
    <cellStyle name="Comma 26" xfId="871"/>
    <cellStyle name="Comma 26 10" xfId="15866"/>
    <cellStyle name="Comma 26 11" xfId="15867"/>
    <cellStyle name="Comma 26 12" xfId="15865"/>
    <cellStyle name="Comma 26 2" xfId="872"/>
    <cellStyle name="Comma 26 2 10" xfId="15869"/>
    <cellStyle name="Comma 26 2 11" xfId="15870"/>
    <cellStyle name="Comma 26 2 12" xfId="15868"/>
    <cellStyle name="Comma 26 2 2" xfId="15871"/>
    <cellStyle name="Comma 26 2 2 2" xfId="15872"/>
    <cellStyle name="Comma 26 2 2 2 2" xfId="15873"/>
    <cellStyle name="Comma 26 2 2 2 2 2" xfId="15874"/>
    <cellStyle name="Comma 26 2 2 2 2 2 2" xfId="15875"/>
    <cellStyle name="Comma 26 2 2 2 2 3" xfId="15876"/>
    <cellStyle name="Comma 26 2 2 2 3" xfId="15877"/>
    <cellStyle name="Comma 26 2 2 2 3 2" xfId="15878"/>
    <cellStyle name="Comma 26 2 2 2 4" xfId="15879"/>
    <cellStyle name="Comma 26 2 2 2 5" xfId="15880"/>
    <cellStyle name="Comma 26 2 2 3" xfId="15881"/>
    <cellStyle name="Comma 26 2 2 3 2" xfId="15882"/>
    <cellStyle name="Comma 26 2 2 3 2 2" xfId="15883"/>
    <cellStyle name="Comma 26 2 2 3 2 2 2" xfId="15884"/>
    <cellStyle name="Comma 26 2 2 3 2 3" xfId="15885"/>
    <cellStyle name="Comma 26 2 2 3 3" xfId="15886"/>
    <cellStyle name="Comma 26 2 2 3 3 2" xfId="15887"/>
    <cellStyle name="Comma 26 2 2 3 4" xfId="15888"/>
    <cellStyle name="Comma 26 2 2 4" xfId="15889"/>
    <cellStyle name="Comma 26 2 2 4 2" xfId="15890"/>
    <cellStyle name="Comma 26 2 2 4 2 2" xfId="15891"/>
    <cellStyle name="Comma 26 2 2 4 3" xfId="15892"/>
    <cellStyle name="Comma 26 2 2 5" xfId="15893"/>
    <cellStyle name="Comma 26 2 2 5 2" xfId="15894"/>
    <cellStyle name="Comma 26 2 2 5 2 2" xfId="15895"/>
    <cellStyle name="Comma 26 2 2 5 3" xfId="15896"/>
    <cellStyle name="Comma 26 2 2 6" xfId="15897"/>
    <cellStyle name="Comma 26 2 2 6 2" xfId="15898"/>
    <cellStyle name="Comma 26 2 2 7" xfId="15899"/>
    <cellStyle name="Comma 26 2 2 8" xfId="15900"/>
    <cellStyle name="Comma 26 2 3" xfId="15901"/>
    <cellStyle name="Comma 26 2 3 2" xfId="15902"/>
    <cellStyle name="Comma 26 2 3 2 2" xfId="15903"/>
    <cellStyle name="Comma 26 2 3 2 2 2" xfId="15904"/>
    <cellStyle name="Comma 26 2 3 2 2 2 2" xfId="15905"/>
    <cellStyle name="Comma 26 2 3 2 2 3" xfId="15906"/>
    <cellStyle name="Comma 26 2 3 2 3" xfId="15907"/>
    <cellStyle name="Comma 26 2 3 2 3 2" xfId="15908"/>
    <cellStyle name="Comma 26 2 3 2 4" xfId="15909"/>
    <cellStyle name="Comma 26 2 3 2 5" xfId="15910"/>
    <cellStyle name="Comma 26 2 3 3" xfId="15911"/>
    <cellStyle name="Comma 26 2 3 3 2" xfId="15912"/>
    <cellStyle name="Comma 26 2 3 3 2 2" xfId="15913"/>
    <cellStyle name="Comma 26 2 3 3 2 2 2" xfId="15914"/>
    <cellStyle name="Comma 26 2 3 3 2 3" xfId="15915"/>
    <cellStyle name="Comma 26 2 3 3 3" xfId="15916"/>
    <cellStyle name="Comma 26 2 3 3 3 2" xfId="15917"/>
    <cellStyle name="Comma 26 2 3 3 4" xfId="15918"/>
    <cellStyle name="Comma 26 2 3 4" xfId="15919"/>
    <cellStyle name="Comma 26 2 3 4 2" xfId="15920"/>
    <cellStyle name="Comma 26 2 3 4 2 2" xfId="15921"/>
    <cellStyle name="Comma 26 2 3 4 3" xfId="15922"/>
    <cellStyle name="Comma 26 2 3 5" xfId="15923"/>
    <cellStyle name="Comma 26 2 3 5 2" xfId="15924"/>
    <cellStyle name="Comma 26 2 3 5 2 2" xfId="15925"/>
    <cellStyle name="Comma 26 2 3 5 3" xfId="15926"/>
    <cellStyle name="Comma 26 2 3 6" xfId="15927"/>
    <cellStyle name="Comma 26 2 3 6 2" xfId="15928"/>
    <cellStyle name="Comma 26 2 3 7" xfId="15929"/>
    <cellStyle name="Comma 26 2 3 8" xfId="15930"/>
    <cellStyle name="Comma 26 2 4" xfId="15931"/>
    <cellStyle name="Comma 26 2 4 2" xfId="15932"/>
    <cellStyle name="Comma 26 2 4 2 2" xfId="15933"/>
    <cellStyle name="Comma 26 2 4 2 2 2" xfId="15934"/>
    <cellStyle name="Comma 26 2 4 2 2 2 2" xfId="15935"/>
    <cellStyle name="Comma 26 2 4 2 2 3" xfId="15936"/>
    <cellStyle name="Comma 26 2 4 2 3" xfId="15937"/>
    <cellStyle name="Comma 26 2 4 2 3 2" xfId="15938"/>
    <cellStyle name="Comma 26 2 4 2 4" xfId="15939"/>
    <cellStyle name="Comma 26 2 4 2 5" xfId="15940"/>
    <cellStyle name="Comma 26 2 4 3" xfId="15941"/>
    <cellStyle name="Comma 26 2 4 3 2" xfId="15942"/>
    <cellStyle name="Comma 26 2 4 3 2 2" xfId="15943"/>
    <cellStyle name="Comma 26 2 4 3 2 2 2" xfId="15944"/>
    <cellStyle name="Comma 26 2 4 3 2 3" xfId="15945"/>
    <cellStyle name="Comma 26 2 4 3 3" xfId="15946"/>
    <cellStyle name="Comma 26 2 4 3 3 2" xfId="15947"/>
    <cellStyle name="Comma 26 2 4 3 4" xfId="15948"/>
    <cellStyle name="Comma 26 2 4 4" xfId="15949"/>
    <cellStyle name="Comma 26 2 4 4 2" xfId="15950"/>
    <cellStyle name="Comma 26 2 4 4 2 2" xfId="15951"/>
    <cellStyle name="Comma 26 2 4 4 3" xfId="15952"/>
    <cellStyle name="Comma 26 2 4 5" xfId="15953"/>
    <cellStyle name="Comma 26 2 4 5 2" xfId="15954"/>
    <cellStyle name="Comma 26 2 4 5 2 2" xfId="15955"/>
    <cellStyle name="Comma 26 2 4 5 3" xfId="15956"/>
    <cellStyle name="Comma 26 2 4 6" xfId="15957"/>
    <cellStyle name="Comma 26 2 4 6 2" xfId="15958"/>
    <cellStyle name="Comma 26 2 4 7" xfId="15959"/>
    <cellStyle name="Comma 26 2 4 8" xfId="15960"/>
    <cellStyle name="Comma 26 2 5" xfId="15961"/>
    <cellStyle name="Comma 26 2 5 2" xfId="15962"/>
    <cellStyle name="Comma 26 2 5 2 2" xfId="15963"/>
    <cellStyle name="Comma 26 2 5 2 2 2" xfId="15964"/>
    <cellStyle name="Comma 26 2 5 2 2 2 2" xfId="15965"/>
    <cellStyle name="Comma 26 2 5 2 2 3" xfId="15966"/>
    <cellStyle name="Comma 26 2 5 2 3" xfId="15967"/>
    <cellStyle name="Comma 26 2 5 2 3 2" xfId="15968"/>
    <cellStyle name="Comma 26 2 5 2 4" xfId="15969"/>
    <cellStyle name="Comma 26 2 5 3" xfId="15970"/>
    <cellStyle name="Comma 26 2 5 3 2" xfId="15971"/>
    <cellStyle name="Comma 26 2 5 3 2 2" xfId="15972"/>
    <cellStyle name="Comma 26 2 5 3 3" xfId="15973"/>
    <cellStyle name="Comma 26 2 5 4" xfId="15974"/>
    <cellStyle name="Comma 26 2 5 4 2" xfId="15975"/>
    <cellStyle name="Comma 26 2 5 4 2 2" xfId="15976"/>
    <cellStyle name="Comma 26 2 5 4 3" xfId="15977"/>
    <cellStyle name="Comma 26 2 5 5" xfId="15978"/>
    <cellStyle name="Comma 26 2 5 5 2" xfId="15979"/>
    <cellStyle name="Comma 26 2 5 6" xfId="15980"/>
    <cellStyle name="Comma 26 2 5 7" xfId="15981"/>
    <cellStyle name="Comma 26 2 6" xfId="15982"/>
    <cellStyle name="Comma 26 2 6 2" xfId="15983"/>
    <cellStyle name="Comma 26 2 6 2 2" xfId="15984"/>
    <cellStyle name="Comma 26 2 6 2 2 2" xfId="15985"/>
    <cellStyle name="Comma 26 2 6 2 3" xfId="15986"/>
    <cellStyle name="Comma 26 2 6 3" xfId="15987"/>
    <cellStyle name="Comma 26 2 6 3 2" xfId="15988"/>
    <cellStyle name="Comma 26 2 6 4" xfId="15989"/>
    <cellStyle name="Comma 26 2 6 5" xfId="15990"/>
    <cellStyle name="Comma 26 2 7" xfId="15991"/>
    <cellStyle name="Comma 26 2 7 2" xfId="15992"/>
    <cellStyle name="Comma 26 2 7 2 2" xfId="15993"/>
    <cellStyle name="Comma 26 2 7 3" xfId="15994"/>
    <cellStyle name="Comma 26 2 8" xfId="15995"/>
    <cellStyle name="Comma 26 2 8 2" xfId="15996"/>
    <cellStyle name="Comma 26 2 8 2 2" xfId="15997"/>
    <cellStyle name="Comma 26 2 8 3" xfId="15998"/>
    <cellStyle name="Comma 26 2 9" xfId="15999"/>
    <cellStyle name="Comma 26 2 9 2" xfId="16000"/>
    <cellStyle name="Comma 26 3" xfId="873"/>
    <cellStyle name="Comma 26 3 2" xfId="3248"/>
    <cellStyle name="Comma 26 3 2 2" xfId="4452"/>
    <cellStyle name="Comma 26 3 2 2 2" xfId="16004"/>
    <cellStyle name="Comma 26 3 2 2 2 2" xfId="16005"/>
    <cellStyle name="Comma 26 3 2 2 2 2 2" xfId="16006"/>
    <cellStyle name="Comma 26 3 2 2 2 3" xfId="16007"/>
    <cellStyle name="Comma 26 3 2 2 3" xfId="16008"/>
    <cellStyle name="Comma 26 3 2 2 3 2" xfId="16009"/>
    <cellStyle name="Comma 26 3 2 2 4" xfId="16010"/>
    <cellStyle name="Comma 26 3 2 2 5" xfId="16011"/>
    <cellStyle name="Comma 26 3 2 2 6" xfId="16003"/>
    <cellStyle name="Comma 26 3 2 3" xfId="16012"/>
    <cellStyle name="Comma 26 3 2 3 2" xfId="16013"/>
    <cellStyle name="Comma 26 3 2 3 2 2" xfId="16014"/>
    <cellStyle name="Comma 26 3 2 3 2 2 2" xfId="16015"/>
    <cellStyle name="Comma 26 3 2 3 2 3" xfId="16016"/>
    <cellStyle name="Comma 26 3 2 3 3" xfId="16017"/>
    <cellStyle name="Comma 26 3 2 3 3 2" xfId="16018"/>
    <cellStyle name="Comma 26 3 2 3 4" xfId="16019"/>
    <cellStyle name="Comma 26 3 2 4" xfId="16020"/>
    <cellStyle name="Comma 26 3 2 4 2" xfId="16021"/>
    <cellStyle name="Comma 26 3 2 4 2 2" xfId="16022"/>
    <cellStyle name="Comma 26 3 2 4 3" xfId="16023"/>
    <cellStyle name="Comma 26 3 2 5" xfId="16024"/>
    <cellStyle name="Comma 26 3 2 5 2" xfId="16025"/>
    <cellStyle name="Comma 26 3 2 5 2 2" xfId="16026"/>
    <cellStyle name="Comma 26 3 2 5 3" xfId="16027"/>
    <cellStyle name="Comma 26 3 2 6" xfId="16028"/>
    <cellStyle name="Comma 26 3 2 6 2" xfId="16029"/>
    <cellStyle name="Comma 26 3 2 7" xfId="16030"/>
    <cellStyle name="Comma 26 3 2 8" xfId="16031"/>
    <cellStyle name="Comma 26 3 2 9" xfId="16002"/>
    <cellStyle name="Comma 26 3 3" xfId="3483"/>
    <cellStyle name="Comma 26 3 3 2" xfId="16033"/>
    <cellStyle name="Comma 26 3 3 2 2" xfId="16034"/>
    <cellStyle name="Comma 26 3 3 2 2 2" xfId="16035"/>
    <cellStyle name="Comma 26 3 3 2 2 2 2" xfId="16036"/>
    <cellStyle name="Comma 26 3 3 2 2 3" xfId="16037"/>
    <cellStyle name="Comma 26 3 3 2 3" xfId="16038"/>
    <cellStyle name="Comma 26 3 3 2 3 2" xfId="16039"/>
    <cellStyle name="Comma 26 3 3 2 4" xfId="16040"/>
    <cellStyle name="Comma 26 3 3 2 5" xfId="16041"/>
    <cellStyle name="Comma 26 3 3 3" xfId="16042"/>
    <cellStyle name="Comma 26 3 3 3 2" xfId="16043"/>
    <cellStyle name="Comma 26 3 3 3 2 2" xfId="16044"/>
    <cellStyle name="Comma 26 3 3 3 2 2 2" xfId="16045"/>
    <cellStyle name="Comma 26 3 3 3 2 3" xfId="16046"/>
    <cellStyle name="Comma 26 3 3 3 3" xfId="16047"/>
    <cellStyle name="Comma 26 3 3 3 3 2" xfId="16048"/>
    <cellStyle name="Comma 26 3 3 3 4" xfId="16049"/>
    <cellStyle name="Comma 26 3 3 4" xfId="16050"/>
    <cellStyle name="Comma 26 3 3 4 2" xfId="16051"/>
    <cellStyle name="Comma 26 3 3 4 2 2" xfId="16052"/>
    <cellStyle name="Comma 26 3 3 4 3" xfId="16053"/>
    <cellStyle name="Comma 26 3 3 5" xfId="16054"/>
    <cellStyle name="Comma 26 3 3 5 2" xfId="16055"/>
    <cellStyle name="Comma 26 3 3 5 2 2" xfId="16056"/>
    <cellStyle name="Comma 26 3 3 5 3" xfId="16057"/>
    <cellStyle name="Comma 26 3 3 6" xfId="16058"/>
    <cellStyle name="Comma 26 3 3 6 2" xfId="16059"/>
    <cellStyle name="Comma 26 3 3 7" xfId="16060"/>
    <cellStyle name="Comma 26 3 3 8" xfId="16061"/>
    <cellStyle name="Comma 26 3 3 9" xfId="16032"/>
    <cellStyle name="Comma 26 3 4" xfId="3249"/>
    <cellStyle name="Comma 26 3 4 2" xfId="16062"/>
    <cellStyle name="Comma 26 3 5" xfId="4451"/>
    <cellStyle name="Comma 26 3 6" xfId="16001"/>
    <cellStyle name="Comma 26 4" xfId="874"/>
    <cellStyle name="Comma 26 4 2" xfId="5006"/>
    <cellStyle name="Comma 26 4 2 2" xfId="4454"/>
    <cellStyle name="Comma 26 4 2 2 2" xfId="16066"/>
    <cellStyle name="Comma 26 4 2 2 2 2" xfId="16067"/>
    <cellStyle name="Comma 26 4 2 2 3" xfId="16068"/>
    <cellStyle name="Comma 26 4 2 2 4" xfId="16065"/>
    <cellStyle name="Comma 26 4 2 3" xfId="16069"/>
    <cellStyle name="Comma 26 4 2 3 2" xfId="16070"/>
    <cellStyle name="Comma 26 4 2 4" xfId="16071"/>
    <cellStyle name="Comma 26 4 2 5" xfId="16072"/>
    <cellStyle name="Comma 26 4 2 6" xfId="16064"/>
    <cellStyle name="Comma 26 4 3" xfId="4455"/>
    <cellStyle name="Comma 26 4 3 2" xfId="16074"/>
    <cellStyle name="Comma 26 4 3 2 2" xfId="16075"/>
    <cellStyle name="Comma 26 4 3 2 2 2" xfId="16076"/>
    <cellStyle name="Comma 26 4 3 2 3" xfId="16077"/>
    <cellStyle name="Comma 26 4 3 3" xfId="16078"/>
    <cellStyle name="Comma 26 4 3 3 2" xfId="16079"/>
    <cellStyle name="Comma 26 4 3 4" xfId="16080"/>
    <cellStyle name="Comma 26 4 3 5" xfId="16073"/>
    <cellStyle name="Comma 26 4 4" xfId="3250"/>
    <cellStyle name="Comma 26 4 4 2" xfId="16082"/>
    <cellStyle name="Comma 26 4 4 2 2" xfId="16083"/>
    <cellStyle name="Comma 26 4 4 3" xfId="16084"/>
    <cellStyle name="Comma 26 4 4 4" xfId="16081"/>
    <cellStyle name="Comma 26 4 5" xfId="4453"/>
    <cellStyle name="Comma 26 4 5 2" xfId="16086"/>
    <cellStyle name="Comma 26 4 5 2 2" xfId="16087"/>
    <cellStyle name="Comma 26 4 5 3" xfId="16088"/>
    <cellStyle name="Comma 26 4 5 4" xfId="16085"/>
    <cellStyle name="Comma 26 4 6" xfId="16089"/>
    <cellStyle name="Comma 26 4 6 2" xfId="16090"/>
    <cellStyle name="Comma 26 4 7" xfId="16091"/>
    <cellStyle name="Comma 26 4 7 2" xfId="16092"/>
    <cellStyle name="Comma 26 4 8" xfId="16093"/>
    <cellStyle name="Comma 26 4 9" xfId="16063"/>
    <cellStyle name="Comma 26 5" xfId="2419"/>
    <cellStyle name="Comma 26 5 2" xfId="4456"/>
    <cellStyle name="Comma 26 5 2 2" xfId="16096"/>
    <cellStyle name="Comma 26 5 2 2 2" xfId="16097"/>
    <cellStyle name="Comma 26 5 2 2 2 2" xfId="16098"/>
    <cellStyle name="Comma 26 5 2 2 3" xfId="16099"/>
    <cellStyle name="Comma 26 5 2 3" xfId="16100"/>
    <cellStyle name="Comma 26 5 2 3 2" xfId="16101"/>
    <cellStyle name="Comma 26 5 2 4" xfId="16102"/>
    <cellStyle name="Comma 26 5 2 5" xfId="16103"/>
    <cellStyle name="Comma 26 5 2 6" xfId="16095"/>
    <cellStyle name="Comma 26 5 3" xfId="16104"/>
    <cellStyle name="Comma 26 5 3 2" xfId="16105"/>
    <cellStyle name="Comma 26 5 3 2 2" xfId="16106"/>
    <cellStyle name="Comma 26 5 3 2 2 2" xfId="16107"/>
    <cellStyle name="Comma 26 5 3 2 3" xfId="16108"/>
    <cellStyle name="Comma 26 5 3 3" xfId="16109"/>
    <cellStyle name="Comma 26 5 3 3 2" xfId="16110"/>
    <cellStyle name="Comma 26 5 3 4" xfId="16111"/>
    <cellStyle name="Comma 26 5 4" xfId="16112"/>
    <cellStyle name="Comma 26 5 4 2" xfId="16113"/>
    <cellStyle name="Comma 26 5 4 2 2" xfId="16114"/>
    <cellStyle name="Comma 26 5 4 3" xfId="16115"/>
    <cellStyle name="Comma 26 5 5" xfId="16116"/>
    <cellStyle name="Comma 26 5 5 2" xfId="16117"/>
    <cellStyle name="Comma 26 5 5 2 2" xfId="16118"/>
    <cellStyle name="Comma 26 5 5 3" xfId="16119"/>
    <cellStyle name="Comma 26 5 6" xfId="16120"/>
    <cellStyle name="Comma 26 5 6 2" xfId="16121"/>
    <cellStyle name="Comma 26 5 7" xfId="16122"/>
    <cellStyle name="Comma 26 5 8" xfId="16123"/>
    <cellStyle name="Comma 26 5 9" xfId="16094"/>
    <cellStyle name="Comma 26 6" xfId="4457"/>
    <cellStyle name="Comma 26 6 2" xfId="16125"/>
    <cellStyle name="Comma 26 6 2 2" xfId="16126"/>
    <cellStyle name="Comma 26 6 2 2 2" xfId="16127"/>
    <cellStyle name="Comma 26 6 2 2 2 2" xfId="16128"/>
    <cellStyle name="Comma 26 6 2 2 3" xfId="16129"/>
    <cellStyle name="Comma 26 6 2 3" xfId="16130"/>
    <cellStyle name="Comma 26 6 2 3 2" xfId="16131"/>
    <cellStyle name="Comma 26 6 2 4" xfId="16132"/>
    <cellStyle name="Comma 26 6 3" xfId="16133"/>
    <cellStyle name="Comma 26 6 3 2" xfId="16134"/>
    <cellStyle name="Comma 26 6 3 2 2" xfId="16135"/>
    <cellStyle name="Comma 26 6 3 3" xfId="16136"/>
    <cellStyle name="Comma 26 6 4" xfId="16137"/>
    <cellStyle name="Comma 26 6 4 2" xfId="16138"/>
    <cellStyle name="Comma 26 6 4 2 2" xfId="16139"/>
    <cellStyle name="Comma 26 6 4 3" xfId="16140"/>
    <cellStyle name="Comma 26 6 5" xfId="16141"/>
    <cellStyle name="Comma 26 6 5 2" xfId="16142"/>
    <cellStyle name="Comma 26 6 6" xfId="16143"/>
    <cellStyle name="Comma 26 6 7" xfId="16144"/>
    <cellStyle name="Comma 26 6 8" xfId="16124"/>
    <cellStyle name="Comma 26 7" xfId="16145"/>
    <cellStyle name="Comma 26 7 2" xfId="16146"/>
    <cellStyle name="Comma 26 7 2 2" xfId="16147"/>
    <cellStyle name="Comma 26 7 2 2 2" xfId="16148"/>
    <cellStyle name="Comma 26 7 2 3" xfId="16149"/>
    <cellStyle name="Comma 26 7 3" xfId="16150"/>
    <cellStyle name="Comma 26 7 3 2" xfId="16151"/>
    <cellStyle name="Comma 26 7 4" xfId="16152"/>
    <cellStyle name="Comma 26 7 5" xfId="16153"/>
    <cellStyle name="Comma 26 8" xfId="16154"/>
    <cellStyle name="Comma 26 8 2" xfId="16155"/>
    <cellStyle name="Comma 26 8 2 2" xfId="16156"/>
    <cellStyle name="Comma 26 8 3" xfId="16157"/>
    <cellStyle name="Comma 26 9" xfId="16158"/>
    <cellStyle name="Comma 26 9 2" xfId="16159"/>
    <cellStyle name="Comma 26 9 2 2" xfId="16160"/>
    <cellStyle name="Comma 26 9 3" xfId="16161"/>
    <cellStyle name="Comma 27" xfId="875"/>
    <cellStyle name="Comma 27 10" xfId="16163"/>
    <cellStyle name="Comma 27 11" xfId="16164"/>
    <cellStyle name="Comma 27 12" xfId="16162"/>
    <cellStyle name="Comma 27 2" xfId="876"/>
    <cellStyle name="Comma 27 2 10" xfId="16166"/>
    <cellStyle name="Comma 27 2 11" xfId="16165"/>
    <cellStyle name="Comma 27 2 2" xfId="4459"/>
    <cellStyle name="Comma 27 2 2 2" xfId="16168"/>
    <cellStyle name="Comma 27 2 2 2 2" xfId="16169"/>
    <cellStyle name="Comma 27 2 2 2 2 2" xfId="16170"/>
    <cellStyle name="Comma 27 2 2 2 2 2 2" xfId="16171"/>
    <cellStyle name="Comma 27 2 2 2 2 3" xfId="16172"/>
    <cellStyle name="Comma 27 2 2 2 3" xfId="16173"/>
    <cellStyle name="Comma 27 2 2 2 3 2" xfId="16174"/>
    <cellStyle name="Comma 27 2 2 2 4" xfId="16175"/>
    <cellStyle name="Comma 27 2 2 2 5" xfId="16176"/>
    <cellStyle name="Comma 27 2 2 3" xfId="16177"/>
    <cellStyle name="Comma 27 2 2 3 2" xfId="16178"/>
    <cellStyle name="Comma 27 2 2 3 2 2" xfId="16179"/>
    <cellStyle name="Comma 27 2 2 3 2 2 2" xfId="16180"/>
    <cellStyle name="Comma 27 2 2 3 2 3" xfId="16181"/>
    <cellStyle name="Comma 27 2 2 3 3" xfId="16182"/>
    <cellStyle name="Comma 27 2 2 3 3 2" xfId="16183"/>
    <cellStyle name="Comma 27 2 2 3 4" xfId="16184"/>
    <cellStyle name="Comma 27 2 2 4" xfId="16185"/>
    <cellStyle name="Comma 27 2 2 4 2" xfId="16186"/>
    <cellStyle name="Comma 27 2 2 4 2 2" xfId="16187"/>
    <cellStyle name="Comma 27 2 2 4 3" xfId="16188"/>
    <cellStyle name="Comma 27 2 2 5" xfId="16189"/>
    <cellStyle name="Comma 27 2 2 5 2" xfId="16190"/>
    <cellStyle name="Comma 27 2 2 5 2 2" xfId="16191"/>
    <cellStyle name="Comma 27 2 2 5 3" xfId="16192"/>
    <cellStyle name="Comma 27 2 2 6" xfId="16193"/>
    <cellStyle name="Comma 27 2 2 6 2" xfId="16194"/>
    <cellStyle name="Comma 27 2 2 7" xfId="16195"/>
    <cellStyle name="Comma 27 2 2 8" xfId="16196"/>
    <cellStyle name="Comma 27 2 2 9" xfId="16167"/>
    <cellStyle name="Comma 27 2 3" xfId="16197"/>
    <cellStyle name="Comma 27 2 3 2" xfId="16198"/>
    <cellStyle name="Comma 27 2 3 2 2" xfId="16199"/>
    <cellStyle name="Comma 27 2 3 2 2 2" xfId="16200"/>
    <cellStyle name="Comma 27 2 3 2 2 2 2" xfId="16201"/>
    <cellStyle name="Comma 27 2 3 2 2 3" xfId="16202"/>
    <cellStyle name="Comma 27 2 3 2 3" xfId="16203"/>
    <cellStyle name="Comma 27 2 3 2 3 2" xfId="16204"/>
    <cellStyle name="Comma 27 2 3 2 4" xfId="16205"/>
    <cellStyle name="Comma 27 2 3 2 5" xfId="16206"/>
    <cellStyle name="Comma 27 2 3 3" xfId="16207"/>
    <cellStyle name="Comma 27 2 3 3 2" xfId="16208"/>
    <cellStyle name="Comma 27 2 3 3 2 2" xfId="16209"/>
    <cellStyle name="Comma 27 2 3 3 2 2 2" xfId="16210"/>
    <cellStyle name="Comma 27 2 3 3 2 3" xfId="16211"/>
    <cellStyle name="Comma 27 2 3 3 3" xfId="16212"/>
    <cellStyle name="Comma 27 2 3 3 3 2" xfId="16213"/>
    <cellStyle name="Comma 27 2 3 3 4" xfId="16214"/>
    <cellStyle name="Comma 27 2 3 4" xfId="16215"/>
    <cellStyle name="Comma 27 2 3 4 2" xfId="16216"/>
    <cellStyle name="Comma 27 2 3 4 2 2" xfId="16217"/>
    <cellStyle name="Comma 27 2 3 4 3" xfId="16218"/>
    <cellStyle name="Comma 27 2 3 5" xfId="16219"/>
    <cellStyle name="Comma 27 2 3 5 2" xfId="16220"/>
    <cellStyle name="Comma 27 2 3 5 2 2" xfId="16221"/>
    <cellStyle name="Comma 27 2 3 5 3" xfId="16222"/>
    <cellStyle name="Comma 27 2 3 6" xfId="16223"/>
    <cellStyle name="Comma 27 2 3 6 2" xfId="16224"/>
    <cellStyle name="Comma 27 2 3 7" xfId="16225"/>
    <cellStyle name="Comma 27 2 3 8" xfId="16226"/>
    <cellStyle name="Comma 27 2 4" xfId="16227"/>
    <cellStyle name="Comma 27 2 4 2" xfId="16228"/>
    <cellStyle name="Comma 27 2 4 2 2" xfId="16229"/>
    <cellStyle name="Comma 27 2 4 2 2 2" xfId="16230"/>
    <cellStyle name="Comma 27 2 4 2 2 2 2" xfId="16231"/>
    <cellStyle name="Comma 27 2 4 2 2 3" xfId="16232"/>
    <cellStyle name="Comma 27 2 4 2 3" xfId="16233"/>
    <cellStyle name="Comma 27 2 4 2 3 2" xfId="16234"/>
    <cellStyle name="Comma 27 2 4 2 4" xfId="16235"/>
    <cellStyle name="Comma 27 2 4 3" xfId="16236"/>
    <cellStyle name="Comma 27 2 4 3 2" xfId="16237"/>
    <cellStyle name="Comma 27 2 4 3 2 2" xfId="16238"/>
    <cellStyle name="Comma 27 2 4 3 3" xfId="16239"/>
    <cellStyle name="Comma 27 2 4 4" xfId="16240"/>
    <cellStyle name="Comma 27 2 4 4 2" xfId="16241"/>
    <cellStyle name="Comma 27 2 4 4 2 2" xfId="16242"/>
    <cellStyle name="Comma 27 2 4 4 3" xfId="16243"/>
    <cellStyle name="Comma 27 2 4 5" xfId="16244"/>
    <cellStyle name="Comma 27 2 4 5 2" xfId="16245"/>
    <cellStyle name="Comma 27 2 4 6" xfId="16246"/>
    <cellStyle name="Comma 27 2 5" xfId="16247"/>
    <cellStyle name="Comma 27 2 5 2" xfId="16248"/>
    <cellStyle name="Comma 27 2 5 2 2" xfId="16249"/>
    <cellStyle name="Comma 27 2 5 2 2 2" xfId="16250"/>
    <cellStyle name="Comma 27 2 5 2 3" xfId="16251"/>
    <cellStyle name="Comma 27 2 5 3" xfId="16252"/>
    <cellStyle name="Comma 27 2 5 3 2" xfId="16253"/>
    <cellStyle name="Comma 27 2 5 4" xfId="16254"/>
    <cellStyle name="Comma 27 2 5 5" xfId="16255"/>
    <cellStyle name="Comma 27 2 6" xfId="16256"/>
    <cellStyle name="Comma 27 2 6 2" xfId="16257"/>
    <cellStyle name="Comma 27 2 6 2 2" xfId="16258"/>
    <cellStyle name="Comma 27 2 6 3" xfId="16259"/>
    <cellStyle name="Comma 27 2 7" xfId="16260"/>
    <cellStyle name="Comma 27 2 7 2" xfId="16261"/>
    <cellStyle name="Comma 27 2 7 2 2" xfId="16262"/>
    <cellStyle name="Comma 27 2 7 3" xfId="16263"/>
    <cellStyle name="Comma 27 2 8" xfId="16264"/>
    <cellStyle name="Comma 27 2 8 2" xfId="16265"/>
    <cellStyle name="Comma 27 2 9" xfId="16266"/>
    <cellStyle name="Comma 27 3" xfId="877"/>
    <cellStyle name="Comma 27 3 2" xfId="4461"/>
    <cellStyle name="Comma 27 3 2 2" xfId="3251"/>
    <cellStyle name="Comma 27 3 2 2 2" xfId="16270"/>
    <cellStyle name="Comma 27 3 2 2 2 2" xfId="16271"/>
    <cellStyle name="Comma 27 3 2 2 3" xfId="16272"/>
    <cellStyle name="Comma 27 3 2 2 4" xfId="16269"/>
    <cellStyle name="Comma 27 3 2 3" xfId="16273"/>
    <cellStyle name="Comma 27 3 2 3 2" xfId="16274"/>
    <cellStyle name="Comma 27 3 2 4" xfId="16275"/>
    <cellStyle name="Comma 27 3 2 5" xfId="16276"/>
    <cellStyle name="Comma 27 3 2 6" xfId="16268"/>
    <cellStyle name="Comma 27 3 3" xfId="4462"/>
    <cellStyle name="Comma 27 3 3 2" xfId="16278"/>
    <cellStyle name="Comma 27 3 3 2 2" xfId="16279"/>
    <cellStyle name="Comma 27 3 3 2 2 2" xfId="16280"/>
    <cellStyle name="Comma 27 3 3 2 3" xfId="16281"/>
    <cellStyle name="Comma 27 3 3 3" xfId="16282"/>
    <cellStyle name="Comma 27 3 3 3 2" xfId="16283"/>
    <cellStyle name="Comma 27 3 3 4" xfId="16284"/>
    <cellStyle name="Comma 27 3 3 5" xfId="16277"/>
    <cellStyle name="Comma 27 3 4" xfId="3189"/>
    <cellStyle name="Comma 27 3 4 2" xfId="16286"/>
    <cellStyle name="Comma 27 3 4 2 2" xfId="16287"/>
    <cellStyle name="Comma 27 3 4 3" xfId="16288"/>
    <cellStyle name="Comma 27 3 4 4" xfId="16285"/>
    <cellStyle name="Comma 27 3 5" xfId="4460"/>
    <cellStyle name="Comma 27 3 5 2" xfId="16290"/>
    <cellStyle name="Comma 27 3 5 2 2" xfId="16291"/>
    <cellStyle name="Comma 27 3 5 3" xfId="16292"/>
    <cellStyle name="Comma 27 3 5 4" xfId="16289"/>
    <cellStyle name="Comma 27 3 6" xfId="16293"/>
    <cellStyle name="Comma 27 3 6 2" xfId="16294"/>
    <cellStyle name="Comma 27 3 7" xfId="16295"/>
    <cellStyle name="Comma 27 3 7 2" xfId="16296"/>
    <cellStyle name="Comma 27 3 8" xfId="16297"/>
    <cellStyle name="Comma 27 3 9" xfId="16267"/>
    <cellStyle name="Comma 27 4" xfId="2420"/>
    <cellStyle name="Comma 27 4 2" xfId="4464"/>
    <cellStyle name="Comma 27 4 2 2" xfId="4465"/>
    <cellStyle name="Comma 27 4 2 2 2" xfId="16301"/>
    <cellStyle name="Comma 27 4 2 2 2 2" xfId="16302"/>
    <cellStyle name="Comma 27 4 2 2 3" xfId="16303"/>
    <cellStyle name="Comma 27 4 2 2 4" xfId="16300"/>
    <cellStyle name="Comma 27 4 2 3" xfId="16304"/>
    <cellStyle name="Comma 27 4 2 3 2" xfId="16305"/>
    <cellStyle name="Comma 27 4 2 4" xfId="16306"/>
    <cellStyle name="Comma 27 4 2 5" xfId="16307"/>
    <cellStyle name="Comma 27 4 2 6" xfId="16299"/>
    <cellStyle name="Comma 27 4 3" xfId="3252"/>
    <cellStyle name="Comma 27 4 3 2" xfId="16309"/>
    <cellStyle name="Comma 27 4 3 2 2" xfId="16310"/>
    <cellStyle name="Comma 27 4 3 2 2 2" xfId="16311"/>
    <cellStyle name="Comma 27 4 3 2 3" xfId="16312"/>
    <cellStyle name="Comma 27 4 3 3" xfId="16313"/>
    <cellStyle name="Comma 27 4 3 3 2" xfId="16314"/>
    <cellStyle name="Comma 27 4 3 4" xfId="16315"/>
    <cellStyle name="Comma 27 4 3 5" xfId="16308"/>
    <cellStyle name="Comma 27 4 4" xfId="3610"/>
    <cellStyle name="Comma 27 4 4 2" xfId="16317"/>
    <cellStyle name="Comma 27 4 4 2 2" xfId="16318"/>
    <cellStyle name="Comma 27 4 4 3" xfId="16319"/>
    <cellStyle name="Comma 27 4 4 4" xfId="16316"/>
    <cellStyle name="Comma 27 4 5" xfId="4463"/>
    <cellStyle name="Comma 27 4 5 2" xfId="16321"/>
    <cellStyle name="Comma 27 4 5 2 2" xfId="16322"/>
    <cellStyle name="Comma 27 4 5 3" xfId="16323"/>
    <cellStyle name="Comma 27 4 5 4" xfId="16320"/>
    <cellStyle name="Comma 27 4 6" xfId="16324"/>
    <cellStyle name="Comma 27 4 6 2" xfId="16325"/>
    <cellStyle name="Comma 27 4 7" xfId="16326"/>
    <cellStyle name="Comma 27 4 8" xfId="16327"/>
    <cellStyle name="Comma 27 4 9" xfId="16298"/>
    <cellStyle name="Comma 27 5" xfId="5318"/>
    <cellStyle name="Comma 27 5 2" xfId="16329"/>
    <cellStyle name="Comma 27 5 2 2" xfId="16330"/>
    <cellStyle name="Comma 27 5 2 2 2" xfId="16331"/>
    <cellStyle name="Comma 27 5 2 2 2 2" xfId="16332"/>
    <cellStyle name="Comma 27 5 2 2 3" xfId="16333"/>
    <cellStyle name="Comma 27 5 2 3" xfId="16334"/>
    <cellStyle name="Comma 27 5 2 3 2" xfId="16335"/>
    <cellStyle name="Comma 27 5 2 4" xfId="16336"/>
    <cellStyle name="Comma 27 5 3" xfId="16337"/>
    <cellStyle name="Comma 27 5 3 2" xfId="16338"/>
    <cellStyle name="Comma 27 5 3 2 2" xfId="16339"/>
    <cellStyle name="Comma 27 5 3 3" xfId="16340"/>
    <cellStyle name="Comma 27 5 4" xfId="16341"/>
    <cellStyle name="Comma 27 5 4 2" xfId="16342"/>
    <cellStyle name="Comma 27 5 4 2 2" xfId="16343"/>
    <cellStyle name="Comma 27 5 4 3" xfId="16344"/>
    <cellStyle name="Comma 27 5 5" xfId="16345"/>
    <cellStyle name="Comma 27 5 5 2" xfId="16346"/>
    <cellStyle name="Comma 27 5 6" xfId="16347"/>
    <cellStyle name="Comma 27 5 7" xfId="16348"/>
    <cellStyle name="Comma 27 5 8" xfId="16328"/>
    <cellStyle name="Comma 27 6" xfId="3256"/>
    <cellStyle name="Comma 27 6 2" xfId="16350"/>
    <cellStyle name="Comma 27 6 2 2" xfId="16351"/>
    <cellStyle name="Comma 27 6 2 2 2" xfId="16352"/>
    <cellStyle name="Comma 27 6 2 3" xfId="16353"/>
    <cellStyle name="Comma 27 6 3" xfId="16354"/>
    <cellStyle name="Comma 27 6 3 2" xfId="16355"/>
    <cellStyle name="Comma 27 6 4" xfId="16356"/>
    <cellStyle name="Comma 27 6 5" xfId="16357"/>
    <cellStyle name="Comma 27 6 6" xfId="16349"/>
    <cellStyle name="Comma 27 7" xfId="4458"/>
    <cellStyle name="Comma 27 7 2" xfId="16359"/>
    <cellStyle name="Comma 27 7 2 2" xfId="16360"/>
    <cellStyle name="Comma 27 7 3" xfId="16361"/>
    <cellStyle name="Comma 27 7 4" xfId="16358"/>
    <cellStyle name="Comma 27 8" xfId="16362"/>
    <cellStyle name="Comma 27 8 2" xfId="16363"/>
    <cellStyle name="Comma 27 8 2 2" xfId="16364"/>
    <cellStyle name="Comma 27 8 3" xfId="16365"/>
    <cellStyle name="Comma 27 9" xfId="16366"/>
    <cellStyle name="Comma 28" xfId="878"/>
    <cellStyle name="Comma 28 10" xfId="16368"/>
    <cellStyle name="Comma 28 10 2" xfId="16369"/>
    <cellStyle name="Comma 28 11" xfId="16370"/>
    <cellStyle name="Comma 28 12" xfId="16371"/>
    <cellStyle name="Comma 28 13" xfId="16367"/>
    <cellStyle name="Comma 28 2" xfId="879"/>
    <cellStyle name="Comma 28 2 10" xfId="16373"/>
    <cellStyle name="Comma 28 2 10 2" xfId="16374"/>
    <cellStyle name="Comma 28 2 11" xfId="16375"/>
    <cellStyle name="Comma 28 2 12" xfId="16376"/>
    <cellStyle name="Comma 28 2 13" xfId="16372"/>
    <cellStyle name="Comma 28 2 2" xfId="4467"/>
    <cellStyle name="Comma 28 2 2 10" xfId="16378"/>
    <cellStyle name="Comma 28 2 2 10 2" xfId="16379"/>
    <cellStyle name="Comma 28 2 2 11" xfId="16380"/>
    <cellStyle name="Comma 28 2 2 12" xfId="16381"/>
    <cellStyle name="Comma 28 2 2 13" xfId="16377"/>
    <cellStyle name="Comma 28 2 2 2" xfId="3253"/>
    <cellStyle name="Comma 28 2 2 2 2" xfId="5319"/>
    <cellStyle name="Comma 28 2 2 2 2 2" xfId="16384"/>
    <cellStyle name="Comma 28 2 2 2 2 2 2" xfId="16385"/>
    <cellStyle name="Comma 28 2 2 2 2 2 2 2" xfId="16386"/>
    <cellStyle name="Comma 28 2 2 2 2 2 3" xfId="16387"/>
    <cellStyle name="Comma 28 2 2 2 2 3" xfId="16388"/>
    <cellStyle name="Comma 28 2 2 2 2 3 2" xfId="16389"/>
    <cellStyle name="Comma 28 2 2 2 2 4" xfId="16390"/>
    <cellStyle name="Comma 28 2 2 2 2 5" xfId="16391"/>
    <cellStyle name="Comma 28 2 2 2 2 6" xfId="16383"/>
    <cellStyle name="Comma 28 2 2 2 3" xfId="16392"/>
    <cellStyle name="Comma 28 2 2 2 3 2" xfId="16393"/>
    <cellStyle name="Comma 28 2 2 2 3 2 2" xfId="16394"/>
    <cellStyle name="Comma 28 2 2 2 3 2 2 2" xfId="16395"/>
    <cellStyle name="Comma 28 2 2 2 3 2 3" xfId="16396"/>
    <cellStyle name="Comma 28 2 2 2 3 3" xfId="16397"/>
    <cellStyle name="Comma 28 2 2 2 3 3 2" xfId="16398"/>
    <cellStyle name="Comma 28 2 2 2 3 4" xfId="16399"/>
    <cellStyle name="Comma 28 2 2 2 4" xfId="16400"/>
    <cellStyle name="Comma 28 2 2 2 4 2" xfId="16401"/>
    <cellStyle name="Comma 28 2 2 2 4 2 2" xfId="16402"/>
    <cellStyle name="Comma 28 2 2 2 4 3" xfId="16403"/>
    <cellStyle name="Comma 28 2 2 2 5" xfId="16404"/>
    <cellStyle name="Comma 28 2 2 2 5 2" xfId="16405"/>
    <cellStyle name="Comma 28 2 2 2 5 2 2" xfId="16406"/>
    <cellStyle name="Comma 28 2 2 2 5 3" xfId="16407"/>
    <cellStyle name="Comma 28 2 2 2 6" xfId="16408"/>
    <cellStyle name="Comma 28 2 2 2 6 2" xfId="16409"/>
    <cellStyle name="Comma 28 2 2 2 7" xfId="16410"/>
    <cellStyle name="Comma 28 2 2 2 8" xfId="16411"/>
    <cellStyle name="Comma 28 2 2 2 9" xfId="16382"/>
    <cellStyle name="Comma 28 2 2 3" xfId="4468"/>
    <cellStyle name="Comma 28 2 2 3 2" xfId="16413"/>
    <cellStyle name="Comma 28 2 2 3 2 2" xfId="16414"/>
    <cellStyle name="Comma 28 2 2 3 2 2 2" xfId="16415"/>
    <cellStyle name="Comma 28 2 2 3 2 2 2 2" xfId="16416"/>
    <cellStyle name="Comma 28 2 2 3 2 2 3" xfId="16417"/>
    <cellStyle name="Comma 28 2 2 3 2 3" xfId="16418"/>
    <cellStyle name="Comma 28 2 2 3 2 3 2" xfId="16419"/>
    <cellStyle name="Comma 28 2 2 3 2 4" xfId="16420"/>
    <cellStyle name="Comma 28 2 2 3 2 5" xfId="16421"/>
    <cellStyle name="Comma 28 2 2 3 3" xfId="16422"/>
    <cellStyle name="Comma 28 2 2 3 3 2" xfId="16423"/>
    <cellStyle name="Comma 28 2 2 3 3 2 2" xfId="16424"/>
    <cellStyle name="Comma 28 2 2 3 3 2 2 2" xfId="16425"/>
    <cellStyle name="Comma 28 2 2 3 3 2 3" xfId="16426"/>
    <cellStyle name="Comma 28 2 2 3 3 3" xfId="16427"/>
    <cellStyle name="Comma 28 2 2 3 3 3 2" xfId="16428"/>
    <cellStyle name="Comma 28 2 2 3 3 4" xfId="16429"/>
    <cellStyle name="Comma 28 2 2 3 4" xfId="16430"/>
    <cellStyle name="Comma 28 2 2 3 4 2" xfId="16431"/>
    <cellStyle name="Comma 28 2 2 3 4 2 2" xfId="16432"/>
    <cellStyle name="Comma 28 2 2 3 4 3" xfId="16433"/>
    <cellStyle name="Comma 28 2 2 3 5" xfId="16434"/>
    <cellStyle name="Comma 28 2 2 3 5 2" xfId="16435"/>
    <cellStyle name="Comma 28 2 2 3 5 2 2" xfId="16436"/>
    <cellStyle name="Comma 28 2 2 3 5 3" xfId="16437"/>
    <cellStyle name="Comma 28 2 2 3 6" xfId="16438"/>
    <cellStyle name="Comma 28 2 2 3 6 2" xfId="16439"/>
    <cellStyle name="Comma 28 2 2 3 7" xfId="16440"/>
    <cellStyle name="Comma 28 2 2 3 8" xfId="16441"/>
    <cellStyle name="Comma 28 2 2 3 9" xfId="16412"/>
    <cellStyle name="Comma 28 2 2 4" xfId="5320"/>
    <cellStyle name="Comma 28 2 2 4 2" xfId="16443"/>
    <cellStyle name="Comma 28 2 2 4 2 2" xfId="16444"/>
    <cellStyle name="Comma 28 2 2 4 2 2 2" xfId="16445"/>
    <cellStyle name="Comma 28 2 2 4 2 2 2 2" xfId="16446"/>
    <cellStyle name="Comma 28 2 2 4 2 2 3" xfId="16447"/>
    <cellStyle name="Comma 28 2 2 4 2 3" xfId="16448"/>
    <cellStyle name="Comma 28 2 2 4 2 3 2" xfId="16449"/>
    <cellStyle name="Comma 28 2 2 4 2 4" xfId="16450"/>
    <cellStyle name="Comma 28 2 2 4 2 5" xfId="16451"/>
    <cellStyle name="Comma 28 2 2 4 3" xfId="16452"/>
    <cellStyle name="Comma 28 2 2 4 3 2" xfId="16453"/>
    <cellStyle name="Comma 28 2 2 4 3 2 2" xfId="16454"/>
    <cellStyle name="Comma 28 2 2 4 3 2 2 2" xfId="16455"/>
    <cellStyle name="Comma 28 2 2 4 3 2 3" xfId="16456"/>
    <cellStyle name="Comma 28 2 2 4 3 3" xfId="16457"/>
    <cellStyle name="Comma 28 2 2 4 3 3 2" xfId="16458"/>
    <cellStyle name="Comma 28 2 2 4 3 4" xfId="16459"/>
    <cellStyle name="Comma 28 2 2 4 4" xfId="16460"/>
    <cellStyle name="Comma 28 2 2 4 4 2" xfId="16461"/>
    <cellStyle name="Comma 28 2 2 4 4 2 2" xfId="16462"/>
    <cellStyle name="Comma 28 2 2 4 4 3" xfId="16463"/>
    <cellStyle name="Comma 28 2 2 4 5" xfId="16464"/>
    <cellStyle name="Comma 28 2 2 4 5 2" xfId="16465"/>
    <cellStyle name="Comma 28 2 2 4 5 2 2" xfId="16466"/>
    <cellStyle name="Comma 28 2 2 4 5 3" xfId="16467"/>
    <cellStyle name="Comma 28 2 2 4 6" xfId="16468"/>
    <cellStyle name="Comma 28 2 2 4 6 2" xfId="16469"/>
    <cellStyle name="Comma 28 2 2 4 7" xfId="16470"/>
    <cellStyle name="Comma 28 2 2 4 8" xfId="16471"/>
    <cellStyle name="Comma 28 2 2 4 9" xfId="16442"/>
    <cellStyle name="Comma 28 2 2 5" xfId="16472"/>
    <cellStyle name="Comma 28 2 2 5 2" xfId="16473"/>
    <cellStyle name="Comma 28 2 2 5 2 2" xfId="16474"/>
    <cellStyle name="Comma 28 2 2 5 2 2 2" xfId="16475"/>
    <cellStyle name="Comma 28 2 2 5 2 2 2 2" xfId="16476"/>
    <cellStyle name="Comma 28 2 2 5 2 2 3" xfId="16477"/>
    <cellStyle name="Comma 28 2 2 5 2 3" xfId="16478"/>
    <cellStyle name="Comma 28 2 2 5 2 3 2" xfId="16479"/>
    <cellStyle name="Comma 28 2 2 5 2 4" xfId="16480"/>
    <cellStyle name="Comma 28 2 2 5 2 5" xfId="16481"/>
    <cellStyle name="Comma 28 2 2 5 3" xfId="16482"/>
    <cellStyle name="Comma 28 2 2 5 3 2" xfId="16483"/>
    <cellStyle name="Comma 28 2 2 5 3 2 2" xfId="16484"/>
    <cellStyle name="Comma 28 2 2 5 3 2 2 2" xfId="16485"/>
    <cellStyle name="Comma 28 2 2 5 3 2 3" xfId="16486"/>
    <cellStyle name="Comma 28 2 2 5 3 3" xfId="16487"/>
    <cellStyle name="Comma 28 2 2 5 3 3 2" xfId="16488"/>
    <cellStyle name="Comma 28 2 2 5 3 4" xfId="16489"/>
    <cellStyle name="Comma 28 2 2 5 4" xfId="16490"/>
    <cellStyle name="Comma 28 2 2 5 4 2" xfId="16491"/>
    <cellStyle name="Comma 28 2 2 5 4 2 2" xfId="16492"/>
    <cellStyle name="Comma 28 2 2 5 4 3" xfId="16493"/>
    <cellStyle name="Comma 28 2 2 5 5" xfId="16494"/>
    <cellStyle name="Comma 28 2 2 5 5 2" xfId="16495"/>
    <cellStyle name="Comma 28 2 2 5 5 2 2" xfId="16496"/>
    <cellStyle name="Comma 28 2 2 5 5 3" xfId="16497"/>
    <cellStyle name="Comma 28 2 2 5 6" xfId="16498"/>
    <cellStyle name="Comma 28 2 2 5 6 2" xfId="16499"/>
    <cellStyle name="Comma 28 2 2 5 7" xfId="16500"/>
    <cellStyle name="Comma 28 2 2 5 8" xfId="16501"/>
    <cellStyle name="Comma 28 2 2 6" xfId="16502"/>
    <cellStyle name="Comma 28 2 2 6 2" xfId="16503"/>
    <cellStyle name="Comma 28 2 2 6 2 2" xfId="16504"/>
    <cellStyle name="Comma 28 2 2 6 2 2 2" xfId="16505"/>
    <cellStyle name="Comma 28 2 2 6 2 2 2 2" xfId="16506"/>
    <cellStyle name="Comma 28 2 2 6 2 2 3" xfId="16507"/>
    <cellStyle name="Comma 28 2 2 6 2 3" xfId="16508"/>
    <cellStyle name="Comma 28 2 2 6 2 3 2" xfId="16509"/>
    <cellStyle name="Comma 28 2 2 6 2 4" xfId="16510"/>
    <cellStyle name="Comma 28 2 2 6 3" xfId="16511"/>
    <cellStyle name="Comma 28 2 2 6 3 2" xfId="16512"/>
    <cellStyle name="Comma 28 2 2 6 3 2 2" xfId="16513"/>
    <cellStyle name="Comma 28 2 2 6 3 3" xfId="16514"/>
    <cellStyle name="Comma 28 2 2 6 4" xfId="16515"/>
    <cellStyle name="Comma 28 2 2 6 4 2" xfId="16516"/>
    <cellStyle name="Comma 28 2 2 6 4 2 2" xfId="16517"/>
    <cellStyle name="Comma 28 2 2 6 4 3" xfId="16518"/>
    <cellStyle name="Comma 28 2 2 6 5" xfId="16519"/>
    <cellStyle name="Comma 28 2 2 6 5 2" xfId="16520"/>
    <cellStyle name="Comma 28 2 2 6 6" xfId="16521"/>
    <cellStyle name="Comma 28 2 2 6 7" xfId="16522"/>
    <cellStyle name="Comma 28 2 2 7" xfId="16523"/>
    <cellStyle name="Comma 28 2 2 7 2" xfId="16524"/>
    <cellStyle name="Comma 28 2 2 7 2 2" xfId="16525"/>
    <cellStyle name="Comma 28 2 2 7 2 2 2" xfId="16526"/>
    <cellStyle name="Comma 28 2 2 7 2 3" xfId="16527"/>
    <cellStyle name="Comma 28 2 2 7 3" xfId="16528"/>
    <cellStyle name="Comma 28 2 2 7 3 2" xfId="16529"/>
    <cellStyle name="Comma 28 2 2 7 4" xfId="16530"/>
    <cellStyle name="Comma 28 2 2 7 5" xfId="16531"/>
    <cellStyle name="Comma 28 2 2 8" xfId="16532"/>
    <cellStyle name="Comma 28 2 2 8 2" xfId="16533"/>
    <cellStyle name="Comma 28 2 2 8 2 2" xfId="16534"/>
    <cellStyle name="Comma 28 2 2 8 3" xfId="16535"/>
    <cellStyle name="Comma 28 2 2 9" xfId="16536"/>
    <cellStyle name="Comma 28 2 2 9 2" xfId="16537"/>
    <cellStyle name="Comma 28 2 2 9 2 2" xfId="16538"/>
    <cellStyle name="Comma 28 2 2 9 3" xfId="16539"/>
    <cellStyle name="Comma 28 2 3" xfId="3254"/>
    <cellStyle name="Comma 28 2 3 10" xfId="16541"/>
    <cellStyle name="Comma 28 2 3 11" xfId="16540"/>
    <cellStyle name="Comma 28 2 3 2" xfId="4469"/>
    <cellStyle name="Comma 28 2 3 2 2" xfId="16543"/>
    <cellStyle name="Comma 28 2 3 2 2 2" xfId="16544"/>
    <cellStyle name="Comma 28 2 3 2 2 2 2" xfId="16545"/>
    <cellStyle name="Comma 28 2 3 2 2 2 2 2" xfId="16546"/>
    <cellStyle name="Comma 28 2 3 2 2 2 3" xfId="16547"/>
    <cellStyle name="Comma 28 2 3 2 2 3" xfId="16548"/>
    <cellStyle name="Comma 28 2 3 2 2 3 2" xfId="16549"/>
    <cellStyle name="Comma 28 2 3 2 2 4" xfId="16550"/>
    <cellStyle name="Comma 28 2 3 2 2 5" xfId="16551"/>
    <cellStyle name="Comma 28 2 3 2 3" xfId="16552"/>
    <cellStyle name="Comma 28 2 3 2 3 2" xfId="16553"/>
    <cellStyle name="Comma 28 2 3 2 3 2 2" xfId="16554"/>
    <cellStyle name="Comma 28 2 3 2 3 2 2 2" xfId="16555"/>
    <cellStyle name="Comma 28 2 3 2 3 2 3" xfId="16556"/>
    <cellStyle name="Comma 28 2 3 2 3 3" xfId="16557"/>
    <cellStyle name="Comma 28 2 3 2 3 3 2" xfId="16558"/>
    <cellStyle name="Comma 28 2 3 2 3 4" xfId="16559"/>
    <cellStyle name="Comma 28 2 3 2 4" xfId="16560"/>
    <cellStyle name="Comma 28 2 3 2 4 2" xfId="16561"/>
    <cellStyle name="Comma 28 2 3 2 4 2 2" xfId="16562"/>
    <cellStyle name="Comma 28 2 3 2 4 3" xfId="16563"/>
    <cellStyle name="Comma 28 2 3 2 5" xfId="16564"/>
    <cellStyle name="Comma 28 2 3 2 5 2" xfId="16565"/>
    <cellStyle name="Comma 28 2 3 2 5 2 2" xfId="16566"/>
    <cellStyle name="Comma 28 2 3 2 5 3" xfId="16567"/>
    <cellStyle name="Comma 28 2 3 2 6" xfId="16568"/>
    <cellStyle name="Comma 28 2 3 2 6 2" xfId="16569"/>
    <cellStyle name="Comma 28 2 3 2 7" xfId="16570"/>
    <cellStyle name="Comma 28 2 3 2 8" xfId="16571"/>
    <cellStyle name="Comma 28 2 3 2 9" xfId="16542"/>
    <cellStyle name="Comma 28 2 3 3" xfId="16572"/>
    <cellStyle name="Comma 28 2 3 3 2" xfId="16573"/>
    <cellStyle name="Comma 28 2 3 3 2 2" xfId="16574"/>
    <cellStyle name="Comma 28 2 3 3 2 2 2" xfId="16575"/>
    <cellStyle name="Comma 28 2 3 3 2 2 2 2" xfId="16576"/>
    <cellStyle name="Comma 28 2 3 3 2 2 3" xfId="16577"/>
    <cellStyle name="Comma 28 2 3 3 2 3" xfId="16578"/>
    <cellStyle name="Comma 28 2 3 3 2 3 2" xfId="16579"/>
    <cellStyle name="Comma 28 2 3 3 2 4" xfId="16580"/>
    <cellStyle name="Comma 28 2 3 3 2 5" xfId="16581"/>
    <cellStyle name="Comma 28 2 3 3 3" xfId="16582"/>
    <cellStyle name="Comma 28 2 3 3 3 2" xfId="16583"/>
    <cellStyle name="Comma 28 2 3 3 3 2 2" xfId="16584"/>
    <cellStyle name="Comma 28 2 3 3 3 2 2 2" xfId="16585"/>
    <cellStyle name="Comma 28 2 3 3 3 2 3" xfId="16586"/>
    <cellStyle name="Comma 28 2 3 3 3 3" xfId="16587"/>
    <cellStyle name="Comma 28 2 3 3 3 3 2" xfId="16588"/>
    <cellStyle name="Comma 28 2 3 3 3 4" xfId="16589"/>
    <cellStyle name="Comma 28 2 3 3 4" xfId="16590"/>
    <cellStyle name="Comma 28 2 3 3 4 2" xfId="16591"/>
    <cellStyle name="Comma 28 2 3 3 4 2 2" xfId="16592"/>
    <cellStyle name="Comma 28 2 3 3 4 3" xfId="16593"/>
    <cellStyle name="Comma 28 2 3 3 5" xfId="16594"/>
    <cellStyle name="Comma 28 2 3 3 5 2" xfId="16595"/>
    <cellStyle name="Comma 28 2 3 3 5 2 2" xfId="16596"/>
    <cellStyle name="Comma 28 2 3 3 5 3" xfId="16597"/>
    <cellStyle name="Comma 28 2 3 3 6" xfId="16598"/>
    <cellStyle name="Comma 28 2 3 3 6 2" xfId="16599"/>
    <cellStyle name="Comma 28 2 3 3 7" xfId="16600"/>
    <cellStyle name="Comma 28 2 3 3 8" xfId="16601"/>
    <cellStyle name="Comma 28 2 3 4" xfId="16602"/>
    <cellStyle name="Comma 28 2 3 4 2" xfId="16603"/>
    <cellStyle name="Comma 28 2 3 4 2 2" xfId="16604"/>
    <cellStyle name="Comma 28 2 3 4 2 2 2" xfId="16605"/>
    <cellStyle name="Comma 28 2 3 4 2 2 2 2" xfId="16606"/>
    <cellStyle name="Comma 28 2 3 4 2 2 3" xfId="16607"/>
    <cellStyle name="Comma 28 2 3 4 2 3" xfId="16608"/>
    <cellStyle name="Comma 28 2 3 4 2 3 2" xfId="16609"/>
    <cellStyle name="Comma 28 2 3 4 2 4" xfId="16610"/>
    <cellStyle name="Comma 28 2 3 4 3" xfId="16611"/>
    <cellStyle name="Comma 28 2 3 4 3 2" xfId="16612"/>
    <cellStyle name="Comma 28 2 3 4 3 2 2" xfId="16613"/>
    <cellStyle name="Comma 28 2 3 4 3 3" xfId="16614"/>
    <cellStyle name="Comma 28 2 3 4 4" xfId="16615"/>
    <cellStyle name="Comma 28 2 3 4 4 2" xfId="16616"/>
    <cellStyle name="Comma 28 2 3 4 4 2 2" xfId="16617"/>
    <cellStyle name="Comma 28 2 3 4 4 3" xfId="16618"/>
    <cellStyle name="Comma 28 2 3 4 5" xfId="16619"/>
    <cellStyle name="Comma 28 2 3 4 5 2" xfId="16620"/>
    <cellStyle name="Comma 28 2 3 4 6" xfId="16621"/>
    <cellStyle name="Comma 28 2 3 4 7" xfId="16622"/>
    <cellStyle name="Comma 28 2 3 5" xfId="16623"/>
    <cellStyle name="Comma 28 2 3 5 2" xfId="16624"/>
    <cellStyle name="Comma 28 2 3 5 2 2" xfId="16625"/>
    <cellStyle name="Comma 28 2 3 5 2 2 2" xfId="16626"/>
    <cellStyle name="Comma 28 2 3 5 2 3" xfId="16627"/>
    <cellStyle name="Comma 28 2 3 5 3" xfId="16628"/>
    <cellStyle name="Comma 28 2 3 5 3 2" xfId="16629"/>
    <cellStyle name="Comma 28 2 3 5 4" xfId="16630"/>
    <cellStyle name="Comma 28 2 3 5 5" xfId="16631"/>
    <cellStyle name="Comma 28 2 3 6" xfId="16632"/>
    <cellStyle name="Comma 28 2 3 6 2" xfId="16633"/>
    <cellStyle name="Comma 28 2 3 6 2 2" xfId="16634"/>
    <cellStyle name="Comma 28 2 3 6 3" xfId="16635"/>
    <cellStyle name="Comma 28 2 3 7" xfId="16636"/>
    <cellStyle name="Comma 28 2 3 7 2" xfId="16637"/>
    <cellStyle name="Comma 28 2 3 7 2 2" xfId="16638"/>
    <cellStyle name="Comma 28 2 3 7 3" xfId="16639"/>
    <cellStyle name="Comma 28 2 3 8" xfId="16640"/>
    <cellStyle name="Comma 28 2 3 8 2" xfId="16641"/>
    <cellStyle name="Comma 28 2 3 9" xfId="16642"/>
    <cellStyle name="Comma 28 2 4" xfId="5321"/>
    <cellStyle name="Comma 28 2 4 2" xfId="16644"/>
    <cellStyle name="Comma 28 2 4 2 2" xfId="16645"/>
    <cellStyle name="Comma 28 2 4 2 2 2" xfId="16646"/>
    <cellStyle name="Comma 28 2 4 2 2 2 2" xfId="16647"/>
    <cellStyle name="Comma 28 2 4 2 2 3" xfId="16648"/>
    <cellStyle name="Comma 28 2 4 2 3" xfId="16649"/>
    <cellStyle name="Comma 28 2 4 2 3 2" xfId="16650"/>
    <cellStyle name="Comma 28 2 4 2 4" xfId="16651"/>
    <cellStyle name="Comma 28 2 4 2 5" xfId="16652"/>
    <cellStyle name="Comma 28 2 4 3" xfId="16653"/>
    <cellStyle name="Comma 28 2 4 3 2" xfId="16654"/>
    <cellStyle name="Comma 28 2 4 3 2 2" xfId="16655"/>
    <cellStyle name="Comma 28 2 4 3 2 2 2" xfId="16656"/>
    <cellStyle name="Comma 28 2 4 3 2 3" xfId="16657"/>
    <cellStyle name="Comma 28 2 4 3 3" xfId="16658"/>
    <cellStyle name="Comma 28 2 4 3 3 2" xfId="16659"/>
    <cellStyle name="Comma 28 2 4 3 4" xfId="16660"/>
    <cellStyle name="Comma 28 2 4 4" xfId="16661"/>
    <cellStyle name="Comma 28 2 4 4 2" xfId="16662"/>
    <cellStyle name="Comma 28 2 4 4 2 2" xfId="16663"/>
    <cellStyle name="Comma 28 2 4 4 3" xfId="16664"/>
    <cellStyle name="Comma 28 2 4 5" xfId="16665"/>
    <cellStyle name="Comma 28 2 4 5 2" xfId="16666"/>
    <cellStyle name="Comma 28 2 4 5 2 2" xfId="16667"/>
    <cellStyle name="Comma 28 2 4 5 3" xfId="16668"/>
    <cellStyle name="Comma 28 2 4 6" xfId="16669"/>
    <cellStyle name="Comma 28 2 4 6 2" xfId="16670"/>
    <cellStyle name="Comma 28 2 4 7" xfId="16671"/>
    <cellStyle name="Comma 28 2 4 8" xfId="16672"/>
    <cellStyle name="Comma 28 2 4 9" xfId="16643"/>
    <cellStyle name="Comma 28 2 5" xfId="3255"/>
    <cellStyle name="Comma 28 2 5 2" xfId="16674"/>
    <cellStyle name="Comma 28 2 5 2 2" xfId="16675"/>
    <cellStyle name="Comma 28 2 5 2 2 2" xfId="16676"/>
    <cellStyle name="Comma 28 2 5 2 2 2 2" xfId="16677"/>
    <cellStyle name="Comma 28 2 5 2 2 3" xfId="16678"/>
    <cellStyle name="Comma 28 2 5 2 3" xfId="16679"/>
    <cellStyle name="Comma 28 2 5 2 3 2" xfId="16680"/>
    <cellStyle name="Comma 28 2 5 2 4" xfId="16681"/>
    <cellStyle name="Comma 28 2 5 2 5" xfId="16682"/>
    <cellStyle name="Comma 28 2 5 3" xfId="16683"/>
    <cellStyle name="Comma 28 2 5 3 2" xfId="16684"/>
    <cellStyle name="Comma 28 2 5 3 2 2" xfId="16685"/>
    <cellStyle name="Comma 28 2 5 3 2 2 2" xfId="16686"/>
    <cellStyle name="Comma 28 2 5 3 2 3" xfId="16687"/>
    <cellStyle name="Comma 28 2 5 3 3" xfId="16688"/>
    <cellStyle name="Comma 28 2 5 3 3 2" xfId="16689"/>
    <cellStyle name="Comma 28 2 5 3 4" xfId="16690"/>
    <cellStyle name="Comma 28 2 5 4" xfId="16691"/>
    <cellStyle name="Comma 28 2 5 4 2" xfId="16692"/>
    <cellStyle name="Comma 28 2 5 4 2 2" xfId="16693"/>
    <cellStyle name="Comma 28 2 5 4 3" xfId="16694"/>
    <cellStyle name="Comma 28 2 5 5" xfId="16695"/>
    <cellStyle name="Comma 28 2 5 5 2" xfId="16696"/>
    <cellStyle name="Comma 28 2 5 5 2 2" xfId="16697"/>
    <cellStyle name="Comma 28 2 5 5 3" xfId="16698"/>
    <cellStyle name="Comma 28 2 5 6" xfId="16699"/>
    <cellStyle name="Comma 28 2 5 6 2" xfId="16700"/>
    <cellStyle name="Comma 28 2 5 7" xfId="16701"/>
    <cellStyle name="Comma 28 2 5 8" xfId="16702"/>
    <cellStyle name="Comma 28 2 5 9" xfId="16673"/>
    <cellStyle name="Comma 28 2 6" xfId="3190"/>
    <cellStyle name="Comma 28 2 6 2" xfId="16704"/>
    <cellStyle name="Comma 28 2 6 2 2" xfId="16705"/>
    <cellStyle name="Comma 28 2 6 2 2 2" xfId="16706"/>
    <cellStyle name="Comma 28 2 6 2 2 2 2" xfId="16707"/>
    <cellStyle name="Comma 28 2 6 2 2 3" xfId="16708"/>
    <cellStyle name="Comma 28 2 6 2 3" xfId="16709"/>
    <cellStyle name="Comma 28 2 6 2 3 2" xfId="16710"/>
    <cellStyle name="Comma 28 2 6 2 4" xfId="16711"/>
    <cellStyle name="Comma 28 2 6 3" xfId="16712"/>
    <cellStyle name="Comma 28 2 6 3 2" xfId="16713"/>
    <cellStyle name="Comma 28 2 6 3 2 2" xfId="16714"/>
    <cellStyle name="Comma 28 2 6 3 3" xfId="16715"/>
    <cellStyle name="Comma 28 2 6 4" xfId="16716"/>
    <cellStyle name="Comma 28 2 6 4 2" xfId="16717"/>
    <cellStyle name="Comma 28 2 6 4 2 2" xfId="16718"/>
    <cellStyle name="Comma 28 2 6 4 3" xfId="16719"/>
    <cellStyle name="Comma 28 2 6 5" xfId="16720"/>
    <cellStyle name="Comma 28 2 6 5 2" xfId="16721"/>
    <cellStyle name="Comma 28 2 6 6" xfId="16722"/>
    <cellStyle name="Comma 28 2 6 7" xfId="16723"/>
    <cellStyle name="Comma 28 2 6 8" xfId="16703"/>
    <cellStyle name="Comma 28 2 7" xfId="16724"/>
    <cellStyle name="Comma 28 2 7 2" xfId="16725"/>
    <cellStyle name="Comma 28 2 7 2 2" xfId="16726"/>
    <cellStyle name="Comma 28 2 7 2 2 2" xfId="16727"/>
    <cellStyle name="Comma 28 2 7 2 3" xfId="16728"/>
    <cellStyle name="Comma 28 2 7 3" xfId="16729"/>
    <cellStyle name="Comma 28 2 7 3 2" xfId="16730"/>
    <cellStyle name="Comma 28 2 7 4" xfId="16731"/>
    <cellStyle name="Comma 28 2 7 5" xfId="16732"/>
    <cellStyle name="Comma 28 2 8" xfId="16733"/>
    <cellStyle name="Comma 28 2 8 2" xfId="16734"/>
    <cellStyle name="Comma 28 2 8 2 2" xfId="16735"/>
    <cellStyle name="Comma 28 2 8 3" xfId="16736"/>
    <cellStyle name="Comma 28 2 9" xfId="16737"/>
    <cellStyle name="Comma 28 2 9 2" xfId="16738"/>
    <cellStyle name="Comma 28 2 9 2 2" xfId="16739"/>
    <cellStyle name="Comma 28 2 9 3" xfId="16740"/>
    <cellStyle name="Comma 28 3" xfId="880"/>
    <cellStyle name="Comma 28 3 2" xfId="5317"/>
    <cellStyle name="Comma 28 3 2 2" xfId="4471"/>
    <cellStyle name="Comma 28 3 2 2 2" xfId="16744"/>
    <cellStyle name="Comma 28 3 2 2 2 2" xfId="16745"/>
    <cellStyle name="Comma 28 3 2 2 3" xfId="16746"/>
    <cellStyle name="Comma 28 3 2 2 4" xfId="16743"/>
    <cellStyle name="Comma 28 3 2 3" xfId="16747"/>
    <cellStyle name="Comma 28 3 2 3 2" xfId="16748"/>
    <cellStyle name="Comma 28 3 2 4" xfId="16749"/>
    <cellStyle name="Comma 28 3 2 5" xfId="16750"/>
    <cellStyle name="Comma 28 3 2 6" xfId="16742"/>
    <cellStyle name="Comma 28 3 3" xfId="4472"/>
    <cellStyle name="Comma 28 3 3 2" xfId="16752"/>
    <cellStyle name="Comma 28 3 3 2 2" xfId="16753"/>
    <cellStyle name="Comma 28 3 3 2 2 2" xfId="16754"/>
    <cellStyle name="Comma 28 3 3 2 3" xfId="16755"/>
    <cellStyle name="Comma 28 3 3 3" xfId="16756"/>
    <cellStyle name="Comma 28 3 3 3 2" xfId="16757"/>
    <cellStyle name="Comma 28 3 3 4" xfId="16758"/>
    <cellStyle name="Comma 28 3 3 5" xfId="16751"/>
    <cellStyle name="Comma 28 3 4" xfId="5322"/>
    <cellStyle name="Comma 28 3 4 2" xfId="16760"/>
    <cellStyle name="Comma 28 3 4 2 2" xfId="16761"/>
    <cellStyle name="Comma 28 3 4 3" xfId="16762"/>
    <cellStyle name="Comma 28 3 4 4" xfId="16759"/>
    <cellStyle name="Comma 28 3 5" xfId="4470"/>
    <cellStyle name="Comma 28 3 5 2" xfId="16764"/>
    <cellStyle name="Comma 28 3 5 2 2" xfId="16765"/>
    <cellStyle name="Comma 28 3 5 3" xfId="16766"/>
    <cellStyle name="Comma 28 3 5 4" xfId="16763"/>
    <cellStyle name="Comma 28 3 6" xfId="16767"/>
    <cellStyle name="Comma 28 3 6 2" xfId="16768"/>
    <cellStyle name="Comma 28 3 7" xfId="16769"/>
    <cellStyle name="Comma 28 3 7 2" xfId="16770"/>
    <cellStyle name="Comma 28 3 8" xfId="16771"/>
    <cellStyle name="Comma 28 3 9" xfId="16741"/>
    <cellStyle name="Comma 28 4" xfId="2937"/>
    <cellStyle name="Comma 28 4 2" xfId="3191"/>
    <cellStyle name="Comma 28 4 2 2" xfId="16774"/>
    <cellStyle name="Comma 28 4 2 2 2" xfId="16775"/>
    <cellStyle name="Comma 28 4 2 2 2 2" xfId="16776"/>
    <cellStyle name="Comma 28 4 2 2 3" xfId="16777"/>
    <cellStyle name="Comma 28 4 2 3" xfId="16778"/>
    <cellStyle name="Comma 28 4 2 3 2" xfId="16779"/>
    <cellStyle name="Comma 28 4 2 4" xfId="16780"/>
    <cellStyle name="Comma 28 4 2 5" xfId="16781"/>
    <cellStyle name="Comma 28 4 2 6" xfId="16773"/>
    <cellStyle name="Comma 28 4 3" xfId="3228"/>
    <cellStyle name="Comma 28 4 3 2" xfId="16783"/>
    <cellStyle name="Comma 28 4 3 2 2" xfId="16784"/>
    <cellStyle name="Comma 28 4 3 2 2 2" xfId="16785"/>
    <cellStyle name="Comma 28 4 3 2 3" xfId="16786"/>
    <cellStyle name="Comma 28 4 3 3" xfId="16787"/>
    <cellStyle name="Comma 28 4 3 3 2" xfId="16788"/>
    <cellStyle name="Comma 28 4 3 4" xfId="16789"/>
    <cellStyle name="Comma 28 4 3 5" xfId="16782"/>
    <cellStyle name="Comma 28 4 4" xfId="16790"/>
    <cellStyle name="Comma 28 4 4 2" xfId="16791"/>
    <cellStyle name="Comma 28 4 4 2 2" xfId="16792"/>
    <cellStyle name="Comma 28 4 4 3" xfId="16793"/>
    <cellStyle name="Comma 28 4 5" xfId="16794"/>
    <cellStyle name="Comma 28 4 5 2" xfId="16795"/>
    <cellStyle name="Comma 28 4 5 2 2" xfId="16796"/>
    <cellStyle name="Comma 28 4 5 3" xfId="16797"/>
    <cellStyle name="Comma 28 4 6" xfId="16798"/>
    <cellStyle name="Comma 28 4 6 2" xfId="16799"/>
    <cellStyle name="Comma 28 4 7" xfId="16800"/>
    <cellStyle name="Comma 28 4 8" xfId="16801"/>
    <cellStyle name="Comma 28 4 9" xfId="16772"/>
    <cellStyle name="Comma 28 5" xfId="4473"/>
    <cellStyle name="Comma 28 5 2" xfId="16803"/>
    <cellStyle name="Comma 28 5 2 2" xfId="16804"/>
    <cellStyle name="Comma 28 5 2 2 2" xfId="16805"/>
    <cellStyle name="Comma 28 5 2 2 2 2" xfId="16806"/>
    <cellStyle name="Comma 28 5 2 2 3" xfId="16807"/>
    <cellStyle name="Comma 28 5 2 3" xfId="16808"/>
    <cellStyle name="Comma 28 5 2 3 2" xfId="16809"/>
    <cellStyle name="Comma 28 5 2 4" xfId="16810"/>
    <cellStyle name="Comma 28 5 3" xfId="16811"/>
    <cellStyle name="Comma 28 5 3 2" xfId="16812"/>
    <cellStyle name="Comma 28 5 3 2 2" xfId="16813"/>
    <cellStyle name="Comma 28 5 3 3" xfId="16814"/>
    <cellStyle name="Comma 28 5 4" xfId="16815"/>
    <cellStyle name="Comma 28 5 4 2" xfId="16816"/>
    <cellStyle name="Comma 28 5 4 2 2" xfId="16817"/>
    <cellStyle name="Comma 28 5 4 3" xfId="16818"/>
    <cellStyle name="Comma 28 5 5" xfId="16819"/>
    <cellStyle name="Comma 28 5 5 2" xfId="16820"/>
    <cellStyle name="Comma 28 5 6" xfId="16821"/>
    <cellStyle name="Comma 28 5 7" xfId="16822"/>
    <cellStyle name="Comma 28 5 8" xfId="16802"/>
    <cellStyle name="Comma 28 6" xfId="3210"/>
    <cellStyle name="Comma 28 6 2" xfId="16824"/>
    <cellStyle name="Comma 28 6 2 2" xfId="16825"/>
    <cellStyle name="Comma 28 6 2 2 2" xfId="16826"/>
    <cellStyle name="Comma 28 6 2 3" xfId="16827"/>
    <cellStyle name="Comma 28 6 3" xfId="16828"/>
    <cellStyle name="Comma 28 6 3 2" xfId="16829"/>
    <cellStyle name="Comma 28 6 4" xfId="16830"/>
    <cellStyle name="Comma 28 6 5" xfId="16831"/>
    <cellStyle name="Comma 28 6 6" xfId="16823"/>
    <cellStyle name="Comma 28 7" xfId="4466"/>
    <cellStyle name="Comma 28 7 2" xfId="16833"/>
    <cellStyle name="Comma 28 7 2 2" xfId="16834"/>
    <cellStyle name="Comma 28 7 3" xfId="16835"/>
    <cellStyle name="Comma 28 7 4" xfId="16832"/>
    <cellStyle name="Comma 28 8" xfId="16836"/>
    <cellStyle name="Comma 28 8 2" xfId="16837"/>
    <cellStyle name="Comma 28 8 2 2" xfId="16838"/>
    <cellStyle name="Comma 28 8 3" xfId="16839"/>
    <cellStyle name="Comma 28 9" xfId="16840"/>
    <cellStyle name="Comma 29" xfId="881"/>
    <cellStyle name="Comma 29 10" xfId="16842"/>
    <cellStyle name="Comma 29 11" xfId="16843"/>
    <cellStyle name="Comma 29 12" xfId="16841"/>
    <cellStyle name="Comma 29 2" xfId="882"/>
    <cellStyle name="Comma 29 2 2" xfId="16845"/>
    <cellStyle name="Comma 29 2 3" xfId="16844"/>
    <cellStyle name="Comma 29 3" xfId="883"/>
    <cellStyle name="Comma 29 3 2" xfId="16847"/>
    <cellStyle name="Comma 29 3 2 2" xfId="16848"/>
    <cellStyle name="Comma 29 3 2 2 2" xfId="16849"/>
    <cellStyle name="Comma 29 3 2 2 2 2" xfId="16850"/>
    <cellStyle name="Comma 29 3 2 2 3" xfId="16851"/>
    <cellStyle name="Comma 29 3 2 3" xfId="16852"/>
    <cellStyle name="Comma 29 3 2 3 2" xfId="16853"/>
    <cellStyle name="Comma 29 3 2 4" xfId="16854"/>
    <cellStyle name="Comma 29 3 2 5" xfId="16855"/>
    <cellStyle name="Comma 29 3 3" xfId="16856"/>
    <cellStyle name="Comma 29 3 3 2" xfId="16857"/>
    <cellStyle name="Comma 29 3 3 2 2" xfId="16858"/>
    <cellStyle name="Comma 29 3 3 2 2 2" xfId="16859"/>
    <cellStyle name="Comma 29 3 3 2 3" xfId="16860"/>
    <cellStyle name="Comma 29 3 3 3" xfId="16861"/>
    <cellStyle name="Comma 29 3 3 3 2" xfId="16862"/>
    <cellStyle name="Comma 29 3 3 4" xfId="16863"/>
    <cellStyle name="Comma 29 3 4" xfId="16864"/>
    <cellStyle name="Comma 29 3 4 2" xfId="16865"/>
    <cellStyle name="Comma 29 3 4 2 2" xfId="16866"/>
    <cellStyle name="Comma 29 3 4 3" xfId="16867"/>
    <cellStyle name="Comma 29 3 5" xfId="16868"/>
    <cellStyle name="Comma 29 3 5 2" xfId="16869"/>
    <cellStyle name="Comma 29 3 5 2 2" xfId="16870"/>
    <cellStyle name="Comma 29 3 5 3" xfId="16871"/>
    <cellStyle name="Comma 29 3 6" xfId="16872"/>
    <cellStyle name="Comma 29 3 6 2" xfId="16873"/>
    <cellStyle name="Comma 29 3 7" xfId="16874"/>
    <cellStyle name="Comma 29 3 8" xfId="16875"/>
    <cellStyle name="Comma 29 3 9" xfId="16846"/>
    <cellStyle name="Comma 29 4" xfId="3023"/>
    <cellStyle name="Comma 29 4 2" xfId="16877"/>
    <cellStyle name="Comma 29 4 2 2" xfId="16878"/>
    <cellStyle name="Comma 29 4 2 2 2" xfId="16879"/>
    <cellStyle name="Comma 29 4 2 2 2 2" xfId="16880"/>
    <cellStyle name="Comma 29 4 2 2 3" xfId="16881"/>
    <cellStyle name="Comma 29 4 2 3" xfId="16882"/>
    <cellStyle name="Comma 29 4 2 3 2" xfId="16883"/>
    <cellStyle name="Comma 29 4 2 4" xfId="16884"/>
    <cellStyle name="Comma 29 4 2 5" xfId="16885"/>
    <cellStyle name="Comma 29 4 3" xfId="16886"/>
    <cellStyle name="Comma 29 4 3 2" xfId="16887"/>
    <cellStyle name="Comma 29 4 3 2 2" xfId="16888"/>
    <cellStyle name="Comma 29 4 3 2 2 2" xfId="16889"/>
    <cellStyle name="Comma 29 4 3 2 3" xfId="16890"/>
    <cellStyle name="Comma 29 4 3 3" xfId="16891"/>
    <cellStyle name="Comma 29 4 3 3 2" xfId="16892"/>
    <cellStyle name="Comma 29 4 3 4" xfId="16893"/>
    <cellStyle name="Comma 29 4 4" xfId="16894"/>
    <cellStyle name="Comma 29 4 4 2" xfId="16895"/>
    <cellStyle name="Comma 29 4 4 2 2" xfId="16896"/>
    <cellStyle name="Comma 29 4 4 3" xfId="16897"/>
    <cellStyle name="Comma 29 4 5" xfId="16898"/>
    <cellStyle name="Comma 29 4 5 2" xfId="16899"/>
    <cellStyle name="Comma 29 4 5 2 2" xfId="16900"/>
    <cellStyle name="Comma 29 4 5 3" xfId="16901"/>
    <cellStyle name="Comma 29 4 6" xfId="16902"/>
    <cellStyle name="Comma 29 4 6 2" xfId="16903"/>
    <cellStyle name="Comma 29 4 7" xfId="16904"/>
    <cellStyle name="Comma 29 4 8" xfId="16905"/>
    <cellStyle name="Comma 29 4 9" xfId="16876"/>
    <cellStyle name="Comma 29 5" xfId="4474"/>
    <cellStyle name="Comma 29 5 2" xfId="16907"/>
    <cellStyle name="Comma 29 5 2 2" xfId="16908"/>
    <cellStyle name="Comma 29 5 2 2 2" xfId="16909"/>
    <cellStyle name="Comma 29 5 2 2 2 2" xfId="16910"/>
    <cellStyle name="Comma 29 5 2 2 3" xfId="16911"/>
    <cellStyle name="Comma 29 5 2 3" xfId="16912"/>
    <cellStyle name="Comma 29 5 2 3 2" xfId="16913"/>
    <cellStyle name="Comma 29 5 2 4" xfId="16914"/>
    <cellStyle name="Comma 29 5 2 5" xfId="16915"/>
    <cellStyle name="Comma 29 5 3" xfId="16916"/>
    <cellStyle name="Comma 29 5 3 2" xfId="16917"/>
    <cellStyle name="Comma 29 5 3 2 2" xfId="16918"/>
    <cellStyle name="Comma 29 5 3 2 2 2" xfId="16919"/>
    <cellStyle name="Comma 29 5 3 2 3" xfId="16920"/>
    <cellStyle name="Comma 29 5 3 3" xfId="16921"/>
    <cellStyle name="Comma 29 5 3 3 2" xfId="16922"/>
    <cellStyle name="Comma 29 5 3 4" xfId="16923"/>
    <cellStyle name="Comma 29 5 4" xfId="16924"/>
    <cellStyle name="Comma 29 5 4 2" xfId="16925"/>
    <cellStyle name="Comma 29 5 4 2 2" xfId="16926"/>
    <cellStyle name="Comma 29 5 4 3" xfId="16927"/>
    <cellStyle name="Comma 29 5 5" xfId="16928"/>
    <cellStyle name="Comma 29 5 5 2" xfId="16929"/>
    <cellStyle name="Comma 29 5 5 2 2" xfId="16930"/>
    <cellStyle name="Comma 29 5 5 3" xfId="16931"/>
    <cellStyle name="Comma 29 5 6" xfId="16932"/>
    <cellStyle name="Comma 29 5 6 2" xfId="16933"/>
    <cellStyle name="Comma 29 5 7" xfId="16934"/>
    <cellStyle name="Comma 29 5 8" xfId="16935"/>
    <cellStyle name="Comma 29 5 9" xfId="16906"/>
    <cellStyle name="Comma 29 6" xfId="16936"/>
    <cellStyle name="Comma 29 6 2" xfId="16937"/>
    <cellStyle name="Comma 29 6 2 2" xfId="16938"/>
    <cellStyle name="Comma 29 6 2 2 2" xfId="16939"/>
    <cellStyle name="Comma 29 6 2 2 2 2" xfId="16940"/>
    <cellStyle name="Comma 29 6 2 2 3" xfId="16941"/>
    <cellStyle name="Comma 29 6 2 3" xfId="16942"/>
    <cellStyle name="Comma 29 6 2 3 2" xfId="16943"/>
    <cellStyle name="Comma 29 6 2 4" xfId="16944"/>
    <cellStyle name="Comma 29 6 3" xfId="16945"/>
    <cellStyle name="Comma 29 6 3 2" xfId="16946"/>
    <cellStyle name="Comma 29 6 3 2 2" xfId="16947"/>
    <cellStyle name="Comma 29 6 3 3" xfId="16948"/>
    <cellStyle name="Comma 29 6 4" xfId="16949"/>
    <cellStyle name="Comma 29 6 4 2" xfId="16950"/>
    <cellStyle name="Comma 29 6 4 2 2" xfId="16951"/>
    <cellStyle name="Comma 29 6 4 3" xfId="16952"/>
    <cellStyle name="Comma 29 6 5" xfId="16953"/>
    <cellStyle name="Comma 29 6 5 2" xfId="16954"/>
    <cellStyle name="Comma 29 6 6" xfId="16955"/>
    <cellStyle name="Comma 29 6 7" xfId="16956"/>
    <cellStyle name="Comma 29 7" xfId="16957"/>
    <cellStyle name="Comma 29 7 2" xfId="16958"/>
    <cellStyle name="Comma 29 7 2 2" xfId="16959"/>
    <cellStyle name="Comma 29 7 2 2 2" xfId="16960"/>
    <cellStyle name="Comma 29 7 2 3" xfId="16961"/>
    <cellStyle name="Comma 29 7 3" xfId="16962"/>
    <cellStyle name="Comma 29 7 3 2" xfId="16963"/>
    <cellStyle name="Comma 29 7 4" xfId="16964"/>
    <cellStyle name="Comma 29 7 5" xfId="16965"/>
    <cellStyle name="Comma 29 8" xfId="16966"/>
    <cellStyle name="Comma 29 8 2" xfId="16967"/>
    <cellStyle name="Comma 29 8 2 2" xfId="16968"/>
    <cellStyle name="Comma 29 8 3" xfId="16969"/>
    <cellStyle name="Comma 29 9" xfId="16970"/>
    <cellStyle name="Comma 29 9 2" xfId="16971"/>
    <cellStyle name="Comma 29 9 2 2" xfId="16972"/>
    <cellStyle name="Comma 29 9 3" xfId="16973"/>
    <cellStyle name="Comma 3" xfId="24"/>
    <cellStyle name="Comma 3 10" xfId="3114"/>
    <cellStyle name="Comma 3 10 2" xfId="4475"/>
    <cellStyle name="Comma 3 11" xfId="2992"/>
    <cellStyle name="Comma 3 11 2" xfId="4476"/>
    <cellStyle name="Comma 3 11 3" xfId="16974"/>
    <cellStyle name="Comma 3 12" xfId="3273"/>
    <cellStyle name="Comma 3 12 2" xfId="16975"/>
    <cellStyle name="Comma 3 2" xfId="53"/>
    <cellStyle name="Comma 3 2 10" xfId="885"/>
    <cellStyle name="Comma 3 2 11" xfId="16976"/>
    <cellStyle name="Comma 3 2 2" xfId="886"/>
    <cellStyle name="Comma 3 2 2 2" xfId="887"/>
    <cellStyle name="Comma 3 2 2 2 2" xfId="4478"/>
    <cellStyle name="Comma 3 2 2 2 3" xfId="16977"/>
    <cellStyle name="Comma 3 2 2 3" xfId="888"/>
    <cellStyle name="Comma 3 2 2 3 2" xfId="16979"/>
    <cellStyle name="Comma 3 2 2 3 3" xfId="16978"/>
    <cellStyle name="Comma 3 2 2 4" xfId="889"/>
    <cellStyle name="Comma 3 2 2 4 2" xfId="16980"/>
    <cellStyle name="Comma 3 2 2 5" xfId="2951"/>
    <cellStyle name="Comma 3 2 2 5 2" xfId="16981"/>
    <cellStyle name="Comma 3 2 2 6" xfId="4477"/>
    <cellStyle name="Comma 3 2 3" xfId="890"/>
    <cellStyle name="Comma 3 2 3 2" xfId="891"/>
    <cellStyle name="Comma 3 2 3 2 2" xfId="16982"/>
    <cellStyle name="Comma 3 2 3 3" xfId="2952"/>
    <cellStyle name="Comma 3 2 3 3 2" xfId="16984"/>
    <cellStyle name="Comma 3 2 3 3 3" xfId="16983"/>
    <cellStyle name="Comma 3 2 3 4" xfId="16985"/>
    <cellStyle name="Comma 3 2 4" xfId="892"/>
    <cellStyle name="Comma 3 2 4 2" xfId="893"/>
    <cellStyle name="Comma 3 2 4 3" xfId="7817"/>
    <cellStyle name="Comma 3 2 5" xfId="894"/>
    <cellStyle name="Comma 3 2 5 2" xfId="2953"/>
    <cellStyle name="Comma 3 2 5 3" xfId="16987"/>
    <cellStyle name="Comma 3 2 5 4" xfId="16988"/>
    <cellStyle name="Comma 3 2 5 5" xfId="16986"/>
    <cellStyle name="Comma 3 2 6" xfId="895"/>
    <cellStyle name="Comma 3 2 6 2" xfId="3115"/>
    <cellStyle name="Comma 3 2 6 3" xfId="16989"/>
    <cellStyle name="Comma 3 2 7" xfId="896"/>
    <cellStyle name="Comma 3 2 7 2" xfId="2950"/>
    <cellStyle name="Comma 3 2 8" xfId="897"/>
    <cellStyle name="Comma 3 2 8 2" xfId="16990"/>
    <cellStyle name="Comma 3 2 9" xfId="2421"/>
    <cellStyle name="Comma 3 2_uhf final for ZARA" xfId="2954"/>
    <cellStyle name="Comma 3 3" xfId="54"/>
    <cellStyle name="Comma 3 3 2" xfId="899"/>
    <cellStyle name="Comma 3 3 2 2" xfId="900"/>
    <cellStyle name="Comma 3 3 2 2 2" xfId="4479"/>
    <cellStyle name="Comma 3 3 2 3" xfId="3116"/>
    <cellStyle name="Comma 3 3 2 3 2" xfId="4480"/>
    <cellStyle name="Comma 3 3 2 4" xfId="4851"/>
    <cellStyle name="Comma 3 3 3" xfId="901"/>
    <cellStyle name="Comma 3 3 3 2" xfId="2955"/>
    <cellStyle name="Comma 3 3 4" xfId="902"/>
    <cellStyle name="Comma 3 3 4 2" xfId="4481"/>
    <cellStyle name="Comma 3 3 4 3" xfId="16991"/>
    <cellStyle name="Comma 3 3 5" xfId="903"/>
    <cellStyle name="Comma 3 3 5 2" xfId="4482"/>
    <cellStyle name="Comma 3 3 6" xfId="904"/>
    <cellStyle name="Comma 3 3 6 2" xfId="4483"/>
    <cellStyle name="Comma 3 3 7" xfId="905"/>
    <cellStyle name="Comma 3 3 7 2" xfId="7886"/>
    <cellStyle name="Comma 3 3 8" xfId="3611"/>
    <cellStyle name="Comma 3 4" xfId="52"/>
    <cellStyle name="Comma 3 4 2" xfId="907"/>
    <cellStyle name="Comma 3 4 2 2" xfId="2956"/>
    <cellStyle name="Comma 3 4 2 3" xfId="3484"/>
    <cellStyle name="Comma 3 4 3" xfId="908"/>
    <cellStyle name="Comma 3 4 3 2" xfId="16993"/>
    <cellStyle name="Comma 3 4 3 3" xfId="16994"/>
    <cellStyle name="Comma 3 4 3 4" xfId="16992"/>
    <cellStyle name="Comma 3 4 4" xfId="909"/>
    <cellStyle name="Comma 3 4 5" xfId="2611"/>
    <cellStyle name="Comma 3 4 6" xfId="906"/>
    <cellStyle name="Comma 3 5" xfId="910"/>
    <cellStyle name="Comma 3 5 2" xfId="2957"/>
    <cellStyle name="Comma 3 5 2 2" xfId="5324"/>
    <cellStyle name="Comma 3 5 3" xfId="2612"/>
    <cellStyle name="Comma 3 5 3 2" xfId="5464"/>
    <cellStyle name="Comma 3 5 4" xfId="4484"/>
    <cellStyle name="Comma 3 6" xfId="911"/>
    <cellStyle name="Comma 3 6 2" xfId="2958"/>
    <cellStyle name="Comma 3 6 3" xfId="4485"/>
    <cellStyle name="Comma 3 6 3 2" xfId="16996"/>
    <cellStyle name="Comma 3 6 3 2 2" xfId="16997"/>
    <cellStyle name="Comma 3 6 3 2 2 2" xfId="16998"/>
    <cellStyle name="Comma 3 6 3 2 3" xfId="16999"/>
    <cellStyle name="Comma 3 6 3 2 4" xfId="17000"/>
    <cellStyle name="Comma 3 6 3 3" xfId="17001"/>
    <cellStyle name="Comma 3 6 3 3 2" xfId="17002"/>
    <cellStyle name="Comma 3 6 3 4" xfId="17003"/>
    <cellStyle name="Comma 3 6 3 5" xfId="17004"/>
    <cellStyle name="Comma 3 6 3 6" xfId="16995"/>
    <cellStyle name="Comma 3 6 4" xfId="17005"/>
    <cellStyle name="Comma 3 6 4 2" xfId="17006"/>
    <cellStyle name="Comma 3 6 4 2 2" xfId="17007"/>
    <cellStyle name="Comma 3 6 4 3" xfId="17008"/>
    <cellStyle name="Comma 3 6 4 4" xfId="17009"/>
    <cellStyle name="Comma 3 6 5" xfId="17010"/>
    <cellStyle name="Comma 3 6 5 2" xfId="17011"/>
    <cellStyle name="Comma 3 6 5 2 2" xfId="17012"/>
    <cellStyle name="Comma 3 6 5 3" xfId="17013"/>
    <cellStyle name="Comma 3 6 5 4" xfId="17014"/>
    <cellStyle name="Comma 3 7" xfId="912"/>
    <cellStyle name="Comma 3 7 2" xfId="17016"/>
    <cellStyle name="Comma 3 7 3" xfId="17015"/>
    <cellStyle name="Comma 3 8" xfId="913"/>
    <cellStyle name="Comma 3 8 2" xfId="3117"/>
    <cellStyle name="Comma 3 9" xfId="3118"/>
    <cellStyle name="Comma 3 9 2" xfId="4486"/>
    <cellStyle name="Comma 3_6. ASMF Accounts - December 12" xfId="914"/>
    <cellStyle name="Comma 30" xfId="915"/>
    <cellStyle name="Comma 30 2" xfId="916"/>
    <cellStyle name="Comma 30 2 2" xfId="5325"/>
    <cellStyle name="Comma 30 3" xfId="917"/>
    <cellStyle name="Comma 30 3 2" xfId="4487"/>
    <cellStyle name="Comma 30 4" xfId="918"/>
    <cellStyle name="Comma 30 5" xfId="919"/>
    <cellStyle name="Comma 30 6" xfId="2613"/>
    <cellStyle name="Comma 30 7" xfId="5007"/>
    <cellStyle name="Comma 31" xfId="920"/>
    <cellStyle name="Comma 31 2" xfId="921"/>
    <cellStyle name="Comma 31 2 10" xfId="17018"/>
    <cellStyle name="Comma 31 2 2" xfId="4489"/>
    <cellStyle name="Comma 31 2 2 2" xfId="17020"/>
    <cellStyle name="Comma 31 2 2 2 2" xfId="17021"/>
    <cellStyle name="Comma 31 2 2 2 2 2" xfId="17022"/>
    <cellStyle name="Comma 31 2 2 2 2 2 2" xfId="17023"/>
    <cellStyle name="Comma 31 2 2 2 2 3" xfId="17024"/>
    <cellStyle name="Comma 31 2 2 2 3" xfId="17025"/>
    <cellStyle name="Comma 31 2 2 2 3 2" xfId="17026"/>
    <cellStyle name="Comma 31 2 2 2 4" xfId="17027"/>
    <cellStyle name="Comma 31 2 2 2 5" xfId="17028"/>
    <cellStyle name="Comma 31 2 2 3" xfId="17029"/>
    <cellStyle name="Comma 31 2 2 3 2" xfId="17030"/>
    <cellStyle name="Comma 31 2 2 3 2 2" xfId="17031"/>
    <cellStyle name="Comma 31 2 2 3 2 2 2" xfId="17032"/>
    <cellStyle name="Comma 31 2 2 3 2 3" xfId="17033"/>
    <cellStyle name="Comma 31 2 2 3 3" xfId="17034"/>
    <cellStyle name="Comma 31 2 2 3 3 2" xfId="17035"/>
    <cellStyle name="Comma 31 2 2 3 4" xfId="17036"/>
    <cellStyle name="Comma 31 2 2 4" xfId="17037"/>
    <cellStyle name="Comma 31 2 2 4 2" xfId="17038"/>
    <cellStyle name="Comma 31 2 2 4 2 2" xfId="17039"/>
    <cellStyle name="Comma 31 2 2 4 3" xfId="17040"/>
    <cellStyle name="Comma 31 2 2 5" xfId="17041"/>
    <cellStyle name="Comma 31 2 2 5 2" xfId="17042"/>
    <cellStyle name="Comma 31 2 2 5 2 2" xfId="17043"/>
    <cellStyle name="Comma 31 2 2 5 3" xfId="17044"/>
    <cellStyle name="Comma 31 2 2 6" xfId="17045"/>
    <cellStyle name="Comma 31 2 2 6 2" xfId="17046"/>
    <cellStyle name="Comma 31 2 2 7" xfId="17047"/>
    <cellStyle name="Comma 31 2 2 8" xfId="17048"/>
    <cellStyle name="Comma 31 2 2 9" xfId="17019"/>
    <cellStyle name="Comma 31 2 3" xfId="17049"/>
    <cellStyle name="Comma 31 2 3 2" xfId="17050"/>
    <cellStyle name="Comma 31 2 3 2 2" xfId="17051"/>
    <cellStyle name="Comma 31 2 3 2 2 2" xfId="17052"/>
    <cellStyle name="Comma 31 2 3 2 2 2 2" xfId="17053"/>
    <cellStyle name="Comma 31 2 3 2 2 3" xfId="17054"/>
    <cellStyle name="Comma 31 2 3 2 3" xfId="17055"/>
    <cellStyle name="Comma 31 2 3 2 3 2" xfId="17056"/>
    <cellStyle name="Comma 31 2 3 2 4" xfId="17057"/>
    <cellStyle name="Comma 31 2 3 2 5" xfId="17058"/>
    <cellStyle name="Comma 31 2 3 3" xfId="17059"/>
    <cellStyle name="Comma 31 2 3 3 2" xfId="17060"/>
    <cellStyle name="Comma 31 2 3 3 2 2" xfId="17061"/>
    <cellStyle name="Comma 31 2 3 3 2 2 2" xfId="17062"/>
    <cellStyle name="Comma 31 2 3 3 2 3" xfId="17063"/>
    <cellStyle name="Comma 31 2 3 3 3" xfId="17064"/>
    <cellStyle name="Comma 31 2 3 3 3 2" xfId="17065"/>
    <cellStyle name="Comma 31 2 3 3 4" xfId="17066"/>
    <cellStyle name="Comma 31 2 3 4" xfId="17067"/>
    <cellStyle name="Comma 31 2 3 4 2" xfId="17068"/>
    <cellStyle name="Comma 31 2 3 4 2 2" xfId="17069"/>
    <cellStyle name="Comma 31 2 3 4 3" xfId="17070"/>
    <cellStyle name="Comma 31 2 3 5" xfId="17071"/>
    <cellStyle name="Comma 31 2 3 5 2" xfId="17072"/>
    <cellStyle name="Comma 31 2 3 5 2 2" xfId="17073"/>
    <cellStyle name="Comma 31 2 3 5 3" xfId="17074"/>
    <cellStyle name="Comma 31 2 3 6" xfId="17075"/>
    <cellStyle name="Comma 31 2 3 6 2" xfId="17076"/>
    <cellStyle name="Comma 31 2 3 7" xfId="17077"/>
    <cellStyle name="Comma 31 2 3 8" xfId="17078"/>
    <cellStyle name="Comma 31 2 4" xfId="17079"/>
    <cellStyle name="Comma 31 2 4 2" xfId="17080"/>
    <cellStyle name="Comma 31 2 4 2 2" xfId="17081"/>
    <cellStyle name="Comma 31 2 4 2 2 2" xfId="17082"/>
    <cellStyle name="Comma 31 2 4 2 2 2 2" xfId="17083"/>
    <cellStyle name="Comma 31 2 4 2 2 3" xfId="17084"/>
    <cellStyle name="Comma 31 2 4 2 3" xfId="17085"/>
    <cellStyle name="Comma 31 2 4 2 3 2" xfId="17086"/>
    <cellStyle name="Comma 31 2 4 2 4" xfId="17087"/>
    <cellStyle name="Comma 31 2 4 3" xfId="17088"/>
    <cellStyle name="Comma 31 2 4 3 2" xfId="17089"/>
    <cellStyle name="Comma 31 2 4 3 2 2" xfId="17090"/>
    <cellStyle name="Comma 31 2 4 3 3" xfId="17091"/>
    <cellStyle name="Comma 31 2 4 4" xfId="17092"/>
    <cellStyle name="Comma 31 2 4 4 2" xfId="17093"/>
    <cellStyle name="Comma 31 2 4 4 2 2" xfId="17094"/>
    <cellStyle name="Comma 31 2 4 4 3" xfId="17095"/>
    <cellStyle name="Comma 31 2 4 5" xfId="17096"/>
    <cellStyle name="Comma 31 2 4 5 2" xfId="17097"/>
    <cellStyle name="Comma 31 2 4 6" xfId="17098"/>
    <cellStyle name="Comma 31 2 4 7" xfId="17099"/>
    <cellStyle name="Comma 31 2 5" xfId="17100"/>
    <cellStyle name="Comma 31 2 5 2" xfId="17101"/>
    <cellStyle name="Comma 31 2 5 2 2" xfId="17102"/>
    <cellStyle name="Comma 31 2 5 2 2 2" xfId="17103"/>
    <cellStyle name="Comma 31 2 5 2 3" xfId="17104"/>
    <cellStyle name="Comma 31 2 5 3" xfId="17105"/>
    <cellStyle name="Comma 31 2 5 3 2" xfId="17106"/>
    <cellStyle name="Comma 31 2 5 4" xfId="17107"/>
    <cellStyle name="Comma 31 2 5 5" xfId="17108"/>
    <cellStyle name="Comma 31 2 6" xfId="17109"/>
    <cellStyle name="Comma 31 2 6 2" xfId="17110"/>
    <cellStyle name="Comma 31 2 6 2 2" xfId="17111"/>
    <cellStyle name="Comma 31 2 6 3" xfId="17112"/>
    <cellStyle name="Comma 31 2 7" xfId="17113"/>
    <cellStyle name="Comma 31 2 7 2" xfId="17114"/>
    <cellStyle name="Comma 31 2 7 2 2" xfId="17115"/>
    <cellStyle name="Comma 31 2 7 3" xfId="17116"/>
    <cellStyle name="Comma 31 2 8" xfId="17117"/>
    <cellStyle name="Comma 31 2 8 2" xfId="17118"/>
    <cellStyle name="Comma 31 2 9" xfId="17119"/>
    <cellStyle name="Comma 31 2 9 2" xfId="17120"/>
    <cellStyle name="Comma 31 3" xfId="922"/>
    <cellStyle name="Comma 31 3 2" xfId="4490"/>
    <cellStyle name="Comma 31 3 2 2" xfId="17122"/>
    <cellStyle name="Comma 31 3 3" xfId="17123"/>
    <cellStyle name="Comma 31 3 4" xfId="17124"/>
    <cellStyle name="Comma 31 3 5" xfId="17121"/>
    <cellStyle name="Comma 31 4" xfId="3160"/>
    <cellStyle name="Comma 31 5" xfId="4488"/>
    <cellStyle name="Comma 31 6" xfId="17017"/>
    <cellStyle name="Comma 32" xfId="923"/>
    <cellStyle name="Comma 32 2" xfId="924"/>
    <cellStyle name="Comma 32 3" xfId="925"/>
    <cellStyle name="Comma 32 4" xfId="2614"/>
    <cellStyle name="Comma 33" xfId="926"/>
    <cellStyle name="Comma 33 2" xfId="927"/>
    <cellStyle name="Comma 33 2 2" xfId="17127"/>
    <cellStyle name="Comma 33 2 2 2" xfId="17128"/>
    <cellStyle name="Comma 33 2 3" xfId="17129"/>
    <cellStyle name="Comma 33 2 4" xfId="17126"/>
    <cellStyle name="Comma 33 3" xfId="2990"/>
    <cellStyle name="Comma 33 3 2" xfId="17131"/>
    <cellStyle name="Comma 33 3 3" xfId="17132"/>
    <cellStyle name="Comma 33 3 4" xfId="17133"/>
    <cellStyle name="Comma 33 3 5" xfId="17130"/>
    <cellStyle name="Comma 33 4" xfId="4491"/>
    <cellStyle name="Comma 33 4 2" xfId="17134"/>
    <cellStyle name="Comma 33 5" xfId="17125"/>
    <cellStyle name="Comma 34" xfId="928"/>
    <cellStyle name="Comma 34 2" xfId="929"/>
    <cellStyle name="Comma 34 3" xfId="2615"/>
    <cellStyle name="Comma 35" xfId="930"/>
    <cellStyle name="Comma 35 2" xfId="3156"/>
    <cellStyle name="Comma 35 2 2" xfId="17137"/>
    <cellStyle name="Comma 35 2 2 2" xfId="17138"/>
    <cellStyle name="Comma 35 2 3" xfId="17139"/>
    <cellStyle name="Comma 35 2 4" xfId="17136"/>
    <cellStyle name="Comma 35 3" xfId="4492"/>
    <cellStyle name="Comma 35 3 2" xfId="17141"/>
    <cellStyle name="Comma 35 3 3" xfId="17142"/>
    <cellStyle name="Comma 35 3 4" xfId="17140"/>
    <cellStyle name="Comma 35 4" xfId="17135"/>
    <cellStyle name="Comma 36" xfId="931"/>
    <cellStyle name="Comma 36 10" xfId="17144"/>
    <cellStyle name="Comma 36 11" xfId="17145"/>
    <cellStyle name="Comma 36 12" xfId="17143"/>
    <cellStyle name="Comma 36 2" xfId="932"/>
    <cellStyle name="Comma 36 2 2" xfId="17147"/>
    <cellStyle name="Comma 36 2 2 2" xfId="17148"/>
    <cellStyle name="Comma 36 2 2 2 2" xfId="17149"/>
    <cellStyle name="Comma 36 2 2 2 2 2" xfId="17150"/>
    <cellStyle name="Comma 36 2 2 2 3" xfId="17151"/>
    <cellStyle name="Comma 36 2 2 3" xfId="17152"/>
    <cellStyle name="Comma 36 2 2 3 2" xfId="17153"/>
    <cellStyle name="Comma 36 2 2 4" xfId="17154"/>
    <cellStyle name="Comma 36 2 2 5" xfId="17155"/>
    <cellStyle name="Comma 36 2 3" xfId="17156"/>
    <cellStyle name="Comma 36 2 3 2" xfId="17157"/>
    <cellStyle name="Comma 36 2 3 2 2" xfId="17158"/>
    <cellStyle name="Comma 36 2 3 2 2 2" xfId="17159"/>
    <cellStyle name="Comma 36 2 3 2 3" xfId="17160"/>
    <cellStyle name="Comma 36 2 3 3" xfId="17161"/>
    <cellStyle name="Comma 36 2 3 3 2" xfId="17162"/>
    <cellStyle name="Comma 36 2 3 4" xfId="17163"/>
    <cellStyle name="Comma 36 2 4" xfId="17164"/>
    <cellStyle name="Comma 36 2 4 2" xfId="17165"/>
    <cellStyle name="Comma 36 2 4 2 2" xfId="17166"/>
    <cellStyle name="Comma 36 2 4 3" xfId="17167"/>
    <cellStyle name="Comma 36 2 5" xfId="17168"/>
    <cellStyle name="Comma 36 2 5 2" xfId="17169"/>
    <cellStyle name="Comma 36 2 5 2 2" xfId="17170"/>
    <cellStyle name="Comma 36 2 5 3" xfId="17171"/>
    <cellStyle name="Comma 36 2 6" xfId="17172"/>
    <cellStyle name="Comma 36 2 6 2" xfId="17173"/>
    <cellStyle name="Comma 36 2 7" xfId="17174"/>
    <cellStyle name="Comma 36 2 7 2" xfId="17175"/>
    <cellStyle name="Comma 36 2 8" xfId="17176"/>
    <cellStyle name="Comma 36 2 9" xfId="17146"/>
    <cellStyle name="Comma 36 3" xfId="3174"/>
    <cellStyle name="Comma 36 3 2" xfId="17178"/>
    <cellStyle name="Comma 36 3 2 2" xfId="17179"/>
    <cellStyle name="Comma 36 3 2 2 2" xfId="17180"/>
    <cellStyle name="Comma 36 3 2 2 2 2" xfId="17181"/>
    <cellStyle name="Comma 36 3 2 2 3" xfId="17182"/>
    <cellStyle name="Comma 36 3 2 3" xfId="17183"/>
    <cellStyle name="Comma 36 3 2 3 2" xfId="17184"/>
    <cellStyle name="Comma 36 3 2 4" xfId="17185"/>
    <cellStyle name="Comma 36 3 2 5" xfId="17186"/>
    <cellStyle name="Comma 36 3 3" xfId="17187"/>
    <cellStyle name="Comma 36 3 3 2" xfId="17188"/>
    <cellStyle name="Comma 36 3 3 2 2" xfId="17189"/>
    <cellStyle name="Comma 36 3 3 2 2 2" xfId="17190"/>
    <cellStyle name="Comma 36 3 3 2 3" xfId="17191"/>
    <cellStyle name="Comma 36 3 3 3" xfId="17192"/>
    <cellStyle name="Comma 36 3 3 3 2" xfId="17193"/>
    <cellStyle name="Comma 36 3 3 4" xfId="17194"/>
    <cellStyle name="Comma 36 3 4" xfId="17195"/>
    <cellStyle name="Comma 36 3 4 2" xfId="17196"/>
    <cellStyle name="Comma 36 3 4 2 2" xfId="17197"/>
    <cellStyle name="Comma 36 3 4 3" xfId="17198"/>
    <cellStyle name="Comma 36 3 5" xfId="17199"/>
    <cellStyle name="Comma 36 3 5 2" xfId="17200"/>
    <cellStyle name="Comma 36 3 5 2 2" xfId="17201"/>
    <cellStyle name="Comma 36 3 5 3" xfId="17202"/>
    <cellStyle name="Comma 36 3 6" xfId="17203"/>
    <cellStyle name="Comma 36 3 6 2" xfId="17204"/>
    <cellStyle name="Comma 36 3 7" xfId="17205"/>
    <cellStyle name="Comma 36 3 8" xfId="17206"/>
    <cellStyle name="Comma 36 3 9" xfId="17177"/>
    <cellStyle name="Comma 36 4" xfId="4493"/>
    <cellStyle name="Comma 36 4 2" xfId="17208"/>
    <cellStyle name="Comma 36 4 2 2" xfId="17209"/>
    <cellStyle name="Comma 36 4 2 2 2" xfId="17210"/>
    <cellStyle name="Comma 36 4 2 2 2 2" xfId="17211"/>
    <cellStyle name="Comma 36 4 2 2 3" xfId="17212"/>
    <cellStyle name="Comma 36 4 2 3" xfId="17213"/>
    <cellStyle name="Comma 36 4 2 3 2" xfId="17214"/>
    <cellStyle name="Comma 36 4 2 4" xfId="17215"/>
    <cellStyle name="Comma 36 4 2 5" xfId="17216"/>
    <cellStyle name="Comma 36 4 3" xfId="17217"/>
    <cellStyle name="Comma 36 4 3 2" xfId="17218"/>
    <cellStyle name="Comma 36 4 3 2 2" xfId="17219"/>
    <cellStyle name="Comma 36 4 3 2 2 2" xfId="17220"/>
    <cellStyle name="Comma 36 4 3 2 3" xfId="17221"/>
    <cellStyle name="Comma 36 4 3 3" xfId="17222"/>
    <cellStyle name="Comma 36 4 3 3 2" xfId="17223"/>
    <cellStyle name="Comma 36 4 3 4" xfId="17224"/>
    <cellStyle name="Comma 36 4 4" xfId="17225"/>
    <cellStyle name="Comma 36 4 4 2" xfId="17226"/>
    <cellStyle name="Comma 36 4 4 2 2" xfId="17227"/>
    <cellStyle name="Comma 36 4 4 3" xfId="17228"/>
    <cellStyle name="Comma 36 4 5" xfId="17229"/>
    <cellStyle name="Comma 36 4 5 2" xfId="17230"/>
    <cellStyle name="Comma 36 4 5 2 2" xfId="17231"/>
    <cellStyle name="Comma 36 4 5 3" xfId="17232"/>
    <cellStyle name="Comma 36 4 6" xfId="17233"/>
    <cellStyle name="Comma 36 4 6 2" xfId="17234"/>
    <cellStyle name="Comma 36 4 7" xfId="17235"/>
    <cellStyle name="Comma 36 4 8" xfId="17236"/>
    <cellStyle name="Comma 36 4 9" xfId="17207"/>
    <cellStyle name="Comma 36 5" xfId="17237"/>
    <cellStyle name="Comma 36 5 2" xfId="17238"/>
    <cellStyle name="Comma 36 5 2 2" xfId="17239"/>
    <cellStyle name="Comma 36 5 2 2 2" xfId="17240"/>
    <cellStyle name="Comma 36 5 2 2 2 2" xfId="17241"/>
    <cellStyle name="Comma 36 5 2 2 3" xfId="17242"/>
    <cellStyle name="Comma 36 5 2 3" xfId="17243"/>
    <cellStyle name="Comma 36 5 2 3 2" xfId="17244"/>
    <cellStyle name="Comma 36 5 2 4" xfId="17245"/>
    <cellStyle name="Comma 36 5 3" xfId="17246"/>
    <cellStyle name="Comma 36 5 3 2" xfId="17247"/>
    <cellStyle name="Comma 36 5 3 2 2" xfId="17248"/>
    <cellStyle name="Comma 36 5 3 3" xfId="17249"/>
    <cellStyle name="Comma 36 5 4" xfId="17250"/>
    <cellStyle name="Comma 36 5 4 2" xfId="17251"/>
    <cellStyle name="Comma 36 5 4 2 2" xfId="17252"/>
    <cellStyle name="Comma 36 5 4 3" xfId="17253"/>
    <cellStyle name="Comma 36 5 5" xfId="17254"/>
    <cellStyle name="Comma 36 5 5 2" xfId="17255"/>
    <cellStyle name="Comma 36 5 6" xfId="17256"/>
    <cellStyle name="Comma 36 5 7" xfId="17257"/>
    <cellStyle name="Comma 36 6" xfId="17258"/>
    <cellStyle name="Comma 36 6 2" xfId="17259"/>
    <cellStyle name="Comma 36 6 2 2" xfId="17260"/>
    <cellStyle name="Comma 36 6 2 2 2" xfId="17261"/>
    <cellStyle name="Comma 36 6 2 3" xfId="17262"/>
    <cellStyle name="Comma 36 6 3" xfId="17263"/>
    <cellStyle name="Comma 36 6 3 2" xfId="17264"/>
    <cellStyle name="Comma 36 6 4" xfId="17265"/>
    <cellStyle name="Comma 36 6 5" xfId="17266"/>
    <cellStyle name="Comma 36 7" xfId="17267"/>
    <cellStyle name="Comma 36 7 2" xfId="17268"/>
    <cellStyle name="Comma 36 7 2 2" xfId="17269"/>
    <cellStyle name="Comma 36 7 3" xfId="17270"/>
    <cellStyle name="Comma 36 8" xfId="17271"/>
    <cellStyle name="Comma 36 8 2" xfId="17272"/>
    <cellStyle name="Comma 36 8 2 2" xfId="17273"/>
    <cellStyle name="Comma 36 8 3" xfId="17274"/>
    <cellStyle name="Comma 36 9" xfId="17275"/>
    <cellStyle name="Comma 36 9 2" xfId="17276"/>
    <cellStyle name="Comma 37" xfId="933"/>
    <cellStyle name="Comma 37 2" xfId="934"/>
    <cellStyle name="Comma 37 3" xfId="2616"/>
    <cellStyle name="Comma 38" xfId="935"/>
    <cellStyle name="Comma 38 10" xfId="17277"/>
    <cellStyle name="Comma 38 2" xfId="936"/>
    <cellStyle name="Comma 38 2 2" xfId="17278"/>
    <cellStyle name="Comma 38 3" xfId="2929"/>
    <cellStyle name="Comma 38 3 2" xfId="17280"/>
    <cellStyle name="Comma 38 3 2 2" xfId="17281"/>
    <cellStyle name="Comma 38 3 2 2 2" xfId="17282"/>
    <cellStyle name="Comma 38 3 2 2 2 2" xfId="17283"/>
    <cellStyle name="Comma 38 3 2 2 3" xfId="17284"/>
    <cellStyle name="Comma 38 3 2 3" xfId="17285"/>
    <cellStyle name="Comma 38 3 2 3 2" xfId="17286"/>
    <cellStyle name="Comma 38 3 2 4" xfId="17287"/>
    <cellStyle name="Comma 38 3 3" xfId="17288"/>
    <cellStyle name="Comma 38 3 3 2" xfId="17289"/>
    <cellStyle name="Comma 38 3 3 2 2" xfId="17290"/>
    <cellStyle name="Comma 38 3 3 3" xfId="17291"/>
    <cellStyle name="Comma 38 3 4" xfId="17292"/>
    <cellStyle name="Comma 38 3 4 2" xfId="17293"/>
    <cellStyle name="Comma 38 3 4 2 2" xfId="17294"/>
    <cellStyle name="Comma 38 3 4 3" xfId="17295"/>
    <cellStyle name="Comma 38 3 5" xfId="17296"/>
    <cellStyle name="Comma 38 3 5 2" xfId="17297"/>
    <cellStyle name="Comma 38 3 6" xfId="17298"/>
    <cellStyle name="Comma 38 3 7" xfId="17299"/>
    <cellStyle name="Comma 38 3 8" xfId="17279"/>
    <cellStyle name="Comma 38 4" xfId="3288"/>
    <cellStyle name="Comma 38 4 2" xfId="17301"/>
    <cellStyle name="Comma 38 4 2 2" xfId="17302"/>
    <cellStyle name="Comma 38 4 2 2 2" xfId="17303"/>
    <cellStyle name="Comma 38 4 2 3" xfId="17304"/>
    <cellStyle name="Comma 38 4 3" xfId="17305"/>
    <cellStyle name="Comma 38 4 3 2" xfId="17306"/>
    <cellStyle name="Comma 38 4 4" xfId="17307"/>
    <cellStyle name="Comma 38 4 5" xfId="17308"/>
    <cellStyle name="Comma 38 4 6" xfId="17300"/>
    <cellStyle name="Comma 38 5" xfId="17309"/>
    <cellStyle name="Comma 38 5 2" xfId="17310"/>
    <cellStyle name="Comma 38 5 2 2" xfId="17311"/>
    <cellStyle name="Comma 38 5 3" xfId="17312"/>
    <cellStyle name="Comma 38 6" xfId="17313"/>
    <cellStyle name="Comma 38 6 2" xfId="17314"/>
    <cellStyle name="Comma 38 6 2 2" xfId="17315"/>
    <cellStyle name="Comma 38 6 3" xfId="17316"/>
    <cellStyle name="Comma 38 7" xfId="17317"/>
    <cellStyle name="Comma 38 7 2" xfId="17318"/>
    <cellStyle name="Comma 38 8" xfId="17319"/>
    <cellStyle name="Comma 38 8 2" xfId="17320"/>
    <cellStyle name="Comma 38 9" xfId="17321"/>
    <cellStyle name="Comma 39" xfId="937"/>
    <cellStyle name="Comma 39 2" xfId="938"/>
    <cellStyle name="Comma 39 3" xfId="2617"/>
    <cellStyle name="Comma 4" xfId="27"/>
    <cellStyle name="Comma 4 10" xfId="939"/>
    <cellStyle name="Comma 4 10 2" xfId="7818"/>
    <cellStyle name="Comma 4 11" xfId="4494"/>
    <cellStyle name="Comma 4 12" xfId="17322"/>
    <cellStyle name="Comma 4 2" xfId="940"/>
    <cellStyle name="Comma 4 2 2" xfId="55"/>
    <cellStyle name="Comma 4 2 2 2" xfId="942"/>
    <cellStyle name="Comma 4 2 2 3" xfId="2960"/>
    <cellStyle name="Comma 4 2 2 4" xfId="941"/>
    <cellStyle name="Comma 4 2 2 5" xfId="4496"/>
    <cellStyle name="Comma 4 2 3" xfId="943"/>
    <cellStyle name="Comma 4 2 3 2" xfId="4497"/>
    <cellStyle name="Comma 4 2 3 2 2" xfId="17323"/>
    <cellStyle name="Comma 4 2 4" xfId="2423"/>
    <cellStyle name="Comma 4 2 4 2" xfId="3485"/>
    <cellStyle name="Comma 4 2 4 3" xfId="17324"/>
    <cellStyle name="Comma 4 2 5" xfId="4498"/>
    <cellStyle name="Comma 4 2 6" xfId="7819"/>
    <cellStyle name="Comma 4 2 7" xfId="4495"/>
    <cellStyle name="Comma 4 3" xfId="944"/>
    <cellStyle name="Comma 4 3 2" xfId="945"/>
    <cellStyle name="Comma 4 3 2 2" xfId="2961"/>
    <cellStyle name="Comma 4 3 2 3" xfId="4499"/>
    <cellStyle name="Comma 4 3 2 3 2" xfId="17325"/>
    <cellStyle name="Comma 4 3 3" xfId="946"/>
    <cellStyle name="Comma 4 3 3 2" xfId="17326"/>
    <cellStyle name="Comma 4 3 4" xfId="947"/>
    <cellStyle name="Comma 4 3 5" xfId="2424"/>
    <cellStyle name="Comma 4 4" xfId="948"/>
    <cellStyle name="Comma 4 4 2" xfId="949"/>
    <cellStyle name="Comma 4 4 2 2" xfId="17327"/>
    <cellStyle name="Comma 4 4 3" xfId="4500"/>
    <cellStyle name="Comma 4 5" xfId="950"/>
    <cellStyle name="Comma 4 5 2" xfId="2962"/>
    <cellStyle name="Comma 4 5 2 2" xfId="17329"/>
    <cellStyle name="Comma 4 5 3" xfId="4501"/>
    <cellStyle name="Comma 4 5 3 2" xfId="17330"/>
    <cellStyle name="Comma 4 5 4" xfId="17331"/>
    <cellStyle name="Comma 4 5 5" xfId="17328"/>
    <cellStyle name="Comma 4 6" xfId="951"/>
    <cellStyle name="Comma 4 6 2" xfId="3119"/>
    <cellStyle name="Comma 4 6 2 2" xfId="17333"/>
    <cellStyle name="Comma 4 6 3" xfId="17334"/>
    <cellStyle name="Comma 4 6 4" xfId="17332"/>
    <cellStyle name="Comma 4 7" xfId="952"/>
    <cellStyle name="Comma 4 7 2" xfId="2959"/>
    <cellStyle name="Comma 4 7 3" xfId="4502"/>
    <cellStyle name="Comma 4 7 4" xfId="17335"/>
    <cellStyle name="Comma 4 8" xfId="953"/>
    <cellStyle name="Comma 4 8 2" xfId="4504"/>
    <cellStyle name="Comma 4 8 3" xfId="4503"/>
    <cellStyle name="Comma 4 9" xfId="2422"/>
    <cellStyle name="Comma 4 9 2" xfId="3258"/>
    <cellStyle name="Comma 4 9 3" xfId="4505"/>
    <cellStyle name="Comma 4_Accounts 2010 after RAJ" xfId="2963"/>
    <cellStyle name="Comma 40" xfId="954"/>
    <cellStyle name="Comma 40 2" xfId="955"/>
    <cellStyle name="Comma 40 2 2" xfId="17336"/>
    <cellStyle name="Comma 40 3" xfId="2425"/>
    <cellStyle name="Comma 40 4" xfId="4506"/>
    <cellStyle name="Comma 41" xfId="956"/>
    <cellStyle name="Comma 41 10" xfId="17337"/>
    <cellStyle name="Comma 41 2" xfId="957"/>
    <cellStyle name="Comma 41 2 2" xfId="17339"/>
    <cellStyle name="Comma 41 2 2 2" xfId="17340"/>
    <cellStyle name="Comma 41 2 3" xfId="17338"/>
    <cellStyle name="Comma 41 3" xfId="2948"/>
    <cellStyle name="Comma 41 3 2" xfId="17342"/>
    <cellStyle name="Comma 41 3 2 2" xfId="17343"/>
    <cellStyle name="Comma 41 3 2 2 2" xfId="17344"/>
    <cellStyle name="Comma 41 3 2 2 2 2" xfId="17345"/>
    <cellStyle name="Comma 41 3 2 2 3" xfId="17346"/>
    <cellStyle name="Comma 41 3 2 3" xfId="17347"/>
    <cellStyle name="Comma 41 3 2 3 2" xfId="17348"/>
    <cellStyle name="Comma 41 3 2 4" xfId="17349"/>
    <cellStyle name="Comma 41 3 3" xfId="17350"/>
    <cellStyle name="Comma 41 3 3 2" xfId="17351"/>
    <cellStyle name="Comma 41 3 3 2 2" xfId="17352"/>
    <cellStyle name="Comma 41 3 3 3" xfId="17353"/>
    <cellStyle name="Comma 41 3 4" xfId="17354"/>
    <cellStyle name="Comma 41 3 4 2" xfId="17355"/>
    <cellStyle name="Comma 41 3 4 2 2" xfId="17356"/>
    <cellStyle name="Comma 41 3 4 3" xfId="17357"/>
    <cellStyle name="Comma 41 3 5" xfId="17358"/>
    <cellStyle name="Comma 41 3 5 2" xfId="17359"/>
    <cellStyle name="Comma 41 3 6" xfId="17360"/>
    <cellStyle name="Comma 41 3 7" xfId="17361"/>
    <cellStyle name="Comma 41 3 8" xfId="17341"/>
    <cellStyle name="Comma 41 4" xfId="17362"/>
    <cellStyle name="Comma 41 4 2" xfId="17363"/>
    <cellStyle name="Comma 41 4 2 2" xfId="17364"/>
    <cellStyle name="Comma 41 4 2 2 2" xfId="17365"/>
    <cellStyle name="Comma 41 4 2 3" xfId="17366"/>
    <cellStyle name="Comma 41 4 3" xfId="17367"/>
    <cellStyle name="Comma 41 4 3 2" xfId="17368"/>
    <cellStyle name="Comma 41 4 4" xfId="17369"/>
    <cellStyle name="Comma 41 4 5" xfId="17370"/>
    <cellStyle name="Comma 41 5" xfId="17371"/>
    <cellStyle name="Comma 41 5 2" xfId="17372"/>
    <cellStyle name="Comma 41 5 2 2" xfId="17373"/>
    <cellStyle name="Comma 41 5 3" xfId="17374"/>
    <cellStyle name="Comma 41 6" xfId="17375"/>
    <cellStyle name="Comma 41 6 2" xfId="17376"/>
    <cellStyle name="Comma 41 6 2 2" xfId="17377"/>
    <cellStyle name="Comma 41 6 3" xfId="17378"/>
    <cellStyle name="Comma 41 7" xfId="17379"/>
    <cellStyle name="Comma 41 7 2" xfId="17380"/>
    <cellStyle name="Comma 41 8" xfId="17381"/>
    <cellStyle name="Comma 41 9" xfId="17382"/>
    <cellStyle name="Comma 42" xfId="958"/>
    <cellStyle name="Comma 42 2" xfId="959"/>
    <cellStyle name="Comma 43" xfId="960"/>
    <cellStyle name="Comma 43 2" xfId="961"/>
    <cellStyle name="Comma 44" xfId="962"/>
    <cellStyle name="Comma 44 2" xfId="963"/>
    <cellStyle name="Comma 45" xfId="964"/>
    <cellStyle name="Comma 45 2" xfId="965"/>
    <cellStyle name="Comma 45 2 2" xfId="17384"/>
    <cellStyle name="Comma 45 3" xfId="3167"/>
    <cellStyle name="Comma 45 4" xfId="17383"/>
    <cellStyle name="Comma 46" xfId="966"/>
    <cellStyle name="Comma 46 2" xfId="967"/>
    <cellStyle name="Comma 47" xfId="968"/>
    <cellStyle name="Comma 47 2" xfId="969"/>
    <cellStyle name="Comma 47 2 2" xfId="17385"/>
    <cellStyle name="Comma 47 3" xfId="5167"/>
    <cellStyle name="Comma 48" xfId="970"/>
    <cellStyle name="Comma 48 2" xfId="971"/>
    <cellStyle name="Comma 48 3" xfId="2618"/>
    <cellStyle name="Comma 49" xfId="972"/>
    <cellStyle name="Comma 49 2" xfId="973"/>
    <cellStyle name="Comma 49 2 2" xfId="17388"/>
    <cellStyle name="Comma 49 2 2 2" xfId="17389"/>
    <cellStyle name="Comma 49 2 3" xfId="17390"/>
    <cellStyle name="Comma 49 2 4" xfId="17387"/>
    <cellStyle name="Comma 49 3" xfId="2938"/>
    <cellStyle name="Comma 49 3 2" xfId="17391"/>
    <cellStyle name="Comma 49 4" xfId="3649"/>
    <cellStyle name="Comma 49 4 2" xfId="17392"/>
    <cellStyle name="Comma 49 5" xfId="17393"/>
    <cellStyle name="Comma 49 6" xfId="17386"/>
    <cellStyle name="Comma 5" xfId="40"/>
    <cellStyle name="Comma 5 10" xfId="975"/>
    <cellStyle name="Comma 5 10 2" xfId="5168"/>
    <cellStyle name="Comma 5 2" xfId="56"/>
    <cellStyle name="Comma 5 2 2" xfId="977"/>
    <cellStyle name="Comma 5 2 2 2" xfId="978"/>
    <cellStyle name="Comma 5 2 2 3" xfId="2965"/>
    <cellStyle name="Comma 5 2 3" xfId="979"/>
    <cellStyle name="Comma 5 2 4" xfId="980"/>
    <cellStyle name="Comma 5 2 4 2" xfId="17394"/>
    <cellStyle name="Comma 5 2 5" xfId="976"/>
    <cellStyle name="Comma 5 2 6" xfId="3612"/>
    <cellStyle name="Comma 5 3" xfId="981"/>
    <cellStyle name="Comma 5 3 2" xfId="982"/>
    <cellStyle name="Comma 5 3 2 2" xfId="5169"/>
    <cellStyle name="Comma 5 3 2 2 2" xfId="17397"/>
    <cellStyle name="Comma 5 3 2 3" xfId="17396"/>
    <cellStyle name="Comma 5 3 3" xfId="2966"/>
    <cellStyle name="Comma 5 3 4" xfId="17395"/>
    <cellStyle name="Comma 5 4" xfId="983"/>
    <cellStyle name="Comma 5 4 2" xfId="984"/>
    <cellStyle name="Comma 5 4 2 2" xfId="17398"/>
    <cellStyle name="Comma 5 4 3" xfId="985"/>
    <cellStyle name="Comma 5 4 4" xfId="2967"/>
    <cellStyle name="Comma 5 5" xfId="986"/>
    <cellStyle name="Comma 5 5 2" xfId="2968"/>
    <cellStyle name="Comma 5 5 3" xfId="5170"/>
    <cellStyle name="Comma 5 6" xfId="3120"/>
    <cellStyle name="Comma 5 6 2" xfId="5171"/>
    <cellStyle name="Comma 5 7" xfId="2964"/>
    <cellStyle name="Comma 5 7 2" xfId="5172"/>
    <cellStyle name="Comma 5 7 3" xfId="17399"/>
    <cellStyle name="Comma 5 8" xfId="2426"/>
    <cellStyle name="Comma 5 8 2" xfId="4507"/>
    <cellStyle name="Comma 5 9" xfId="4508"/>
    <cellStyle name="Comma 5_Accounts 2010 after RAJ" xfId="2427"/>
    <cellStyle name="Comma 50" xfId="987"/>
    <cellStyle name="Comma 50 2" xfId="988"/>
    <cellStyle name="Comma 50 2 2" xfId="989"/>
    <cellStyle name="Comma 50 3" xfId="990"/>
    <cellStyle name="Comma 50 4" xfId="2619"/>
    <cellStyle name="Comma 51" xfId="991"/>
    <cellStyle name="Comma 51 2" xfId="992"/>
    <cellStyle name="Comma 51 3" xfId="2620"/>
    <cellStyle name="Comma 52" xfId="993"/>
    <cellStyle name="Comma 52 2" xfId="994"/>
    <cellStyle name="Comma 52 2 2" xfId="17402"/>
    <cellStyle name="Comma 52 2 3" xfId="17401"/>
    <cellStyle name="Comma 52 3" xfId="2989"/>
    <cellStyle name="Comma 52 3 2" xfId="17404"/>
    <cellStyle name="Comma 52 3 3" xfId="17403"/>
    <cellStyle name="Comma 52 4" xfId="3653"/>
    <cellStyle name="Comma 52 4 2" xfId="17405"/>
    <cellStyle name="Comma 52 5" xfId="17400"/>
    <cellStyle name="Comma 53" xfId="995"/>
    <cellStyle name="Comma 53 2" xfId="2621"/>
    <cellStyle name="Comma 54" xfId="996"/>
    <cellStyle name="Comma 54 2" xfId="997"/>
    <cellStyle name="Comma 54 3" xfId="2622"/>
    <cellStyle name="Comma 55" xfId="998"/>
    <cellStyle name="Comma 55 2" xfId="999"/>
    <cellStyle name="Comma 56" xfId="1000"/>
    <cellStyle name="Comma 56 2" xfId="3655"/>
    <cellStyle name="Comma 57" xfId="1001"/>
    <cellStyle name="Comma 57 2" xfId="2623"/>
    <cellStyle name="Comma 58" xfId="1002"/>
    <cellStyle name="Comma 58 2" xfId="2624"/>
    <cellStyle name="Comma 59" xfId="1003"/>
    <cellStyle name="Comma 59 2" xfId="3657"/>
    <cellStyle name="Comma 59 2 2" xfId="17407"/>
    <cellStyle name="Comma 59 3" xfId="17408"/>
    <cellStyle name="Comma 59 4" xfId="17409"/>
    <cellStyle name="Comma 59 5" xfId="17406"/>
    <cellStyle name="Comma 6" xfId="46"/>
    <cellStyle name="Comma 6 2" xfId="1005"/>
    <cellStyle name="Comma 6 2 2" xfId="1006"/>
    <cellStyle name="Comma 6 2 2 2" xfId="4510"/>
    <cellStyle name="Comma 6 2 3" xfId="1007"/>
    <cellStyle name="Comma 6 2 3 2" xfId="5173"/>
    <cellStyle name="Comma 6 2 3 3" xfId="17411"/>
    <cellStyle name="Comma 6 2 4" xfId="5174"/>
    <cellStyle name="Comma 6 2 4 2" xfId="17412"/>
    <cellStyle name="Comma 6 2 5" xfId="4509"/>
    <cellStyle name="Comma 6 2 6" xfId="17410"/>
    <cellStyle name="Comma 6 3" xfId="1008"/>
    <cellStyle name="Comma 6 3 2" xfId="1009"/>
    <cellStyle name="Comma 6 3 2 2" xfId="5176"/>
    <cellStyle name="Comma 6 3 3" xfId="5175"/>
    <cellStyle name="Comma 6 3 3 2" xfId="17414"/>
    <cellStyle name="Comma 6 3 4" xfId="17413"/>
    <cellStyle name="Comma 6 4" xfId="1010"/>
    <cellStyle name="Comma 6 4 2" xfId="2969"/>
    <cellStyle name="Comma 6 4 2 2" xfId="17416"/>
    <cellStyle name="Comma 6 4 2 3" xfId="17415"/>
    <cellStyle name="Comma 6 5" xfId="1011"/>
    <cellStyle name="Comma 6 5 2" xfId="2970"/>
    <cellStyle name="Comma 6 5 3" xfId="5177"/>
    <cellStyle name="Comma 6 5 3 2" xfId="17418"/>
    <cellStyle name="Comma 6 5 4" xfId="17417"/>
    <cellStyle name="Comma 6 6" xfId="3121"/>
    <cellStyle name="Comma 6 6 2" xfId="7820"/>
    <cellStyle name="Comma 6 6 2 2" xfId="17419"/>
    <cellStyle name="Comma 6 6 3" xfId="17420"/>
    <cellStyle name="Comma 6 7" xfId="1004"/>
    <cellStyle name="Comma 6 8" xfId="40404"/>
    <cellStyle name="Comma 6_Accounts 2010 after RAJ" xfId="2971"/>
    <cellStyle name="Comma 60" xfId="1012"/>
    <cellStyle name="Comma 60 2" xfId="3660"/>
    <cellStyle name="Comma 60 3" xfId="17421"/>
    <cellStyle name="Comma 61" xfId="1013"/>
    <cellStyle name="Comma 61 2" xfId="3486"/>
    <cellStyle name="Comma 61 3" xfId="17422"/>
    <cellStyle name="Comma 62" xfId="1014"/>
    <cellStyle name="Comma 62 2" xfId="3662"/>
    <cellStyle name="Comma 62 3" xfId="17423"/>
    <cellStyle name="Comma 63" xfId="1015"/>
    <cellStyle name="Comma 63 2" xfId="17424"/>
    <cellStyle name="Comma 64" xfId="1016"/>
    <cellStyle name="Comma 64 2" xfId="17425"/>
    <cellStyle name="Comma 65" xfId="1017"/>
    <cellStyle name="Comma 65 2" xfId="3279"/>
    <cellStyle name="Comma 65 2 2" xfId="17428"/>
    <cellStyle name="Comma 65 2 3" xfId="17427"/>
    <cellStyle name="Comma 65 3" xfId="17429"/>
    <cellStyle name="Comma 65 4" xfId="17426"/>
    <cellStyle name="Comma 66" xfId="1018"/>
    <cellStyle name="Comma 66 2" xfId="3663"/>
    <cellStyle name="Comma 66 3" xfId="17430"/>
    <cellStyle name="Comma 67" xfId="1019"/>
    <cellStyle name="Comma 67 2" xfId="3665"/>
    <cellStyle name="Comma 67 3" xfId="17431"/>
    <cellStyle name="Comma 68" xfId="1020"/>
    <cellStyle name="Comma 68 2" xfId="17432"/>
    <cellStyle name="Comma 69" xfId="1021"/>
    <cellStyle name="Comma 69 2" xfId="17433"/>
    <cellStyle name="Comma 7" xfId="66"/>
    <cellStyle name="Comma 7 10" xfId="5178"/>
    <cellStyle name="Comma 7 11" xfId="3487"/>
    <cellStyle name="Comma 7 12" xfId="3259"/>
    <cellStyle name="Comma 7 2" xfId="1023"/>
    <cellStyle name="Comma 7 2 2" xfId="1024"/>
    <cellStyle name="Comma 7 2 2 2" xfId="5180"/>
    <cellStyle name="Comma 7 2 2 2 2" xfId="17435"/>
    <cellStyle name="Comma 7 2 2 3" xfId="17434"/>
    <cellStyle name="Comma 7 2 3" xfId="1025"/>
    <cellStyle name="Comma 7 2 3 2" xfId="4511"/>
    <cellStyle name="Comma 7 2 4" xfId="3192"/>
    <cellStyle name="Comma 7 2 5" xfId="4512"/>
    <cellStyle name="Comma 7 2 6" xfId="4513"/>
    <cellStyle name="Comma 7 2 7" xfId="5179"/>
    <cellStyle name="Comma 7 3" xfId="1026"/>
    <cellStyle name="Comma 7 3 2" xfId="1027"/>
    <cellStyle name="Comma 7 3 2 2" xfId="17437"/>
    <cellStyle name="Comma 7 3 3" xfId="4514"/>
    <cellStyle name="Comma 7 3 3 2" xfId="17438"/>
    <cellStyle name="Comma 7 3 4" xfId="17436"/>
    <cellStyle name="Comma 7 4" xfId="1028"/>
    <cellStyle name="Comma 7 4 10" xfId="17440"/>
    <cellStyle name="Comma 7 4 11" xfId="17441"/>
    <cellStyle name="Comma 7 4 12" xfId="17439"/>
    <cellStyle name="Comma 7 4 2" xfId="2972"/>
    <cellStyle name="Comma 7 4 2 2" xfId="17443"/>
    <cellStyle name="Comma 7 4 2 2 2" xfId="17444"/>
    <cellStyle name="Comma 7 4 2 2 2 2" xfId="17445"/>
    <cellStyle name="Comma 7 4 2 2 2 2 2" xfId="17446"/>
    <cellStyle name="Comma 7 4 2 2 2 3" xfId="17447"/>
    <cellStyle name="Comma 7 4 2 2 3" xfId="17448"/>
    <cellStyle name="Comma 7 4 2 2 3 2" xfId="17449"/>
    <cellStyle name="Comma 7 4 2 2 4" xfId="17450"/>
    <cellStyle name="Comma 7 4 2 2 5" xfId="17451"/>
    <cellStyle name="Comma 7 4 2 3" xfId="17452"/>
    <cellStyle name="Comma 7 4 2 3 2" xfId="17453"/>
    <cellStyle name="Comma 7 4 2 3 2 2" xfId="17454"/>
    <cellStyle name="Comma 7 4 2 3 2 2 2" xfId="17455"/>
    <cellStyle name="Comma 7 4 2 3 2 3" xfId="17456"/>
    <cellStyle name="Comma 7 4 2 3 3" xfId="17457"/>
    <cellStyle name="Comma 7 4 2 3 3 2" xfId="17458"/>
    <cellStyle name="Comma 7 4 2 3 4" xfId="17459"/>
    <cellStyle name="Comma 7 4 2 4" xfId="17460"/>
    <cellStyle name="Comma 7 4 2 4 2" xfId="17461"/>
    <cellStyle name="Comma 7 4 2 4 2 2" xfId="17462"/>
    <cellStyle name="Comma 7 4 2 4 3" xfId="17463"/>
    <cellStyle name="Comma 7 4 2 5" xfId="17464"/>
    <cellStyle name="Comma 7 4 2 5 2" xfId="17465"/>
    <cellStyle name="Comma 7 4 2 5 2 2" xfId="17466"/>
    <cellStyle name="Comma 7 4 2 5 3" xfId="17467"/>
    <cellStyle name="Comma 7 4 2 6" xfId="17468"/>
    <cellStyle name="Comma 7 4 2 6 2" xfId="17469"/>
    <cellStyle name="Comma 7 4 2 7" xfId="17470"/>
    <cellStyle name="Comma 7 4 2 7 2" xfId="17471"/>
    <cellStyle name="Comma 7 4 2 8" xfId="17472"/>
    <cellStyle name="Comma 7 4 2 9" xfId="17442"/>
    <cellStyle name="Comma 7 4 3" xfId="4515"/>
    <cellStyle name="Comma 7 4 3 2" xfId="17474"/>
    <cellStyle name="Comma 7 4 3 2 2" xfId="17475"/>
    <cellStyle name="Comma 7 4 3 2 2 2" xfId="17476"/>
    <cellStyle name="Comma 7 4 3 2 2 2 2" xfId="17477"/>
    <cellStyle name="Comma 7 4 3 2 2 3" xfId="17478"/>
    <cellStyle name="Comma 7 4 3 2 3" xfId="17479"/>
    <cellStyle name="Comma 7 4 3 2 3 2" xfId="17480"/>
    <cellStyle name="Comma 7 4 3 2 4" xfId="17481"/>
    <cellStyle name="Comma 7 4 3 2 5" xfId="17482"/>
    <cellStyle name="Comma 7 4 3 3" xfId="17483"/>
    <cellStyle name="Comma 7 4 3 3 2" xfId="17484"/>
    <cellStyle name="Comma 7 4 3 3 2 2" xfId="17485"/>
    <cellStyle name="Comma 7 4 3 3 2 2 2" xfId="17486"/>
    <cellStyle name="Comma 7 4 3 3 2 3" xfId="17487"/>
    <cellStyle name="Comma 7 4 3 3 3" xfId="17488"/>
    <cellStyle name="Comma 7 4 3 3 3 2" xfId="17489"/>
    <cellStyle name="Comma 7 4 3 3 4" xfId="17490"/>
    <cellStyle name="Comma 7 4 3 4" xfId="17491"/>
    <cellStyle name="Comma 7 4 3 4 2" xfId="17492"/>
    <cellStyle name="Comma 7 4 3 4 2 2" xfId="17493"/>
    <cellStyle name="Comma 7 4 3 4 3" xfId="17494"/>
    <cellStyle name="Comma 7 4 3 5" xfId="17495"/>
    <cellStyle name="Comma 7 4 3 5 2" xfId="17496"/>
    <cellStyle name="Comma 7 4 3 5 2 2" xfId="17497"/>
    <cellStyle name="Comma 7 4 3 5 3" xfId="17498"/>
    <cellStyle name="Comma 7 4 3 6" xfId="17499"/>
    <cellStyle name="Comma 7 4 3 6 2" xfId="17500"/>
    <cellStyle name="Comma 7 4 3 7" xfId="17501"/>
    <cellStyle name="Comma 7 4 3 8" xfId="17502"/>
    <cellStyle name="Comma 7 4 3 9" xfId="17473"/>
    <cellStyle name="Comma 7 4 4" xfId="17503"/>
    <cellStyle name="Comma 7 4 4 2" xfId="17504"/>
    <cellStyle name="Comma 7 4 4 2 2" xfId="17505"/>
    <cellStyle name="Comma 7 4 4 2 2 2" xfId="17506"/>
    <cellStyle name="Comma 7 4 4 2 2 2 2" xfId="17507"/>
    <cellStyle name="Comma 7 4 4 2 2 3" xfId="17508"/>
    <cellStyle name="Comma 7 4 4 2 3" xfId="17509"/>
    <cellStyle name="Comma 7 4 4 2 3 2" xfId="17510"/>
    <cellStyle name="Comma 7 4 4 2 4" xfId="17511"/>
    <cellStyle name="Comma 7 4 4 2 5" xfId="17512"/>
    <cellStyle name="Comma 7 4 4 3" xfId="17513"/>
    <cellStyle name="Comma 7 4 4 3 2" xfId="17514"/>
    <cellStyle name="Comma 7 4 4 3 2 2" xfId="17515"/>
    <cellStyle name="Comma 7 4 4 3 2 2 2" xfId="17516"/>
    <cellStyle name="Comma 7 4 4 3 2 3" xfId="17517"/>
    <cellStyle name="Comma 7 4 4 3 3" xfId="17518"/>
    <cellStyle name="Comma 7 4 4 3 3 2" xfId="17519"/>
    <cellStyle name="Comma 7 4 4 3 4" xfId="17520"/>
    <cellStyle name="Comma 7 4 4 4" xfId="17521"/>
    <cellStyle name="Comma 7 4 4 4 2" xfId="17522"/>
    <cellStyle name="Comma 7 4 4 4 2 2" xfId="17523"/>
    <cellStyle name="Comma 7 4 4 4 3" xfId="17524"/>
    <cellStyle name="Comma 7 4 4 5" xfId="17525"/>
    <cellStyle name="Comma 7 4 4 5 2" xfId="17526"/>
    <cellStyle name="Comma 7 4 4 5 2 2" xfId="17527"/>
    <cellStyle name="Comma 7 4 4 5 3" xfId="17528"/>
    <cellStyle name="Comma 7 4 4 6" xfId="17529"/>
    <cellStyle name="Comma 7 4 4 6 2" xfId="17530"/>
    <cellStyle name="Comma 7 4 4 7" xfId="17531"/>
    <cellStyle name="Comma 7 4 4 8" xfId="17532"/>
    <cellStyle name="Comma 7 4 5" xfId="17533"/>
    <cellStyle name="Comma 7 4 5 2" xfId="17534"/>
    <cellStyle name="Comma 7 4 5 2 2" xfId="17535"/>
    <cellStyle name="Comma 7 4 5 2 2 2" xfId="17536"/>
    <cellStyle name="Comma 7 4 5 2 2 2 2" xfId="17537"/>
    <cellStyle name="Comma 7 4 5 2 2 3" xfId="17538"/>
    <cellStyle name="Comma 7 4 5 2 3" xfId="17539"/>
    <cellStyle name="Comma 7 4 5 2 3 2" xfId="17540"/>
    <cellStyle name="Comma 7 4 5 2 4" xfId="17541"/>
    <cellStyle name="Comma 7 4 5 3" xfId="17542"/>
    <cellStyle name="Comma 7 4 5 3 2" xfId="17543"/>
    <cellStyle name="Comma 7 4 5 3 2 2" xfId="17544"/>
    <cellStyle name="Comma 7 4 5 3 3" xfId="17545"/>
    <cellStyle name="Comma 7 4 5 4" xfId="17546"/>
    <cellStyle name="Comma 7 4 5 4 2" xfId="17547"/>
    <cellStyle name="Comma 7 4 5 4 2 2" xfId="17548"/>
    <cellStyle name="Comma 7 4 5 4 3" xfId="17549"/>
    <cellStyle name="Comma 7 4 5 5" xfId="17550"/>
    <cellStyle name="Comma 7 4 5 5 2" xfId="17551"/>
    <cellStyle name="Comma 7 4 5 6" xfId="17552"/>
    <cellStyle name="Comma 7 4 5 7" xfId="17553"/>
    <cellStyle name="Comma 7 4 6" xfId="17554"/>
    <cellStyle name="Comma 7 4 6 2" xfId="17555"/>
    <cellStyle name="Comma 7 4 6 2 2" xfId="17556"/>
    <cellStyle name="Comma 7 4 6 2 2 2" xfId="17557"/>
    <cellStyle name="Comma 7 4 6 2 3" xfId="17558"/>
    <cellStyle name="Comma 7 4 6 3" xfId="17559"/>
    <cellStyle name="Comma 7 4 6 3 2" xfId="17560"/>
    <cellStyle name="Comma 7 4 6 4" xfId="17561"/>
    <cellStyle name="Comma 7 4 6 5" xfId="17562"/>
    <cellStyle name="Comma 7 4 7" xfId="17563"/>
    <cellStyle name="Comma 7 4 7 2" xfId="17564"/>
    <cellStyle name="Comma 7 4 7 2 2" xfId="17565"/>
    <cellStyle name="Comma 7 4 7 3" xfId="17566"/>
    <cellStyle name="Comma 7 4 8" xfId="17567"/>
    <cellStyle name="Comma 7 4 8 2" xfId="17568"/>
    <cellStyle name="Comma 7 4 8 2 2" xfId="17569"/>
    <cellStyle name="Comma 7 4 8 3" xfId="17570"/>
    <cellStyle name="Comma 7 4 9" xfId="17571"/>
    <cellStyle name="Comma 7 4 9 2" xfId="17572"/>
    <cellStyle name="Comma 7 5" xfId="2973"/>
    <cellStyle name="Comma 7 5 2" xfId="4516"/>
    <cellStyle name="Comma 7 5 2 2" xfId="17573"/>
    <cellStyle name="Comma 7 6" xfId="3122"/>
    <cellStyle name="Comma 7 6 2" xfId="4517"/>
    <cellStyle name="Comma 7 6 2 2" xfId="17574"/>
    <cellStyle name="Comma 7 6 3" xfId="17575"/>
    <cellStyle name="Comma 7 7" xfId="1022"/>
    <cellStyle name="Comma 7 7 2" xfId="4518"/>
    <cellStyle name="Comma 7 8" xfId="4519"/>
    <cellStyle name="Comma 7 8 2" xfId="4520"/>
    <cellStyle name="Comma 7 8 3" xfId="4521"/>
    <cellStyle name="Comma 7 9" xfId="3613"/>
    <cellStyle name="Comma 7_Accounts 2010 after RAJ" xfId="2974"/>
    <cellStyle name="Comma 70" xfId="1029"/>
    <cellStyle name="Comma 70 2" xfId="17576"/>
    <cellStyle name="Comma 71" xfId="1030"/>
    <cellStyle name="Comma 71 2" xfId="17577"/>
    <cellStyle name="Comma 72" xfId="1031"/>
    <cellStyle name="Comma 72 2" xfId="17578"/>
    <cellStyle name="Comma 73" xfId="1032"/>
    <cellStyle name="Comma 73 2" xfId="17579"/>
    <cellStyle name="Comma 74" xfId="2412"/>
    <cellStyle name="Comma 74 2" xfId="3286"/>
    <cellStyle name="Comma 74 3" xfId="17580"/>
    <cellStyle name="Comma 75" xfId="514"/>
    <cellStyle name="Comma 75 2" xfId="3669"/>
    <cellStyle name="Comma 75 3" xfId="17581"/>
    <cellStyle name="Comma 76" xfId="3488"/>
    <cellStyle name="Comma 76 2" xfId="3671"/>
    <cellStyle name="Comma 76 3" xfId="17582"/>
    <cellStyle name="Comma 77" xfId="4578"/>
    <cellStyle name="Comma 77 2" xfId="5013"/>
    <cellStyle name="Comma 77 3" xfId="17583"/>
    <cellStyle name="Comma 78" xfId="3674"/>
    <cellStyle name="Comma 78 2" xfId="17584"/>
    <cellStyle name="Comma 79" xfId="3287"/>
    <cellStyle name="Comma 79 2" xfId="17586"/>
    <cellStyle name="Comma 79 2 2" xfId="17587"/>
    <cellStyle name="Comma 79 3" xfId="17588"/>
    <cellStyle name="Comma 79 4" xfId="17585"/>
    <cellStyle name="Comma 8" xfId="72"/>
    <cellStyle name="Comma 8 10" xfId="3123"/>
    <cellStyle name="Comma 8 11" xfId="2975"/>
    <cellStyle name="Comma 8 12" xfId="2428"/>
    <cellStyle name="Comma 8 13" xfId="1033"/>
    <cellStyle name="Comma 8 2" xfId="70"/>
    <cellStyle name="Comma 8 2 2" xfId="1035"/>
    <cellStyle name="Comma 8 2 2 2" xfId="5181"/>
    <cellStyle name="Comma 8 2 2 3" xfId="17589"/>
    <cellStyle name="Comma 8 2 3" xfId="2976"/>
    <cellStyle name="Comma 8 2 4" xfId="1034"/>
    <cellStyle name="Comma 8 2_Accounts 2010 after RAJ" xfId="17590"/>
    <cellStyle name="Comma 8 3" xfId="1036"/>
    <cellStyle name="Comma 8 3 2" xfId="1037"/>
    <cellStyle name="Comma 8 3 2 2" xfId="5182"/>
    <cellStyle name="Comma 8 3 2 2 2" xfId="17591"/>
    <cellStyle name="Comma 8 3 3" xfId="1038"/>
    <cellStyle name="Comma 8 3 4" xfId="1039"/>
    <cellStyle name="Comma 8 3 5" xfId="2977"/>
    <cellStyle name="Comma 8 4" xfId="1040"/>
    <cellStyle name="Comma 8 4 2" xfId="2978"/>
    <cellStyle name="Comma 8 4 3" xfId="5183"/>
    <cellStyle name="Comma 8 5" xfId="1041"/>
    <cellStyle name="Comma 8 5 2" xfId="5184"/>
    <cellStyle name="Comma 8 6" xfId="1042"/>
    <cellStyle name="Comma 8 6 2" xfId="5185"/>
    <cellStyle name="Comma 8 7" xfId="3124"/>
    <cellStyle name="Comma 8 7 2" xfId="4522"/>
    <cellStyle name="Comma 8 8" xfId="3125"/>
    <cellStyle name="Comma 8 9" xfId="3126"/>
    <cellStyle name="Comma 8_Accounts 2010 after RAJ" xfId="2979"/>
    <cellStyle name="Comma 80" xfId="3289"/>
    <cellStyle name="Comma 80 2" xfId="17593"/>
    <cellStyle name="Comma 80 2 2" xfId="17594"/>
    <cellStyle name="Comma 80 3" xfId="17595"/>
    <cellStyle name="Comma 80 4" xfId="17592"/>
    <cellStyle name="Comma 81" xfId="3647"/>
    <cellStyle name="Comma 81 2" xfId="8517"/>
    <cellStyle name="Comma 81 3" xfId="17596"/>
    <cellStyle name="Comma 82" xfId="3648"/>
    <cellStyle name="Comma 82 2" xfId="17598"/>
    <cellStyle name="Comma 82 3" xfId="17597"/>
    <cellStyle name="Comma 83" xfId="3274"/>
    <cellStyle name="Comma 83 2" xfId="17599"/>
    <cellStyle name="Comma 84" xfId="3650"/>
    <cellStyle name="Comma 84 2" xfId="17600"/>
    <cellStyle name="Comma 85" xfId="3651"/>
    <cellStyle name="Comma 85 2" xfId="17601"/>
    <cellStyle name="Comma 86" xfId="3652"/>
    <cellStyle name="Comma 86 2" xfId="40380"/>
    <cellStyle name="Comma 87" xfId="1043"/>
    <cellStyle name="Comma 87 2" xfId="1044"/>
    <cellStyle name="Comma 87 3" xfId="3654"/>
    <cellStyle name="Comma 87 4" xfId="40381"/>
    <cellStyle name="Comma 88" xfId="3656"/>
    <cellStyle name="Comma 88 2" xfId="40384"/>
    <cellStyle name="Comma 89" xfId="4523"/>
    <cellStyle name="Comma 9" xfId="57"/>
    <cellStyle name="Comma 9 10" xfId="4524"/>
    <cellStyle name="Comma 9 10 2" xfId="17603"/>
    <cellStyle name="Comma 9 11" xfId="8501"/>
    <cellStyle name="Comma 9 12" xfId="17602"/>
    <cellStyle name="Comma 9 2" xfId="78"/>
    <cellStyle name="Comma 9 2 2" xfId="1047"/>
    <cellStyle name="Comma 9 2 2 2" xfId="4525"/>
    <cellStyle name="Comma 9 2 2 2 2" xfId="17606"/>
    <cellStyle name="Comma 9 2 2 2 3" xfId="17605"/>
    <cellStyle name="Comma 9 2 2 3" xfId="17607"/>
    <cellStyle name="Comma 9 2 2 3 2" xfId="17608"/>
    <cellStyle name="Comma 9 2 2 4" xfId="17604"/>
    <cellStyle name="Comma 9 2 3" xfId="1048"/>
    <cellStyle name="Comma 9 2 3 2" xfId="17610"/>
    <cellStyle name="Comma 9 2 3 3" xfId="17609"/>
    <cellStyle name="Comma 9 2 4" xfId="1049"/>
    <cellStyle name="Comma 9 2 4 2" xfId="17612"/>
    <cellStyle name="Comma 9 2 4 3" xfId="17611"/>
    <cellStyle name="Comma 9 2 5" xfId="1046"/>
    <cellStyle name="Comma 9 2 5 2" xfId="17613"/>
    <cellStyle name="Comma 9 3" xfId="86"/>
    <cellStyle name="Comma 9 3 2" xfId="1051"/>
    <cellStyle name="Comma 9 3 3" xfId="1050"/>
    <cellStyle name="Comma 9 3 3 2" xfId="17616"/>
    <cellStyle name="Comma 9 3 3 3" xfId="17617"/>
    <cellStyle name="Comma 9 3 3 4" xfId="17618"/>
    <cellStyle name="Comma 9 3 3 5" xfId="17615"/>
    <cellStyle name="Comma 9 3 4" xfId="17619"/>
    <cellStyle name="Comma 9 3 5" xfId="17614"/>
    <cellStyle name="Comma 9 4" xfId="111"/>
    <cellStyle name="Comma 9 4 10" xfId="17621"/>
    <cellStyle name="Comma 9 4 11" xfId="17620"/>
    <cellStyle name="Comma 9 4 2" xfId="1052"/>
    <cellStyle name="Comma 9 4 2 2" xfId="17623"/>
    <cellStyle name="Comma 9 4 2 2 2" xfId="17624"/>
    <cellStyle name="Comma 9 4 2 2 2 2" xfId="17625"/>
    <cellStyle name="Comma 9 4 2 2 2 2 2" xfId="17626"/>
    <cellStyle name="Comma 9 4 2 2 2 3" xfId="17627"/>
    <cellStyle name="Comma 9 4 2 2 3" xfId="17628"/>
    <cellStyle name="Comma 9 4 2 2 3 2" xfId="17629"/>
    <cellStyle name="Comma 9 4 2 2 4" xfId="17630"/>
    <cellStyle name="Comma 9 4 2 2 5" xfId="17631"/>
    <cellStyle name="Comma 9 4 2 3" xfId="17632"/>
    <cellStyle name="Comma 9 4 2 3 2" xfId="17633"/>
    <cellStyle name="Comma 9 4 2 3 2 2" xfId="17634"/>
    <cellStyle name="Comma 9 4 2 3 2 2 2" xfId="17635"/>
    <cellStyle name="Comma 9 4 2 3 2 3" xfId="17636"/>
    <cellStyle name="Comma 9 4 2 3 3" xfId="17637"/>
    <cellStyle name="Comma 9 4 2 3 3 2" xfId="17638"/>
    <cellStyle name="Comma 9 4 2 3 4" xfId="17639"/>
    <cellStyle name="Comma 9 4 2 4" xfId="17640"/>
    <cellStyle name="Comma 9 4 2 4 2" xfId="17641"/>
    <cellStyle name="Comma 9 4 2 4 2 2" xfId="17642"/>
    <cellStyle name="Comma 9 4 2 4 3" xfId="17643"/>
    <cellStyle name="Comma 9 4 2 5" xfId="17644"/>
    <cellStyle name="Comma 9 4 2 5 2" xfId="17645"/>
    <cellStyle name="Comma 9 4 2 5 2 2" xfId="17646"/>
    <cellStyle name="Comma 9 4 2 5 3" xfId="17647"/>
    <cellStyle name="Comma 9 4 2 6" xfId="17648"/>
    <cellStyle name="Comma 9 4 2 6 2" xfId="17649"/>
    <cellStyle name="Comma 9 4 2 7" xfId="17650"/>
    <cellStyle name="Comma 9 4 2 8" xfId="17651"/>
    <cellStyle name="Comma 9 4 2 9" xfId="17622"/>
    <cellStyle name="Comma 9 4 3" xfId="4526"/>
    <cellStyle name="Comma 9 4 3 2" xfId="17653"/>
    <cellStyle name="Comma 9 4 3 2 2" xfId="17654"/>
    <cellStyle name="Comma 9 4 3 2 2 2" xfId="17655"/>
    <cellStyle name="Comma 9 4 3 2 2 2 2" xfId="17656"/>
    <cellStyle name="Comma 9 4 3 2 2 3" xfId="17657"/>
    <cellStyle name="Comma 9 4 3 2 3" xfId="17658"/>
    <cellStyle name="Comma 9 4 3 2 3 2" xfId="17659"/>
    <cellStyle name="Comma 9 4 3 2 4" xfId="17660"/>
    <cellStyle name="Comma 9 4 3 2 5" xfId="17661"/>
    <cellStyle name="Comma 9 4 3 3" xfId="17662"/>
    <cellStyle name="Comma 9 4 3 3 2" xfId="17663"/>
    <cellStyle name="Comma 9 4 3 3 2 2" xfId="17664"/>
    <cellStyle name="Comma 9 4 3 3 2 2 2" xfId="17665"/>
    <cellStyle name="Comma 9 4 3 3 2 3" xfId="17666"/>
    <cellStyle name="Comma 9 4 3 3 3" xfId="17667"/>
    <cellStyle name="Comma 9 4 3 3 3 2" xfId="17668"/>
    <cellStyle name="Comma 9 4 3 3 4" xfId="17669"/>
    <cellStyle name="Comma 9 4 3 4" xfId="17670"/>
    <cellStyle name="Comma 9 4 3 4 2" xfId="17671"/>
    <cellStyle name="Comma 9 4 3 4 2 2" xfId="17672"/>
    <cellStyle name="Comma 9 4 3 4 3" xfId="17673"/>
    <cellStyle name="Comma 9 4 3 5" xfId="17674"/>
    <cellStyle name="Comma 9 4 3 5 2" xfId="17675"/>
    <cellStyle name="Comma 9 4 3 5 2 2" xfId="17676"/>
    <cellStyle name="Comma 9 4 3 5 3" xfId="17677"/>
    <cellStyle name="Comma 9 4 3 6" xfId="17678"/>
    <cellStyle name="Comma 9 4 3 6 2" xfId="17679"/>
    <cellStyle name="Comma 9 4 3 7" xfId="17680"/>
    <cellStyle name="Comma 9 4 3 8" xfId="17681"/>
    <cellStyle name="Comma 9 4 3 9" xfId="17652"/>
    <cellStyle name="Comma 9 4 4" xfId="17682"/>
    <cellStyle name="Comma 9 4 4 2" xfId="17683"/>
    <cellStyle name="Comma 9 4 4 2 2" xfId="17684"/>
    <cellStyle name="Comma 9 4 4 2 2 2" xfId="17685"/>
    <cellStyle name="Comma 9 4 4 2 2 2 2" xfId="17686"/>
    <cellStyle name="Comma 9 4 4 2 2 3" xfId="17687"/>
    <cellStyle name="Comma 9 4 4 2 3" xfId="17688"/>
    <cellStyle name="Comma 9 4 4 2 3 2" xfId="17689"/>
    <cellStyle name="Comma 9 4 4 2 4" xfId="17690"/>
    <cellStyle name="Comma 9 4 4 3" xfId="17691"/>
    <cellStyle name="Comma 9 4 4 3 2" xfId="17692"/>
    <cellStyle name="Comma 9 4 4 3 2 2" xfId="17693"/>
    <cellStyle name="Comma 9 4 4 3 3" xfId="17694"/>
    <cellStyle name="Comma 9 4 4 4" xfId="17695"/>
    <cellStyle name="Comma 9 4 4 4 2" xfId="17696"/>
    <cellStyle name="Comma 9 4 4 4 2 2" xfId="17697"/>
    <cellStyle name="Comma 9 4 4 4 3" xfId="17698"/>
    <cellStyle name="Comma 9 4 4 5" xfId="17699"/>
    <cellStyle name="Comma 9 4 4 5 2" xfId="17700"/>
    <cellStyle name="Comma 9 4 4 6" xfId="17701"/>
    <cellStyle name="Comma 9 4 4 7" xfId="17702"/>
    <cellStyle name="Comma 9 4 5" xfId="17703"/>
    <cellStyle name="Comma 9 4 5 2" xfId="17704"/>
    <cellStyle name="Comma 9 4 5 2 2" xfId="17705"/>
    <cellStyle name="Comma 9 4 5 2 2 2" xfId="17706"/>
    <cellStyle name="Comma 9 4 5 2 3" xfId="17707"/>
    <cellStyle name="Comma 9 4 5 3" xfId="17708"/>
    <cellStyle name="Comma 9 4 5 3 2" xfId="17709"/>
    <cellStyle name="Comma 9 4 5 4" xfId="17710"/>
    <cellStyle name="Comma 9 4 5 5" xfId="17711"/>
    <cellStyle name="Comma 9 4 6" xfId="17712"/>
    <cellStyle name="Comma 9 4 6 2" xfId="17713"/>
    <cellStyle name="Comma 9 4 6 2 2" xfId="17714"/>
    <cellStyle name="Comma 9 4 6 3" xfId="17715"/>
    <cellStyle name="Comma 9 4 7" xfId="17716"/>
    <cellStyle name="Comma 9 4 7 2" xfId="17717"/>
    <cellStyle name="Comma 9 4 7 2 2" xfId="17718"/>
    <cellStyle name="Comma 9 4 7 3" xfId="17719"/>
    <cellStyle name="Comma 9 4 8" xfId="17720"/>
    <cellStyle name="Comma 9 4 8 2" xfId="17721"/>
    <cellStyle name="Comma 9 4 9" xfId="17722"/>
    <cellStyle name="Comma 9 4 9 2" xfId="17723"/>
    <cellStyle name="Comma 9 5" xfId="1053"/>
    <cellStyle name="Comma 9 5 2" xfId="4527"/>
    <cellStyle name="Comma 9 5 2 2" xfId="17726"/>
    <cellStyle name="Comma 9 5 2 2 2" xfId="17727"/>
    <cellStyle name="Comma 9 5 2 2 2 2" xfId="17728"/>
    <cellStyle name="Comma 9 5 2 2 3" xfId="17729"/>
    <cellStyle name="Comma 9 5 2 3" xfId="17730"/>
    <cellStyle name="Comma 9 5 2 3 2" xfId="17731"/>
    <cellStyle name="Comma 9 5 2 4" xfId="17732"/>
    <cellStyle name="Comma 9 5 2 5" xfId="17733"/>
    <cellStyle name="Comma 9 5 2 6" xfId="17725"/>
    <cellStyle name="Comma 9 5 3" xfId="17734"/>
    <cellStyle name="Comma 9 5 3 2" xfId="17735"/>
    <cellStyle name="Comma 9 5 3 2 2" xfId="17736"/>
    <cellStyle name="Comma 9 5 3 2 2 2" xfId="17737"/>
    <cellStyle name="Comma 9 5 3 2 3" xfId="17738"/>
    <cellStyle name="Comma 9 5 3 3" xfId="17739"/>
    <cellStyle name="Comma 9 5 3 3 2" xfId="17740"/>
    <cellStyle name="Comma 9 5 3 4" xfId="17741"/>
    <cellStyle name="Comma 9 5 4" xfId="17742"/>
    <cellStyle name="Comma 9 5 4 2" xfId="17743"/>
    <cellStyle name="Comma 9 5 4 2 2" xfId="17744"/>
    <cellStyle name="Comma 9 5 4 3" xfId="17745"/>
    <cellStyle name="Comma 9 5 5" xfId="17746"/>
    <cellStyle name="Comma 9 5 5 2" xfId="17747"/>
    <cellStyle name="Comma 9 5 5 2 2" xfId="17748"/>
    <cellStyle name="Comma 9 5 5 3" xfId="17749"/>
    <cellStyle name="Comma 9 5 6" xfId="17750"/>
    <cellStyle name="Comma 9 5 6 2" xfId="17751"/>
    <cellStyle name="Comma 9 5 7" xfId="17752"/>
    <cellStyle name="Comma 9 5 7 2" xfId="17753"/>
    <cellStyle name="Comma 9 5 8" xfId="17754"/>
    <cellStyle name="Comma 9 5 9" xfId="17724"/>
    <cellStyle name="Comma 9 6" xfId="1054"/>
    <cellStyle name="Comma 9 6 2" xfId="4529"/>
    <cellStyle name="Comma 9 6 2 2" xfId="4530"/>
    <cellStyle name="Comma 9 6 2 2 2" xfId="4531"/>
    <cellStyle name="Comma 9 6 2 2 2 2" xfId="17759"/>
    <cellStyle name="Comma 9 6 2 2 2 3" xfId="17758"/>
    <cellStyle name="Comma 9 6 2 2 3" xfId="17760"/>
    <cellStyle name="Comma 9 6 2 2 4" xfId="17757"/>
    <cellStyle name="Comma 9 6 2 3" xfId="4532"/>
    <cellStyle name="Comma 9 6 2 3 2" xfId="17762"/>
    <cellStyle name="Comma 9 6 2 3 3" xfId="17761"/>
    <cellStyle name="Comma 9 6 2 4" xfId="4533"/>
    <cellStyle name="Comma 9 6 2 4 2" xfId="17763"/>
    <cellStyle name="Comma 9 6 2 5" xfId="17764"/>
    <cellStyle name="Comma 9 6 2 6" xfId="17756"/>
    <cellStyle name="Comma 9 6 3" xfId="5186"/>
    <cellStyle name="Comma 9 6 3 2" xfId="4534"/>
    <cellStyle name="Comma 9 6 3 2 2" xfId="17767"/>
    <cellStyle name="Comma 9 6 3 2 2 2" xfId="17768"/>
    <cellStyle name="Comma 9 6 3 2 3" xfId="17769"/>
    <cellStyle name="Comma 9 6 3 2 4" xfId="17766"/>
    <cellStyle name="Comma 9 6 3 3" xfId="17770"/>
    <cellStyle name="Comma 9 6 3 3 2" xfId="17771"/>
    <cellStyle name="Comma 9 6 3 4" xfId="17772"/>
    <cellStyle name="Comma 9 6 3 5" xfId="17765"/>
    <cellStyle name="Comma 9 6 4" xfId="4535"/>
    <cellStyle name="Comma 9 6 4 2" xfId="17774"/>
    <cellStyle name="Comma 9 6 4 2 2" xfId="17775"/>
    <cellStyle name="Comma 9 6 4 3" xfId="17776"/>
    <cellStyle name="Comma 9 6 4 4" xfId="17773"/>
    <cellStyle name="Comma 9 6 5" xfId="4536"/>
    <cellStyle name="Comma 9 6 5 2" xfId="17778"/>
    <cellStyle name="Comma 9 6 5 2 2" xfId="17779"/>
    <cellStyle name="Comma 9 6 5 3" xfId="17780"/>
    <cellStyle name="Comma 9 6 5 4" xfId="17777"/>
    <cellStyle name="Comma 9 6 6" xfId="4528"/>
    <cellStyle name="Comma 9 6 6 2" xfId="17782"/>
    <cellStyle name="Comma 9 6 6 3" xfId="17781"/>
    <cellStyle name="Comma 9 6 7" xfId="17783"/>
    <cellStyle name="Comma 9 6 8" xfId="17784"/>
    <cellStyle name="Comma 9 6 9" xfId="17755"/>
    <cellStyle name="Comma 9 7" xfId="1045"/>
    <cellStyle name="Comma 9 7 2" xfId="5187"/>
    <cellStyle name="Comma 9 7 2 2" xfId="17787"/>
    <cellStyle name="Comma 9 7 2 2 2" xfId="17788"/>
    <cellStyle name="Comma 9 7 2 2 2 2" xfId="17789"/>
    <cellStyle name="Comma 9 7 2 2 3" xfId="17790"/>
    <cellStyle name="Comma 9 7 2 3" xfId="17791"/>
    <cellStyle name="Comma 9 7 2 3 2" xfId="17792"/>
    <cellStyle name="Comma 9 7 2 4" xfId="17793"/>
    <cellStyle name="Comma 9 7 2 5" xfId="17786"/>
    <cellStyle name="Comma 9 7 3" xfId="17794"/>
    <cellStyle name="Comma 9 7 3 2" xfId="17795"/>
    <cellStyle name="Comma 9 7 3 2 2" xfId="17796"/>
    <cellStyle name="Comma 9 7 3 3" xfId="17797"/>
    <cellStyle name="Comma 9 7 4" xfId="17798"/>
    <cellStyle name="Comma 9 7 5" xfId="17785"/>
    <cellStyle name="Comma 9 8" xfId="4537"/>
    <cellStyle name="Comma 9 8 2" xfId="17800"/>
    <cellStyle name="Comma 9 8 3" xfId="17801"/>
    <cellStyle name="Comma 9 8 4" xfId="17802"/>
    <cellStyle name="Comma 9 8 5" xfId="17799"/>
    <cellStyle name="Comma 9 9" xfId="4538"/>
    <cellStyle name="Comma 9 9 2" xfId="17803"/>
    <cellStyle name="Comma 9_I - Sukuks" xfId="17804"/>
    <cellStyle name="Comma 90" xfId="3658"/>
    <cellStyle name="Comma 91" xfId="3659"/>
    <cellStyle name="Comma 92" xfId="3661"/>
    <cellStyle name="Comma 93" xfId="5188"/>
    <cellStyle name="Comma 94" xfId="3275"/>
    <cellStyle name="Comma 95" xfId="3276"/>
    <cellStyle name="Comma 96" xfId="3277"/>
    <cellStyle name="Comma 97" xfId="3278"/>
    <cellStyle name="Comma 98" xfId="3280"/>
    <cellStyle name="Comma 99" xfId="3664"/>
    <cellStyle name="Comma_Accouns - UMF (in thousand)-final" xfId="40424"/>
    <cellStyle name="Comma_Accounts value fund" xfId="40391"/>
    <cellStyle name="Comma_September 2011" xfId="40395"/>
    <cellStyle name="Comma0" xfId="1056"/>
    <cellStyle name="Comma0 2" xfId="1057"/>
    <cellStyle name="Comma0 2 2" xfId="1058"/>
    <cellStyle name="Comma0 2 3" xfId="2980"/>
    <cellStyle name="Comma0 3" xfId="1059"/>
    <cellStyle name="Comma0 3 2" xfId="1060"/>
    <cellStyle name="Comma0 3 2 2" xfId="17805"/>
    <cellStyle name="Comma0 3 3" xfId="17806"/>
    <cellStyle name="Comma0 4" xfId="1061"/>
    <cellStyle name="Comma0 5" xfId="1062"/>
    <cellStyle name="CompanyName" xfId="1063"/>
    <cellStyle name="CompanyName 2" xfId="1064"/>
    <cellStyle name="CompanyName_Final Accounts reintial- 2009" xfId="5189"/>
    <cellStyle name="Component" xfId="1065"/>
    <cellStyle name="Component 2" xfId="1066"/>
    <cellStyle name="Copied" xfId="1067"/>
    <cellStyle name="Copied 2" xfId="1068"/>
    <cellStyle name="Currency [00]" xfId="2625"/>
    <cellStyle name="Currency [00] 2" xfId="17807"/>
    <cellStyle name="Currency 2" xfId="1069"/>
    <cellStyle name="Currency 2 10" xfId="17808"/>
    <cellStyle name="Currency 2 2" xfId="1070"/>
    <cellStyle name="Currency 2 2 2" xfId="1071"/>
    <cellStyle name="Currency 2 2 2 2" xfId="17809"/>
    <cellStyle name="Currency 2 2 3" xfId="1072"/>
    <cellStyle name="Currency 2 2 3 2" xfId="17810"/>
    <cellStyle name="Currency 2 2 4" xfId="4539"/>
    <cellStyle name="Currency 2 3" xfId="1073"/>
    <cellStyle name="Currency 2 3 2" xfId="1074"/>
    <cellStyle name="Currency 2 3 3" xfId="4540"/>
    <cellStyle name="Currency 2 4" xfId="1075"/>
    <cellStyle name="Currency 2 5" xfId="1076"/>
    <cellStyle name="Currency 2 6" xfId="1077"/>
    <cellStyle name="Currency 2 6 2" xfId="5191"/>
    <cellStyle name="Currency 2 6 2 2" xfId="17811"/>
    <cellStyle name="Currency 2 6 3" xfId="17812"/>
    <cellStyle name="Currency 2 7" xfId="1078"/>
    <cellStyle name="Currency 2 7 2" xfId="5192"/>
    <cellStyle name="Currency 2 8" xfId="5193"/>
    <cellStyle name="Currency 2 9" xfId="5190"/>
    <cellStyle name="Currency 3" xfId="1079"/>
    <cellStyle name="Currency 3 2" xfId="1080"/>
    <cellStyle name="Currency 3 2 2" xfId="2981"/>
    <cellStyle name="Currency 3 3" xfId="2626"/>
    <cellStyle name="Currency 3 3 2" xfId="5195"/>
    <cellStyle name="Currency 3 4" xfId="5194"/>
    <cellStyle name="Currency 4" xfId="1081"/>
    <cellStyle name="Currency 4 2" xfId="17813"/>
    <cellStyle name="Currency 5" xfId="1082"/>
    <cellStyle name="Currency 6" xfId="1083"/>
    <cellStyle name="Currency0" xfId="1084"/>
    <cellStyle name="Currency0 2" xfId="1085"/>
    <cellStyle name="Currency0 2 2" xfId="1086"/>
    <cellStyle name="Currency0 2 3" xfId="2982"/>
    <cellStyle name="Currency0 3" xfId="1087"/>
    <cellStyle name="Currency0 3 2" xfId="1088"/>
    <cellStyle name="Currency0 3 2 2" xfId="17814"/>
    <cellStyle name="Currency0 3 3" xfId="17815"/>
    <cellStyle name="Currency0 4" xfId="1089"/>
    <cellStyle name="Currency0 5" xfId="1090"/>
    <cellStyle name="Custom - Style1" xfId="2627"/>
    <cellStyle name="Custom - Style8" xfId="1091"/>
    <cellStyle name="Dash" xfId="1092"/>
    <cellStyle name="Dash 2" xfId="1093"/>
    <cellStyle name="Dash 2 2" xfId="1094"/>
    <cellStyle name="Dash 2 2 2" xfId="17816"/>
    <cellStyle name="Dash 2 3" xfId="17817"/>
    <cellStyle name="Dash 2 4" xfId="17818"/>
    <cellStyle name="Dash 3" xfId="1095"/>
    <cellStyle name="Dash 3 2" xfId="2983"/>
    <cellStyle name="Dash 4" xfId="1096"/>
    <cellStyle name="Dash 4 2" xfId="17819"/>
    <cellStyle name="Dash_CDC RECON AND MARK TO MARKET" xfId="2628"/>
    <cellStyle name="Data   - Style2" xfId="1097"/>
    <cellStyle name="Data   - Style2 10" xfId="17820"/>
    <cellStyle name="Data   - Style2 2" xfId="1098"/>
    <cellStyle name="Data   - Style2 2 10" xfId="17821"/>
    <cellStyle name="Data   - Style2 2 2" xfId="1099"/>
    <cellStyle name="Data   - Style2 2 2 2" xfId="7981"/>
    <cellStyle name="Data   - Style2 2 2 2 2" xfId="17822"/>
    <cellStyle name="Data   - Style2 2 2 2 2 2" xfId="17823"/>
    <cellStyle name="Data   - Style2 2 2 2 2 3" xfId="17824"/>
    <cellStyle name="Data   - Style2 2 2 2 3" xfId="17825"/>
    <cellStyle name="Data   - Style2 2 2 2 4" xfId="17826"/>
    <cellStyle name="Data   - Style2 2 2 3" xfId="17827"/>
    <cellStyle name="Data   - Style2 2 2 3 2" xfId="17828"/>
    <cellStyle name="Data   - Style2 2 2 3 2 2" xfId="17829"/>
    <cellStyle name="Data   - Style2 2 2 3 2 3" xfId="17830"/>
    <cellStyle name="Data   - Style2 2 2 3 3" xfId="17831"/>
    <cellStyle name="Data   - Style2 2 2 3 4" xfId="17832"/>
    <cellStyle name="Data   - Style2 2 2 4" xfId="17833"/>
    <cellStyle name="Data   - Style2 2 2 4 2" xfId="17834"/>
    <cellStyle name="Data   - Style2 2 2 4 2 2" xfId="17835"/>
    <cellStyle name="Data   - Style2 2 2 4 2 3" xfId="17836"/>
    <cellStyle name="Data   - Style2 2 2 4 3" xfId="17837"/>
    <cellStyle name="Data   - Style2 2 2 4 4" xfId="17838"/>
    <cellStyle name="Data   - Style2 2 2 5" xfId="17839"/>
    <cellStyle name="Data   - Style2 2 2 5 2" xfId="17840"/>
    <cellStyle name="Data   - Style2 2 2 5 3" xfId="17841"/>
    <cellStyle name="Data   - Style2 2 2 6" xfId="17842"/>
    <cellStyle name="Data   - Style2 2 2 6 2" xfId="17843"/>
    <cellStyle name="Data   - Style2 2 2 7" xfId="17844"/>
    <cellStyle name="Data   - Style2 2 2 7 2" xfId="17845"/>
    <cellStyle name="Data   - Style2 2 2 8" xfId="17846"/>
    <cellStyle name="Data   - Style2 2 2 9" xfId="17847"/>
    <cellStyle name="Data   - Style2 2 3" xfId="7980"/>
    <cellStyle name="Data   - Style2 2 3 2" xfId="17848"/>
    <cellStyle name="Data   - Style2 2 3 2 2" xfId="17849"/>
    <cellStyle name="Data   - Style2 2 3 2 2 2" xfId="17850"/>
    <cellStyle name="Data   - Style2 2 3 2 2 3" xfId="17851"/>
    <cellStyle name="Data   - Style2 2 3 2 3" xfId="17852"/>
    <cellStyle name="Data   - Style2 2 3 2 4" xfId="17853"/>
    <cellStyle name="Data   - Style2 2 3 3" xfId="17854"/>
    <cellStyle name="Data   - Style2 2 3 3 2" xfId="17855"/>
    <cellStyle name="Data   - Style2 2 3 3 2 2" xfId="17856"/>
    <cellStyle name="Data   - Style2 2 3 3 2 3" xfId="17857"/>
    <cellStyle name="Data   - Style2 2 3 3 3" xfId="17858"/>
    <cellStyle name="Data   - Style2 2 3 3 4" xfId="17859"/>
    <cellStyle name="Data   - Style2 2 3 4" xfId="17860"/>
    <cellStyle name="Data   - Style2 2 3 4 2" xfId="17861"/>
    <cellStyle name="Data   - Style2 2 3 4 3" xfId="17862"/>
    <cellStyle name="Data   - Style2 2 3 4 4" xfId="17863"/>
    <cellStyle name="Data   - Style2 2 3 5" xfId="17864"/>
    <cellStyle name="Data   - Style2 2 3 5 2" xfId="17865"/>
    <cellStyle name="Data   - Style2 2 3 5 3" xfId="17866"/>
    <cellStyle name="Data   - Style2 2 3 6" xfId="17867"/>
    <cellStyle name="Data   - Style2 2 3 7" xfId="17868"/>
    <cellStyle name="Data   - Style2 2 4" xfId="17869"/>
    <cellStyle name="Data   - Style2 2 4 2" xfId="17870"/>
    <cellStyle name="Data   - Style2 2 4 2 2" xfId="17871"/>
    <cellStyle name="Data   - Style2 2 4 2 3" xfId="17872"/>
    <cellStyle name="Data   - Style2 2 4 2 4" xfId="17873"/>
    <cellStyle name="Data   - Style2 2 4 3" xfId="17874"/>
    <cellStyle name="Data   - Style2 2 4 3 2" xfId="17875"/>
    <cellStyle name="Data   - Style2 2 4 3 3" xfId="17876"/>
    <cellStyle name="Data   - Style2 2 4 3 4" xfId="17877"/>
    <cellStyle name="Data   - Style2 2 4 4" xfId="17878"/>
    <cellStyle name="Data   - Style2 2 4 5" xfId="17879"/>
    <cellStyle name="Data   - Style2 2 4 6" xfId="17880"/>
    <cellStyle name="Data   - Style2 2 5" xfId="17881"/>
    <cellStyle name="Data   - Style2 2 5 2" xfId="17882"/>
    <cellStyle name="Data   - Style2 2 5 2 2" xfId="17883"/>
    <cellStyle name="Data   - Style2 2 5 2 3" xfId="17884"/>
    <cellStyle name="Data   - Style2 2 5 2 4" xfId="17885"/>
    <cellStyle name="Data   - Style2 2 5 3" xfId="17886"/>
    <cellStyle name="Data   - Style2 2 5 3 2" xfId="17887"/>
    <cellStyle name="Data   - Style2 2 5 3 3" xfId="17888"/>
    <cellStyle name="Data   - Style2 2 5 3 4" xfId="17889"/>
    <cellStyle name="Data   - Style2 2 5 4" xfId="17890"/>
    <cellStyle name="Data   - Style2 2 5 5" xfId="17891"/>
    <cellStyle name="Data   - Style2 2 5 6" xfId="17892"/>
    <cellStyle name="Data   - Style2 2 6" xfId="17893"/>
    <cellStyle name="Data   - Style2 2 6 2" xfId="17894"/>
    <cellStyle name="Data   - Style2 2 6 3" xfId="17895"/>
    <cellStyle name="Data   - Style2 2 6 4" xfId="17896"/>
    <cellStyle name="Data   - Style2 2 7" xfId="17897"/>
    <cellStyle name="Data   - Style2 2 7 2" xfId="17898"/>
    <cellStyle name="Data   - Style2 2 7 3" xfId="17899"/>
    <cellStyle name="Data   - Style2 2 7 4" xfId="17900"/>
    <cellStyle name="Data   - Style2 2 8" xfId="17901"/>
    <cellStyle name="Data   - Style2 2 9" xfId="17902"/>
    <cellStyle name="Data   - Style2 3" xfId="1100"/>
    <cellStyle name="Data   - Style2 3 2" xfId="1101"/>
    <cellStyle name="Data   - Style2 3 2 2" xfId="7983"/>
    <cellStyle name="Data   - Style2 3 2 2 2" xfId="17903"/>
    <cellStyle name="Data   - Style2 3 2 2 2 2" xfId="17904"/>
    <cellStyle name="Data   - Style2 3 2 2 2 3" xfId="17905"/>
    <cellStyle name="Data   - Style2 3 2 2 3" xfId="17906"/>
    <cellStyle name="Data   - Style2 3 2 2 4" xfId="17907"/>
    <cellStyle name="Data   - Style2 3 2 3" xfId="17908"/>
    <cellStyle name="Data   - Style2 3 2 3 2" xfId="17909"/>
    <cellStyle name="Data   - Style2 3 2 3 2 2" xfId="17910"/>
    <cellStyle name="Data   - Style2 3 2 3 2 3" xfId="17911"/>
    <cellStyle name="Data   - Style2 3 2 3 3" xfId="17912"/>
    <cellStyle name="Data   - Style2 3 2 3 4" xfId="17913"/>
    <cellStyle name="Data   - Style2 3 2 4" xfId="17914"/>
    <cellStyle name="Data   - Style2 3 2 4 2" xfId="17915"/>
    <cellStyle name="Data   - Style2 3 2 4 2 2" xfId="17916"/>
    <cellStyle name="Data   - Style2 3 2 4 3" xfId="17917"/>
    <cellStyle name="Data   - Style2 3 2 4 4" xfId="17918"/>
    <cellStyle name="Data   - Style2 3 2 5" xfId="17919"/>
    <cellStyle name="Data   - Style2 3 2 5 2" xfId="17920"/>
    <cellStyle name="Data   - Style2 3 2 6" xfId="17921"/>
    <cellStyle name="Data   - Style2 3 2 6 2" xfId="17922"/>
    <cellStyle name="Data   - Style2 3 2 7" xfId="17923"/>
    <cellStyle name="Data   - Style2 3 2 7 2" xfId="17924"/>
    <cellStyle name="Data   - Style2 3 2 8" xfId="17925"/>
    <cellStyle name="Data   - Style2 3 2 9" xfId="17926"/>
    <cellStyle name="Data   - Style2 3 3" xfId="7982"/>
    <cellStyle name="Data   - Style2 3 3 2" xfId="17927"/>
    <cellStyle name="Data   - Style2 3 3 2 2" xfId="17928"/>
    <cellStyle name="Data   - Style2 3 3 2 2 2" xfId="17929"/>
    <cellStyle name="Data   - Style2 3 3 2 3" xfId="17930"/>
    <cellStyle name="Data   - Style2 3 3 2 4" xfId="17931"/>
    <cellStyle name="Data   - Style2 3 3 3" xfId="17932"/>
    <cellStyle name="Data   - Style2 3 3 3 2" xfId="17933"/>
    <cellStyle name="Data   - Style2 3 3 3 2 2" xfId="17934"/>
    <cellStyle name="Data   - Style2 3 3 3 3" xfId="17935"/>
    <cellStyle name="Data   - Style2 3 3 4" xfId="17936"/>
    <cellStyle name="Data   - Style2 3 3 4 2" xfId="17937"/>
    <cellStyle name="Data   - Style2 3 3 5" xfId="17938"/>
    <cellStyle name="Data   - Style2 3 3 5 2" xfId="17939"/>
    <cellStyle name="Data   - Style2 3 3 6" xfId="17940"/>
    <cellStyle name="Data   - Style2 3 3 7" xfId="17941"/>
    <cellStyle name="Data   - Style2 3 4" xfId="17942"/>
    <cellStyle name="Data   - Style2 3 4 2" xfId="17943"/>
    <cellStyle name="Data   - Style2 3 4 3" xfId="17944"/>
    <cellStyle name="Data   - Style2 3 4 4" xfId="17945"/>
    <cellStyle name="Data   - Style2 3 5" xfId="17946"/>
    <cellStyle name="Data   - Style2 3 5 2" xfId="17947"/>
    <cellStyle name="Data   - Style2 3 5 3" xfId="17948"/>
    <cellStyle name="Data   - Style2 3 5 4" xfId="17949"/>
    <cellStyle name="Data   - Style2 3 6" xfId="17950"/>
    <cellStyle name="Data   - Style2 3 7" xfId="17951"/>
    <cellStyle name="Data   - Style2 3 8" xfId="17952"/>
    <cellStyle name="Data   - Style2 4" xfId="1102"/>
    <cellStyle name="Data   - Style2 4 2" xfId="5196"/>
    <cellStyle name="Data   - Style2 4 2 2" xfId="17954"/>
    <cellStyle name="Data   - Style2 4 2 2 2" xfId="17955"/>
    <cellStyle name="Data   - Style2 4 2 2 3" xfId="17956"/>
    <cellStyle name="Data   - Style2 4 2 3" xfId="17957"/>
    <cellStyle name="Data   - Style2 4 2 4" xfId="17958"/>
    <cellStyle name="Data   - Style2 4 2 5" xfId="17953"/>
    <cellStyle name="Data   - Style2 4 3" xfId="7984"/>
    <cellStyle name="Data   - Style2 4 3 2" xfId="17959"/>
    <cellStyle name="Data   - Style2 4 3 2 2" xfId="17960"/>
    <cellStyle name="Data   - Style2 4 3 2 3" xfId="17961"/>
    <cellStyle name="Data   - Style2 4 3 3" xfId="17962"/>
    <cellStyle name="Data   - Style2 4 3 4" xfId="17963"/>
    <cellStyle name="Data   - Style2 4 4" xfId="17964"/>
    <cellStyle name="Data   - Style2 4 4 2" xfId="17965"/>
    <cellStyle name="Data   - Style2 4 4 2 2" xfId="17966"/>
    <cellStyle name="Data   - Style2 4 4 2 3" xfId="17967"/>
    <cellStyle name="Data   - Style2 4 4 3" xfId="17968"/>
    <cellStyle name="Data   - Style2 4 4 4" xfId="17969"/>
    <cellStyle name="Data   - Style2 4 5" xfId="17970"/>
    <cellStyle name="Data   - Style2 4 5 2" xfId="17971"/>
    <cellStyle name="Data   - Style2 4 5 3" xfId="17972"/>
    <cellStyle name="Data   - Style2 4 6" xfId="17973"/>
    <cellStyle name="Data   - Style2 4 6 2" xfId="17974"/>
    <cellStyle name="Data   - Style2 4 7" xfId="17975"/>
    <cellStyle name="Data   - Style2 4 7 2" xfId="17976"/>
    <cellStyle name="Data   - Style2 4 8" xfId="17977"/>
    <cellStyle name="Data   - Style2 4 9" xfId="17978"/>
    <cellStyle name="Data   - Style2 5" xfId="5197"/>
    <cellStyle name="Data   - Style2 5 10" xfId="17979"/>
    <cellStyle name="Data   - Style2 5 2" xfId="5198"/>
    <cellStyle name="Data   - Style2 5 2 2" xfId="17981"/>
    <cellStyle name="Data   - Style2 5 2 2 2" xfId="17982"/>
    <cellStyle name="Data   - Style2 5 2 2 3" xfId="17983"/>
    <cellStyle name="Data   - Style2 5 2 3" xfId="17984"/>
    <cellStyle name="Data   - Style2 5 2 4" xfId="17985"/>
    <cellStyle name="Data   - Style2 5 2 5" xfId="17980"/>
    <cellStyle name="Data   - Style2 5 3" xfId="17986"/>
    <cellStyle name="Data   - Style2 5 3 2" xfId="17987"/>
    <cellStyle name="Data   - Style2 5 3 2 2" xfId="17988"/>
    <cellStyle name="Data   - Style2 5 3 2 3" xfId="17989"/>
    <cellStyle name="Data   - Style2 5 3 3" xfId="17990"/>
    <cellStyle name="Data   - Style2 5 3 4" xfId="17991"/>
    <cellStyle name="Data   - Style2 5 4" xfId="17992"/>
    <cellStyle name="Data   - Style2 5 4 2" xfId="17993"/>
    <cellStyle name="Data   - Style2 5 4 2 2" xfId="17994"/>
    <cellStyle name="Data   - Style2 5 4 2 3" xfId="17995"/>
    <cellStyle name="Data   - Style2 5 4 3" xfId="17996"/>
    <cellStyle name="Data   - Style2 5 4 4" xfId="17997"/>
    <cellStyle name="Data   - Style2 5 5" xfId="17998"/>
    <cellStyle name="Data   - Style2 5 5 2" xfId="17999"/>
    <cellStyle name="Data   - Style2 5 5 3" xfId="18000"/>
    <cellStyle name="Data   - Style2 5 6" xfId="18001"/>
    <cellStyle name="Data   - Style2 5 6 2" xfId="18002"/>
    <cellStyle name="Data   - Style2 5 7" xfId="18003"/>
    <cellStyle name="Data   - Style2 5 7 2" xfId="18004"/>
    <cellStyle name="Data   - Style2 5 8" xfId="18005"/>
    <cellStyle name="Data   - Style2 5 9" xfId="18006"/>
    <cellStyle name="Data   - Style2 6" xfId="5199"/>
    <cellStyle name="Data   - Style2 6 2" xfId="18008"/>
    <cellStyle name="Data   - Style2 6 2 2" xfId="18009"/>
    <cellStyle name="Data   - Style2 6 2 2 2" xfId="18010"/>
    <cellStyle name="Data   - Style2 6 2 3" xfId="18011"/>
    <cellStyle name="Data   - Style2 6 2 4" xfId="18012"/>
    <cellStyle name="Data   - Style2 6 3" xfId="18013"/>
    <cellStyle name="Data   - Style2 6 3 2" xfId="18014"/>
    <cellStyle name="Data   - Style2 6 3 2 2" xfId="18015"/>
    <cellStyle name="Data   - Style2 6 3 3" xfId="18016"/>
    <cellStyle name="Data   - Style2 6 4" xfId="18017"/>
    <cellStyle name="Data   - Style2 6 4 2" xfId="18018"/>
    <cellStyle name="Data   - Style2 6 5" xfId="18019"/>
    <cellStyle name="Data   - Style2 6 5 2" xfId="18020"/>
    <cellStyle name="Data   - Style2 6 6" xfId="18021"/>
    <cellStyle name="Data   - Style2 6 7" xfId="18022"/>
    <cellStyle name="Data   - Style2 6 8" xfId="18007"/>
    <cellStyle name="Data   - Style2 7" xfId="5200"/>
    <cellStyle name="Data   - Style2 7 2" xfId="18024"/>
    <cellStyle name="Data   - Style2 7 3" xfId="18025"/>
    <cellStyle name="Data   - Style2 7 4" xfId="18026"/>
    <cellStyle name="Data   - Style2 7 5" xfId="18023"/>
    <cellStyle name="Data   - Style2 8" xfId="7821"/>
    <cellStyle name="Data   - Style2 8 2" xfId="18028"/>
    <cellStyle name="Data   - Style2 8 3" xfId="18029"/>
    <cellStyle name="Data   - Style2 8 4" xfId="18027"/>
    <cellStyle name="Data   - Style2 9" xfId="7979"/>
    <cellStyle name="Date" xfId="1103"/>
    <cellStyle name="Date 2" xfId="7822"/>
    <cellStyle name="Date 2 2" xfId="18031"/>
    <cellStyle name="Date 2 3" xfId="18032"/>
    <cellStyle name="Date 2 4" xfId="18030"/>
    <cellStyle name="Date 3" xfId="4541"/>
    <cellStyle name="Date 3 2" xfId="18034"/>
    <cellStyle name="Date 3 3" xfId="18035"/>
    <cellStyle name="Date 3 4" xfId="18033"/>
    <cellStyle name="Date Short" xfId="2629"/>
    <cellStyle name="Define your own named style" xfId="40347"/>
    <cellStyle name="Description" xfId="1104"/>
    <cellStyle name="Description 2" xfId="1105"/>
    <cellStyle name="Dezimal [0]_BINV" xfId="2630"/>
    <cellStyle name="Dezimal_BINV" xfId="2631"/>
    <cellStyle name="Dollar" xfId="1106"/>
    <cellStyle name="Dollar 2" xfId="1107"/>
    <cellStyle name="Dollar 2 2" xfId="1108"/>
    <cellStyle name="Dollar 2 2 2" xfId="18036"/>
    <cellStyle name="Dollar 2 3" xfId="1109"/>
    <cellStyle name="Dollar 2 3 2" xfId="18037"/>
    <cellStyle name="Dollar 3" xfId="1110"/>
    <cellStyle name="Dollar 3 2" xfId="1111"/>
    <cellStyle name="Dollar 4" xfId="1112"/>
    <cellStyle name="Draw lines around data in range" xfId="40348"/>
    <cellStyle name="Draw shadow and lines within range" xfId="40349"/>
    <cellStyle name="Ellenőrzőcella" xfId="40350"/>
    <cellStyle name="Enlarge title text, yellow on blue" xfId="40351"/>
    <cellStyle name="Enter Currency (0)" xfId="1113"/>
    <cellStyle name="Enter Currency (0) 2" xfId="1114"/>
    <cellStyle name="Enter Currency (0) 2 2" xfId="1115"/>
    <cellStyle name="Enter Currency (0) 2 2 2" xfId="18038"/>
    <cellStyle name="Enter Currency (0) 3" xfId="1116"/>
    <cellStyle name="Enter Currency (0) 4" xfId="1117"/>
    <cellStyle name="Enter Currency (2)" xfId="2632"/>
    <cellStyle name="Enter Units (0)" xfId="2633"/>
    <cellStyle name="Enter Units (1)" xfId="2634"/>
    <cellStyle name="Enter Units (2)" xfId="2635"/>
    <cellStyle name="Entered" xfId="1118"/>
    <cellStyle name="Entered 2" xfId="1119"/>
    <cellStyle name="Euro" xfId="1120"/>
    <cellStyle name="Euro 10" xfId="1121"/>
    <cellStyle name="Euro 10 2" xfId="2429"/>
    <cellStyle name="Euro 11" xfId="2430"/>
    <cellStyle name="Euro 12" xfId="2431"/>
    <cellStyle name="Euro 13" xfId="2432"/>
    <cellStyle name="Euro 14" xfId="2433"/>
    <cellStyle name="Euro 15" xfId="2434"/>
    <cellStyle name="Euro 16" xfId="2435"/>
    <cellStyle name="Euro 17" xfId="2436"/>
    <cellStyle name="Euro 18" xfId="2437"/>
    <cellStyle name="Euro 19" xfId="2438"/>
    <cellStyle name="Euro 2" xfId="1122"/>
    <cellStyle name="Euro 2 2" xfId="1123"/>
    <cellStyle name="Euro 2 2 2" xfId="18040"/>
    <cellStyle name="Euro 2 2 3" xfId="18039"/>
    <cellStyle name="Euro 2 3" xfId="1124"/>
    <cellStyle name="Euro 2 4" xfId="18041"/>
    <cellStyle name="Euro 20" xfId="4542"/>
    <cellStyle name="Euro 20 2" xfId="18043"/>
    <cellStyle name="Euro 20 2 2" xfId="18044"/>
    <cellStyle name="Euro 20 3" xfId="18045"/>
    <cellStyle name="Euro 20 4" xfId="18042"/>
    <cellStyle name="Euro 21" xfId="4543"/>
    <cellStyle name="Euro 21 2" xfId="18047"/>
    <cellStyle name="Euro 21 3" xfId="18048"/>
    <cellStyle name="Euro 21 4" xfId="18046"/>
    <cellStyle name="Euro 22" xfId="18049"/>
    <cellStyle name="Euro 22 2" xfId="18050"/>
    <cellStyle name="Euro 22 3" xfId="18051"/>
    <cellStyle name="Euro 23" xfId="18052"/>
    <cellStyle name="Euro 3" xfId="1125"/>
    <cellStyle name="Euro 3 2" xfId="1126"/>
    <cellStyle name="Euro 4" xfId="1127"/>
    <cellStyle name="Euro 4 2" xfId="1128"/>
    <cellStyle name="Euro 4 3" xfId="2439"/>
    <cellStyle name="Euro 5" xfId="1129"/>
    <cellStyle name="Euro 5 2" xfId="1130"/>
    <cellStyle name="Euro 6" xfId="1131"/>
    <cellStyle name="Euro 6 2" xfId="2440"/>
    <cellStyle name="Euro 7" xfId="1132"/>
    <cellStyle name="Euro 7 2" xfId="2441"/>
    <cellStyle name="Euro 8" xfId="1133"/>
    <cellStyle name="Euro 8 2" xfId="2442"/>
    <cellStyle name="Euro 9" xfId="1134"/>
    <cellStyle name="Euro 9 2" xfId="2443"/>
    <cellStyle name="Excel Built-in Comma" xfId="40352"/>
    <cellStyle name="Excel Built-in Normal" xfId="40353"/>
    <cellStyle name="Explanatory Text 10" xfId="4544"/>
    <cellStyle name="Explanatory Text 11" xfId="5201"/>
    <cellStyle name="Explanatory Text 12" xfId="4545"/>
    <cellStyle name="Explanatory Text 13" xfId="5202"/>
    <cellStyle name="Explanatory Text 14" xfId="4546"/>
    <cellStyle name="Explanatory Text 15" xfId="4547"/>
    <cellStyle name="Explanatory Text 16" xfId="4548"/>
    <cellStyle name="Explanatory Text 17" xfId="5430"/>
    <cellStyle name="Explanatory Text 18" xfId="18053"/>
    <cellStyle name="Explanatory Text 2" xfId="1136"/>
    <cellStyle name="Explanatory Text 2 2" xfId="1137"/>
    <cellStyle name="Explanatory Text 2 2 2" xfId="4549"/>
    <cellStyle name="Explanatory Text 2 3" xfId="4550"/>
    <cellStyle name="Explanatory Text 3" xfId="1138"/>
    <cellStyle name="Explanatory Text 4" xfId="1139"/>
    <cellStyle name="Explanatory Text 5" xfId="1140"/>
    <cellStyle name="Explanatory Text 6" xfId="1141"/>
    <cellStyle name="Explanatory Text 6 2" xfId="4551"/>
    <cellStyle name="Explanatory Text 7" xfId="1135"/>
    <cellStyle name="Explanatory Text 8" xfId="4552"/>
    <cellStyle name="Explanatory Text 9" xfId="4553"/>
    <cellStyle name="Feature" xfId="1142"/>
    <cellStyle name="Feature 2" xfId="1143"/>
    <cellStyle name="Figyelmeztetés" xfId="40354"/>
    <cellStyle name="Fixed" xfId="1144"/>
    <cellStyle name="Fixed 2" xfId="1145"/>
    <cellStyle name="Fixed 2 2" xfId="1146"/>
    <cellStyle name="Fixed 2 3" xfId="1147"/>
    <cellStyle name="Fixed 3" xfId="1148"/>
    <cellStyle name="Fixed 3 2" xfId="1149"/>
    <cellStyle name="Fixed 4" xfId="1150"/>
    <cellStyle name="Fixed 4 2" xfId="4554"/>
    <cellStyle name="Fixed 5" xfId="1151"/>
    <cellStyle name="Fixed 6" xfId="4555"/>
    <cellStyle name="Fixed_5.2" xfId="5203"/>
    <cellStyle name="Followed Hyperlink" xfId="5204"/>
    <cellStyle name="Format a column of totals" xfId="40355"/>
    <cellStyle name="Format a row of totals" xfId="40356"/>
    <cellStyle name="Format text as bold, black on yellow" xfId="40357"/>
    <cellStyle name="Good 10" xfId="4557"/>
    <cellStyle name="Good 11" xfId="4917"/>
    <cellStyle name="Good 12" xfId="4918"/>
    <cellStyle name="Good 13" xfId="4919"/>
    <cellStyle name="Good 14" xfId="4920"/>
    <cellStyle name="Good 15" xfId="4921"/>
    <cellStyle name="Good 16" xfId="4922"/>
    <cellStyle name="Good 17" xfId="3260"/>
    <cellStyle name="Good 18" xfId="18054"/>
    <cellStyle name="Good 2" xfId="1153"/>
    <cellStyle name="Good 2 2" xfId="1154"/>
    <cellStyle name="Good 2 2 2" xfId="4923"/>
    <cellStyle name="Good 2 3" xfId="3614"/>
    <cellStyle name="Good 3" xfId="1155"/>
    <cellStyle name="Good 4" xfId="1156"/>
    <cellStyle name="Good 5" xfId="1157"/>
    <cellStyle name="Good 5 2" xfId="18055"/>
    <cellStyle name="Good 6" xfId="1158"/>
    <cellStyle name="Good 6 2" xfId="4558"/>
    <cellStyle name="Good 7" xfId="1152"/>
    <cellStyle name="Good 7 2" xfId="4559"/>
    <cellStyle name="Good 8" xfId="4560"/>
    <cellStyle name="Good 9" xfId="4924"/>
    <cellStyle name="Grey" xfId="1159"/>
    <cellStyle name="Grey 2" xfId="1160"/>
    <cellStyle name="Grey 2 2" xfId="1161"/>
    <cellStyle name="Grey 2 3" xfId="1162"/>
    <cellStyle name="Grey 2 3 2" xfId="18056"/>
    <cellStyle name="Grey 2 4" xfId="3193"/>
    <cellStyle name="Grey 3" xfId="1163"/>
    <cellStyle name="Grey 3 2" xfId="4925"/>
    <cellStyle name="Grey 3 3" xfId="18057"/>
    <cellStyle name="Grey 4" xfId="1164"/>
    <cellStyle name="Grey 5" xfId="1165"/>
    <cellStyle name="Grey 6" xfId="1166"/>
    <cellStyle name="Header1" xfId="1167"/>
    <cellStyle name="Header1 2" xfId="1168"/>
    <cellStyle name="Header1 2 2" xfId="1169"/>
    <cellStyle name="Header1 2 2 2" xfId="18059"/>
    <cellStyle name="Header1 2 2 2 2" xfId="18060"/>
    <cellStyle name="Header1 2 2 2 2 2" xfId="18061"/>
    <cellStyle name="Header1 2 2 2 3" xfId="18062"/>
    <cellStyle name="Header1 2 2 2 3 2" xfId="18063"/>
    <cellStyle name="Header1 2 2 2 4" xfId="18064"/>
    <cellStyle name="Header1 2 2 2 4 2" xfId="18065"/>
    <cellStyle name="Header1 2 2 2 5" xfId="18066"/>
    <cellStyle name="Header1 2 2 2 5 2" xfId="18067"/>
    <cellStyle name="Header1 2 2 2 6" xfId="18068"/>
    <cellStyle name="Header1 2 2 2 6 2" xfId="18069"/>
    <cellStyle name="Header1 2 2 2 7" xfId="18070"/>
    <cellStyle name="Header1 2 2 2 7 2" xfId="18071"/>
    <cellStyle name="Header1 2 2 2 8" xfId="18072"/>
    <cellStyle name="Header1 2 2 2 8 2" xfId="18073"/>
    <cellStyle name="Header1 2 2 2 9" xfId="18074"/>
    <cellStyle name="Header1 2 2 3" xfId="18075"/>
    <cellStyle name="Header1 2 2 3 2" xfId="18076"/>
    <cellStyle name="Header1 2 2 3 2 2" xfId="18077"/>
    <cellStyle name="Header1 2 2 3 3" xfId="18078"/>
    <cellStyle name="Header1 2 2 3 3 2" xfId="18079"/>
    <cellStyle name="Header1 2 2 3 4" xfId="18080"/>
    <cellStyle name="Header1 2 2 3 4 2" xfId="18081"/>
    <cellStyle name="Header1 2 2 3 5" xfId="18082"/>
    <cellStyle name="Header1 2 2 3 5 2" xfId="18083"/>
    <cellStyle name="Header1 2 2 3 6" xfId="18084"/>
    <cellStyle name="Header1 2 2 3 6 2" xfId="18085"/>
    <cellStyle name="Header1 2 2 3 7" xfId="18086"/>
    <cellStyle name="Header1 2 2 3 7 2" xfId="18087"/>
    <cellStyle name="Header1 2 2 3 8" xfId="18088"/>
    <cellStyle name="Header1 2 2 4" xfId="18089"/>
    <cellStyle name="Header1 2 2 4 2" xfId="18090"/>
    <cellStyle name="Header1 2 2 4 2 2" xfId="18091"/>
    <cellStyle name="Header1 2 2 4 3" xfId="18092"/>
    <cellStyle name="Header1 2 2 4 3 2" xfId="18093"/>
    <cellStyle name="Header1 2 2 4 4" xfId="18094"/>
    <cellStyle name="Header1 2 2 4 4 2" xfId="18095"/>
    <cellStyle name="Header1 2 2 4 5" xfId="18096"/>
    <cellStyle name="Header1 2 2 4 5 2" xfId="18097"/>
    <cellStyle name="Header1 2 2 4 6" xfId="18098"/>
    <cellStyle name="Header1 2 2 4 6 2" xfId="18099"/>
    <cellStyle name="Header1 2 2 4 7" xfId="18100"/>
    <cellStyle name="Header1 2 2 4 7 2" xfId="18101"/>
    <cellStyle name="Header1 2 2 4 8" xfId="18102"/>
    <cellStyle name="Header1 2 2 5" xfId="18103"/>
    <cellStyle name="Header1 2 2 5 10" xfId="18104"/>
    <cellStyle name="Header1 2 2 5 10 2" xfId="18105"/>
    <cellStyle name="Header1 2 2 5 11" xfId="18106"/>
    <cellStyle name="Header1 2 2 5 11 2" xfId="18107"/>
    <cellStyle name="Header1 2 2 5 12" xfId="18108"/>
    <cellStyle name="Header1 2 2 5 12 2" xfId="18109"/>
    <cellStyle name="Header1 2 2 5 13" xfId="18110"/>
    <cellStyle name="Header1 2 2 5 2" xfId="18111"/>
    <cellStyle name="Header1 2 2 5 2 2" xfId="18112"/>
    <cellStyle name="Header1 2 2 5 3" xfId="18113"/>
    <cellStyle name="Header1 2 2 5 3 2" xfId="18114"/>
    <cellStyle name="Header1 2 2 5 4" xfId="18115"/>
    <cellStyle name="Header1 2 2 5 4 2" xfId="18116"/>
    <cellStyle name="Header1 2 2 5 5" xfId="18117"/>
    <cellStyle name="Header1 2 2 5 5 2" xfId="18118"/>
    <cellStyle name="Header1 2 2 5 6" xfId="18119"/>
    <cellStyle name="Header1 2 2 5 6 2" xfId="18120"/>
    <cellStyle name="Header1 2 2 5 7" xfId="18121"/>
    <cellStyle name="Header1 2 2 5 7 2" xfId="18122"/>
    <cellStyle name="Header1 2 2 5 8" xfId="18123"/>
    <cellStyle name="Header1 2 2 5 8 2" xfId="18124"/>
    <cellStyle name="Header1 2 2 5 9" xfId="18125"/>
    <cellStyle name="Header1 2 2 5 9 2" xfId="18126"/>
    <cellStyle name="Header1 2 2 6" xfId="18127"/>
    <cellStyle name="Header1 2 2 6 2" xfId="18128"/>
    <cellStyle name="Header1 2 2 7" xfId="18129"/>
    <cellStyle name="Header1 2 2 8" xfId="18058"/>
    <cellStyle name="Header1 2 3" xfId="4926"/>
    <cellStyle name="Header1 2 3 10" xfId="18130"/>
    <cellStyle name="Header1 2 3 2" xfId="18131"/>
    <cellStyle name="Header1 2 3 2 2" xfId="18132"/>
    <cellStyle name="Header1 2 3 3" xfId="18133"/>
    <cellStyle name="Header1 2 3 3 2" xfId="18134"/>
    <cellStyle name="Header1 2 3 4" xfId="18135"/>
    <cellStyle name="Header1 2 3 4 2" xfId="18136"/>
    <cellStyle name="Header1 2 3 5" xfId="18137"/>
    <cellStyle name="Header1 2 3 5 2" xfId="18138"/>
    <cellStyle name="Header1 2 3 6" xfId="18139"/>
    <cellStyle name="Header1 2 3 6 2" xfId="18140"/>
    <cellStyle name="Header1 2 3 7" xfId="18141"/>
    <cellStyle name="Header1 2 3 7 2" xfId="18142"/>
    <cellStyle name="Header1 2 3 8" xfId="18143"/>
    <cellStyle name="Header1 2 3 8 2" xfId="18144"/>
    <cellStyle name="Header1 2 3 9" xfId="18145"/>
    <cellStyle name="Header1 2 4" xfId="7986"/>
    <cellStyle name="Header1 2 4 2" xfId="18146"/>
    <cellStyle name="Header1 2 4 2 2" xfId="18147"/>
    <cellStyle name="Header1 2 4 3" xfId="18148"/>
    <cellStyle name="Header1 2 4 3 2" xfId="18149"/>
    <cellStyle name="Header1 2 4 4" xfId="18150"/>
    <cellStyle name="Header1 2 4 4 2" xfId="18151"/>
    <cellStyle name="Header1 2 4 5" xfId="18152"/>
    <cellStyle name="Header1 2 4 5 2" xfId="18153"/>
    <cellStyle name="Header1 2 4 6" xfId="18154"/>
    <cellStyle name="Header1 2 4 6 2" xfId="18155"/>
    <cellStyle name="Header1 2 4 7" xfId="18156"/>
    <cellStyle name="Header1 2 4 7 2" xfId="18157"/>
    <cellStyle name="Header1 2 4 8" xfId="18158"/>
    <cellStyle name="Header1 2 5" xfId="18159"/>
    <cellStyle name="Header1 2 5 2" xfId="18160"/>
    <cellStyle name="Header1 3" xfId="1170"/>
    <cellStyle name="Header1 3 2" xfId="1171"/>
    <cellStyle name="Header1 3 2 2" xfId="18162"/>
    <cellStyle name="Header1 3 2 2 10" xfId="18163"/>
    <cellStyle name="Header1 3 2 2 2" xfId="18164"/>
    <cellStyle name="Header1 3 2 2 2 2" xfId="18165"/>
    <cellStyle name="Header1 3 2 2 3" xfId="18166"/>
    <cellStyle name="Header1 3 2 2 3 2" xfId="18167"/>
    <cellStyle name="Header1 3 2 2 4" xfId="18168"/>
    <cellStyle name="Header1 3 2 2 4 2" xfId="18169"/>
    <cellStyle name="Header1 3 2 2 5" xfId="18170"/>
    <cellStyle name="Header1 3 2 2 5 2" xfId="18171"/>
    <cellStyle name="Header1 3 2 2 6" xfId="18172"/>
    <cellStyle name="Header1 3 2 2 6 2" xfId="18173"/>
    <cellStyle name="Header1 3 2 2 7" xfId="18174"/>
    <cellStyle name="Header1 3 2 2 7 2" xfId="18175"/>
    <cellStyle name="Header1 3 2 2 8" xfId="18176"/>
    <cellStyle name="Header1 3 2 2 8 2" xfId="18177"/>
    <cellStyle name="Header1 3 2 2 9" xfId="18178"/>
    <cellStyle name="Header1 3 2 2 9 2" xfId="18179"/>
    <cellStyle name="Header1 3 2 3" xfId="18180"/>
    <cellStyle name="Header1 3 2 3 10" xfId="18181"/>
    <cellStyle name="Header1 3 2 3 2" xfId="18182"/>
    <cellStyle name="Header1 3 2 3 2 2" xfId="18183"/>
    <cellStyle name="Header1 3 2 3 3" xfId="18184"/>
    <cellStyle name="Header1 3 2 3 3 2" xfId="18185"/>
    <cellStyle name="Header1 3 2 3 4" xfId="18186"/>
    <cellStyle name="Header1 3 2 3 4 2" xfId="18187"/>
    <cellStyle name="Header1 3 2 3 5" xfId="18188"/>
    <cellStyle name="Header1 3 2 3 5 2" xfId="18189"/>
    <cellStyle name="Header1 3 2 3 6" xfId="18190"/>
    <cellStyle name="Header1 3 2 3 6 2" xfId="18191"/>
    <cellStyle name="Header1 3 2 3 7" xfId="18192"/>
    <cellStyle name="Header1 3 2 3 7 2" xfId="18193"/>
    <cellStyle name="Header1 3 2 3 8" xfId="18194"/>
    <cellStyle name="Header1 3 2 3 8 2" xfId="18195"/>
    <cellStyle name="Header1 3 2 3 9" xfId="18196"/>
    <cellStyle name="Header1 3 2 3 9 2" xfId="18197"/>
    <cellStyle name="Header1 3 2 4" xfId="18198"/>
    <cellStyle name="Header1 3 2 4 10" xfId="18199"/>
    <cellStyle name="Header1 3 2 4 10 2" xfId="18200"/>
    <cellStyle name="Header1 3 2 4 11" xfId="18201"/>
    <cellStyle name="Header1 3 2 4 11 2" xfId="18202"/>
    <cellStyle name="Header1 3 2 4 12" xfId="18203"/>
    <cellStyle name="Header1 3 2 4 12 2" xfId="18204"/>
    <cellStyle name="Header1 3 2 4 13" xfId="18205"/>
    <cellStyle name="Header1 3 2 4 2" xfId="18206"/>
    <cellStyle name="Header1 3 2 4 2 2" xfId="18207"/>
    <cellStyle name="Header1 3 2 4 3" xfId="18208"/>
    <cellStyle name="Header1 3 2 4 3 2" xfId="18209"/>
    <cellStyle name="Header1 3 2 4 4" xfId="18210"/>
    <cellStyle name="Header1 3 2 4 4 2" xfId="18211"/>
    <cellStyle name="Header1 3 2 4 5" xfId="18212"/>
    <cellStyle name="Header1 3 2 4 5 2" xfId="18213"/>
    <cellStyle name="Header1 3 2 4 6" xfId="18214"/>
    <cellStyle name="Header1 3 2 4 6 2" xfId="18215"/>
    <cellStyle name="Header1 3 2 4 7" xfId="18216"/>
    <cellStyle name="Header1 3 2 4 7 2" xfId="18217"/>
    <cellStyle name="Header1 3 2 4 8" xfId="18218"/>
    <cellStyle name="Header1 3 2 4 8 2" xfId="18219"/>
    <cellStyle name="Header1 3 2 4 9" xfId="18220"/>
    <cellStyle name="Header1 3 2 4 9 2" xfId="18221"/>
    <cellStyle name="Header1 3 2 5" xfId="18222"/>
    <cellStyle name="Header1 3 2 5 10" xfId="18223"/>
    <cellStyle name="Header1 3 2 5 10 2" xfId="18224"/>
    <cellStyle name="Header1 3 2 5 11" xfId="18225"/>
    <cellStyle name="Header1 3 2 5 11 2" xfId="18226"/>
    <cellStyle name="Header1 3 2 5 12" xfId="18227"/>
    <cellStyle name="Header1 3 2 5 12 2" xfId="18228"/>
    <cellStyle name="Header1 3 2 5 13" xfId="18229"/>
    <cellStyle name="Header1 3 2 5 2" xfId="18230"/>
    <cellStyle name="Header1 3 2 5 2 2" xfId="18231"/>
    <cellStyle name="Header1 3 2 5 3" xfId="18232"/>
    <cellStyle name="Header1 3 2 5 3 2" xfId="18233"/>
    <cellStyle name="Header1 3 2 5 4" xfId="18234"/>
    <cellStyle name="Header1 3 2 5 4 2" xfId="18235"/>
    <cellStyle name="Header1 3 2 5 5" xfId="18236"/>
    <cellStyle name="Header1 3 2 5 5 2" xfId="18237"/>
    <cellStyle name="Header1 3 2 5 6" xfId="18238"/>
    <cellStyle name="Header1 3 2 5 6 2" xfId="18239"/>
    <cellStyle name="Header1 3 2 5 7" xfId="18240"/>
    <cellStyle name="Header1 3 2 5 7 2" xfId="18241"/>
    <cellStyle name="Header1 3 2 5 8" xfId="18242"/>
    <cellStyle name="Header1 3 2 5 8 2" xfId="18243"/>
    <cellStyle name="Header1 3 2 5 9" xfId="18244"/>
    <cellStyle name="Header1 3 2 5 9 2" xfId="18245"/>
    <cellStyle name="Header1 3 2 6" xfId="18246"/>
    <cellStyle name="Header1 3 2 6 2" xfId="18247"/>
    <cellStyle name="Header1 3 2 6 2 2" xfId="18248"/>
    <cellStyle name="Header1 3 2 6 3" xfId="18249"/>
    <cellStyle name="Header1 3 2 6 3 2" xfId="18250"/>
    <cellStyle name="Header1 3 2 6 4" xfId="18251"/>
    <cellStyle name="Header1 3 2 6 4 2" xfId="18252"/>
    <cellStyle name="Header1 3 2 6 5" xfId="18253"/>
    <cellStyle name="Header1 3 2 6 5 2" xfId="18254"/>
    <cellStyle name="Header1 3 2 6 6" xfId="18255"/>
    <cellStyle name="Header1 3 2 6 6 2" xfId="18256"/>
    <cellStyle name="Header1 3 2 6 7" xfId="18257"/>
    <cellStyle name="Header1 3 2 6 7 2" xfId="18258"/>
    <cellStyle name="Header1 3 2 6 8" xfId="18259"/>
    <cellStyle name="Header1 3 2 6 8 2" xfId="18260"/>
    <cellStyle name="Header1 3 2 6 9" xfId="18261"/>
    <cellStyle name="Header1 3 2 7" xfId="18262"/>
    <cellStyle name="Header1 3 2 8" xfId="18161"/>
    <cellStyle name="Header1 3 3" xfId="18263"/>
    <cellStyle name="Header1 3 3 10" xfId="18264"/>
    <cellStyle name="Header1 3 3 2" xfId="18265"/>
    <cellStyle name="Header1 3 3 2 2" xfId="18266"/>
    <cellStyle name="Header1 3 3 3" xfId="18267"/>
    <cellStyle name="Header1 3 3 3 2" xfId="18268"/>
    <cellStyle name="Header1 3 3 4" xfId="18269"/>
    <cellStyle name="Header1 3 3 4 2" xfId="18270"/>
    <cellStyle name="Header1 3 3 5" xfId="18271"/>
    <cellStyle name="Header1 3 3 5 2" xfId="18272"/>
    <cellStyle name="Header1 3 3 6" xfId="18273"/>
    <cellStyle name="Header1 3 3 6 2" xfId="18274"/>
    <cellStyle name="Header1 3 3 7" xfId="18275"/>
    <cellStyle name="Header1 3 3 7 2" xfId="18276"/>
    <cellStyle name="Header1 3 3 8" xfId="18277"/>
    <cellStyle name="Header1 3 3 8 2" xfId="18278"/>
    <cellStyle name="Header1 3 3 9" xfId="18279"/>
    <cellStyle name="Header1 3 3 9 2" xfId="18280"/>
    <cellStyle name="Header1 3 4" xfId="18281"/>
    <cellStyle name="Header1 3 4 2" xfId="18282"/>
    <cellStyle name="Header1 3 4 2 2" xfId="18283"/>
    <cellStyle name="Header1 3 4 3" xfId="18284"/>
    <cellStyle name="Header1 3 4 3 2" xfId="18285"/>
    <cellStyle name="Header1 3 4 4" xfId="18286"/>
    <cellStyle name="Header1 3 4 4 2" xfId="18287"/>
    <cellStyle name="Header1 3 4 5" xfId="18288"/>
    <cellStyle name="Header1 3 4 5 2" xfId="18289"/>
    <cellStyle name="Header1 3 4 6" xfId="18290"/>
    <cellStyle name="Header1 3 4 6 2" xfId="18291"/>
    <cellStyle name="Header1 3 4 7" xfId="18292"/>
    <cellStyle name="Header1 3 4 7 2" xfId="18293"/>
    <cellStyle name="Header1 3 4 8" xfId="18294"/>
    <cellStyle name="Header1 3 4 8 2" xfId="18295"/>
    <cellStyle name="Header1 3 4 9" xfId="18296"/>
    <cellStyle name="Header1 3 5" xfId="18297"/>
    <cellStyle name="Header1 4" xfId="1172"/>
    <cellStyle name="Header1 4 2" xfId="18299"/>
    <cellStyle name="Header1 4 2 2" xfId="18300"/>
    <cellStyle name="Header1 4 2 2 2" xfId="18301"/>
    <cellStyle name="Header1 4 2 3" xfId="18302"/>
    <cellStyle name="Header1 4 2 3 2" xfId="18303"/>
    <cellStyle name="Header1 4 2 4" xfId="18304"/>
    <cellStyle name="Header1 4 2 4 2" xfId="18305"/>
    <cellStyle name="Header1 4 2 5" xfId="18306"/>
    <cellStyle name="Header1 4 2 5 2" xfId="18307"/>
    <cellStyle name="Header1 4 2 6" xfId="18308"/>
    <cellStyle name="Header1 4 2 6 2" xfId="18309"/>
    <cellStyle name="Header1 4 2 7" xfId="18310"/>
    <cellStyle name="Header1 4 2 7 2" xfId="18311"/>
    <cellStyle name="Header1 4 2 8" xfId="18312"/>
    <cellStyle name="Header1 4 2 8 2" xfId="18313"/>
    <cellStyle name="Header1 4 2 9" xfId="18314"/>
    <cellStyle name="Header1 4 3" xfId="18315"/>
    <cellStyle name="Header1 4 3 2" xfId="18316"/>
    <cellStyle name="Header1 4 3 2 2" xfId="18317"/>
    <cellStyle name="Header1 4 3 3" xfId="18318"/>
    <cellStyle name="Header1 4 3 3 2" xfId="18319"/>
    <cellStyle name="Header1 4 3 4" xfId="18320"/>
    <cellStyle name="Header1 4 3 4 2" xfId="18321"/>
    <cellStyle name="Header1 4 3 5" xfId="18322"/>
    <cellStyle name="Header1 4 3 5 2" xfId="18323"/>
    <cellStyle name="Header1 4 3 6" xfId="18324"/>
    <cellStyle name="Header1 4 3 6 2" xfId="18325"/>
    <cellStyle name="Header1 4 3 7" xfId="18326"/>
    <cellStyle name="Header1 4 3 7 2" xfId="18327"/>
    <cellStyle name="Header1 4 3 8" xfId="18328"/>
    <cellStyle name="Header1 4 4" xfId="18329"/>
    <cellStyle name="Header1 4 4 2" xfId="18330"/>
    <cellStyle name="Header1 4 4 2 2" xfId="18331"/>
    <cellStyle name="Header1 4 4 3" xfId="18332"/>
    <cellStyle name="Header1 4 4 3 2" xfId="18333"/>
    <cellStyle name="Header1 4 4 4" xfId="18334"/>
    <cellStyle name="Header1 4 4 4 2" xfId="18335"/>
    <cellStyle name="Header1 4 4 5" xfId="18336"/>
    <cellStyle name="Header1 4 4 5 2" xfId="18337"/>
    <cellStyle name="Header1 4 4 6" xfId="18338"/>
    <cellStyle name="Header1 4 4 6 2" xfId="18339"/>
    <cellStyle name="Header1 4 4 7" xfId="18340"/>
    <cellStyle name="Header1 4 4 7 2" xfId="18341"/>
    <cellStyle name="Header1 4 4 8" xfId="18342"/>
    <cellStyle name="Header1 4 5" xfId="18343"/>
    <cellStyle name="Header1 4 5 10" xfId="18344"/>
    <cellStyle name="Header1 4 5 10 2" xfId="18345"/>
    <cellStyle name="Header1 4 5 11" xfId="18346"/>
    <cellStyle name="Header1 4 5 11 2" xfId="18347"/>
    <cellStyle name="Header1 4 5 12" xfId="18348"/>
    <cellStyle name="Header1 4 5 12 2" xfId="18349"/>
    <cellStyle name="Header1 4 5 13" xfId="18350"/>
    <cellStyle name="Header1 4 5 2" xfId="18351"/>
    <cellStyle name="Header1 4 5 2 2" xfId="18352"/>
    <cellStyle name="Header1 4 5 3" xfId="18353"/>
    <cellStyle name="Header1 4 5 3 2" xfId="18354"/>
    <cellStyle name="Header1 4 5 4" xfId="18355"/>
    <cellStyle name="Header1 4 5 4 2" xfId="18356"/>
    <cellStyle name="Header1 4 5 5" xfId="18357"/>
    <cellStyle name="Header1 4 5 5 2" xfId="18358"/>
    <cellStyle name="Header1 4 5 6" xfId="18359"/>
    <cellStyle name="Header1 4 5 6 2" xfId="18360"/>
    <cellStyle name="Header1 4 5 7" xfId="18361"/>
    <cellStyle name="Header1 4 5 7 2" xfId="18362"/>
    <cellStyle name="Header1 4 5 8" xfId="18363"/>
    <cellStyle name="Header1 4 5 8 2" xfId="18364"/>
    <cellStyle name="Header1 4 5 9" xfId="18365"/>
    <cellStyle name="Header1 4 5 9 2" xfId="18366"/>
    <cellStyle name="Header1 4 6" xfId="18367"/>
    <cellStyle name="Header1 4 6 2" xfId="18368"/>
    <cellStyle name="Header1 4 7" xfId="18369"/>
    <cellStyle name="Header1 4 8" xfId="18370"/>
    <cellStyle name="Header1 4 9" xfId="18298"/>
    <cellStyle name="Header1 5" xfId="1173"/>
    <cellStyle name="Header1 5 2" xfId="7987"/>
    <cellStyle name="Header1 5 2 2" xfId="18371"/>
    <cellStyle name="Header1 5 3" xfId="18372"/>
    <cellStyle name="Header1 5 3 2" xfId="18373"/>
    <cellStyle name="Header1 5 4" xfId="18374"/>
    <cellStyle name="Header1 5 4 2" xfId="18375"/>
    <cellStyle name="Header1 5 5" xfId="18376"/>
    <cellStyle name="Header1 5 5 2" xfId="18377"/>
    <cellStyle name="Header1 5 6" xfId="18378"/>
    <cellStyle name="Header1 5 6 2" xfId="18379"/>
    <cellStyle name="Header1 5 7" xfId="18380"/>
    <cellStyle name="Header1 5 7 2" xfId="18381"/>
    <cellStyle name="Header1 5 8" xfId="18382"/>
    <cellStyle name="Header1 5 8 2" xfId="18383"/>
    <cellStyle name="Header1 5 9" xfId="18384"/>
    <cellStyle name="Header1 6" xfId="1174"/>
    <cellStyle name="Header1 6 2" xfId="7988"/>
    <cellStyle name="Header1 6 2 2" xfId="18385"/>
    <cellStyle name="Header1 6 3" xfId="18386"/>
    <cellStyle name="Header1 6 3 2" xfId="18387"/>
    <cellStyle name="Header1 6 4" xfId="18388"/>
    <cellStyle name="Header1 6 4 2" xfId="18389"/>
    <cellStyle name="Header1 6 5" xfId="18390"/>
    <cellStyle name="Header1 6 5 2" xfId="18391"/>
    <cellStyle name="Header1 6 6" xfId="18392"/>
    <cellStyle name="Header1 6 6 2" xfId="18393"/>
    <cellStyle name="Header1 6 7" xfId="18394"/>
    <cellStyle name="Header1 6 7 2" xfId="18395"/>
    <cellStyle name="Header1 6 8" xfId="18396"/>
    <cellStyle name="Header1 7" xfId="7985"/>
    <cellStyle name="Header2" xfId="1175"/>
    <cellStyle name="Header2 10" xfId="5205"/>
    <cellStyle name="Header2 10 2" xfId="18399"/>
    <cellStyle name="Header2 10 3" xfId="18398"/>
    <cellStyle name="Header2 11" xfId="7823"/>
    <cellStyle name="Header2 11 2" xfId="18401"/>
    <cellStyle name="Header2 11 3" xfId="18400"/>
    <cellStyle name="Header2 12" xfId="7989"/>
    <cellStyle name="Header2 12 2" xfId="18402"/>
    <cellStyle name="Header2 13" xfId="18403"/>
    <cellStyle name="Header2 14" xfId="18397"/>
    <cellStyle name="Header2 2" xfId="1176"/>
    <cellStyle name="Header2 2 2" xfId="1177"/>
    <cellStyle name="Header2 2 2 10" xfId="18404"/>
    <cellStyle name="Header2 2 2 2" xfId="1178"/>
    <cellStyle name="Header2 2 2 2 2" xfId="7992"/>
    <cellStyle name="Header2 2 2 2 2 2" xfId="18407"/>
    <cellStyle name="Header2 2 2 2 2 3" xfId="18408"/>
    <cellStyle name="Header2 2 2 2 2 4" xfId="18406"/>
    <cellStyle name="Header2 2 2 2 3" xfId="18409"/>
    <cellStyle name="Header2 2 2 2 4" xfId="18410"/>
    <cellStyle name="Header2 2 2 2 5" xfId="18405"/>
    <cellStyle name="Header2 2 2 3" xfId="4562"/>
    <cellStyle name="Header2 2 2 3 2" xfId="18412"/>
    <cellStyle name="Header2 2 2 3 2 2" xfId="18413"/>
    <cellStyle name="Header2 2 2 3 2 3" xfId="18414"/>
    <cellStyle name="Header2 2 2 3 3" xfId="18415"/>
    <cellStyle name="Header2 2 2 3 4" xfId="18416"/>
    <cellStyle name="Header2 2 2 3 5" xfId="18411"/>
    <cellStyle name="Header2 2 2 4" xfId="7991"/>
    <cellStyle name="Header2 2 2 4 2" xfId="18418"/>
    <cellStyle name="Header2 2 2 4 2 2" xfId="18419"/>
    <cellStyle name="Header2 2 2 4 2 3" xfId="18420"/>
    <cellStyle name="Header2 2 2 4 3" xfId="18421"/>
    <cellStyle name="Header2 2 2 4 4" xfId="18422"/>
    <cellStyle name="Header2 2 2 4 5" xfId="18417"/>
    <cellStyle name="Header2 2 2 5" xfId="18423"/>
    <cellStyle name="Header2 2 2 5 2" xfId="18424"/>
    <cellStyle name="Header2 2 2 5 3" xfId="18425"/>
    <cellStyle name="Header2 2 2 6" xfId="18426"/>
    <cellStyle name="Header2 2 2 7" xfId="18427"/>
    <cellStyle name="Header2 2 2 8" xfId="18428"/>
    <cellStyle name="Header2 2 2 8 2" xfId="18429"/>
    <cellStyle name="Header2 2 2 9" xfId="18430"/>
    <cellStyle name="Header2 2 3" xfId="1179"/>
    <cellStyle name="Header2 2 3 2" xfId="4563"/>
    <cellStyle name="Header2 2 3 2 2" xfId="18433"/>
    <cellStyle name="Header2 2 3 2 2 2" xfId="18434"/>
    <cellStyle name="Header2 2 3 2 2 3" xfId="18435"/>
    <cellStyle name="Header2 2 3 2 3" xfId="18436"/>
    <cellStyle name="Header2 2 3 2 4" xfId="18437"/>
    <cellStyle name="Header2 2 3 2 5" xfId="18432"/>
    <cellStyle name="Header2 2 3 3" xfId="7993"/>
    <cellStyle name="Header2 2 3 3 2" xfId="18439"/>
    <cellStyle name="Header2 2 3 3 2 2" xfId="18440"/>
    <cellStyle name="Header2 2 3 3 2 3" xfId="18441"/>
    <cellStyle name="Header2 2 3 3 3" xfId="18442"/>
    <cellStyle name="Header2 2 3 3 4" xfId="18443"/>
    <cellStyle name="Header2 2 3 3 5" xfId="18438"/>
    <cellStyle name="Header2 2 3 4" xfId="18444"/>
    <cellStyle name="Header2 2 3 4 2" xfId="18445"/>
    <cellStyle name="Header2 2 3 4 2 2" xfId="18446"/>
    <cellStyle name="Header2 2 3 4 2 3" xfId="18447"/>
    <cellStyle name="Header2 2 3 4 3" xfId="18448"/>
    <cellStyle name="Header2 2 3 4 4" xfId="18449"/>
    <cellStyle name="Header2 2 3 5" xfId="18450"/>
    <cellStyle name="Header2 2 3 5 2" xfId="18451"/>
    <cellStyle name="Header2 2 3 5 3" xfId="18452"/>
    <cellStyle name="Header2 2 3 6" xfId="18453"/>
    <cellStyle name="Header2 2 3 7" xfId="18454"/>
    <cellStyle name="Header2 2 3 8" xfId="18455"/>
    <cellStyle name="Header2 2 3 9" xfId="18431"/>
    <cellStyle name="Header2 2 4" xfId="3194"/>
    <cellStyle name="Header2 2 4 2" xfId="4564"/>
    <cellStyle name="Header2 2 4 2 2" xfId="18458"/>
    <cellStyle name="Header2 2 4 2 2 2" xfId="18459"/>
    <cellStyle name="Header2 2 4 2 2 3" xfId="18460"/>
    <cellStyle name="Header2 2 4 2 3" xfId="18461"/>
    <cellStyle name="Header2 2 4 2 4" xfId="18462"/>
    <cellStyle name="Header2 2 4 2 5" xfId="18457"/>
    <cellStyle name="Header2 2 4 3" xfId="18463"/>
    <cellStyle name="Header2 2 4 3 2" xfId="18464"/>
    <cellStyle name="Header2 2 4 3 2 2" xfId="18465"/>
    <cellStyle name="Header2 2 4 3 2 3" xfId="18466"/>
    <cellStyle name="Header2 2 4 3 3" xfId="18467"/>
    <cellStyle name="Header2 2 4 3 4" xfId="18468"/>
    <cellStyle name="Header2 2 4 4" xfId="18469"/>
    <cellStyle name="Header2 2 4 4 2" xfId="18470"/>
    <cellStyle name="Header2 2 4 4 3" xfId="18471"/>
    <cellStyle name="Header2 2 4 4 4" xfId="18472"/>
    <cellStyle name="Header2 2 4 5" xfId="18473"/>
    <cellStyle name="Header2 2 4 6" xfId="18474"/>
    <cellStyle name="Header2 2 4 7" xfId="18475"/>
    <cellStyle name="Header2 2 4 8" xfId="18476"/>
    <cellStyle name="Header2 2 4 9" xfId="18456"/>
    <cellStyle name="Header2 2 5" xfId="4565"/>
    <cellStyle name="Header2 2 5 2" xfId="4566"/>
    <cellStyle name="Header2 2 5 2 2" xfId="18479"/>
    <cellStyle name="Header2 2 5 2 3" xfId="18480"/>
    <cellStyle name="Header2 2 5 2 4" xfId="18481"/>
    <cellStyle name="Header2 2 5 2 5" xfId="18478"/>
    <cellStyle name="Header2 2 5 3" xfId="18482"/>
    <cellStyle name="Header2 2 5 4" xfId="18483"/>
    <cellStyle name="Header2 2 5 5" xfId="18484"/>
    <cellStyle name="Header2 2 5 6" xfId="18485"/>
    <cellStyle name="Header2 2 5 7" xfId="18486"/>
    <cellStyle name="Header2 2 5 8" xfId="18477"/>
    <cellStyle name="Header2 2 6" xfId="4567"/>
    <cellStyle name="Header2 2 6 2" xfId="18488"/>
    <cellStyle name="Header2 2 6 2 2" xfId="18489"/>
    <cellStyle name="Header2 2 6 2 3" xfId="18490"/>
    <cellStyle name="Header2 2 6 3" xfId="18491"/>
    <cellStyle name="Header2 2 6 4" xfId="18492"/>
    <cellStyle name="Header2 2 6 5" xfId="18487"/>
    <cellStyle name="Header2 2 7" xfId="4568"/>
    <cellStyle name="Header2 2 7 2" xfId="18494"/>
    <cellStyle name="Header2 2 7 2 2" xfId="18495"/>
    <cellStyle name="Header2 2 7 3" xfId="18496"/>
    <cellStyle name="Header2 2 7 4" xfId="18497"/>
    <cellStyle name="Header2 2 7 5" xfId="18493"/>
    <cellStyle name="Header2 2 8" xfId="4561"/>
    <cellStyle name="Header2 2 8 2" xfId="18499"/>
    <cellStyle name="Header2 2 8 3" xfId="18500"/>
    <cellStyle name="Header2 2 8 4" xfId="18498"/>
    <cellStyle name="Header2 2 9" xfId="7990"/>
    <cellStyle name="Header2 2 9 2" xfId="18501"/>
    <cellStyle name="Header2 3" xfId="1180"/>
    <cellStyle name="Header2 3 10" xfId="18502"/>
    <cellStyle name="Header2 3 2" xfId="1181"/>
    <cellStyle name="Header2 3 2 10" xfId="18504"/>
    <cellStyle name="Header2 3 2 11" xfId="18503"/>
    <cellStyle name="Header2 3 2 2" xfId="1182"/>
    <cellStyle name="Header2 3 2 2 2" xfId="7996"/>
    <cellStyle name="Header2 3 2 2 2 2" xfId="18507"/>
    <cellStyle name="Header2 3 2 2 2 3" xfId="18506"/>
    <cellStyle name="Header2 3 2 2 3" xfId="18508"/>
    <cellStyle name="Header2 3 2 2 4" xfId="18509"/>
    <cellStyle name="Header2 3 2 2 5" xfId="18505"/>
    <cellStyle name="Header2 3 2 3" xfId="3195"/>
    <cellStyle name="Header2 3 2 3 2" xfId="18511"/>
    <cellStyle name="Header2 3 2 3 2 2" xfId="18512"/>
    <cellStyle name="Header2 3 2 3 3" xfId="18513"/>
    <cellStyle name="Header2 3 2 3 4" xfId="18510"/>
    <cellStyle name="Header2 3 2 4" xfId="7995"/>
    <cellStyle name="Header2 3 2 4 2" xfId="18515"/>
    <cellStyle name="Header2 3 2 4 2 2" xfId="18516"/>
    <cellStyle name="Header2 3 2 4 3" xfId="18517"/>
    <cellStyle name="Header2 3 2 4 4" xfId="18514"/>
    <cellStyle name="Header2 3 2 5" xfId="18518"/>
    <cellStyle name="Header2 3 2 5 2" xfId="18519"/>
    <cellStyle name="Header2 3 2 6" xfId="18520"/>
    <cellStyle name="Header2 3 2 6 2" xfId="18521"/>
    <cellStyle name="Header2 3 2 7" xfId="18522"/>
    <cellStyle name="Header2 3 2 7 2" xfId="18523"/>
    <cellStyle name="Header2 3 2 8" xfId="18524"/>
    <cellStyle name="Header2 3 2 8 2" xfId="18525"/>
    <cellStyle name="Header2 3 2 9" xfId="18526"/>
    <cellStyle name="Header2 3 2 9 2" xfId="18527"/>
    <cellStyle name="Header2 3 3" xfId="1183"/>
    <cellStyle name="Header2 3 3 10" xfId="18529"/>
    <cellStyle name="Header2 3 3 11" xfId="18528"/>
    <cellStyle name="Header2 3 3 2" xfId="4569"/>
    <cellStyle name="Header2 3 3 2 2" xfId="18531"/>
    <cellStyle name="Header2 3 3 2 2 2" xfId="18532"/>
    <cellStyle name="Header2 3 3 2 3" xfId="18533"/>
    <cellStyle name="Header2 3 3 2 4" xfId="18530"/>
    <cellStyle name="Header2 3 3 3" xfId="7997"/>
    <cellStyle name="Header2 3 3 3 2" xfId="18535"/>
    <cellStyle name="Header2 3 3 3 2 2" xfId="18536"/>
    <cellStyle name="Header2 3 3 3 3" xfId="18537"/>
    <cellStyle name="Header2 3 3 3 4" xfId="18534"/>
    <cellStyle name="Header2 3 3 4" xfId="18538"/>
    <cellStyle name="Header2 3 3 4 2" xfId="18539"/>
    <cellStyle name="Header2 3 3 4 2 2" xfId="18540"/>
    <cellStyle name="Header2 3 3 4 3" xfId="18541"/>
    <cellStyle name="Header2 3 3 5" xfId="18542"/>
    <cellStyle name="Header2 3 3 5 2" xfId="18543"/>
    <cellStyle name="Header2 3 3 6" xfId="18544"/>
    <cellStyle name="Header2 3 3 6 2" xfId="18545"/>
    <cellStyle name="Header2 3 3 7" xfId="18546"/>
    <cellStyle name="Header2 3 3 7 2" xfId="18547"/>
    <cellStyle name="Header2 3 3 8" xfId="18548"/>
    <cellStyle name="Header2 3 3 8 2" xfId="18549"/>
    <cellStyle name="Header2 3 3 9" xfId="18550"/>
    <cellStyle name="Header2 3 4" xfId="1184"/>
    <cellStyle name="Header2 3 4 2" xfId="4570"/>
    <cellStyle name="Header2 3 4 2 2" xfId="18553"/>
    <cellStyle name="Header2 3 4 2 3" xfId="18554"/>
    <cellStyle name="Header2 3 4 2 4" xfId="18555"/>
    <cellStyle name="Header2 3 4 2 5" xfId="18552"/>
    <cellStyle name="Header2 3 4 3" xfId="7998"/>
    <cellStyle name="Header2 3 4 3 2" xfId="18556"/>
    <cellStyle name="Header2 3 4 4" xfId="18557"/>
    <cellStyle name="Header2 3 4 5" xfId="18558"/>
    <cellStyle name="Header2 3 4 6" xfId="18559"/>
    <cellStyle name="Header2 3 4 7" xfId="18551"/>
    <cellStyle name="Header2 3 5" xfId="5431"/>
    <cellStyle name="Header2 3 5 2" xfId="4571"/>
    <cellStyle name="Header2 3 5 2 2" xfId="18561"/>
    <cellStyle name="Header2 3 5 3" xfId="18562"/>
    <cellStyle name="Header2 3 5 4" xfId="18563"/>
    <cellStyle name="Header2 3 5 5" xfId="18560"/>
    <cellStyle name="Header2 3 6" xfId="3196"/>
    <cellStyle name="Header2 3 6 2" xfId="18564"/>
    <cellStyle name="Header2 3 7" xfId="4572"/>
    <cellStyle name="Header2 3 7 2" xfId="18565"/>
    <cellStyle name="Header2 3 8" xfId="7994"/>
    <cellStyle name="Header2 3 9" xfId="18566"/>
    <cellStyle name="Header2 3 9 2" xfId="18567"/>
    <cellStyle name="Header2 4" xfId="1185"/>
    <cellStyle name="Header2 4 10" xfId="18568"/>
    <cellStyle name="Header2 4 2" xfId="1186"/>
    <cellStyle name="Header2 4 2 10" xfId="18569"/>
    <cellStyle name="Header2 4 2 2" xfId="5329"/>
    <cellStyle name="Header2 4 2 2 2" xfId="18571"/>
    <cellStyle name="Header2 4 2 2 3" xfId="18572"/>
    <cellStyle name="Header2 4 2 2 4" xfId="18573"/>
    <cellStyle name="Header2 4 2 2 5" xfId="18570"/>
    <cellStyle name="Header2 4 2 3" xfId="8000"/>
    <cellStyle name="Header2 4 2 3 2" xfId="18575"/>
    <cellStyle name="Header2 4 2 3 3" xfId="18574"/>
    <cellStyle name="Header2 4 2 4" xfId="18576"/>
    <cellStyle name="Header2 4 2 4 2" xfId="18577"/>
    <cellStyle name="Header2 4 2 5" xfId="18578"/>
    <cellStyle name="Header2 4 2 6" xfId="18579"/>
    <cellStyle name="Header2 4 2 7" xfId="18580"/>
    <cellStyle name="Header2 4 2 8" xfId="18581"/>
    <cellStyle name="Header2 4 2 9" xfId="18582"/>
    <cellStyle name="Header2 4 2 9 2" xfId="18583"/>
    <cellStyle name="Header2 4 3" xfId="4573"/>
    <cellStyle name="Header2 4 3 10" xfId="18584"/>
    <cellStyle name="Header2 4 3 2" xfId="18585"/>
    <cellStyle name="Header2 4 3 2 2" xfId="18586"/>
    <cellStyle name="Header2 4 3 2 2 2" xfId="18587"/>
    <cellStyle name="Header2 4 3 2 3" xfId="18588"/>
    <cellStyle name="Header2 4 3 3" xfId="18589"/>
    <cellStyle name="Header2 4 3 3 2" xfId="18590"/>
    <cellStyle name="Header2 4 3 3 2 2" xfId="18591"/>
    <cellStyle name="Header2 4 3 3 3" xfId="18592"/>
    <cellStyle name="Header2 4 3 4" xfId="18593"/>
    <cellStyle name="Header2 4 3 4 2" xfId="18594"/>
    <cellStyle name="Header2 4 3 4 2 2" xfId="18595"/>
    <cellStyle name="Header2 4 3 4 3" xfId="18596"/>
    <cellStyle name="Header2 4 3 5" xfId="18597"/>
    <cellStyle name="Header2 4 3 5 2" xfId="18598"/>
    <cellStyle name="Header2 4 3 6" xfId="18599"/>
    <cellStyle name="Header2 4 3 6 2" xfId="18600"/>
    <cellStyle name="Header2 4 3 7" xfId="18601"/>
    <cellStyle name="Header2 4 3 7 2" xfId="18602"/>
    <cellStyle name="Header2 4 3 8" xfId="18603"/>
    <cellStyle name="Header2 4 3 9" xfId="18604"/>
    <cellStyle name="Header2 4 4" xfId="7999"/>
    <cellStyle name="Header2 4 4 2" xfId="18606"/>
    <cellStyle name="Header2 4 4 2 2" xfId="18607"/>
    <cellStyle name="Header2 4 4 2 3" xfId="18608"/>
    <cellStyle name="Header2 4 4 2 4" xfId="18609"/>
    <cellStyle name="Header2 4 4 3" xfId="18610"/>
    <cellStyle name="Header2 4 4 3 2" xfId="18611"/>
    <cellStyle name="Header2 4 4 4" xfId="18612"/>
    <cellStyle name="Header2 4 4 5" xfId="18613"/>
    <cellStyle name="Header2 4 4 6" xfId="18614"/>
    <cellStyle name="Header2 4 4 7" xfId="18605"/>
    <cellStyle name="Header2 4 5" xfId="18615"/>
    <cellStyle name="Header2 4 5 2" xfId="18616"/>
    <cellStyle name="Header2 4 5 3" xfId="18617"/>
    <cellStyle name="Header2 4 5 4" xfId="18618"/>
    <cellStyle name="Header2 4 6" xfId="18619"/>
    <cellStyle name="Header2 4 7" xfId="18620"/>
    <cellStyle name="Header2 4 8" xfId="18621"/>
    <cellStyle name="Header2 4 9" xfId="18622"/>
    <cellStyle name="Header2 4 9 2" xfId="18623"/>
    <cellStyle name="Header2 5" xfId="1187"/>
    <cellStyle name="Header2 5 10" xfId="18624"/>
    <cellStyle name="Header2 5 2" xfId="8001"/>
    <cellStyle name="Header2 5 2 2" xfId="18626"/>
    <cellStyle name="Header2 5 2 2 2" xfId="18627"/>
    <cellStyle name="Header2 5 2 3" xfId="18628"/>
    <cellStyle name="Header2 5 2 3 2" xfId="18629"/>
    <cellStyle name="Header2 5 2 4" xfId="18625"/>
    <cellStyle name="Header2 5 3" xfId="18630"/>
    <cellStyle name="Header2 5 3 2" xfId="18631"/>
    <cellStyle name="Header2 5 3 2 2" xfId="18632"/>
    <cellStyle name="Header2 5 3 3" xfId="18633"/>
    <cellStyle name="Header2 5 3 3 2" xfId="18634"/>
    <cellStyle name="Header2 5 4" xfId="18635"/>
    <cellStyle name="Header2 5 4 2" xfId="18636"/>
    <cellStyle name="Header2 5 4 2 2" xfId="18637"/>
    <cellStyle name="Header2 5 4 3" xfId="18638"/>
    <cellStyle name="Header2 5 5" xfId="18639"/>
    <cellStyle name="Header2 5 5 2" xfId="18640"/>
    <cellStyle name="Header2 5 6" xfId="18641"/>
    <cellStyle name="Header2 5 6 2" xfId="18642"/>
    <cellStyle name="Header2 5 7" xfId="18643"/>
    <cellStyle name="Header2 5 7 2" xfId="18644"/>
    <cellStyle name="Header2 5 8" xfId="18645"/>
    <cellStyle name="Header2 5 9" xfId="18646"/>
    <cellStyle name="Header2 6" xfId="1188"/>
    <cellStyle name="Header2 6 10" xfId="18647"/>
    <cellStyle name="Header2 6 2" xfId="4574"/>
    <cellStyle name="Header2 6 2 2" xfId="18649"/>
    <cellStyle name="Header2 6 2 3" xfId="18650"/>
    <cellStyle name="Header2 6 2 4" xfId="18651"/>
    <cellStyle name="Header2 6 2 5" xfId="18648"/>
    <cellStyle name="Header2 6 3" xfId="8002"/>
    <cellStyle name="Header2 6 3 2" xfId="18653"/>
    <cellStyle name="Header2 6 3 3" xfId="18652"/>
    <cellStyle name="Header2 6 4" xfId="18654"/>
    <cellStyle name="Header2 6 4 2" xfId="18655"/>
    <cellStyle name="Header2 6 5" xfId="18656"/>
    <cellStyle name="Header2 6 6" xfId="18657"/>
    <cellStyle name="Header2 6 7" xfId="18658"/>
    <cellStyle name="Header2 6 8" xfId="18659"/>
    <cellStyle name="Header2 6 9" xfId="18660"/>
    <cellStyle name="Header2 6 9 2" xfId="18661"/>
    <cellStyle name="Header2 7" xfId="1189"/>
    <cellStyle name="Header2 7 2" xfId="4575"/>
    <cellStyle name="Header2 7 2 2" xfId="18664"/>
    <cellStyle name="Header2 7 2 2 2" xfId="18665"/>
    <cellStyle name="Header2 7 2 3" xfId="18666"/>
    <cellStyle name="Header2 7 2 4" xfId="18663"/>
    <cellStyle name="Header2 7 3" xfId="5445"/>
    <cellStyle name="Header2 7 3 2" xfId="18668"/>
    <cellStyle name="Header2 7 3 3" xfId="18667"/>
    <cellStyle name="Header2 7 4" xfId="8003"/>
    <cellStyle name="Header2 7 4 2" xfId="18670"/>
    <cellStyle name="Header2 7 4 3" xfId="18669"/>
    <cellStyle name="Header2 7 5" xfId="18671"/>
    <cellStyle name="Header2 7 5 2" xfId="18672"/>
    <cellStyle name="Header2 7 6" xfId="18673"/>
    <cellStyle name="Header2 7 6 2" xfId="18674"/>
    <cellStyle name="Header2 7 7" xfId="18662"/>
    <cellStyle name="Header2 8" xfId="4576"/>
    <cellStyle name="Header2 8 2" xfId="4577"/>
    <cellStyle name="Header2 8 2 2" xfId="18677"/>
    <cellStyle name="Header2 8 2 3" xfId="18676"/>
    <cellStyle name="Header2 8 3" xfId="18678"/>
    <cellStyle name="Header2 8 3 2" xfId="18679"/>
    <cellStyle name="Header2 8 4" xfId="18675"/>
    <cellStyle name="Header2 9" xfId="5453"/>
    <cellStyle name="Header2 9 2" xfId="18681"/>
    <cellStyle name="Header2 9 3" xfId="18680"/>
    <cellStyle name="Heading 1 10" xfId="2636"/>
    <cellStyle name="Heading 1 11" xfId="2637"/>
    <cellStyle name="Heading 1 12" xfId="2638"/>
    <cellStyle name="Heading 1 13" xfId="2639"/>
    <cellStyle name="Heading 1 14" xfId="2640"/>
    <cellStyle name="Heading 1 15" xfId="2641"/>
    <cellStyle name="Heading 1 16" xfId="2642"/>
    <cellStyle name="Heading 1 17" xfId="2643"/>
    <cellStyle name="Heading 1 18" xfId="2644"/>
    <cellStyle name="Heading 1 19" xfId="2645"/>
    <cellStyle name="Heading 1 2" xfId="1191"/>
    <cellStyle name="Heading 1 2 2" xfId="1192"/>
    <cellStyle name="Heading 1 20" xfId="2646"/>
    <cellStyle name="Heading 1 21" xfId="2647"/>
    <cellStyle name="Heading 1 22" xfId="2648"/>
    <cellStyle name="Heading 1 23" xfId="2649"/>
    <cellStyle name="Heading 1 24" xfId="2650"/>
    <cellStyle name="Heading 1 25" xfId="2651"/>
    <cellStyle name="Heading 1 26" xfId="2652"/>
    <cellStyle name="Heading 1 27" xfId="2653"/>
    <cellStyle name="Heading 1 28" xfId="2654"/>
    <cellStyle name="Heading 1 29" xfId="2655"/>
    <cellStyle name="Heading 1 3" xfId="1193"/>
    <cellStyle name="Heading 1 30" xfId="2656"/>
    <cellStyle name="Heading 1 31" xfId="2657"/>
    <cellStyle name="Heading 1 32" xfId="2658"/>
    <cellStyle name="Heading 1 33" xfId="2659"/>
    <cellStyle name="Heading 1 34" xfId="2660"/>
    <cellStyle name="Heading 1 35" xfId="2661"/>
    <cellStyle name="Heading 1 36" xfId="2662"/>
    <cellStyle name="Heading 1 37" xfId="2663"/>
    <cellStyle name="Heading 1 38" xfId="1190"/>
    <cellStyle name="Heading 1 39" xfId="7824"/>
    <cellStyle name="Heading 1 39 2" xfId="18682"/>
    <cellStyle name="Heading 1 4" xfId="1194"/>
    <cellStyle name="Heading 1 5" xfId="1195"/>
    <cellStyle name="Heading 1 6" xfId="1196"/>
    <cellStyle name="Heading 1 6 2" xfId="1197"/>
    <cellStyle name="Heading 1 6 3" xfId="1198"/>
    <cellStyle name="Heading 1 6 4" xfId="2664"/>
    <cellStyle name="Heading 1 7" xfId="1199"/>
    <cellStyle name="Heading 1 7 2" xfId="2665"/>
    <cellStyle name="Heading 1 8" xfId="2666"/>
    <cellStyle name="Heading 1 9" xfId="2667"/>
    <cellStyle name="Heading 2 10" xfId="2668"/>
    <cellStyle name="Heading 2 11" xfId="2669"/>
    <cellStyle name="Heading 2 12" xfId="2670"/>
    <cellStyle name="Heading 2 13" xfId="2671"/>
    <cellStyle name="Heading 2 14" xfId="2672"/>
    <cellStyle name="Heading 2 15" xfId="2673"/>
    <cellStyle name="Heading 2 16" xfId="2674"/>
    <cellStyle name="Heading 2 17" xfId="2675"/>
    <cellStyle name="Heading 2 18" xfId="2676"/>
    <cellStyle name="Heading 2 19" xfId="2677"/>
    <cellStyle name="Heading 2 2" xfId="1201"/>
    <cellStyle name="Heading 2 2 2" xfId="1202"/>
    <cellStyle name="Heading 2 20" xfId="2678"/>
    <cellStyle name="Heading 2 21" xfId="2679"/>
    <cellStyle name="Heading 2 22" xfId="2680"/>
    <cellStyle name="Heading 2 23" xfId="2681"/>
    <cellStyle name="Heading 2 24" xfId="2682"/>
    <cellStyle name="Heading 2 25" xfId="2683"/>
    <cellStyle name="Heading 2 26" xfId="2684"/>
    <cellStyle name="Heading 2 27" xfId="2685"/>
    <cellStyle name="Heading 2 28" xfId="2686"/>
    <cellStyle name="Heading 2 29" xfId="2687"/>
    <cellStyle name="Heading 2 3" xfId="1203"/>
    <cellStyle name="Heading 2 30" xfId="2688"/>
    <cellStyle name="Heading 2 31" xfId="2689"/>
    <cellStyle name="Heading 2 32" xfId="2690"/>
    <cellStyle name="Heading 2 33" xfId="2691"/>
    <cellStyle name="Heading 2 34" xfId="2692"/>
    <cellStyle name="Heading 2 35" xfId="2693"/>
    <cellStyle name="Heading 2 36" xfId="2694"/>
    <cellStyle name="Heading 2 37" xfId="2695"/>
    <cellStyle name="Heading 2 38" xfId="1200"/>
    <cellStyle name="Heading 2 39" xfId="7825"/>
    <cellStyle name="Heading 2 39 2" xfId="18683"/>
    <cellStyle name="Heading 2 4" xfId="1204"/>
    <cellStyle name="Heading 2 5" xfId="1205"/>
    <cellStyle name="Heading 2 6" xfId="1206"/>
    <cellStyle name="Heading 2 6 2" xfId="1207"/>
    <cellStyle name="Heading 2 6 3" xfId="1208"/>
    <cellStyle name="Heading 2 6 4" xfId="2696"/>
    <cellStyle name="Heading 2 7" xfId="1209"/>
    <cellStyle name="Heading 2 7 2" xfId="2697"/>
    <cellStyle name="Heading 2 8" xfId="2698"/>
    <cellStyle name="Heading 2 9" xfId="2699"/>
    <cellStyle name="Heading 3 10" xfId="2700"/>
    <cellStyle name="Heading 3 11" xfId="2701"/>
    <cellStyle name="Heading 3 12" xfId="2702"/>
    <cellStyle name="Heading 3 13" xfId="2703"/>
    <cellStyle name="Heading 3 14" xfId="2704"/>
    <cellStyle name="Heading 3 15" xfId="2705"/>
    <cellStyle name="Heading 3 16" xfId="2706"/>
    <cellStyle name="Heading 3 17" xfId="2707"/>
    <cellStyle name="Heading 3 18" xfId="2708"/>
    <cellStyle name="Heading 3 19" xfId="2709"/>
    <cellStyle name="Heading 3 2" xfId="1211"/>
    <cellStyle name="Heading 3 2 2" xfId="1212"/>
    <cellStyle name="Heading 3 20" xfId="2710"/>
    <cellStyle name="Heading 3 21" xfId="2711"/>
    <cellStyle name="Heading 3 22" xfId="2712"/>
    <cellStyle name="Heading 3 23" xfId="2713"/>
    <cellStyle name="Heading 3 24" xfId="2714"/>
    <cellStyle name="Heading 3 25" xfId="2715"/>
    <cellStyle name="Heading 3 26" xfId="2716"/>
    <cellStyle name="Heading 3 27" xfId="2717"/>
    <cellStyle name="Heading 3 28" xfId="2718"/>
    <cellStyle name="Heading 3 29" xfId="2719"/>
    <cellStyle name="Heading 3 3" xfId="1213"/>
    <cellStyle name="Heading 3 30" xfId="2720"/>
    <cellStyle name="Heading 3 31" xfId="2721"/>
    <cellStyle name="Heading 3 32" xfId="2722"/>
    <cellStyle name="Heading 3 33" xfId="2723"/>
    <cellStyle name="Heading 3 34" xfId="2724"/>
    <cellStyle name="Heading 3 35" xfId="2725"/>
    <cellStyle name="Heading 3 36" xfId="2726"/>
    <cellStyle name="Heading 3 37" xfId="2727"/>
    <cellStyle name="Heading 3 38" xfId="1210"/>
    <cellStyle name="Heading 3 39" xfId="7826"/>
    <cellStyle name="Heading 3 39 2" xfId="18684"/>
    <cellStyle name="Heading 3 4" xfId="1214"/>
    <cellStyle name="Heading 3 5" xfId="1215"/>
    <cellStyle name="Heading 3 6" xfId="1216"/>
    <cellStyle name="Heading 3 6 2" xfId="1217"/>
    <cellStyle name="Heading 3 6 3" xfId="1218"/>
    <cellStyle name="Heading 3 6 4" xfId="2728"/>
    <cellStyle name="Heading 3 7" xfId="1219"/>
    <cellStyle name="Heading 3 7 2" xfId="2729"/>
    <cellStyle name="Heading 3 8" xfId="2730"/>
    <cellStyle name="Heading 3 9" xfId="2731"/>
    <cellStyle name="Heading 4 10" xfId="4579"/>
    <cellStyle name="Heading 4 11" xfId="4580"/>
    <cellStyle name="Heading 4 12" xfId="4581"/>
    <cellStyle name="Heading 4 13" xfId="4582"/>
    <cellStyle name="Heading 4 14" xfId="4583"/>
    <cellStyle name="Heading 4 15" xfId="4584"/>
    <cellStyle name="Heading 4 16" xfId="4585"/>
    <cellStyle name="Heading 4 17" xfId="3489"/>
    <cellStyle name="Heading 4 18" xfId="7827"/>
    <cellStyle name="Heading 4 18 2" xfId="18685"/>
    <cellStyle name="Heading 4 2" xfId="1221"/>
    <cellStyle name="Heading 4 2 2" xfId="1222"/>
    <cellStyle name="Heading 4 3" xfId="1223"/>
    <cellStyle name="Heading 4 4" xfId="1224"/>
    <cellStyle name="Heading 4 5" xfId="1225"/>
    <cellStyle name="Heading 4 6" xfId="1226"/>
    <cellStyle name="Heading 4 6 2" xfId="1227"/>
    <cellStyle name="Heading 4 6 3" xfId="1228"/>
    <cellStyle name="Heading 4 6 4" xfId="4586"/>
    <cellStyle name="Heading 4 7" xfId="1229"/>
    <cellStyle name="Heading 4 7 2" xfId="4587"/>
    <cellStyle name="Heading 4 8" xfId="1220"/>
    <cellStyle name="Heading 4 9" xfId="4588"/>
    <cellStyle name="Heading1" xfId="1230"/>
    <cellStyle name="Heading1 2" xfId="7828"/>
    <cellStyle name="Heading1 2 2" xfId="18687"/>
    <cellStyle name="Heading1 2 3" xfId="18688"/>
    <cellStyle name="Heading1 2 4" xfId="18686"/>
    <cellStyle name="Heading1 3" xfId="4589"/>
    <cellStyle name="Heading1 3 2" xfId="18690"/>
    <cellStyle name="Heading1 3 3" xfId="18691"/>
    <cellStyle name="Heading1 3 4" xfId="18689"/>
    <cellStyle name="Heading2" xfId="1231"/>
    <cellStyle name="Heading2 2" xfId="7829"/>
    <cellStyle name="Heading2 2 2" xfId="18693"/>
    <cellStyle name="Heading2 2 3" xfId="18694"/>
    <cellStyle name="Heading2 2 4" xfId="18692"/>
    <cellStyle name="Heading2 3" xfId="4590"/>
    <cellStyle name="Heading2 3 2" xfId="18696"/>
    <cellStyle name="Heading2 3 3" xfId="18697"/>
    <cellStyle name="Heading2 3 4" xfId="18695"/>
    <cellStyle name="Hivatkozott cella" xfId="40358"/>
    <cellStyle name="Hyperlink" xfId="3182"/>
    <cellStyle name="Hyperlink 2" xfId="1232"/>
    <cellStyle name="Hyperlink 2 2" xfId="1233"/>
    <cellStyle name="Hyperlink 2 2 2" xfId="4592"/>
    <cellStyle name="Hyperlink 2 2 3" xfId="18699"/>
    <cellStyle name="Hyperlink 2 3" xfId="2732"/>
    <cellStyle name="Hyperlink 2 3 2" xfId="4593"/>
    <cellStyle name="Hyperlink 2 4" xfId="4591"/>
    <cellStyle name="Hyperlink 2 4 2" xfId="18700"/>
    <cellStyle name="Hyperlink 2 5" xfId="18701"/>
    <cellStyle name="Hyperlink 2 6" xfId="40388"/>
    <cellStyle name="Hyperlink 2 7" xfId="18698"/>
    <cellStyle name="Hyperlink 3" xfId="1234"/>
    <cellStyle name="Hyperlink 3 2" xfId="4595"/>
    <cellStyle name="Hyperlink 3 2 2" xfId="18702"/>
    <cellStyle name="Hyperlink 3 3" xfId="4596"/>
    <cellStyle name="Hyperlink 3 4" xfId="4594"/>
    <cellStyle name="Hyperlink 4" xfId="4597"/>
    <cellStyle name="Hyperlink 4 2" xfId="18704"/>
    <cellStyle name="Hyperlink 4 3" xfId="18705"/>
    <cellStyle name="Hyperlink 4 4" xfId="18703"/>
    <cellStyle name="Hyperlink 5" xfId="4598"/>
    <cellStyle name="Hyperlink 5 2" xfId="18707"/>
    <cellStyle name="Hyperlink 5 3" xfId="18708"/>
    <cellStyle name="Hyperlink 5 4" xfId="18706"/>
    <cellStyle name="Hyperlink 6" xfId="7801"/>
    <cellStyle name="Hyperlink 6 2" xfId="18709"/>
    <cellStyle name="Hyperlink 7" xfId="18710"/>
    <cellStyle name="Hyperlink seguido" xfId="1235"/>
    <cellStyle name="Input [yellow]" xfId="1237"/>
    <cellStyle name="Input [yellow] 10" xfId="3490"/>
    <cellStyle name="Input [yellow] 11" xfId="3491"/>
    <cellStyle name="Input [yellow] 12" xfId="7831"/>
    <cellStyle name="Input [yellow] 13" xfId="8005"/>
    <cellStyle name="Input [yellow] 2" xfId="1238"/>
    <cellStyle name="Input [yellow] 2 2" xfId="1239"/>
    <cellStyle name="Input [yellow] 2 2 2" xfId="3492"/>
    <cellStyle name="Input [yellow] 2 2 2 2" xfId="18713"/>
    <cellStyle name="Input [yellow] 2 2 2 3" xfId="18712"/>
    <cellStyle name="Input [yellow] 2 2 3" xfId="8007"/>
    <cellStyle name="Input [yellow] 2 2 3 2" xfId="18714"/>
    <cellStyle name="Input [yellow] 2 2 4" xfId="18715"/>
    <cellStyle name="Input [yellow] 2 2 5" xfId="18711"/>
    <cellStyle name="Input [yellow] 2 3" xfId="1240"/>
    <cellStyle name="Input [yellow] 2 3 2" xfId="3494"/>
    <cellStyle name="Input [yellow] 2 3 2 2" xfId="18718"/>
    <cellStyle name="Input [yellow] 2 3 2 3" xfId="18717"/>
    <cellStyle name="Input [yellow] 2 3 3" xfId="3493"/>
    <cellStyle name="Input [yellow] 2 3 3 2" xfId="18720"/>
    <cellStyle name="Input [yellow] 2 3 3 3" xfId="18719"/>
    <cellStyle name="Input [yellow] 2 3 4" xfId="18721"/>
    <cellStyle name="Input [yellow] 2 3 4 2" xfId="18722"/>
    <cellStyle name="Input [yellow] 2 3 5" xfId="18723"/>
    <cellStyle name="Input [yellow] 2 3 6" xfId="18724"/>
    <cellStyle name="Input [yellow] 2 3 7" xfId="18716"/>
    <cellStyle name="Input [yellow] 2 4" xfId="1241"/>
    <cellStyle name="Input [yellow] 2 4 2" xfId="8008"/>
    <cellStyle name="Input [yellow] 2 4 2 2" xfId="18726"/>
    <cellStyle name="Input [yellow] 2 4 3" xfId="18725"/>
    <cellStyle name="Input [yellow] 2 5" xfId="3495"/>
    <cellStyle name="Input [yellow] 2 5 2" xfId="4599"/>
    <cellStyle name="Input [yellow] 2 5 3" xfId="18727"/>
    <cellStyle name="Input [yellow] 2 6" xfId="4600"/>
    <cellStyle name="Input [yellow] 2 7" xfId="4601"/>
    <cellStyle name="Input [yellow] 2 8" xfId="8006"/>
    <cellStyle name="Input [yellow] 3" xfId="1242"/>
    <cellStyle name="Input [yellow] 3 2" xfId="1243"/>
    <cellStyle name="Input [yellow] 3 2 2" xfId="4603"/>
    <cellStyle name="Input [yellow] 3 2 2 2" xfId="18730"/>
    <cellStyle name="Input [yellow] 3 2 3" xfId="4602"/>
    <cellStyle name="Input [yellow] 3 2 4" xfId="18729"/>
    <cellStyle name="Input [yellow] 3 3" xfId="1244"/>
    <cellStyle name="Input [yellow] 3 3 2" xfId="3496"/>
    <cellStyle name="Input [yellow] 3 3 2 2" xfId="18731"/>
    <cellStyle name="Input [yellow] 3 3 3" xfId="8010"/>
    <cellStyle name="Input [yellow] 3 4" xfId="3497"/>
    <cellStyle name="Input [yellow] 3 4 2" xfId="3498"/>
    <cellStyle name="Input [yellow] 3 4 2 2" xfId="18733"/>
    <cellStyle name="Input [yellow] 3 4 3" xfId="18732"/>
    <cellStyle name="Input [yellow] 3 5" xfId="3499"/>
    <cellStyle name="Input [yellow] 3 5 2" xfId="18734"/>
    <cellStyle name="Input [yellow] 3 6" xfId="3500"/>
    <cellStyle name="Input [yellow] 3 6 2" xfId="18735"/>
    <cellStyle name="Input [yellow] 3 7" xfId="8009"/>
    <cellStyle name="Input [yellow] 3 7 2" xfId="18736"/>
    <cellStyle name="Input [yellow] 3 8" xfId="18728"/>
    <cellStyle name="Input [yellow] 4" xfId="1245"/>
    <cellStyle name="Input [yellow] 4 2" xfId="3502"/>
    <cellStyle name="Input [yellow] 4 2 2" xfId="3503"/>
    <cellStyle name="Input [yellow] 4 2 3" xfId="18738"/>
    <cellStyle name="Input [yellow] 4 3" xfId="3504"/>
    <cellStyle name="Input [yellow] 4 3 2" xfId="18739"/>
    <cellStyle name="Input [yellow] 4 4" xfId="3505"/>
    <cellStyle name="Input [yellow] 4 4 2" xfId="4604"/>
    <cellStyle name="Input [yellow] 4 4 3" xfId="18740"/>
    <cellStyle name="Input [yellow] 4 5" xfId="4605"/>
    <cellStyle name="Input [yellow] 4 6" xfId="4606"/>
    <cellStyle name="Input [yellow] 4 7" xfId="3501"/>
    <cellStyle name="Input [yellow] 4 8" xfId="18737"/>
    <cellStyle name="Input [yellow] 5" xfId="1246"/>
    <cellStyle name="Input [yellow] 5 2" xfId="4608"/>
    <cellStyle name="Input [yellow] 5 2 2" xfId="4609"/>
    <cellStyle name="Input [yellow] 5 2 3" xfId="18741"/>
    <cellStyle name="Input [yellow] 5 3" xfId="4610"/>
    <cellStyle name="Input [yellow] 5 4" xfId="5432"/>
    <cellStyle name="Input [yellow] 5 4 2" xfId="3506"/>
    <cellStyle name="Input [yellow] 5 5" xfId="3507"/>
    <cellStyle name="Input [yellow] 5 6" xfId="3508"/>
    <cellStyle name="Input [yellow] 5 7" xfId="4607"/>
    <cellStyle name="Input [yellow] 5 8" xfId="8011"/>
    <cellStyle name="Input [yellow] 6" xfId="1247"/>
    <cellStyle name="Input [yellow] 6 2" xfId="18743"/>
    <cellStyle name="Input [yellow] 6 3" xfId="18742"/>
    <cellStyle name="Input [yellow] 7" xfId="3509"/>
    <cellStyle name="Input [yellow] 7 2" xfId="3510"/>
    <cellStyle name="Input [yellow] 7 2 2" xfId="18745"/>
    <cellStyle name="Input [yellow] 7 3" xfId="18744"/>
    <cellStyle name="Input [yellow] 8" xfId="3511"/>
    <cellStyle name="Input [yellow] 8 2" xfId="18746"/>
    <cellStyle name="Input [yellow] 9" xfId="3512"/>
    <cellStyle name="Input [yellow] 9 2" xfId="3513"/>
    <cellStyle name="Input [yellow] 9 3" xfId="18747"/>
    <cellStyle name="Input [yellow]_For Accounts-Final Stock Fund" xfId="1248"/>
    <cellStyle name="Input 10" xfId="1249"/>
    <cellStyle name="Input 10 10" xfId="3514"/>
    <cellStyle name="Input 10 10 2" xfId="18748"/>
    <cellStyle name="Input 10 2" xfId="1250"/>
    <cellStyle name="Input 10 2 10" xfId="18749"/>
    <cellStyle name="Input 10 2 2" xfId="1251"/>
    <cellStyle name="Input 10 2 2 10" xfId="18750"/>
    <cellStyle name="Input 10 2 2 2" xfId="3515"/>
    <cellStyle name="Input 10 2 2 2 2" xfId="18752"/>
    <cellStyle name="Input 10 2 2 2 3" xfId="18753"/>
    <cellStyle name="Input 10 2 2 2 4" xfId="18751"/>
    <cellStyle name="Input 10 2 2 3" xfId="8013"/>
    <cellStyle name="Input 10 2 2 3 2" xfId="18755"/>
    <cellStyle name="Input 10 2 2 3 3" xfId="18754"/>
    <cellStyle name="Input 10 2 2 4" xfId="18756"/>
    <cellStyle name="Input 10 2 2 4 2" xfId="18757"/>
    <cellStyle name="Input 10 2 2 5" xfId="18758"/>
    <cellStyle name="Input 10 2 2 6" xfId="18759"/>
    <cellStyle name="Input 10 2 2 7" xfId="18760"/>
    <cellStyle name="Input 10 2 2 8" xfId="18761"/>
    <cellStyle name="Input 10 2 2 9" xfId="18762"/>
    <cellStyle name="Input 10 2 3" xfId="3516"/>
    <cellStyle name="Input 10 2 3 2" xfId="18764"/>
    <cellStyle name="Input 10 2 3 2 2" xfId="18765"/>
    <cellStyle name="Input 10 2 3 2 3" xfId="18766"/>
    <cellStyle name="Input 10 2 3 3" xfId="18767"/>
    <cellStyle name="Input 10 2 3 3 2" xfId="18768"/>
    <cellStyle name="Input 10 2 3 4" xfId="18769"/>
    <cellStyle name="Input 10 2 3 5" xfId="18770"/>
    <cellStyle name="Input 10 2 3 6" xfId="18771"/>
    <cellStyle name="Input 10 2 3 7" xfId="18763"/>
    <cellStyle name="Input 10 2 4" xfId="3517"/>
    <cellStyle name="Input 10 2 4 2" xfId="3518"/>
    <cellStyle name="Input 10 2 4 2 2" xfId="18773"/>
    <cellStyle name="Input 10 2 4 3" xfId="18772"/>
    <cellStyle name="Input 10 2 5" xfId="4611"/>
    <cellStyle name="Input 10 2 5 2" xfId="4612"/>
    <cellStyle name="Input 10 2 5 3" xfId="18774"/>
    <cellStyle name="Input 10 2 6" xfId="4613"/>
    <cellStyle name="Input 10 2 6 2" xfId="18775"/>
    <cellStyle name="Input 10 2 7" xfId="5433"/>
    <cellStyle name="Input 10 2 7 2" xfId="18776"/>
    <cellStyle name="Input 10 2 8" xfId="5206"/>
    <cellStyle name="Input 10 2 9" xfId="8012"/>
    <cellStyle name="Input 10 3" xfId="1252"/>
    <cellStyle name="Input 10 3 2" xfId="4615"/>
    <cellStyle name="Input 10 3 2 10" xfId="18778"/>
    <cellStyle name="Input 10 3 2 2" xfId="18779"/>
    <cellStyle name="Input 10 3 2 2 2" xfId="18780"/>
    <cellStyle name="Input 10 3 2 3" xfId="18781"/>
    <cellStyle name="Input 10 3 2 3 2" xfId="18782"/>
    <cellStyle name="Input 10 3 2 4" xfId="18783"/>
    <cellStyle name="Input 10 3 2 4 2" xfId="18784"/>
    <cellStyle name="Input 10 3 2 5" xfId="18785"/>
    <cellStyle name="Input 10 3 2 6" xfId="18786"/>
    <cellStyle name="Input 10 3 2 7" xfId="18787"/>
    <cellStyle name="Input 10 3 2 8" xfId="18788"/>
    <cellStyle name="Input 10 3 2 9" xfId="18789"/>
    <cellStyle name="Input 10 3 3" xfId="4614"/>
    <cellStyle name="Input 10 3 3 2" xfId="18791"/>
    <cellStyle name="Input 10 3 3 2 2" xfId="18792"/>
    <cellStyle name="Input 10 3 3 3" xfId="18793"/>
    <cellStyle name="Input 10 3 3 3 2" xfId="18794"/>
    <cellStyle name="Input 10 3 3 4" xfId="18795"/>
    <cellStyle name="Input 10 3 3 5" xfId="18796"/>
    <cellStyle name="Input 10 3 3 6" xfId="18797"/>
    <cellStyle name="Input 10 3 3 7" xfId="18790"/>
    <cellStyle name="Input 10 3 4" xfId="8014"/>
    <cellStyle name="Input 10 3 4 2" xfId="18798"/>
    <cellStyle name="Input 10 3 5" xfId="18799"/>
    <cellStyle name="Input 10 3 6" xfId="18800"/>
    <cellStyle name="Input 10 3 7" xfId="18801"/>
    <cellStyle name="Input 10 3 8" xfId="18777"/>
    <cellStyle name="Input 10 4" xfId="1253"/>
    <cellStyle name="Input 10 4 10" xfId="18802"/>
    <cellStyle name="Input 10 4 2" xfId="4616"/>
    <cellStyle name="Input 10 4 2 2" xfId="18804"/>
    <cellStyle name="Input 10 4 2 3" xfId="18805"/>
    <cellStyle name="Input 10 4 2 4" xfId="18803"/>
    <cellStyle name="Input 10 4 3" xfId="18806"/>
    <cellStyle name="Input 10 4 3 2" xfId="18807"/>
    <cellStyle name="Input 10 4 4" xfId="18808"/>
    <cellStyle name="Input 10 4 4 2" xfId="18809"/>
    <cellStyle name="Input 10 4 5" xfId="18810"/>
    <cellStyle name="Input 10 4 6" xfId="18811"/>
    <cellStyle name="Input 10 4 7" xfId="18812"/>
    <cellStyle name="Input 10 4 8" xfId="18813"/>
    <cellStyle name="Input 10 4 9" xfId="18814"/>
    <cellStyle name="Input 10 5" xfId="2733"/>
    <cellStyle name="Input 10 5 2" xfId="5434"/>
    <cellStyle name="Input 10 5 2 2" xfId="18816"/>
    <cellStyle name="Input 10 5 2 3" xfId="18817"/>
    <cellStyle name="Input 10 5 2 4" xfId="18815"/>
    <cellStyle name="Input 10 5 3" xfId="8346"/>
    <cellStyle name="Input 10 5 3 2" xfId="18818"/>
    <cellStyle name="Input 10 5 4" xfId="18819"/>
    <cellStyle name="Input 10 5 4 2" xfId="18820"/>
    <cellStyle name="Input 10 5 5" xfId="18821"/>
    <cellStyle name="Input 10 5 6" xfId="18822"/>
    <cellStyle name="Input 10 5 7" xfId="18823"/>
    <cellStyle name="Input 10 5 8" xfId="18824"/>
    <cellStyle name="Input 10 5 9" xfId="18825"/>
    <cellStyle name="Input 10 6" xfId="3519"/>
    <cellStyle name="Input 10 6 2" xfId="4617"/>
    <cellStyle name="Input 10 6 2 2" xfId="18828"/>
    <cellStyle name="Input 10 6 2 3" xfId="18827"/>
    <cellStyle name="Input 10 6 3" xfId="18829"/>
    <cellStyle name="Input 10 6 3 2" xfId="18830"/>
    <cellStyle name="Input 10 6 4" xfId="18831"/>
    <cellStyle name="Input 10 6 5" xfId="18832"/>
    <cellStyle name="Input 10 6 6" xfId="18833"/>
    <cellStyle name="Input 10 6 7" xfId="18826"/>
    <cellStyle name="Input 10 7" xfId="4618"/>
    <cellStyle name="Input 10 7 2" xfId="5435"/>
    <cellStyle name="Input 10 7 3" xfId="18834"/>
    <cellStyle name="Input 10 8" xfId="4619"/>
    <cellStyle name="Input 10 8 2" xfId="18835"/>
    <cellStyle name="Input 10 9" xfId="4620"/>
    <cellStyle name="Input 10 9 2" xfId="18836"/>
    <cellStyle name="Input 11" xfId="1254"/>
    <cellStyle name="Input 11 10" xfId="4621"/>
    <cellStyle name="Input 11 10 2" xfId="18837"/>
    <cellStyle name="Input 11 2" xfId="1255"/>
    <cellStyle name="Input 11 2 10" xfId="18838"/>
    <cellStyle name="Input 11 2 2" xfId="1256"/>
    <cellStyle name="Input 11 2 2 10" xfId="18839"/>
    <cellStyle name="Input 11 2 2 2" xfId="4622"/>
    <cellStyle name="Input 11 2 2 2 2" xfId="18841"/>
    <cellStyle name="Input 11 2 2 2 3" xfId="18842"/>
    <cellStyle name="Input 11 2 2 2 4" xfId="18840"/>
    <cellStyle name="Input 11 2 2 3" xfId="8016"/>
    <cellStyle name="Input 11 2 2 3 2" xfId="18844"/>
    <cellStyle name="Input 11 2 2 3 3" xfId="18843"/>
    <cellStyle name="Input 11 2 2 4" xfId="18845"/>
    <cellStyle name="Input 11 2 2 4 2" xfId="18846"/>
    <cellStyle name="Input 11 2 2 5" xfId="18847"/>
    <cellStyle name="Input 11 2 2 6" xfId="18848"/>
    <cellStyle name="Input 11 2 2 7" xfId="18849"/>
    <cellStyle name="Input 11 2 2 8" xfId="18850"/>
    <cellStyle name="Input 11 2 2 9" xfId="18851"/>
    <cellStyle name="Input 11 2 3" xfId="4623"/>
    <cellStyle name="Input 11 2 3 2" xfId="18853"/>
    <cellStyle name="Input 11 2 3 2 2" xfId="18854"/>
    <cellStyle name="Input 11 2 3 2 3" xfId="18855"/>
    <cellStyle name="Input 11 2 3 3" xfId="18856"/>
    <cellStyle name="Input 11 2 3 3 2" xfId="18857"/>
    <cellStyle name="Input 11 2 3 4" xfId="18858"/>
    <cellStyle name="Input 11 2 3 5" xfId="18859"/>
    <cellStyle name="Input 11 2 3 6" xfId="18860"/>
    <cellStyle name="Input 11 2 3 7" xfId="18852"/>
    <cellStyle name="Input 11 2 4" xfId="5335"/>
    <cellStyle name="Input 11 2 4 2" xfId="4624"/>
    <cellStyle name="Input 11 2 4 2 2" xfId="18862"/>
    <cellStyle name="Input 11 2 4 3" xfId="18861"/>
    <cellStyle name="Input 11 2 5" xfId="4625"/>
    <cellStyle name="Input 11 2 5 2" xfId="3520"/>
    <cellStyle name="Input 11 2 5 3" xfId="18863"/>
    <cellStyle name="Input 11 2 6" xfId="5459"/>
    <cellStyle name="Input 11 2 6 2" xfId="18864"/>
    <cellStyle name="Input 11 2 7" xfId="3262"/>
    <cellStyle name="Input 11 2 7 2" xfId="18865"/>
    <cellStyle name="Input 11 2 8" xfId="5441"/>
    <cellStyle name="Input 11 2 9" xfId="8015"/>
    <cellStyle name="Input 11 3" xfId="1257"/>
    <cellStyle name="Input 11 3 2" xfId="4627"/>
    <cellStyle name="Input 11 3 2 10" xfId="18867"/>
    <cellStyle name="Input 11 3 2 2" xfId="18868"/>
    <cellStyle name="Input 11 3 2 2 2" xfId="18869"/>
    <cellStyle name="Input 11 3 2 3" xfId="18870"/>
    <cellStyle name="Input 11 3 2 3 2" xfId="18871"/>
    <cellStyle name="Input 11 3 2 4" xfId="18872"/>
    <cellStyle name="Input 11 3 2 4 2" xfId="18873"/>
    <cellStyle name="Input 11 3 2 5" xfId="18874"/>
    <cellStyle name="Input 11 3 2 6" xfId="18875"/>
    <cellStyle name="Input 11 3 2 7" xfId="18876"/>
    <cellStyle name="Input 11 3 2 8" xfId="18877"/>
    <cellStyle name="Input 11 3 2 9" xfId="18878"/>
    <cellStyle name="Input 11 3 3" xfId="4626"/>
    <cellStyle name="Input 11 3 3 2" xfId="18880"/>
    <cellStyle name="Input 11 3 3 2 2" xfId="18881"/>
    <cellStyle name="Input 11 3 3 3" xfId="18882"/>
    <cellStyle name="Input 11 3 3 3 2" xfId="18883"/>
    <cellStyle name="Input 11 3 3 4" xfId="18884"/>
    <cellStyle name="Input 11 3 3 5" xfId="18885"/>
    <cellStyle name="Input 11 3 3 6" xfId="18886"/>
    <cellStyle name="Input 11 3 3 7" xfId="18879"/>
    <cellStyle name="Input 11 3 4" xfId="8017"/>
    <cellStyle name="Input 11 3 4 2" xfId="18887"/>
    <cellStyle name="Input 11 3 5" xfId="18888"/>
    <cellStyle name="Input 11 3 6" xfId="18889"/>
    <cellStyle name="Input 11 3 7" xfId="18890"/>
    <cellStyle name="Input 11 3 8" xfId="18866"/>
    <cellStyle name="Input 11 4" xfId="1258"/>
    <cellStyle name="Input 11 4 10" xfId="18891"/>
    <cellStyle name="Input 11 4 2" xfId="5447"/>
    <cellStyle name="Input 11 4 2 2" xfId="18893"/>
    <cellStyle name="Input 11 4 2 3" xfId="18894"/>
    <cellStyle name="Input 11 4 2 4" xfId="18892"/>
    <cellStyle name="Input 11 4 3" xfId="18895"/>
    <cellStyle name="Input 11 4 3 2" xfId="18896"/>
    <cellStyle name="Input 11 4 4" xfId="18897"/>
    <cellStyle name="Input 11 4 4 2" xfId="18898"/>
    <cellStyle name="Input 11 4 5" xfId="18899"/>
    <cellStyle name="Input 11 4 6" xfId="18900"/>
    <cellStyle name="Input 11 4 7" xfId="18901"/>
    <cellStyle name="Input 11 4 8" xfId="18902"/>
    <cellStyle name="Input 11 4 9" xfId="18903"/>
    <cellStyle name="Input 11 5" xfId="2734"/>
    <cellStyle name="Input 11 5 2" xfId="4628"/>
    <cellStyle name="Input 11 5 2 2" xfId="18905"/>
    <cellStyle name="Input 11 5 2 3" xfId="18906"/>
    <cellStyle name="Input 11 5 2 4" xfId="18904"/>
    <cellStyle name="Input 11 5 3" xfId="8347"/>
    <cellStyle name="Input 11 5 3 2" xfId="18907"/>
    <cellStyle name="Input 11 5 4" xfId="18908"/>
    <cellStyle name="Input 11 5 4 2" xfId="18909"/>
    <cellStyle name="Input 11 5 5" xfId="18910"/>
    <cellStyle name="Input 11 5 6" xfId="18911"/>
    <cellStyle name="Input 11 5 7" xfId="18912"/>
    <cellStyle name="Input 11 5 8" xfId="18913"/>
    <cellStyle name="Input 11 5 9" xfId="18914"/>
    <cellStyle name="Input 11 6" xfId="4629"/>
    <cellStyle name="Input 11 6 2" xfId="4630"/>
    <cellStyle name="Input 11 6 2 2" xfId="18917"/>
    <cellStyle name="Input 11 6 2 3" xfId="18916"/>
    <cellStyle name="Input 11 6 3" xfId="18918"/>
    <cellStyle name="Input 11 6 3 2" xfId="18919"/>
    <cellStyle name="Input 11 6 4" xfId="18920"/>
    <cellStyle name="Input 11 6 5" xfId="18921"/>
    <cellStyle name="Input 11 6 6" xfId="18922"/>
    <cellStyle name="Input 11 6 7" xfId="18915"/>
    <cellStyle name="Input 11 7" xfId="4631"/>
    <cellStyle name="Input 11 7 2" xfId="4632"/>
    <cellStyle name="Input 11 7 3" xfId="18923"/>
    <cellStyle name="Input 11 8" xfId="4633"/>
    <cellStyle name="Input 11 8 2" xfId="18924"/>
    <cellStyle name="Input 11 9" xfId="4634"/>
    <cellStyle name="Input 11 9 2" xfId="18925"/>
    <cellStyle name="Input 12" xfId="1259"/>
    <cellStyle name="Input 12 10" xfId="4635"/>
    <cellStyle name="Input 12 10 2" xfId="18926"/>
    <cellStyle name="Input 12 11" xfId="8018"/>
    <cellStyle name="Input 12 2" xfId="1260"/>
    <cellStyle name="Input 12 2 10" xfId="18927"/>
    <cellStyle name="Input 12 2 2" xfId="4636"/>
    <cellStyle name="Input 12 2 2 10" xfId="18928"/>
    <cellStyle name="Input 12 2 2 2" xfId="18929"/>
    <cellStyle name="Input 12 2 2 2 2" xfId="18930"/>
    <cellStyle name="Input 12 2 2 2 3" xfId="18931"/>
    <cellStyle name="Input 12 2 2 3" xfId="18932"/>
    <cellStyle name="Input 12 2 2 3 2" xfId="18933"/>
    <cellStyle name="Input 12 2 2 4" xfId="18934"/>
    <cellStyle name="Input 12 2 2 4 2" xfId="18935"/>
    <cellStyle name="Input 12 2 2 5" xfId="18936"/>
    <cellStyle name="Input 12 2 2 6" xfId="18937"/>
    <cellStyle name="Input 12 2 2 7" xfId="18938"/>
    <cellStyle name="Input 12 2 2 8" xfId="18939"/>
    <cellStyle name="Input 12 2 2 9" xfId="18940"/>
    <cellStyle name="Input 12 2 3" xfId="4637"/>
    <cellStyle name="Input 12 2 3 2" xfId="18942"/>
    <cellStyle name="Input 12 2 3 2 2" xfId="18943"/>
    <cellStyle name="Input 12 2 3 2 3" xfId="18944"/>
    <cellStyle name="Input 12 2 3 3" xfId="18945"/>
    <cellStyle name="Input 12 2 3 3 2" xfId="18946"/>
    <cellStyle name="Input 12 2 3 4" xfId="18947"/>
    <cellStyle name="Input 12 2 3 5" xfId="18948"/>
    <cellStyle name="Input 12 2 3 6" xfId="18949"/>
    <cellStyle name="Input 12 2 3 7" xfId="18941"/>
    <cellStyle name="Input 12 2 4" xfId="4638"/>
    <cellStyle name="Input 12 2 4 2" xfId="4639"/>
    <cellStyle name="Input 12 2 4 2 2" xfId="18951"/>
    <cellStyle name="Input 12 2 4 3" xfId="18950"/>
    <cellStyle name="Input 12 2 5" xfId="3264"/>
    <cellStyle name="Input 12 2 5 2" xfId="4640"/>
    <cellStyle name="Input 12 2 5 3" xfId="18952"/>
    <cellStyle name="Input 12 2 6" xfId="4641"/>
    <cellStyle name="Input 12 2 6 2" xfId="18953"/>
    <cellStyle name="Input 12 2 7" xfId="4642"/>
    <cellStyle name="Input 12 2 7 2" xfId="18954"/>
    <cellStyle name="Input 12 2 8" xfId="3521"/>
    <cellStyle name="Input 12 2 9" xfId="8019"/>
    <cellStyle name="Input 12 3" xfId="2735"/>
    <cellStyle name="Input 12 3 2" xfId="5207"/>
    <cellStyle name="Input 12 3 2 10" xfId="18955"/>
    <cellStyle name="Input 12 3 2 2" xfId="18956"/>
    <cellStyle name="Input 12 3 2 2 2" xfId="18957"/>
    <cellStyle name="Input 12 3 2 3" xfId="18958"/>
    <cellStyle name="Input 12 3 2 3 2" xfId="18959"/>
    <cellStyle name="Input 12 3 2 4" xfId="18960"/>
    <cellStyle name="Input 12 3 2 4 2" xfId="18961"/>
    <cellStyle name="Input 12 3 2 5" xfId="18962"/>
    <cellStyle name="Input 12 3 2 6" xfId="18963"/>
    <cellStyle name="Input 12 3 2 7" xfId="18964"/>
    <cellStyle name="Input 12 3 2 8" xfId="18965"/>
    <cellStyle name="Input 12 3 2 9" xfId="18966"/>
    <cellStyle name="Input 12 3 3" xfId="4643"/>
    <cellStyle name="Input 12 3 3 2" xfId="18968"/>
    <cellStyle name="Input 12 3 3 2 2" xfId="18969"/>
    <cellStyle name="Input 12 3 3 3" xfId="18970"/>
    <cellStyle name="Input 12 3 3 3 2" xfId="18971"/>
    <cellStyle name="Input 12 3 3 4" xfId="18972"/>
    <cellStyle name="Input 12 3 3 5" xfId="18973"/>
    <cellStyle name="Input 12 3 3 6" xfId="18974"/>
    <cellStyle name="Input 12 3 3 7" xfId="18967"/>
    <cellStyle name="Input 12 3 4" xfId="8348"/>
    <cellStyle name="Input 12 3 5" xfId="18975"/>
    <cellStyle name="Input 12 3 6" xfId="18976"/>
    <cellStyle name="Input 12 3 7" xfId="18977"/>
    <cellStyle name="Input 12 4" xfId="4644"/>
    <cellStyle name="Input 12 4 10" xfId="18978"/>
    <cellStyle name="Input 12 4 2" xfId="18979"/>
    <cellStyle name="Input 12 4 2 2" xfId="18980"/>
    <cellStyle name="Input 12 4 2 3" xfId="18981"/>
    <cellStyle name="Input 12 4 3" xfId="18982"/>
    <cellStyle name="Input 12 4 3 2" xfId="18983"/>
    <cellStyle name="Input 12 4 4" xfId="18984"/>
    <cellStyle name="Input 12 4 4 2" xfId="18985"/>
    <cellStyle name="Input 12 4 5" xfId="18986"/>
    <cellStyle name="Input 12 4 6" xfId="18987"/>
    <cellStyle name="Input 12 4 7" xfId="18988"/>
    <cellStyle name="Input 12 4 8" xfId="18989"/>
    <cellStyle name="Input 12 4 9" xfId="18990"/>
    <cellStyle name="Input 12 5" xfId="4645"/>
    <cellStyle name="Input 12 5 10" xfId="18991"/>
    <cellStyle name="Input 12 5 2" xfId="18992"/>
    <cellStyle name="Input 12 5 2 2" xfId="18993"/>
    <cellStyle name="Input 12 5 2 3" xfId="18994"/>
    <cellStyle name="Input 12 5 3" xfId="18995"/>
    <cellStyle name="Input 12 5 3 2" xfId="18996"/>
    <cellStyle name="Input 12 5 4" xfId="18997"/>
    <cellStyle name="Input 12 5 4 2" xfId="18998"/>
    <cellStyle name="Input 12 5 5" xfId="18999"/>
    <cellStyle name="Input 12 5 6" xfId="19000"/>
    <cellStyle name="Input 12 5 7" xfId="19001"/>
    <cellStyle name="Input 12 5 8" xfId="19002"/>
    <cellStyle name="Input 12 5 9" xfId="19003"/>
    <cellStyle name="Input 12 6" xfId="4646"/>
    <cellStyle name="Input 12 6 2" xfId="4647"/>
    <cellStyle name="Input 12 6 2 2" xfId="19006"/>
    <cellStyle name="Input 12 6 2 3" xfId="19005"/>
    <cellStyle name="Input 12 6 3" xfId="19007"/>
    <cellStyle name="Input 12 6 3 2" xfId="19008"/>
    <cellStyle name="Input 12 6 4" xfId="19009"/>
    <cellStyle name="Input 12 6 5" xfId="19010"/>
    <cellStyle name="Input 12 6 6" xfId="19011"/>
    <cellStyle name="Input 12 6 7" xfId="19004"/>
    <cellStyle name="Input 12 7" xfId="4648"/>
    <cellStyle name="Input 12 7 2" xfId="4649"/>
    <cellStyle name="Input 12 7 3" xfId="19012"/>
    <cellStyle name="Input 12 8" xfId="4650"/>
    <cellStyle name="Input 12 8 2" xfId="19013"/>
    <cellStyle name="Input 12 9" xfId="5330"/>
    <cellStyle name="Input 12 9 2" xfId="19014"/>
    <cellStyle name="Input 13" xfId="1261"/>
    <cellStyle name="Input 13 10" xfId="4651"/>
    <cellStyle name="Input 13 10 2" xfId="19015"/>
    <cellStyle name="Input 13 11" xfId="8020"/>
    <cellStyle name="Input 13 2" xfId="1262"/>
    <cellStyle name="Input 13 2 10" xfId="19016"/>
    <cellStyle name="Input 13 2 2" xfId="4653"/>
    <cellStyle name="Input 13 2 2 10" xfId="19017"/>
    <cellStyle name="Input 13 2 2 2" xfId="19018"/>
    <cellStyle name="Input 13 2 2 2 2" xfId="19019"/>
    <cellStyle name="Input 13 2 2 2 3" xfId="19020"/>
    <cellStyle name="Input 13 2 2 3" xfId="19021"/>
    <cellStyle name="Input 13 2 2 3 2" xfId="19022"/>
    <cellStyle name="Input 13 2 2 4" xfId="19023"/>
    <cellStyle name="Input 13 2 2 4 2" xfId="19024"/>
    <cellStyle name="Input 13 2 2 5" xfId="19025"/>
    <cellStyle name="Input 13 2 2 6" xfId="19026"/>
    <cellStyle name="Input 13 2 2 7" xfId="19027"/>
    <cellStyle name="Input 13 2 2 8" xfId="19028"/>
    <cellStyle name="Input 13 2 2 9" xfId="19029"/>
    <cellStyle name="Input 13 2 3" xfId="4654"/>
    <cellStyle name="Input 13 2 3 2" xfId="19031"/>
    <cellStyle name="Input 13 2 3 2 2" xfId="19032"/>
    <cellStyle name="Input 13 2 3 2 3" xfId="19033"/>
    <cellStyle name="Input 13 2 3 3" xfId="19034"/>
    <cellStyle name="Input 13 2 3 3 2" xfId="19035"/>
    <cellStyle name="Input 13 2 3 4" xfId="19036"/>
    <cellStyle name="Input 13 2 3 5" xfId="19037"/>
    <cellStyle name="Input 13 2 3 6" xfId="19038"/>
    <cellStyle name="Input 13 2 3 7" xfId="19030"/>
    <cellStyle name="Input 13 2 4" xfId="4655"/>
    <cellStyle name="Input 13 2 4 2" xfId="4656"/>
    <cellStyle name="Input 13 2 4 2 2" xfId="19040"/>
    <cellStyle name="Input 13 2 4 3" xfId="19039"/>
    <cellStyle name="Input 13 2 5" xfId="4657"/>
    <cellStyle name="Input 13 2 5 2" xfId="4658"/>
    <cellStyle name="Input 13 2 5 3" xfId="19041"/>
    <cellStyle name="Input 13 2 6" xfId="4659"/>
    <cellStyle name="Input 13 2 6 2" xfId="19042"/>
    <cellStyle name="Input 13 2 7" xfId="4660"/>
    <cellStyle name="Input 13 2 7 2" xfId="19043"/>
    <cellStyle name="Input 13 2 8" xfId="4652"/>
    <cellStyle name="Input 13 2 9" xfId="8021"/>
    <cellStyle name="Input 13 3" xfId="2736"/>
    <cellStyle name="Input 13 3 2" xfId="4662"/>
    <cellStyle name="Input 13 3 2 10" xfId="19044"/>
    <cellStyle name="Input 13 3 2 2" xfId="19045"/>
    <cellStyle name="Input 13 3 2 2 2" xfId="19046"/>
    <cellStyle name="Input 13 3 2 3" xfId="19047"/>
    <cellStyle name="Input 13 3 2 3 2" xfId="19048"/>
    <cellStyle name="Input 13 3 2 4" xfId="19049"/>
    <cellStyle name="Input 13 3 2 4 2" xfId="19050"/>
    <cellStyle name="Input 13 3 2 5" xfId="19051"/>
    <cellStyle name="Input 13 3 2 6" xfId="19052"/>
    <cellStyle name="Input 13 3 2 7" xfId="19053"/>
    <cellStyle name="Input 13 3 2 8" xfId="19054"/>
    <cellStyle name="Input 13 3 2 9" xfId="19055"/>
    <cellStyle name="Input 13 3 3" xfId="4661"/>
    <cellStyle name="Input 13 3 3 2" xfId="19057"/>
    <cellStyle name="Input 13 3 3 2 2" xfId="19058"/>
    <cellStyle name="Input 13 3 3 3" xfId="19059"/>
    <cellStyle name="Input 13 3 3 3 2" xfId="19060"/>
    <cellStyle name="Input 13 3 3 4" xfId="19061"/>
    <cellStyle name="Input 13 3 3 5" xfId="19062"/>
    <cellStyle name="Input 13 3 3 6" xfId="19063"/>
    <cellStyle name="Input 13 3 3 7" xfId="19056"/>
    <cellStyle name="Input 13 3 4" xfId="8349"/>
    <cellStyle name="Input 13 3 5" xfId="19064"/>
    <cellStyle name="Input 13 3 6" xfId="19065"/>
    <cellStyle name="Input 13 3 7" xfId="19066"/>
    <cellStyle name="Input 13 4" xfId="4663"/>
    <cellStyle name="Input 13 4 10" xfId="19067"/>
    <cellStyle name="Input 13 4 2" xfId="19068"/>
    <cellStyle name="Input 13 4 2 2" xfId="19069"/>
    <cellStyle name="Input 13 4 2 3" xfId="19070"/>
    <cellStyle name="Input 13 4 3" xfId="19071"/>
    <cellStyle name="Input 13 4 3 2" xfId="19072"/>
    <cellStyle name="Input 13 4 4" xfId="19073"/>
    <cellStyle name="Input 13 4 4 2" xfId="19074"/>
    <cellStyle name="Input 13 4 5" xfId="19075"/>
    <cellStyle name="Input 13 4 6" xfId="19076"/>
    <cellStyle name="Input 13 4 7" xfId="19077"/>
    <cellStyle name="Input 13 4 8" xfId="19078"/>
    <cellStyle name="Input 13 4 9" xfId="19079"/>
    <cellStyle name="Input 13 5" xfId="4664"/>
    <cellStyle name="Input 13 5 10" xfId="19080"/>
    <cellStyle name="Input 13 5 2" xfId="19081"/>
    <cellStyle name="Input 13 5 2 2" xfId="19082"/>
    <cellStyle name="Input 13 5 2 3" xfId="19083"/>
    <cellStyle name="Input 13 5 3" xfId="19084"/>
    <cellStyle name="Input 13 5 3 2" xfId="19085"/>
    <cellStyle name="Input 13 5 4" xfId="19086"/>
    <cellStyle name="Input 13 5 4 2" xfId="19087"/>
    <cellStyle name="Input 13 5 5" xfId="19088"/>
    <cellStyle name="Input 13 5 6" xfId="19089"/>
    <cellStyle name="Input 13 5 7" xfId="19090"/>
    <cellStyle name="Input 13 5 8" xfId="19091"/>
    <cellStyle name="Input 13 5 9" xfId="19092"/>
    <cellStyle name="Input 13 6" xfId="4665"/>
    <cellStyle name="Input 13 6 2" xfId="4666"/>
    <cellStyle name="Input 13 6 2 2" xfId="19095"/>
    <cellStyle name="Input 13 6 2 3" xfId="19094"/>
    <cellStyle name="Input 13 6 3" xfId="19096"/>
    <cellStyle name="Input 13 6 3 2" xfId="19097"/>
    <cellStyle name="Input 13 6 4" xfId="19098"/>
    <cellStyle name="Input 13 6 5" xfId="19099"/>
    <cellStyle name="Input 13 6 6" xfId="19100"/>
    <cellStyle name="Input 13 6 7" xfId="19093"/>
    <cellStyle name="Input 13 7" xfId="4667"/>
    <cellStyle name="Input 13 7 2" xfId="4668"/>
    <cellStyle name="Input 13 7 3" xfId="19101"/>
    <cellStyle name="Input 13 8" xfId="4669"/>
    <cellStyle name="Input 13 8 2" xfId="19102"/>
    <cellStyle name="Input 13 9" xfId="4670"/>
    <cellStyle name="Input 13 9 2" xfId="19103"/>
    <cellStyle name="Input 14" xfId="1263"/>
    <cellStyle name="Input 14 10" xfId="4671"/>
    <cellStyle name="Input 14 10 2" xfId="19104"/>
    <cellStyle name="Input 14 11" xfId="8022"/>
    <cellStyle name="Input 14 2" xfId="1264"/>
    <cellStyle name="Input 14 2 10" xfId="19105"/>
    <cellStyle name="Input 14 2 2" xfId="4673"/>
    <cellStyle name="Input 14 2 2 10" xfId="19106"/>
    <cellStyle name="Input 14 2 2 2" xfId="19107"/>
    <cellStyle name="Input 14 2 2 2 2" xfId="19108"/>
    <cellStyle name="Input 14 2 2 2 3" xfId="19109"/>
    <cellStyle name="Input 14 2 2 3" xfId="19110"/>
    <cellStyle name="Input 14 2 2 3 2" xfId="19111"/>
    <cellStyle name="Input 14 2 2 4" xfId="19112"/>
    <cellStyle name="Input 14 2 2 4 2" xfId="19113"/>
    <cellStyle name="Input 14 2 2 5" xfId="19114"/>
    <cellStyle name="Input 14 2 2 6" xfId="19115"/>
    <cellStyle name="Input 14 2 2 7" xfId="19116"/>
    <cellStyle name="Input 14 2 2 8" xfId="19117"/>
    <cellStyle name="Input 14 2 2 9" xfId="19118"/>
    <cellStyle name="Input 14 2 3" xfId="4674"/>
    <cellStyle name="Input 14 2 3 2" xfId="19120"/>
    <cellStyle name="Input 14 2 3 2 2" xfId="19121"/>
    <cellStyle name="Input 14 2 3 2 3" xfId="19122"/>
    <cellStyle name="Input 14 2 3 3" xfId="19123"/>
    <cellStyle name="Input 14 2 3 3 2" xfId="19124"/>
    <cellStyle name="Input 14 2 3 4" xfId="19125"/>
    <cellStyle name="Input 14 2 3 5" xfId="19126"/>
    <cellStyle name="Input 14 2 3 6" xfId="19127"/>
    <cellStyle name="Input 14 2 3 7" xfId="19119"/>
    <cellStyle name="Input 14 2 4" xfId="4675"/>
    <cellStyle name="Input 14 2 4 2" xfId="4676"/>
    <cellStyle name="Input 14 2 4 2 2" xfId="19129"/>
    <cellStyle name="Input 14 2 4 3" xfId="19128"/>
    <cellStyle name="Input 14 2 5" xfId="4677"/>
    <cellStyle name="Input 14 2 5 2" xfId="4678"/>
    <cellStyle name="Input 14 2 5 3" xfId="19130"/>
    <cellStyle name="Input 14 2 6" xfId="4679"/>
    <cellStyle name="Input 14 2 6 2" xfId="19131"/>
    <cellStyle name="Input 14 2 7" xfId="4680"/>
    <cellStyle name="Input 14 2 7 2" xfId="19132"/>
    <cellStyle name="Input 14 2 8" xfId="4672"/>
    <cellStyle name="Input 14 2 9" xfId="8023"/>
    <cellStyle name="Input 14 3" xfId="2737"/>
    <cellStyle name="Input 14 3 2" xfId="4682"/>
    <cellStyle name="Input 14 3 2 10" xfId="19133"/>
    <cellStyle name="Input 14 3 2 2" xfId="19134"/>
    <cellStyle name="Input 14 3 2 2 2" xfId="19135"/>
    <cellStyle name="Input 14 3 2 3" xfId="19136"/>
    <cellStyle name="Input 14 3 2 3 2" xfId="19137"/>
    <cellStyle name="Input 14 3 2 4" xfId="19138"/>
    <cellStyle name="Input 14 3 2 4 2" xfId="19139"/>
    <cellStyle name="Input 14 3 2 5" xfId="19140"/>
    <cellStyle name="Input 14 3 2 6" xfId="19141"/>
    <cellStyle name="Input 14 3 2 7" xfId="19142"/>
    <cellStyle name="Input 14 3 2 8" xfId="19143"/>
    <cellStyle name="Input 14 3 2 9" xfId="19144"/>
    <cellStyle name="Input 14 3 3" xfId="4681"/>
    <cellStyle name="Input 14 3 3 2" xfId="19146"/>
    <cellStyle name="Input 14 3 3 2 2" xfId="19147"/>
    <cellStyle name="Input 14 3 3 3" xfId="19148"/>
    <cellStyle name="Input 14 3 3 3 2" xfId="19149"/>
    <cellStyle name="Input 14 3 3 4" xfId="19150"/>
    <cellStyle name="Input 14 3 3 5" xfId="19151"/>
    <cellStyle name="Input 14 3 3 6" xfId="19152"/>
    <cellStyle name="Input 14 3 3 7" xfId="19145"/>
    <cellStyle name="Input 14 3 4" xfId="8350"/>
    <cellStyle name="Input 14 3 5" xfId="19153"/>
    <cellStyle name="Input 14 3 6" xfId="19154"/>
    <cellStyle name="Input 14 3 7" xfId="19155"/>
    <cellStyle name="Input 14 4" xfId="4683"/>
    <cellStyle name="Input 14 4 10" xfId="19156"/>
    <cellStyle name="Input 14 4 2" xfId="19157"/>
    <cellStyle name="Input 14 4 2 2" xfId="19158"/>
    <cellStyle name="Input 14 4 2 3" xfId="19159"/>
    <cellStyle name="Input 14 4 3" xfId="19160"/>
    <cellStyle name="Input 14 4 3 2" xfId="19161"/>
    <cellStyle name="Input 14 4 4" xfId="19162"/>
    <cellStyle name="Input 14 4 4 2" xfId="19163"/>
    <cellStyle name="Input 14 4 5" xfId="19164"/>
    <cellStyle name="Input 14 4 6" xfId="19165"/>
    <cellStyle name="Input 14 4 7" xfId="19166"/>
    <cellStyle name="Input 14 4 8" xfId="19167"/>
    <cellStyle name="Input 14 4 9" xfId="19168"/>
    <cellStyle name="Input 14 5" xfId="4684"/>
    <cellStyle name="Input 14 5 10" xfId="19169"/>
    <cellStyle name="Input 14 5 2" xfId="19170"/>
    <cellStyle name="Input 14 5 2 2" xfId="19171"/>
    <cellStyle name="Input 14 5 2 3" xfId="19172"/>
    <cellStyle name="Input 14 5 3" xfId="19173"/>
    <cellStyle name="Input 14 5 3 2" xfId="19174"/>
    <cellStyle name="Input 14 5 4" xfId="19175"/>
    <cellStyle name="Input 14 5 4 2" xfId="19176"/>
    <cellStyle name="Input 14 5 5" xfId="19177"/>
    <cellStyle name="Input 14 5 6" xfId="19178"/>
    <cellStyle name="Input 14 5 7" xfId="19179"/>
    <cellStyle name="Input 14 5 8" xfId="19180"/>
    <cellStyle name="Input 14 5 9" xfId="19181"/>
    <cellStyle name="Input 14 6" xfId="4685"/>
    <cellStyle name="Input 14 6 2" xfId="5436"/>
    <cellStyle name="Input 14 6 2 2" xfId="19184"/>
    <cellStyle name="Input 14 6 2 3" xfId="19183"/>
    <cellStyle name="Input 14 6 3" xfId="19185"/>
    <cellStyle name="Input 14 6 3 2" xfId="19186"/>
    <cellStyle name="Input 14 6 4" xfId="19187"/>
    <cellStyle name="Input 14 6 5" xfId="19188"/>
    <cellStyle name="Input 14 6 6" xfId="19189"/>
    <cellStyle name="Input 14 6 7" xfId="19182"/>
    <cellStyle name="Input 14 7" xfId="4686"/>
    <cellStyle name="Input 14 7 2" xfId="5331"/>
    <cellStyle name="Input 14 7 3" xfId="19190"/>
    <cellStyle name="Input 14 8" xfId="4687"/>
    <cellStyle name="Input 14 8 2" xfId="19191"/>
    <cellStyle name="Input 14 9" xfId="4688"/>
    <cellStyle name="Input 14 9 2" xfId="19192"/>
    <cellStyle name="Input 15" xfId="1265"/>
    <cellStyle name="Input 15 10" xfId="4689"/>
    <cellStyle name="Input 15 10 2" xfId="19193"/>
    <cellStyle name="Input 15 11" xfId="8024"/>
    <cellStyle name="Input 15 2" xfId="1266"/>
    <cellStyle name="Input 15 2 10" xfId="19194"/>
    <cellStyle name="Input 15 2 2" xfId="4691"/>
    <cellStyle name="Input 15 2 2 10" xfId="19195"/>
    <cellStyle name="Input 15 2 2 2" xfId="19196"/>
    <cellStyle name="Input 15 2 2 2 2" xfId="19197"/>
    <cellStyle name="Input 15 2 2 2 3" xfId="19198"/>
    <cellStyle name="Input 15 2 2 3" xfId="19199"/>
    <cellStyle name="Input 15 2 2 3 2" xfId="19200"/>
    <cellStyle name="Input 15 2 2 4" xfId="19201"/>
    <cellStyle name="Input 15 2 2 4 2" xfId="19202"/>
    <cellStyle name="Input 15 2 2 5" xfId="19203"/>
    <cellStyle name="Input 15 2 2 6" xfId="19204"/>
    <cellStyle name="Input 15 2 2 7" xfId="19205"/>
    <cellStyle name="Input 15 2 2 8" xfId="19206"/>
    <cellStyle name="Input 15 2 2 9" xfId="19207"/>
    <cellStyle name="Input 15 2 3" xfId="4692"/>
    <cellStyle name="Input 15 2 3 2" xfId="19209"/>
    <cellStyle name="Input 15 2 3 2 2" xfId="19210"/>
    <cellStyle name="Input 15 2 3 2 3" xfId="19211"/>
    <cellStyle name="Input 15 2 3 3" xfId="19212"/>
    <cellStyle name="Input 15 2 3 3 2" xfId="19213"/>
    <cellStyle name="Input 15 2 3 4" xfId="19214"/>
    <cellStyle name="Input 15 2 3 5" xfId="19215"/>
    <cellStyle name="Input 15 2 3 6" xfId="19216"/>
    <cellStyle name="Input 15 2 3 7" xfId="19208"/>
    <cellStyle name="Input 15 2 4" xfId="4693"/>
    <cellStyle name="Input 15 2 4 2" xfId="4694"/>
    <cellStyle name="Input 15 2 4 2 2" xfId="19218"/>
    <cellStyle name="Input 15 2 4 3" xfId="19217"/>
    <cellStyle name="Input 15 2 5" xfId="4916"/>
    <cellStyle name="Input 15 2 5 2" xfId="4695"/>
    <cellStyle name="Input 15 2 5 3" xfId="19219"/>
    <cellStyle name="Input 15 2 6" xfId="4696"/>
    <cellStyle name="Input 15 2 6 2" xfId="19220"/>
    <cellStyle name="Input 15 2 7" xfId="4697"/>
    <cellStyle name="Input 15 2 7 2" xfId="19221"/>
    <cellStyle name="Input 15 2 8" xfId="4690"/>
    <cellStyle name="Input 15 2 9" xfId="8025"/>
    <cellStyle name="Input 15 3" xfId="2738"/>
    <cellStyle name="Input 15 3 2" xfId="4698"/>
    <cellStyle name="Input 15 3 2 10" xfId="19222"/>
    <cellStyle name="Input 15 3 2 2" xfId="19223"/>
    <cellStyle name="Input 15 3 2 2 2" xfId="19224"/>
    <cellStyle name="Input 15 3 2 3" xfId="19225"/>
    <cellStyle name="Input 15 3 2 3 2" xfId="19226"/>
    <cellStyle name="Input 15 3 2 4" xfId="19227"/>
    <cellStyle name="Input 15 3 2 4 2" xfId="19228"/>
    <cellStyle name="Input 15 3 2 5" xfId="19229"/>
    <cellStyle name="Input 15 3 2 6" xfId="19230"/>
    <cellStyle name="Input 15 3 2 7" xfId="19231"/>
    <cellStyle name="Input 15 3 2 8" xfId="19232"/>
    <cellStyle name="Input 15 3 2 9" xfId="19233"/>
    <cellStyle name="Input 15 3 3" xfId="5208"/>
    <cellStyle name="Input 15 3 3 2" xfId="19235"/>
    <cellStyle name="Input 15 3 3 2 2" xfId="19236"/>
    <cellStyle name="Input 15 3 3 3" xfId="19237"/>
    <cellStyle name="Input 15 3 3 3 2" xfId="19238"/>
    <cellStyle name="Input 15 3 3 4" xfId="19239"/>
    <cellStyle name="Input 15 3 3 5" xfId="19240"/>
    <cellStyle name="Input 15 3 3 6" xfId="19241"/>
    <cellStyle name="Input 15 3 3 7" xfId="19234"/>
    <cellStyle name="Input 15 3 4" xfId="8351"/>
    <cellStyle name="Input 15 3 5" xfId="19242"/>
    <cellStyle name="Input 15 3 6" xfId="19243"/>
    <cellStyle name="Input 15 3 7" xfId="19244"/>
    <cellStyle name="Input 15 4" xfId="5332"/>
    <cellStyle name="Input 15 4 10" xfId="19245"/>
    <cellStyle name="Input 15 4 2" xfId="19246"/>
    <cellStyle name="Input 15 4 2 2" xfId="19247"/>
    <cellStyle name="Input 15 4 2 3" xfId="19248"/>
    <cellStyle name="Input 15 4 3" xfId="19249"/>
    <cellStyle name="Input 15 4 3 2" xfId="19250"/>
    <cellStyle name="Input 15 4 4" xfId="19251"/>
    <cellStyle name="Input 15 4 4 2" xfId="19252"/>
    <cellStyle name="Input 15 4 5" xfId="19253"/>
    <cellStyle name="Input 15 4 6" xfId="19254"/>
    <cellStyle name="Input 15 4 7" xfId="19255"/>
    <cellStyle name="Input 15 4 8" xfId="19256"/>
    <cellStyle name="Input 15 4 9" xfId="19257"/>
    <cellStyle name="Input 15 5" xfId="4699"/>
    <cellStyle name="Input 15 5 10" xfId="19258"/>
    <cellStyle name="Input 15 5 2" xfId="19259"/>
    <cellStyle name="Input 15 5 2 2" xfId="19260"/>
    <cellStyle name="Input 15 5 2 3" xfId="19261"/>
    <cellStyle name="Input 15 5 3" xfId="19262"/>
    <cellStyle name="Input 15 5 3 2" xfId="19263"/>
    <cellStyle name="Input 15 5 4" xfId="19264"/>
    <cellStyle name="Input 15 5 4 2" xfId="19265"/>
    <cellStyle name="Input 15 5 5" xfId="19266"/>
    <cellStyle name="Input 15 5 6" xfId="19267"/>
    <cellStyle name="Input 15 5 7" xfId="19268"/>
    <cellStyle name="Input 15 5 8" xfId="19269"/>
    <cellStyle name="Input 15 5 9" xfId="19270"/>
    <cellStyle name="Input 15 6" xfId="4700"/>
    <cellStyle name="Input 15 6 2" xfId="4701"/>
    <cellStyle name="Input 15 6 2 2" xfId="19273"/>
    <cellStyle name="Input 15 6 2 3" xfId="19272"/>
    <cellStyle name="Input 15 6 3" xfId="19274"/>
    <cellStyle name="Input 15 6 3 2" xfId="19275"/>
    <cellStyle name="Input 15 6 4" xfId="19276"/>
    <cellStyle name="Input 15 6 5" xfId="19277"/>
    <cellStyle name="Input 15 6 6" xfId="19278"/>
    <cellStyle name="Input 15 6 7" xfId="19271"/>
    <cellStyle name="Input 15 7" xfId="4702"/>
    <cellStyle name="Input 15 7 2" xfId="4703"/>
    <cellStyle name="Input 15 7 3" xfId="19279"/>
    <cellStyle name="Input 15 8" xfId="5209"/>
    <cellStyle name="Input 15 8 2" xfId="19280"/>
    <cellStyle name="Input 15 9" xfId="4704"/>
    <cellStyle name="Input 15 9 2" xfId="19281"/>
    <cellStyle name="Input 16" xfId="1267"/>
    <cellStyle name="Input 16 10" xfId="4705"/>
    <cellStyle name="Input 16 10 2" xfId="19282"/>
    <cellStyle name="Input 16 11" xfId="8026"/>
    <cellStyle name="Input 16 2" xfId="1268"/>
    <cellStyle name="Input 16 2 10" xfId="19283"/>
    <cellStyle name="Input 16 2 2" xfId="4707"/>
    <cellStyle name="Input 16 2 2 10" xfId="19284"/>
    <cellStyle name="Input 16 2 2 2" xfId="19285"/>
    <cellStyle name="Input 16 2 2 2 2" xfId="19286"/>
    <cellStyle name="Input 16 2 2 2 3" xfId="19287"/>
    <cellStyle name="Input 16 2 2 3" xfId="19288"/>
    <cellStyle name="Input 16 2 2 3 2" xfId="19289"/>
    <cellStyle name="Input 16 2 2 4" xfId="19290"/>
    <cellStyle name="Input 16 2 2 4 2" xfId="19291"/>
    <cellStyle name="Input 16 2 2 5" xfId="19292"/>
    <cellStyle name="Input 16 2 2 6" xfId="19293"/>
    <cellStyle name="Input 16 2 2 7" xfId="19294"/>
    <cellStyle name="Input 16 2 2 8" xfId="19295"/>
    <cellStyle name="Input 16 2 2 9" xfId="19296"/>
    <cellStyle name="Input 16 2 3" xfId="4708"/>
    <cellStyle name="Input 16 2 3 2" xfId="19298"/>
    <cellStyle name="Input 16 2 3 2 2" xfId="19299"/>
    <cellStyle name="Input 16 2 3 2 3" xfId="19300"/>
    <cellStyle name="Input 16 2 3 3" xfId="19301"/>
    <cellStyle name="Input 16 2 3 3 2" xfId="19302"/>
    <cellStyle name="Input 16 2 3 4" xfId="19303"/>
    <cellStyle name="Input 16 2 3 5" xfId="19304"/>
    <cellStyle name="Input 16 2 3 6" xfId="19305"/>
    <cellStyle name="Input 16 2 3 7" xfId="19297"/>
    <cellStyle name="Input 16 2 4" xfId="4709"/>
    <cellStyle name="Input 16 2 4 2" xfId="4710"/>
    <cellStyle name="Input 16 2 4 2 2" xfId="19307"/>
    <cellStyle name="Input 16 2 4 3" xfId="19306"/>
    <cellStyle name="Input 16 2 5" xfId="4711"/>
    <cellStyle name="Input 16 2 5 2" xfId="5210"/>
    <cellStyle name="Input 16 2 5 3" xfId="19308"/>
    <cellStyle name="Input 16 2 6" xfId="4712"/>
    <cellStyle name="Input 16 2 6 2" xfId="19309"/>
    <cellStyle name="Input 16 2 7" xfId="4713"/>
    <cellStyle name="Input 16 2 7 2" xfId="19310"/>
    <cellStyle name="Input 16 2 8" xfId="4706"/>
    <cellStyle name="Input 16 2 9" xfId="8027"/>
    <cellStyle name="Input 16 3" xfId="2739"/>
    <cellStyle name="Input 16 3 2" xfId="4715"/>
    <cellStyle name="Input 16 3 2 10" xfId="19311"/>
    <cellStyle name="Input 16 3 2 2" xfId="19312"/>
    <cellStyle name="Input 16 3 2 2 2" xfId="19313"/>
    <cellStyle name="Input 16 3 2 3" xfId="19314"/>
    <cellStyle name="Input 16 3 2 3 2" xfId="19315"/>
    <cellStyle name="Input 16 3 2 4" xfId="19316"/>
    <cellStyle name="Input 16 3 2 4 2" xfId="19317"/>
    <cellStyle name="Input 16 3 2 5" xfId="19318"/>
    <cellStyle name="Input 16 3 2 6" xfId="19319"/>
    <cellStyle name="Input 16 3 2 7" xfId="19320"/>
    <cellStyle name="Input 16 3 2 8" xfId="19321"/>
    <cellStyle name="Input 16 3 2 9" xfId="19322"/>
    <cellStyle name="Input 16 3 3" xfId="4714"/>
    <cellStyle name="Input 16 3 3 2" xfId="19324"/>
    <cellStyle name="Input 16 3 3 2 2" xfId="19325"/>
    <cellStyle name="Input 16 3 3 3" xfId="19326"/>
    <cellStyle name="Input 16 3 3 3 2" xfId="19327"/>
    <cellStyle name="Input 16 3 3 4" xfId="19328"/>
    <cellStyle name="Input 16 3 3 5" xfId="19329"/>
    <cellStyle name="Input 16 3 3 6" xfId="19330"/>
    <cellStyle name="Input 16 3 3 7" xfId="19323"/>
    <cellStyle name="Input 16 3 4" xfId="8352"/>
    <cellStyle name="Input 16 3 5" xfId="19331"/>
    <cellStyle name="Input 16 3 6" xfId="19332"/>
    <cellStyle name="Input 16 3 7" xfId="19333"/>
    <cellStyle name="Input 16 4" xfId="4716"/>
    <cellStyle name="Input 16 4 10" xfId="19334"/>
    <cellStyle name="Input 16 4 2" xfId="19335"/>
    <cellStyle name="Input 16 4 2 2" xfId="19336"/>
    <cellStyle name="Input 16 4 2 3" xfId="19337"/>
    <cellStyle name="Input 16 4 3" xfId="19338"/>
    <cellStyle name="Input 16 4 3 2" xfId="19339"/>
    <cellStyle name="Input 16 4 4" xfId="19340"/>
    <cellStyle name="Input 16 4 4 2" xfId="19341"/>
    <cellStyle name="Input 16 4 5" xfId="19342"/>
    <cellStyle name="Input 16 4 6" xfId="19343"/>
    <cellStyle name="Input 16 4 7" xfId="19344"/>
    <cellStyle name="Input 16 4 8" xfId="19345"/>
    <cellStyle name="Input 16 4 9" xfId="19346"/>
    <cellStyle name="Input 16 5" xfId="4717"/>
    <cellStyle name="Input 16 5 10" xfId="19347"/>
    <cellStyle name="Input 16 5 2" xfId="19348"/>
    <cellStyle name="Input 16 5 2 2" xfId="19349"/>
    <cellStyle name="Input 16 5 2 3" xfId="19350"/>
    <cellStyle name="Input 16 5 3" xfId="19351"/>
    <cellStyle name="Input 16 5 3 2" xfId="19352"/>
    <cellStyle name="Input 16 5 4" xfId="19353"/>
    <cellStyle name="Input 16 5 4 2" xfId="19354"/>
    <cellStyle name="Input 16 5 5" xfId="19355"/>
    <cellStyle name="Input 16 5 6" xfId="19356"/>
    <cellStyle name="Input 16 5 7" xfId="19357"/>
    <cellStyle name="Input 16 5 8" xfId="19358"/>
    <cellStyle name="Input 16 5 9" xfId="19359"/>
    <cellStyle name="Input 16 6" xfId="4718"/>
    <cellStyle name="Input 16 6 2" xfId="4719"/>
    <cellStyle name="Input 16 6 2 2" xfId="19362"/>
    <cellStyle name="Input 16 6 2 3" xfId="19361"/>
    <cellStyle name="Input 16 6 3" xfId="19363"/>
    <cellStyle name="Input 16 6 3 2" xfId="19364"/>
    <cellStyle name="Input 16 6 4" xfId="19365"/>
    <cellStyle name="Input 16 6 5" xfId="19366"/>
    <cellStyle name="Input 16 6 6" xfId="19367"/>
    <cellStyle name="Input 16 6 7" xfId="19360"/>
    <cellStyle name="Input 16 7" xfId="4720"/>
    <cellStyle name="Input 16 7 2" xfId="5211"/>
    <cellStyle name="Input 16 7 3" xfId="19368"/>
    <cellStyle name="Input 16 8" xfId="5212"/>
    <cellStyle name="Input 16 8 2" xfId="19369"/>
    <cellStyle name="Input 16 9" xfId="5213"/>
    <cellStyle name="Input 16 9 2" xfId="19370"/>
    <cellStyle name="Input 17" xfId="1269"/>
    <cellStyle name="Input 17 10" xfId="5214"/>
    <cellStyle name="Input 17 10 2" xfId="19371"/>
    <cellStyle name="Input 17 11" xfId="8028"/>
    <cellStyle name="Input 17 2" xfId="1270"/>
    <cellStyle name="Input 17 2 10" xfId="19372"/>
    <cellStyle name="Input 17 2 2" xfId="4722"/>
    <cellStyle name="Input 17 2 2 10" xfId="19373"/>
    <cellStyle name="Input 17 2 2 2" xfId="19374"/>
    <cellStyle name="Input 17 2 2 2 2" xfId="19375"/>
    <cellStyle name="Input 17 2 2 2 3" xfId="19376"/>
    <cellStyle name="Input 17 2 2 3" xfId="19377"/>
    <cellStyle name="Input 17 2 2 3 2" xfId="19378"/>
    <cellStyle name="Input 17 2 2 4" xfId="19379"/>
    <cellStyle name="Input 17 2 2 4 2" xfId="19380"/>
    <cellStyle name="Input 17 2 2 5" xfId="19381"/>
    <cellStyle name="Input 17 2 2 6" xfId="19382"/>
    <cellStyle name="Input 17 2 2 7" xfId="19383"/>
    <cellStyle name="Input 17 2 2 8" xfId="19384"/>
    <cellStyle name="Input 17 2 2 9" xfId="19385"/>
    <cellStyle name="Input 17 2 3" xfId="4723"/>
    <cellStyle name="Input 17 2 3 2" xfId="19387"/>
    <cellStyle name="Input 17 2 3 2 2" xfId="19388"/>
    <cellStyle name="Input 17 2 3 2 3" xfId="19389"/>
    <cellStyle name="Input 17 2 3 3" xfId="19390"/>
    <cellStyle name="Input 17 2 3 3 2" xfId="19391"/>
    <cellStyle name="Input 17 2 3 4" xfId="19392"/>
    <cellStyle name="Input 17 2 3 5" xfId="19393"/>
    <cellStyle name="Input 17 2 3 6" xfId="19394"/>
    <cellStyle name="Input 17 2 3 7" xfId="19386"/>
    <cellStyle name="Input 17 2 4" xfId="5333"/>
    <cellStyle name="Input 17 2 4 2" xfId="4724"/>
    <cellStyle name="Input 17 2 4 2 2" xfId="19396"/>
    <cellStyle name="Input 17 2 4 3" xfId="19395"/>
    <cellStyle name="Input 17 2 5" xfId="4725"/>
    <cellStyle name="Input 17 2 5 2" xfId="4726"/>
    <cellStyle name="Input 17 2 5 3" xfId="19397"/>
    <cellStyle name="Input 17 2 6" xfId="4727"/>
    <cellStyle name="Input 17 2 6 2" xfId="19398"/>
    <cellStyle name="Input 17 2 7" xfId="4728"/>
    <cellStyle name="Input 17 2 7 2" xfId="19399"/>
    <cellStyle name="Input 17 2 8" xfId="4721"/>
    <cellStyle name="Input 17 2 9" xfId="8029"/>
    <cellStyle name="Input 17 3" xfId="2740"/>
    <cellStyle name="Input 17 3 2" xfId="4729"/>
    <cellStyle name="Input 17 3 2 10" xfId="19400"/>
    <cellStyle name="Input 17 3 2 2" xfId="19401"/>
    <cellStyle name="Input 17 3 2 2 2" xfId="19402"/>
    <cellStyle name="Input 17 3 2 3" xfId="19403"/>
    <cellStyle name="Input 17 3 2 3 2" xfId="19404"/>
    <cellStyle name="Input 17 3 2 4" xfId="19405"/>
    <cellStyle name="Input 17 3 2 4 2" xfId="19406"/>
    <cellStyle name="Input 17 3 2 5" xfId="19407"/>
    <cellStyle name="Input 17 3 2 6" xfId="19408"/>
    <cellStyle name="Input 17 3 2 7" xfId="19409"/>
    <cellStyle name="Input 17 3 2 8" xfId="19410"/>
    <cellStyle name="Input 17 3 2 9" xfId="19411"/>
    <cellStyle name="Input 17 3 3" xfId="5215"/>
    <cellStyle name="Input 17 3 3 2" xfId="19413"/>
    <cellStyle name="Input 17 3 3 2 2" xfId="19414"/>
    <cellStyle name="Input 17 3 3 3" xfId="19415"/>
    <cellStyle name="Input 17 3 3 3 2" xfId="19416"/>
    <cellStyle name="Input 17 3 3 4" xfId="19417"/>
    <cellStyle name="Input 17 3 3 5" xfId="19418"/>
    <cellStyle name="Input 17 3 3 6" xfId="19419"/>
    <cellStyle name="Input 17 3 3 7" xfId="19412"/>
    <cellStyle name="Input 17 3 4" xfId="8353"/>
    <cellStyle name="Input 17 3 5" xfId="19420"/>
    <cellStyle name="Input 17 3 6" xfId="19421"/>
    <cellStyle name="Input 17 3 7" xfId="19422"/>
    <cellStyle name="Input 17 4" xfId="4730"/>
    <cellStyle name="Input 17 4 10" xfId="19423"/>
    <cellStyle name="Input 17 4 2" xfId="19424"/>
    <cellStyle name="Input 17 4 2 2" xfId="19425"/>
    <cellStyle name="Input 17 4 2 3" xfId="19426"/>
    <cellStyle name="Input 17 4 3" xfId="19427"/>
    <cellStyle name="Input 17 4 3 2" xfId="19428"/>
    <cellStyle name="Input 17 4 4" xfId="19429"/>
    <cellStyle name="Input 17 4 4 2" xfId="19430"/>
    <cellStyle name="Input 17 4 5" xfId="19431"/>
    <cellStyle name="Input 17 4 6" xfId="19432"/>
    <cellStyle name="Input 17 4 7" xfId="19433"/>
    <cellStyle name="Input 17 4 8" xfId="19434"/>
    <cellStyle name="Input 17 4 9" xfId="19435"/>
    <cellStyle name="Input 17 5" xfId="4731"/>
    <cellStyle name="Input 17 5 10" xfId="19436"/>
    <cellStyle name="Input 17 5 2" xfId="19437"/>
    <cellStyle name="Input 17 5 2 2" xfId="19438"/>
    <cellStyle name="Input 17 5 2 3" xfId="19439"/>
    <cellStyle name="Input 17 5 3" xfId="19440"/>
    <cellStyle name="Input 17 5 3 2" xfId="19441"/>
    <cellStyle name="Input 17 5 4" xfId="19442"/>
    <cellStyle name="Input 17 5 4 2" xfId="19443"/>
    <cellStyle name="Input 17 5 5" xfId="19444"/>
    <cellStyle name="Input 17 5 6" xfId="19445"/>
    <cellStyle name="Input 17 5 7" xfId="19446"/>
    <cellStyle name="Input 17 5 8" xfId="19447"/>
    <cellStyle name="Input 17 5 9" xfId="19448"/>
    <cellStyle name="Input 17 6" xfId="4732"/>
    <cellStyle name="Input 17 6 2" xfId="4733"/>
    <cellStyle name="Input 17 6 2 2" xfId="19451"/>
    <cellStyle name="Input 17 6 2 3" xfId="19450"/>
    <cellStyle name="Input 17 6 3" xfId="19452"/>
    <cellStyle name="Input 17 6 3 2" xfId="19453"/>
    <cellStyle name="Input 17 6 4" xfId="19454"/>
    <cellStyle name="Input 17 6 5" xfId="19455"/>
    <cellStyle name="Input 17 6 6" xfId="19456"/>
    <cellStyle name="Input 17 6 7" xfId="19449"/>
    <cellStyle name="Input 17 7" xfId="4734"/>
    <cellStyle name="Input 17 7 2" xfId="4735"/>
    <cellStyle name="Input 17 7 3" xfId="19457"/>
    <cellStyle name="Input 17 8" xfId="5437"/>
    <cellStyle name="Input 17 8 2" xfId="19458"/>
    <cellStyle name="Input 17 9" xfId="4736"/>
    <cellStyle name="Input 17 9 2" xfId="19459"/>
    <cellStyle name="Input 18" xfId="1271"/>
    <cellStyle name="Input 18 10" xfId="19460"/>
    <cellStyle name="Input 18 2" xfId="2741"/>
    <cellStyle name="Input 18 2 2" xfId="8354"/>
    <cellStyle name="Input 18 2 2 2" xfId="19461"/>
    <cellStyle name="Input 18 2 2 2 2" xfId="19462"/>
    <cellStyle name="Input 18 2 2 2 3" xfId="19463"/>
    <cellStyle name="Input 18 2 2 3" xfId="19464"/>
    <cellStyle name="Input 18 2 2 3 2" xfId="19465"/>
    <cellStyle name="Input 18 2 2 4" xfId="19466"/>
    <cellStyle name="Input 18 2 2 4 2" xfId="19467"/>
    <cellStyle name="Input 18 2 2 5" xfId="19468"/>
    <cellStyle name="Input 18 2 2 6" xfId="19469"/>
    <cellStyle name="Input 18 2 2 7" xfId="19470"/>
    <cellStyle name="Input 18 2 2 8" xfId="19471"/>
    <cellStyle name="Input 18 2 2 9" xfId="19472"/>
    <cellStyle name="Input 18 2 3" xfId="19473"/>
    <cellStyle name="Input 18 2 3 2" xfId="19474"/>
    <cellStyle name="Input 18 2 3 2 2" xfId="19475"/>
    <cellStyle name="Input 18 2 3 2 3" xfId="19476"/>
    <cellStyle name="Input 18 2 3 3" xfId="19477"/>
    <cellStyle name="Input 18 2 3 3 2" xfId="19478"/>
    <cellStyle name="Input 18 2 3 4" xfId="19479"/>
    <cellStyle name="Input 18 2 3 5" xfId="19480"/>
    <cellStyle name="Input 18 2 3 6" xfId="19481"/>
    <cellStyle name="Input 18 2 4" xfId="19482"/>
    <cellStyle name="Input 18 2 4 2" xfId="19483"/>
    <cellStyle name="Input 18 2 5" xfId="19484"/>
    <cellStyle name="Input 18 2 6" xfId="19485"/>
    <cellStyle name="Input 18 2 7" xfId="19486"/>
    <cellStyle name="Input 18 3" xfId="4737"/>
    <cellStyle name="Input 18 3 2" xfId="19488"/>
    <cellStyle name="Input 18 3 2 2" xfId="19489"/>
    <cellStyle name="Input 18 3 2 2 2" xfId="19490"/>
    <cellStyle name="Input 18 3 2 3" xfId="19491"/>
    <cellStyle name="Input 18 3 2 3 2" xfId="19492"/>
    <cellStyle name="Input 18 3 2 4" xfId="19493"/>
    <cellStyle name="Input 18 3 2 4 2" xfId="19494"/>
    <cellStyle name="Input 18 3 2 5" xfId="19495"/>
    <cellStyle name="Input 18 3 2 6" xfId="19496"/>
    <cellStyle name="Input 18 3 2 7" xfId="19497"/>
    <cellStyle name="Input 18 3 2 8" xfId="19498"/>
    <cellStyle name="Input 18 3 2 9" xfId="19499"/>
    <cellStyle name="Input 18 3 3" xfId="19500"/>
    <cellStyle name="Input 18 3 3 2" xfId="19501"/>
    <cellStyle name="Input 18 3 3 2 2" xfId="19502"/>
    <cellStyle name="Input 18 3 3 3" xfId="19503"/>
    <cellStyle name="Input 18 3 3 3 2" xfId="19504"/>
    <cellStyle name="Input 18 3 3 4" xfId="19505"/>
    <cellStyle name="Input 18 3 3 5" xfId="19506"/>
    <cellStyle name="Input 18 3 3 6" xfId="19507"/>
    <cellStyle name="Input 18 3 4" xfId="19508"/>
    <cellStyle name="Input 18 3 5" xfId="19509"/>
    <cellStyle name="Input 18 3 6" xfId="19510"/>
    <cellStyle name="Input 18 3 7" xfId="19511"/>
    <cellStyle name="Input 18 3 8" xfId="19487"/>
    <cellStyle name="Input 18 4" xfId="4738"/>
    <cellStyle name="Input 18 4 10" xfId="19512"/>
    <cellStyle name="Input 18 4 2" xfId="4739"/>
    <cellStyle name="Input 18 4 2 2" xfId="19514"/>
    <cellStyle name="Input 18 4 2 3" xfId="19515"/>
    <cellStyle name="Input 18 4 2 4" xfId="19513"/>
    <cellStyle name="Input 18 4 3" xfId="19516"/>
    <cellStyle name="Input 18 4 3 2" xfId="19517"/>
    <cellStyle name="Input 18 4 4" xfId="19518"/>
    <cellStyle name="Input 18 4 4 2" xfId="19519"/>
    <cellStyle name="Input 18 4 5" xfId="19520"/>
    <cellStyle name="Input 18 4 6" xfId="19521"/>
    <cellStyle name="Input 18 4 7" xfId="19522"/>
    <cellStyle name="Input 18 4 8" xfId="19523"/>
    <cellStyle name="Input 18 4 9" xfId="19524"/>
    <cellStyle name="Input 18 5" xfId="4740"/>
    <cellStyle name="Input 18 5 10" xfId="19525"/>
    <cellStyle name="Input 18 5 2" xfId="5216"/>
    <cellStyle name="Input 18 5 2 2" xfId="19527"/>
    <cellStyle name="Input 18 5 2 3" xfId="19528"/>
    <cellStyle name="Input 18 5 2 4" xfId="19526"/>
    <cellStyle name="Input 18 5 3" xfId="19529"/>
    <cellStyle name="Input 18 5 3 2" xfId="19530"/>
    <cellStyle name="Input 18 5 4" xfId="19531"/>
    <cellStyle name="Input 18 5 4 2" xfId="19532"/>
    <cellStyle name="Input 18 5 5" xfId="19533"/>
    <cellStyle name="Input 18 5 6" xfId="19534"/>
    <cellStyle name="Input 18 5 7" xfId="19535"/>
    <cellStyle name="Input 18 5 8" xfId="19536"/>
    <cellStyle name="Input 18 5 9" xfId="19537"/>
    <cellStyle name="Input 18 6" xfId="4741"/>
    <cellStyle name="Input 18 6 2" xfId="19539"/>
    <cellStyle name="Input 18 6 2 2" xfId="19540"/>
    <cellStyle name="Input 18 6 3" xfId="19541"/>
    <cellStyle name="Input 18 6 3 2" xfId="19542"/>
    <cellStyle name="Input 18 6 4" xfId="19543"/>
    <cellStyle name="Input 18 6 5" xfId="19544"/>
    <cellStyle name="Input 18 6 6" xfId="19545"/>
    <cellStyle name="Input 18 6 7" xfId="19538"/>
    <cellStyle name="Input 18 7" xfId="4927"/>
    <cellStyle name="Input 18 7 2" xfId="19546"/>
    <cellStyle name="Input 18 8" xfId="8030"/>
    <cellStyle name="Input 18 8 2" xfId="19547"/>
    <cellStyle name="Input 18 9" xfId="19548"/>
    <cellStyle name="Input 19" xfId="1272"/>
    <cellStyle name="Input 19 10" xfId="19549"/>
    <cellStyle name="Input 19 2" xfId="2742"/>
    <cellStyle name="Input 19 2 2" xfId="8355"/>
    <cellStyle name="Input 19 2 2 2" xfId="19550"/>
    <cellStyle name="Input 19 2 2 2 2" xfId="19551"/>
    <cellStyle name="Input 19 2 2 2 3" xfId="19552"/>
    <cellStyle name="Input 19 2 2 3" xfId="19553"/>
    <cellStyle name="Input 19 2 2 3 2" xfId="19554"/>
    <cellStyle name="Input 19 2 2 4" xfId="19555"/>
    <cellStyle name="Input 19 2 2 4 2" xfId="19556"/>
    <cellStyle name="Input 19 2 2 5" xfId="19557"/>
    <cellStyle name="Input 19 2 2 6" xfId="19558"/>
    <cellStyle name="Input 19 2 2 7" xfId="19559"/>
    <cellStyle name="Input 19 2 2 8" xfId="19560"/>
    <cellStyle name="Input 19 2 2 9" xfId="19561"/>
    <cellStyle name="Input 19 2 3" xfId="19562"/>
    <cellStyle name="Input 19 2 3 2" xfId="19563"/>
    <cellStyle name="Input 19 2 3 2 2" xfId="19564"/>
    <cellStyle name="Input 19 2 3 2 3" xfId="19565"/>
    <cellStyle name="Input 19 2 3 3" xfId="19566"/>
    <cellStyle name="Input 19 2 3 3 2" xfId="19567"/>
    <cellStyle name="Input 19 2 3 4" xfId="19568"/>
    <cellStyle name="Input 19 2 3 5" xfId="19569"/>
    <cellStyle name="Input 19 2 3 6" xfId="19570"/>
    <cellStyle name="Input 19 2 4" xfId="19571"/>
    <cellStyle name="Input 19 2 4 2" xfId="19572"/>
    <cellStyle name="Input 19 2 5" xfId="19573"/>
    <cellStyle name="Input 19 2 6" xfId="19574"/>
    <cellStyle name="Input 19 2 7" xfId="19575"/>
    <cellStyle name="Input 19 3" xfId="4928"/>
    <cellStyle name="Input 19 3 2" xfId="19577"/>
    <cellStyle name="Input 19 3 2 2" xfId="19578"/>
    <cellStyle name="Input 19 3 2 2 2" xfId="19579"/>
    <cellStyle name="Input 19 3 2 3" xfId="19580"/>
    <cellStyle name="Input 19 3 2 3 2" xfId="19581"/>
    <cellStyle name="Input 19 3 2 4" xfId="19582"/>
    <cellStyle name="Input 19 3 2 4 2" xfId="19583"/>
    <cellStyle name="Input 19 3 2 5" xfId="19584"/>
    <cellStyle name="Input 19 3 2 6" xfId="19585"/>
    <cellStyle name="Input 19 3 2 7" xfId="19586"/>
    <cellStyle name="Input 19 3 2 8" xfId="19587"/>
    <cellStyle name="Input 19 3 2 9" xfId="19588"/>
    <cellStyle name="Input 19 3 3" xfId="19589"/>
    <cellStyle name="Input 19 3 3 2" xfId="19590"/>
    <cellStyle name="Input 19 3 3 2 2" xfId="19591"/>
    <cellStyle name="Input 19 3 3 3" xfId="19592"/>
    <cellStyle name="Input 19 3 3 3 2" xfId="19593"/>
    <cellStyle name="Input 19 3 3 4" xfId="19594"/>
    <cellStyle name="Input 19 3 3 5" xfId="19595"/>
    <cellStyle name="Input 19 3 3 6" xfId="19596"/>
    <cellStyle name="Input 19 3 4" xfId="19597"/>
    <cellStyle name="Input 19 3 5" xfId="19598"/>
    <cellStyle name="Input 19 3 6" xfId="19599"/>
    <cellStyle name="Input 19 3 7" xfId="19600"/>
    <cellStyle name="Input 19 3 8" xfId="19576"/>
    <cellStyle name="Input 19 4" xfId="4929"/>
    <cellStyle name="Input 19 4 10" xfId="19601"/>
    <cellStyle name="Input 19 4 2" xfId="4930"/>
    <cellStyle name="Input 19 4 2 2" xfId="19603"/>
    <cellStyle name="Input 19 4 2 3" xfId="19604"/>
    <cellStyle name="Input 19 4 2 4" xfId="19602"/>
    <cellStyle name="Input 19 4 3" xfId="19605"/>
    <cellStyle name="Input 19 4 3 2" xfId="19606"/>
    <cellStyle name="Input 19 4 4" xfId="19607"/>
    <cellStyle name="Input 19 4 4 2" xfId="19608"/>
    <cellStyle name="Input 19 4 5" xfId="19609"/>
    <cellStyle name="Input 19 4 6" xfId="19610"/>
    <cellStyle name="Input 19 4 7" xfId="19611"/>
    <cellStyle name="Input 19 4 8" xfId="19612"/>
    <cellStyle name="Input 19 4 9" xfId="19613"/>
    <cellStyle name="Input 19 5" xfId="4931"/>
    <cellStyle name="Input 19 5 10" xfId="19614"/>
    <cellStyle name="Input 19 5 2" xfId="4932"/>
    <cellStyle name="Input 19 5 2 2" xfId="19616"/>
    <cellStyle name="Input 19 5 2 3" xfId="19617"/>
    <cellStyle name="Input 19 5 2 4" xfId="19615"/>
    <cellStyle name="Input 19 5 3" xfId="19618"/>
    <cellStyle name="Input 19 5 3 2" xfId="19619"/>
    <cellStyle name="Input 19 5 4" xfId="19620"/>
    <cellStyle name="Input 19 5 4 2" xfId="19621"/>
    <cellStyle name="Input 19 5 5" xfId="19622"/>
    <cellStyle name="Input 19 5 6" xfId="19623"/>
    <cellStyle name="Input 19 5 7" xfId="19624"/>
    <cellStyle name="Input 19 5 8" xfId="19625"/>
    <cellStyle name="Input 19 5 9" xfId="19626"/>
    <cellStyle name="Input 19 6" xfId="4933"/>
    <cellStyle name="Input 19 6 2" xfId="19628"/>
    <cellStyle name="Input 19 6 2 2" xfId="19629"/>
    <cellStyle name="Input 19 6 3" xfId="19630"/>
    <cellStyle name="Input 19 6 3 2" xfId="19631"/>
    <cellStyle name="Input 19 6 4" xfId="19632"/>
    <cellStyle name="Input 19 6 5" xfId="19633"/>
    <cellStyle name="Input 19 6 6" xfId="19634"/>
    <cellStyle name="Input 19 6 7" xfId="19627"/>
    <cellStyle name="Input 19 7" xfId="4934"/>
    <cellStyle name="Input 19 7 2" xfId="19635"/>
    <cellStyle name="Input 19 8" xfId="8031"/>
    <cellStyle name="Input 19 8 2" xfId="19636"/>
    <cellStyle name="Input 19 9" xfId="19637"/>
    <cellStyle name="Input 2" xfId="1273"/>
    <cellStyle name="Input 2 10" xfId="19638"/>
    <cellStyle name="Input 2 2" xfId="1274"/>
    <cellStyle name="Input 2 2 2" xfId="1275"/>
    <cellStyle name="Input 2 2 2 2" xfId="8034"/>
    <cellStyle name="Input 2 2 2 2 2" xfId="19640"/>
    <cellStyle name="Input 2 2 2 2 2 2" xfId="19641"/>
    <cellStyle name="Input 2 2 2 2 3" xfId="19642"/>
    <cellStyle name="Input 2 2 2 3" xfId="19643"/>
    <cellStyle name="Input 2 2 2 3 2" xfId="19644"/>
    <cellStyle name="Input 2 2 2 3 3" xfId="19645"/>
    <cellStyle name="Input 2 2 2 4" xfId="19646"/>
    <cellStyle name="Input 2 2 2 4 2" xfId="19647"/>
    <cellStyle name="Input 2 2 2 5" xfId="19648"/>
    <cellStyle name="Input 2 2 2 6" xfId="19649"/>
    <cellStyle name="Input 2 2 2 7" xfId="19650"/>
    <cellStyle name="Input 2 2 2 8" xfId="19651"/>
    <cellStyle name="Input 2 2 2 9" xfId="19652"/>
    <cellStyle name="Input 2 2 3" xfId="5438"/>
    <cellStyle name="Input 2 2 3 10" xfId="19653"/>
    <cellStyle name="Input 2 2 3 2" xfId="19654"/>
    <cellStyle name="Input 2 2 3 2 2" xfId="19655"/>
    <cellStyle name="Input 2 2 3 2 3" xfId="19656"/>
    <cellStyle name="Input 2 2 3 3" xfId="19657"/>
    <cellStyle name="Input 2 2 3 3 2" xfId="19658"/>
    <cellStyle name="Input 2 2 3 4" xfId="19659"/>
    <cellStyle name="Input 2 2 3 4 2" xfId="19660"/>
    <cellStyle name="Input 2 2 3 5" xfId="19661"/>
    <cellStyle name="Input 2 2 3 6" xfId="19662"/>
    <cellStyle name="Input 2 2 3 7" xfId="19663"/>
    <cellStyle name="Input 2 2 3 8" xfId="19664"/>
    <cellStyle name="Input 2 2 3 9" xfId="19665"/>
    <cellStyle name="Input 2 2 4" xfId="4935"/>
    <cellStyle name="Input 2 2 4 2" xfId="4936"/>
    <cellStyle name="Input 2 2 4 2 2" xfId="19667"/>
    <cellStyle name="Input 2 2 4 3" xfId="19668"/>
    <cellStyle name="Input 2 2 4 4" xfId="19669"/>
    <cellStyle name="Input 2 2 4 5" xfId="19666"/>
    <cellStyle name="Input 2 2 5" xfId="4937"/>
    <cellStyle name="Input 2 2 5 2" xfId="5217"/>
    <cellStyle name="Input 2 2 5 3" xfId="19670"/>
    <cellStyle name="Input 2 2 6" xfId="5218"/>
    <cellStyle name="Input 2 2 7" xfId="5219"/>
    <cellStyle name="Input 2 2 8" xfId="8033"/>
    <cellStyle name="Input 2 2 9" xfId="19639"/>
    <cellStyle name="Input 2 3" xfId="1276"/>
    <cellStyle name="Input 2 3 2" xfId="1277"/>
    <cellStyle name="Input 2 3 2 2" xfId="8036"/>
    <cellStyle name="Input 2 3 2 2 2" xfId="19671"/>
    <cellStyle name="Input 2 3 2 2 3" xfId="19672"/>
    <cellStyle name="Input 2 3 2 3" xfId="19673"/>
    <cellStyle name="Input 2 3 2 3 2" xfId="19674"/>
    <cellStyle name="Input 2 3 2 4" xfId="19675"/>
    <cellStyle name="Input 2 3 2 4 2" xfId="19676"/>
    <cellStyle name="Input 2 3 2 5" xfId="19677"/>
    <cellStyle name="Input 2 3 2 6" xfId="19678"/>
    <cellStyle name="Input 2 3 2 7" xfId="19679"/>
    <cellStyle name="Input 2 3 2 8" xfId="19680"/>
    <cellStyle name="Input 2 3 2 9" xfId="19681"/>
    <cellStyle name="Input 2 3 3" xfId="8035"/>
    <cellStyle name="Input 2 3 3 2" xfId="19682"/>
    <cellStyle name="Input 2 3 3 2 2" xfId="19683"/>
    <cellStyle name="Input 2 3 3 2 3" xfId="19684"/>
    <cellStyle name="Input 2 3 3 3" xfId="19685"/>
    <cellStyle name="Input 2 3 3 3 2" xfId="19686"/>
    <cellStyle name="Input 2 3 3 4" xfId="19687"/>
    <cellStyle name="Input 2 3 3 5" xfId="19688"/>
    <cellStyle name="Input 2 3 3 6" xfId="19689"/>
    <cellStyle name="Input 2 3 4" xfId="19690"/>
    <cellStyle name="Input 2 3 4 2" xfId="19691"/>
    <cellStyle name="Input 2 3 5" xfId="19692"/>
    <cellStyle name="Input 2 3 6" xfId="19693"/>
    <cellStyle name="Input 2 3 7" xfId="19694"/>
    <cellStyle name="Input 2 4" xfId="1278"/>
    <cellStyle name="Input 2 4 2" xfId="1279"/>
    <cellStyle name="Input 2 4 2 2" xfId="8038"/>
    <cellStyle name="Input 2 4 2 3" xfId="19695"/>
    <cellStyle name="Input 2 4 3" xfId="8037"/>
    <cellStyle name="Input 2 4 3 2" xfId="19696"/>
    <cellStyle name="Input 2 4 4" xfId="19697"/>
    <cellStyle name="Input 2 4 4 2" xfId="19698"/>
    <cellStyle name="Input 2 4 5" xfId="19699"/>
    <cellStyle name="Input 2 4 6" xfId="19700"/>
    <cellStyle name="Input 2 4 7" xfId="19701"/>
    <cellStyle name="Input 2 4 8" xfId="19702"/>
    <cellStyle name="Input 2 4 9" xfId="19703"/>
    <cellStyle name="Input 2 5" xfId="1280"/>
    <cellStyle name="Input 2 5 2" xfId="5220"/>
    <cellStyle name="Input 2 5 2 2" xfId="19705"/>
    <cellStyle name="Input 2 5 2 3" xfId="19706"/>
    <cellStyle name="Input 2 5 2 4" xfId="19704"/>
    <cellStyle name="Input 2 5 3" xfId="8039"/>
    <cellStyle name="Input 2 5 3 2" xfId="19707"/>
    <cellStyle name="Input 2 5 4" xfId="19708"/>
    <cellStyle name="Input 2 5 4 2" xfId="19709"/>
    <cellStyle name="Input 2 5 5" xfId="19710"/>
    <cellStyle name="Input 2 5 6" xfId="19711"/>
    <cellStyle name="Input 2 5 7" xfId="19712"/>
    <cellStyle name="Input 2 5 8" xfId="19713"/>
    <cellStyle name="Input 2 5 9" xfId="19714"/>
    <cellStyle name="Input 2 6" xfId="4742"/>
    <cellStyle name="Input 2 6 2" xfId="4743"/>
    <cellStyle name="Input 2 6 2 2" xfId="19717"/>
    <cellStyle name="Input 2 6 2 3" xfId="19716"/>
    <cellStyle name="Input 2 6 3" xfId="19718"/>
    <cellStyle name="Input 2 6 3 2" xfId="19719"/>
    <cellStyle name="Input 2 6 4" xfId="19720"/>
    <cellStyle name="Input 2 6 5" xfId="19721"/>
    <cellStyle name="Input 2 6 6" xfId="19722"/>
    <cellStyle name="Input 2 6 7" xfId="19715"/>
    <cellStyle name="Input 2 7" xfId="4938"/>
    <cellStyle name="Input 2 7 2" xfId="19723"/>
    <cellStyle name="Input 2 8" xfId="5221"/>
    <cellStyle name="Input 2 8 2" xfId="19724"/>
    <cellStyle name="Input 2 9" xfId="8032"/>
    <cellStyle name="Input 20" xfId="1281"/>
    <cellStyle name="Input 20 10" xfId="19725"/>
    <cellStyle name="Input 20 2" xfId="2743"/>
    <cellStyle name="Input 20 2 2" xfId="8356"/>
    <cellStyle name="Input 20 2 2 2" xfId="19726"/>
    <cellStyle name="Input 20 2 2 2 2" xfId="19727"/>
    <cellStyle name="Input 20 2 2 2 3" xfId="19728"/>
    <cellStyle name="Input 20 2 2 3" xfId="19729"/>
    <cellStyle name="Input 20 2 2 3 2" xfId="19730"/>
    <cellStyle name="Input 20 2 2 4" xfId="19731"/>
    <cellStyle name="Input 20 2 2 4 2" xfId="19732"/>
    <cellStyle name="Input 20 2 2 5" xfId="19733"/>
    <cellStyle name="Input 20 2 2 6" xfId="19734"/>
    <cellStyle name="Input 20 2 2 7" xfId="19735"/>
    <cellStyle name="Input 20 2 2 8" xfId="19736"/>
    <cellStyle name="Input 20 2 2 9" xfId="19737"/>
    <cellStyle name="Input 20 2 3" xfId="19738"/>
    <cellStyle name="Input 20 2 3 2" xfId="19739"/>
    <cellStyle name="Input 20 2 3 2 2" xfId="19740"/>
    <cellStyle name="Input 20 2 3 2 3" xfId="19741"/>
    <cellStyle name="Input 20 2 3 3" xfId="19742"/>
    <cellStyle name="Input 20 2 3 3 2" xfId="19743"/>
    <cellStyle name="Input 20 2 3 4" xfId="19744"/>
    <cellStyle name="Input 20 2 3 5" xfId="19745"/>
    <cellStyle name="Input 20 2 3 6" xfId="19746"/>
    <cellStyle name="Input 20 2 4" xfId="19747"/>
    <cellStyle name="Input 20 2 4 2" xfId="19748"/>
    <cellStyle name="Input 20 2 5" xfId="19749"/>
    <cellStyle name="Input 20 2 6" xfId="19750"/>
    <cellStyle name="Input 20 2 7" xfId="19751"/>
    <cellStyle name="Input 20 3" xfId="5222"/>
    <cellStyle name="Input 20 3 2" xfId="19753"/>
    <cellStyle name="Input 20 3 2 2" xfId="19754"/>
    <cellStyle name="Input 20 3 2 2 2" xfId="19755"/>
    <cellStyle name="Input 20 3 2 3" xfId="19756"/>
    <cellStyle name="Input 20 3 2 3 2" xfId="19757"/>
    <cellStyle name="Input 20 3 2 4" xfId="19758"/>
    <cellStyle name="Input 20 3 2 4 2" xfId="19759"/>
    <cellStyle name="Input 20 3 2 5" xfId="19760"/>
    <cellStyle name="Input 20 3 2 6" xfId="19761"/>
    <cellStyle name="Input 20 3 2 7" xfId="19762"/>
    <cellStyle name="Input 20 3 2 8" xfId="19763"/>
    <cellStyle name="Input 20 3 2 9" xfId="19764"/>
    <cellStyle name="Input 20 3 3" xfId="19765"/>
    <cellStyle name="Input 20 3 3 2" xfId="19766"/>
    <cellStyle name="Input 20 3 3 2 2" xfId="19767"/>
    <cellStyle name="Input 20 3 3 3" xfId="19768"/>
    <cellStyle name="Input 20 3 3 3 2" xfId="19769"/>
    <cellStyle name="Input 20 3 3 4" xfId="19770"/>
    <cellStyle name="Input 20 3 3 5" xfId="19771"/>
    <cellStyle name="Input 20 3 3 6" xfId="19772"/>
    <cellStyle name="Input 20 3 4" xfId="19773"/>
    <cellStyle name="Input 20 3 5" xfId="19774"/>
    <cellStyle name="Input 20 3 6" xfId="19775"/>
    <cellStyle name="Input 20 3 7" xfId="19776"/>
    <cellStyle name="Input 20 3 8" xfId="19752"/>
    <cellStyle name="Input 20 4" xfId="5223"/>
    <cellStyle name="Input 20 4 10" xfId="19777"/>
    <cellStyle name="Input 20 4 2" xfId="5224"/>
    <cellStyle name="Input 20 4 2 2" xfId="19779"/>
    <cellStyle name="Input 20 4 2 3" xfId="19780"/>
    <cellStyle name="Input 20 4 2 4" xfId="19778"/>
    <cellStyle name="Input 20 4 3" xfId="19781"/>
    <cellStyle name="Input 20 4 3 2" xfId="19782"/>
    <cellStyle name="Input 20 4 4" xfId="19783"/>
    <cellStyle name="Input 20 4 4 2" xfId="19784"/>
    <cellStyle name="Input 20 4 5" xfId="19785"/>
    <cellStyle name="Input 20 4 6" xfId="19786"/>
    <cellStyle name="Input 20 4 7" xfId="19787"/>
    <cellStyle name="Input 20 4 8" xfId="19788"/>
    <cellStyle name="Input 20 4 9" xfId="19789"/>
    <cellStyle name="Input 20 5" xfId="5225"/>
    <cellStyle name="Input 20 5 10" xfId="19790"/>
    <cellStyle name="Input 20 5 2" xfId="5226"/>
    <cellStyle name="Input 20 5 2 2" xfId="19792"/>
    <cellStyle name="Input 20 5 2 3" xfId="19793"/>
    <cellStyle name="Input 20 5 2 4" xfId="19791"/>
    <cellStyle name="Input 20 5 3" xfId="19794"/>
    <cellStyle name="Input 20 5 3 2" xfId="19795"/>
    <cellStyle name="Input 20 5 4" xfId="19796"/>
    <cellStyle name="Input 20 5 4 2" xfId="19797"/>
    <cellStyle name="Input 20 5 5" xfId="19798"/>
    <cellStyle name="Input 20 5 6" xfId="19799"/>
    <cellStyle name="Input 20 5 7" xfId="19800"/>
    <cellStyle name="Input 20 5 8" xfId="19801"/>
    <cellStyle name="Input 20 5 9" xfId="19802"/>
    <cellStyle name="Input 20 6" xfId="5227"/>
    <cellStyle name="Input 20 6 2" xfId="19804"/>
    <cellStyle name="Input 20 6 2 2" xfId="19805"/>
    <cellStyle name="Input 20 6 3" xfId="19806"/>
    <cellStyle name="Input 20 6 3 2" xfId="19807"/>
    <cellStyle name="Input 20 6 4" xfId="19808"/>
    <cellStyle name="Input 20 6 5" xfId="19809"/>
    <cellStyle name="Input 20 6 6" xfId="19810"/>
    <cellStyle name="Input 20 6 7" xfId="19803"/>
    <cellStyle name="Input 20 7" xfId="5228"/>
    <cellStyle name="Input 20 7 2" xfId="19811"/>
    <cellStyle name="Input 20 8" xfId="8040"/>
    <cellStyle name="Input 20 8 2" xfId="19812"/>
    <cellStyle name="Input 20 9" xfId="19813"/>
    <cellStyle name="Input 21" xfId="1282"/>
    <cellStyle name="Input 21 10" xfId="19814"/>
    <cellStyle name="Input 21 2" xfId="2744"/>
    <cellStyle name="Input 21 2 2" xfId="8357"/>
    <cellStyle name="Input 21 2 2 2" xfId="19815"/>
    <cellStyle name="Input 21 2 2 2 2" xfId="19816"/>
    <cellStyle name="Input 21 2 2 2 3" xfId="19817"/>
    <cellStyle name="Input 21 2 2 3" xfId="19818"/>
    <cellStyle name="Input 21 2 2 3 2" xfId="19819"/>
    <cellStyle name="Input 21 2 2 4" xfId="19820"/>
    <cellStyle name="Input 21 2 2 4 2" xfId="19821"/>
    <cellStyle name="Input 21 2 2 5" xfId="19822"/>
    <cellStyle name="Input 21 2 2 6" xfId="19823"/>
    <cellStyle name="Input 21 2 2 7" xfId="19824"/>
    <cellStyle name="Input 21 2 2 8" xfId="19825"/>
    <cellStyle name="Input 21 2 2 9" xfId="19826"/>
    <cellStyle name="Input 21 2 3" xfId="19827"/>
    <cellStyle name="Input 21 2 3 2" xfId="19828"/>
    <cellStyle name="Input 21 2 3 2 2" xfId="19829"/>
    <cellStyle name="Input 21 2 3 2 3" xfId="19830"/>
    <cellStyle name="Input 21 2 3 3" xfId="19831"/>
    <cellStyle name="Input 21 2 3 3 2" xfId="19832"/>
    <cellStyle name="Input 21 2 3 4" xfId="19833"/>
    <cellStyle name="Input 21 2 3 5" xfId="19834"/>
    <cellStyle name="Input 21 2 3 6" xfId="19835"/>
    <cellStyle name="Input 21 2 4" xfId="19836"/>
    <cellStyle name="Input 21 2 4 2" xfId="19837"/>
    <cellStyle name="Input 21 2 5" xfId="19838"/>
    <cellStyle name="Input 21 2 6" xfId="19839"/>
    <cellStyle name="Input 21 2 7" xfId="19840"/>
    <cellStyle name="Input 21 3" xfId="4744"/>
    <cellStyle name="Input 21 3 2" xfId="19842"/>
    <cellStyle name="Input 21 3 2 2" xfId="19843"/>
    <cellStyle name="Input 21 3 2 2 2" xfId="19844"/>
    <cellStyle name="Input 21 3 2 3" xfId="19845"/>
    <cellStyle name="Input 21 3 2 3 2" xfId="19846"/>
    <cellStyle name="Input 21 3 2 4" xfId="19847"/>
    <cellStyle name="Input 21 3 2 4 2" xfId="19848"/>
    <cellStyle name="Input 21 3 2 5" xfId="19849"/>
    <cellStyle name="Input 21 3 2 6" xfId="19850"/>
    <cellStyle name="Input 21 3 2 7" xfId="19851"/>
    <cellStyle name="Input 21 3 2 8" xfId="19852"/>
    <cellStyle name="Input 21 3 2 9" xfId="19853"/>
    <cellStyle name="Input 21 3 3" xfId="19854"/>
    <cellStyle name="Input 21 3 3 2" xfId="19855"/>
    <cellStyle name="Input 21 3 3 2 2" xfId="19856"/>
    <cellStyle name="Input 21 3 3 3" xfId="19857"/>
    <cellStyle name="Input 21 3 3 3 2" xfId="19858"/>
    <cellStyle name="Input 21 3 3 4" xfId="19859"/>
    <cellStyle name="Input 21 3 3 5" xfId="19860"/>
    <cellStyle name="Input 21 3 3 6" xfId="19861"/>
    <cellStyle name="Input 21 3 4" xfId="19862"/>
    <cellStyle name="Input 21 3 5" xfId="19863"/>
    <cellStyle name="Input 21 3 6" xfId="19864"/>
    <cellStyle name="Input 21 3 7" xfId="19865"/>
    <cellStyle name="Input 21 3 8" xfId="19841"/>
    <cellStyle name="Input 21 4" xfId="4939"/>
    <cellStyle name="Input 21 4 10" xfId="19866"/>
    <cellStyle name="Input 21 4 2" xfId="4940"/>
    <cellStyle name="Input 21 4 2 2" xfId="19868"/>
    <cellStyle name="Input 21 4 2 3" xfId="19869"/>
    <cellStyle name="Input 21 4 2 4" xfId="19867"/>
    <cellStyle name="Input 21 4 3" xfId="19870"/>
    <cellStyle name="Input 21 4 3 2" xfId="19871"/>
    <cellStyle name="Input 21 4 4" xfId="19872"/>
    <cellStyle name="Input 21 4 4 2" xfId="19873"/>
    <cellStyle name="Input 21 4 5" xfId="19874"/>
    <cellStyle name="Input 21 4 6" xfId="19875"/>
    <cellStyle name="Input 21 4 7" xfId="19876"/>
    <cellStyle name="Input 21 4 8" xfId="19877"/>
    <cellStyle name="Input 21 4 9" xfId="19878"/>
    <cellStyle name="Input 21 5" xfId="4941"/>
    <cellStyle name="Input 21 5 10" xfId="19879"/>
    <cellStyle name="Input 21 5 2" xfId="4942"/>
    <cellStyle name="Input 21 5 2 2" xfId="19881"/>
    <cellStyle name="Input 21 5 2 3" xfId="19882"/>
    <cellStyle name="Input 21 5 2 4" xfId="19880"/>
    <cellStyle name="Input 21 5 3" xfId="19883"/>
    <cellStyle name="Input 21 5 3 2" xfId="19884"/>
    <cellStyle name="Input 21 5 4" xfId="19885"/>
    <cellStyle name="Input 21 5 4 2" xfId="19886"/>
    <cellStyle name="Input 21 5 5" xfId="19887"/>
    <cellStyle name="Input 21 5 6" xfId="19888"/>
    <cellStyle name="Input 21 5 7" xfId="19889"/>
    <cellStyle name="Input 21 5 8" xfId="19890"/>
    <cellStyle name="Input 21 5 9" xfId="19891"/>
    <cellStyle name="Input 21 6" xfId="4943"/>
    <cellStyle name="Input 21 6 2" xfId="19893"/>
    <cellStyle name="Input 21 6 2 2" xfId="19894"/>
    <cellStyle name="Input 21 6 3" xfId="19895"/>
    <cellStyle name="Input 21 6 3 2" xfId="19896"/>
    <cellStyle name="Input 21 6 4" xfId="19897"/>
    <cellStyle name="Input 21 6 5" xfId="19898"/>
    <cellStyle name="Input 21 6 6" xfId="19899"/>
    <cellStyle name="Input 21 6 7" xfId="19892"/>
    <cellStyle name="Input 21 7" xfId="4745"/>
    <cellStyle name="Input 21 7 2" xfId="19900"/>
    <cellStyle name="Input 21 8" xfId="8041"/>
    <cellStyle name="Input 21 8 2" xfId="19901"/>
    <cellStyle name="Input 21 9" xfId="19902"/>
    <cellStyle name="Input 22" xfId="1283"/>
    <cellStyle name="Input 22 10" xfId="19903"/>
    <cellStyle name="Input 22 2" xfId="2745"/>
    <cellStyle name="Input 22 2 2" xfId="8358"/>
    <cellStyle name="Input 22 2 2 2" xfId="19904"/>
    <cellStyle name="Input 22 2 2 2 2" xfId="19905"/>
    <cellStyle name="Input 22 2 2 2 3" xfId="19906"/>
    <cellStyle name="Input 22 2 2 3" xfId="19907"/>
    <cellStyle name="Input 22 2 2 3 2" xfId="19908"/>
    <cellStyle name="Input 22 2 2 4" xfId="19909"/>
    <cellStyle name="Input 22 2 2 4 2" xfId="19910"/>
    <cellStyle name="Input 22 2 2 5" xfId="19911"/>
    <cellStyle name="Input 22 2 2 6" xfId="19912"/>
    <cellStyle name="Input 22 2 2 7" xfId="19913"/>
    <cellStyle name="Input 22 2 2 8" xfId="19914"/>
    <cellStyle name="Input 22 2 2 9" xfId="19915"/>
    <cellStyle name="Input 22 2 3" xfId="19916"/>
    <cellStyle name="Input 22 2 3 2" xfId="19917"/>
    <cellStyle name="Input 22 2 3 2 2" xfId="19918"/>
    <cellStyle name="Input 22 2 3 2 3" xfId="19919"/>
    <cellStyle name="Input 22 2 3 3" xfId="19920"/>
    <cellStyle name="Input 22 2 3 3 2" xfId="19921"/>
    <cellStyle name="Input 22 2 3 4" xfId="19922"/>
    <cellStyle name="Input 22 2 3 5" xfId="19923"/>
    <cellStyle name="Input 22 2 3 6" xfId="19924"/>
    <cellStyle name="Input 22 2 4" xfId="19925"/>
    <cellStyle name="Input 22 2 4 2" xfId="19926"/>
    <cellStyle name="Input 22 2 5" xfId="19927"/>
    <cellStyle name="Input 22 2 6" xfId="19928"/>
    <cellStyle name="Input 22 2 7" xfId="19929"/>
    <cellStyle name="Input 22 3" xfId="4746"/>
    <cellStyle name="Input 22 3 2" xfId="19931"/>
    <cellStyle name="Input 22 3 2 2" xfId="19932"/>
    <cellStyle name="Input 22 3 2 2 2" xfId="19933"/>
    <cellStyle name="Input 22 3 2 3" xfId="19934"/>
    <cellStyle name="Input 22 3 2 3 2" xfId="19935"/>
    <cellStyle name="Input 22 3 2 4" xfId="19936"/>
    <cellStyle name="Input 22 3 2 4 2" xfId="19937"/>
    <cellStyle name="Input 22 3 2 5" xfId="19938"/>
    <cellStyle name="Input 22 3 2 6" xfId="19939"/>
    <cellStyle name="Input 22 3 2 7" xfId="19940"/>
    <cellStyle name="Input 22 3 2 8" xfId="19941"/>
    <cellStyle name="Input 22 3 2 9" xfId="19942"/>
    <cellStyle name="Input 22 3 3" xfId="19943"/>
    <cellStyle name="Input 22 3 3 2" xfId="19944"/>
    <cellStyle name="Input 22 3 3 2 2" xfId="19945"/>
    <cellStyle name="Input 22 3 3 3" xfId="19946"/>
    <cellStyle name="Input 22 3 3 3 2" xfId="19947"/>
    <cellStyle name="Input 22 3 3 4" xfId="19948"/>
    <cellStyle name="Input 22 3 3 5" xfId="19949"/>
    <cellStyle name="Input 22 3 3 6" xfId="19950"/>
    <cellStyle name="Input 22 3 4" xfId="19951"/>
    <cellStyle name="Input 22 3 5" xfId="19952"/>
    <cellStyle name="Input 22 3 6" xfId="19953"/>
    <cellStyle name="Input 22 3 7" xfId="19954"/>
    <cellStyle name="Input 22 3 8" xfId="19930"/>
    <cellStyle name="Input 22 4" xfId="4747"/>
    <cellStyle name="Input 22 4 10" xfId="19955"/>
    <cellStyle name="Input 22 4 2" xfId="4748"/>
    <cellStyle name="Input 22 4 2 2" xfId="19957"/>
    <cellStyle name="Input 22 4 2 3" xfId="19958"/>
    <cellStyle name="Input 22 4 2 4" xfId="19956"/>
    <cellStyle name="Input 22 4 3" xfId="19959"/>
    <cellStyle name="Input 22 4 3 2" xfId="19960"/>
    <cellStyle name="Input 22 4 4" xfId="19961"/>
    <cellStyle name="Input 22 4 4 2" xfId="19962"/>
    <cellStyle name="Input 22 4 5" xfId="19963"/>
    <cellStyle name="Input 22 4 6" xfId="19964"/>
    <cellStyle name="Input 22 4 7" xfId="19965"/>
    <cellStyle name="Input 22 4 8" xfId="19966"/>
    <cellStyle name="Input 22 4 9" xfId="19967"/>
    <cellStyle name="Input 22 5" xfId="4749"/>
    <cellStyle name="Input 22 5 10" xfId="19968"/>
    <cellStyle name="Input 22 5 2" xfId="4750"/>
    <cellStyle name="Input 22 5 2 2" xfId="19970"/>
    <cellStyle name="Input 22 5 2 3" xfId="19971"/>
    <cellStyle name="Input 22 5 2 4" xfId="19969"/>
    <cellStyle name="Input 22 5 3" xfId="19972"/>
    <cellStyle name="Input 22 5 3 2" xfId="19973"/>
    <cellStyle name="Input 22 5 4" xfId="19974"/>
    <cellStyle name="Input 22 5 4 2" xfId="19975"/>
    <cellStyle name="Input 22 5 5" xfId="19976"/>
    <cellStyle name="Input 22 5 6" xfId="19977"/>
    <cellStyle name="Input 22 5 7" xfId="19978"/>
    <cellStyle name="Input 22 5 8" xfId="19979"/>
    <cellStyle name="Input 22 5 9" xfId="19980"/>
    <cellStyle name="Input 22 6" xfId="4751"/>
    <cellStyle name="Input 22 6 2" xfId="19982"/>
    <cellStyle name="Input 22 6 2 2" xfId="19983"/>
    <cellStyle name="Input 22 6 3" xfId="19984"/>
    <cellStyle name="Input 22 6 3 2" xfId="19985"/>
    <cellStyle name="Input 22 6 4" xfId="19986"/>
    <cellStyle name="Input 22 6 5" xfId="19987"/>
    <cellStyle name="Input 22 6 6" xfId="19988"/>
    <cellStyle name="Input 22 6 7" xfId="19981"/>
    <cellStyle name="Input 22 7" xfId="4752"/>
    <cellStyle name="Input 22 7 2" xfId="19989"/>
    <cellStyle name="Input 22 8" xfId="8042"/>
    <cellStyle name="Input 22 8 2" xfId="19990"/>
    <cellStyle name="Input 22 9" xfId="19991"/>
    <cellStyle name="Input 23" xfId="1284"/>
    <cellStyle name="Input 23 10" xfId="19992"/>
    <cellStyle name="Input 23 2" xfId="2746"/>
    <cellStyle name="Input 23 2 2" xfId="8359"/>
    <cellStyle name="Input 23 2 2 2" xfId="19993"/>
    <cellStyle name="Input 23 2 2 2 2" xfId="19994"/>
    <cellStyle name="Input 23 2 2 2 3" xfId="19995"/>
    <cellStyle name="Input 23 2 2 3" xfId="19996"/>
    <cellStyle name="Input 23 2 2 3 2" xfId="19997"/>
    <cellStyle name="Input 23 2 2 4" xfId="19998"/>
    <cellStyle name="Input 23 2 2 4 2" xfId="19999"/>
    <cellStyle name="Input 23 2 2 5" xfId="20000"/>
    <cellStyle name="Input 23 2 2 6" xfId="20001"/>
    <cellStyle name="Input 23 2 2 7" xfId="20002"/>
    <cellStyle name="Input 23 2 2 8" xfId="20003"/>
    <cellStyle name="Input 23 2 2 9" xfId="20004"/>
    <cellStyle name="Input 23 2 3" xfId="20005"/>
    <cellStyle name="Input 23 2 3 2" xfId="20006"/>
    <cellStyle name="Input 23 2 3 2 2" xfId="20007"/>
    <cellStyle name="Input 23 2 3 2 3" xfId="20008"/>
    <cellStyle name="Input 23 2 3 3" xfId="20009"/>
    <cellStyle name="Input 23 2 3 3 2" xfId="20010"/>
    <cellStyle name="Input 23 2 3 4" xfId="20011"/>
    <cellStyle name="Input 23 2 3 5" xfId="20012"/>
    <cellStyle name="Input 23 2 3 6" xfId="20013"/>
    <cellStyle name="Input 23 2 4" xfId="20014"/>
    <cellStyle name="Input 23 2 4 2" xfId="20015"/>
    <cellStyle name="Input 23 2 5" xfId="20016"/>
    <cellStyle name="Input 23 2 6" xfId="20017"/>
    <cellStyle name="Input 23 2 7" xfId="20018"/>
    <cellStyle name="Input 23 3" xfId="4753"/>
    <cellStyle name="Input 23 3 2" xfId="20020"/>
    <cellStyle name="Input 23 3 2 2" xfId="20021"/>
    <cellStyle name="Input 23 3 2 2 2" xfId="20022"/>
    <cellStyle name="Input 23 3 2 3" xfId="20023"/>
    <cellStyle name="Input 23 3 2 3 2" xfId="20024"/>
    <cellStyle name="Input 23 3 2 4" xfId="20025"/>
    <cellStyle name="Input 23 3 2 4 2" xfId="20026"/>
    <cellStyle name="Input 23 3 2 5" xfId="20027"/>
    <cellStyle name="Input 23 3 2 6" xfId="20028"/>
    <cellStyle name="Input 23 3 2 7" xfId="20029"/>
    <cellStyle name="Input 23 3 2 8" xfId="20030"/>
    <cellStyle name="Input 23 3 2 9" xfId="20031"/>
    <cellStyle name="Input 23 3 3" xfId="20032"/>
    <cellStyle name="Input 23 3 3 2" xfId="20033"/>
    <cellStyle name="Input 23 3 3 2 2" xfId="20034"/>
    <cellStyle name="Input 23 3 3 3" xfId="20035"/>
    <cellStyle name="Input 23 3 3 3 2" xfId="20036"/>
    <cellStyle name="Input 23 3 3 4" xfId="20037"/>
    <cellStyle name="Input 23 3 3 5" xfId="20038"/>
    <cellStyle name="Input 23 3 3 6" xfId="20039"/>
    <cellStyle name="Input 23 3 4" xfId="20040"/>
    <cellStyle name="Input 23 3 5" xfId="20041"/>
    <cellStyle name="Input 23 3 6" xfId="20042"/>
    <cellStyle name="Input 23 3 7" xfId="20043"/>
    <cellStyle name="Input 23 3 8" xfId="20019"/>
    <cellStyle name="Input 23 4" xfId="4754"/>
    <cellStyle name="Input 23 4 10" xfId="20044"/>
    <cellStyle name="Input 23 4 2" xfId="4755"/>
    <cellStyle name="Input 23 4 2 2" xfId="20046"/>
    <cellStyle name="Input 23 4 2 3" xfId="20047"/>
    <cellStyle name="Input 23 4 2 4" xfId="20045"/>
    <cellStyle name="Input 23 4 3" xfId="20048"/>
    <cellStyle name="Input 23 4 3 2" xfId="20049"/>
    <cellStyle name="Input 23 4 4" xfId="20050"/>
    <cellStyle name="Input 23 4 4 2" xfId="20051"/>
    <cellStyle name="Input 23 4 5" xfId="20052"/>
    <cellStyle name="Input 23 4 6" xfId="20053"/>
    <cellStyle name="Input 23 4 7" xfId="20054"/>
    <cellStyle name="Input 23 4 8" xfId="20055"/>
    <cellStyle name="Input 23 4 9" xfId="20056"/>
    <cellStyle name="Input 23 5" xfId="5229"/>
    <cellStyle name="Input 23 5 10" xfId="20057"/>
    <cellStyle name="Input 23 5 2" xfId="4756"/>
    <cellStyle name="Input 23 5 2 2" xfId="20059"/>
    <cellStyle name="Input 23 5 2 3" xfId="20060"/>
    <cellStyle name="Input 23 5 2 4" xfId="20058"/>
    <cellStyle name="Input 23 5 3" xfId="20061"/>
    <cellStyle name="Input 23 5 3 2" xfId="20062"/>
    <cellStyle name="Input 23 5 4" xfId="20063"/>
    <cellStyle name="Input 23 5 4 2" xfId="20064"/>
    <cellStyle name="Input 23 5 5" xfId="20065"/>
    <cellStyle name="Input 23 5 6" xfId="20066"/>
    <cellStyle name="Input 23 5 7" xfId="20067"/>
    <cellStyle name="Input 23 5 8" xfId="20068"/>
    <cellStyle name="Input 23 5 9" xfId="20069"/>
    <cellStyle name="Input 23 6" xfId="4757"/>
    <cellStyle name="Input 23 6 2" xfId="20071"/>
    <cellStyle name="Input 23 6 2 2" xfId="20072"/>
    <cellStyle name="Input 23 6 3" xfId="20073"/>
    <cellStyle name="Input 23 6 3 2" xfId="20074"/>
    <cellStyle name="Input 23 6 4" xfId="20075"/>
    <cellStyle name="Input 23 6 5" xfId="20076"/>
    <cellStyle name="Input 23 6 6" xfId="20077"/>
    <cellStyle name="Input 23 6 7" xfId="20070"/>
    <cellStyle name="Input 23 7" xfId="4758"/>
    <cellStyle name="Input 23 7 2" xfId="20078"/>
    <cellStyle name="Input 23 8" xfId="8043"/>
    <cellStyle name="Input 23 8 2" xfId="20079"/>
    <cellStyle name="Input 23 9" xfId="20080"/>
    <cellStyle name="Input 24" xfId="1285"/>
    <cellStyle name="Input 24 10" xfId="20081"/>
    <cellStyle name="Input 24 2" xfId="2747"/>
    <cellStyle name="Input 24 2 2" xfId="8360"/>
    <cellStyle name="Input 24 2 2 2" xfId="20082"/>
    <cellStyle name="Input 24 2 2 2 2" xfId="20083"/>
    <cellStyle name="Input 24 2 2 2 3" xfId="20084"/>
    <cellStyle name="Input 24 2 2 3" xfId="20085"/>
    <cellStyle name="Input 24 2 2 3 2" xfId="20086"/>
    <cellStyle name="Input 24 2 2 4" xfId="20087"/>
    <cellStyle name="Input 24 2 2 4 2" xfId="20088"/>
    <cellStyle name="Input 24 2 2 5" xfId="20089"/>
    <cellStyle name="Input 24 2 2 6" xfId="20090"/>
    <cellStyle name="Input 24 2 2 7" xfId="20091"/>
    <cellStyle name="Input 24 2 2 8" xfId="20092"/>
    <cellStyle name="Input 24 2 2 9" xfId="20093"/>
    <cellStyle name="Input 24 2 3" xfId="20094"/>
    <cellStyle name="Input 24 2 3 2" xfId="20095"/>
    <cellStyle name="Input 24 2 3 2 2" xfId="20096"/>
    <cellStyle name="Input 24 2 3 2 3" xfId="20097"/>
    <cellStyle name="Input 24 2 3 3" xfId="20098"/>
    <cellStyle name="Input 24 2 3 3 2" xfId="20099"/>
    <cellStyle name="Input 24 2 3 4" xfId="20100"/>
    <cellStyle name="Input 24 2 3 5" xfId="20101"/>
    <cellStyle name="Input 24 2 3 6" xfId="20102"/>
    <cellStyle name="Input 24 2 4" xfId="20103"/>
    <cellStyle name="Input 24 2 4 2" xfId="20104"/>
    <cellStyle name="Input 24 2 5" xfId="20105"/>
    <cellStyle name="Input 24 2 6" xfId="20106"/>
    <cellStyle name="Input 24 2 7" xfId="20107"/>
    <cellStyle name="Input 24 3" xfId="4759"/>
    <cellStyle name="Input 24 3 2" xfId="20109"/>
    <cellStyle name="Input 24 3 2 2" xfId="20110"/>
    <cellStyle name="Input 24 3 2 2 2" xfId="20111"/>
    <cellStyle name="Input 24 3 2 3" xfId="20112"/>
    <cellStyle name="Input 24 3 2 3 2" xfId="20113"/>
    <cellStyle name="Input 24 3 2 4" xfId="20114"/>
    <cellStyle name="Input 24 3 2 4 2" xfId="20115"/>
    <cellStyle name="Input 24 3 2 5" xfId="20116"/>
    <cellStyle name="Input 24 3 2 6" xfId="20117"/>
    <cellStyle name="Input 24 3 2 7" xfId="20118"/>
    <cellStyle name="Input 24 3 2 8" xfId="20119"/>
    <cellStyle name="Input 24 3 2 9" xfId="20120"/>
    <cellStyle name="Input 24 3 3" xfId="20121"/>
    <cellStyle name="Input 24 3 3 2" xfId="20122"/>
    <cellStyle name="Input 24 3 3 2 2" xfId="20123"/>
    <cellStyle name="Input 24 3 3 3" xfId="20124"/>
    <cellStyle name="Input 24 3 3 3 2" xfId="20125"/>
    <cellStyle name="Input 24 3 3 4" xfId="20126"/>
    <cellStyle name="Input 24 3 3 5" xfId="20127"/>
    <cellStyle name="Input 24 3 3 6" xfId="20128"/>
    <cellStyle name="Input 24 3 4" xfId="20129"/>
    <cellStyle name="Input 24 3 5" xfId="20130"/>
    <cellStyle name="Input 24 3 6" xfId="20131"/>
    <cellStyle name="Input 24 3 7" xfId="20132"/>
    <cellStyle name="Input 24 3 8" xfId="20108"/>
    <cellStyle name="Input 24 4" xfId="4760"/>
    <cellStyle name="Input 24 4 10" xfId="20133"/>
    <cellStyle name="Input 24 4 2" xfId="4761"/>
    <cellStyle name="Input 24 4 2 2" xfId="20135"/>
    <cellStyle name="Input 24 4 2 3" xfId="20136"/>
    <cellStyle name="Input 24 4 2 4" xfId="20134"/>
    <cellStyle name="Input 24 4 3" xfId="20137"/>
    <cellStyle name="Input 24 4 3 2" xfId="20138"/>
    <cellStyle name="Input 24 4 4" xfId="20139"/>
    <cellStyle name="Input 24 4 4 2" xfId="20140"/>
    <cellStyle name="Input 24 4 5" xfId="20141"/>
    <cellStyle name="Input 24 4 6" xfId="20142"/>
    <cellStyle name="Input 24 4 7" xfId="20143"/>
    <cellStyle name="Input 24 4 8" xfId="20144"/>
    <cellStyle name="Input 24 4 9" xfId="20145"/>
    <cellStyle name="Input 24 5" xfId="4762"/>
    <cellStyle name="Input 24 5 10" xfId="20146"/>
    <cellStyle name="Input 24 5 2" xfId="4763"/>
    <cellStyle name="Input 24 5 2 2" xfId="20148"/>
    <cellStyle name="Input 24 5 2 3" xfId="20149"/>
    <cellStyle name="Input 24 5 2 4" xfId="20147"/>
    <cellStyle name="Input 24 5 3" xfId="20150"/>
    <cellStyle name="Input 24 5 3 2" xfId="20151"/>
    <cellStyle name="Input 24 5 4" xfId="20152"/>
    <cellStyle name="Input 24 5 4 2" xfId="20153"/>
    <cellStyle name="Input 24 5 5" xfId="20154"/>
    <cellStyle name="Input 24 5 6" xfId="20155"/>
    <cellStyle name="Input 24 5 7" xfId="20156"/>
    <cellStyle name="Input 24 5 8" xfId="20157"/>
    <cellStyle name="Input 24 5 9" xfId="20158"/>
    <cellStyle name="Input 24 6" xfId="5336"/>
    <cellStyle name="Input 24 6 2" xfId="20160"/>
    <cellStyle name="Input 24 6 2 2" xfId="20161"/>
    <cellStyle name="Input 24 6 3" xfId="20162"/>
    <cellStyle name="Input 24 6 3 2" xfId="20163"/>
    <cellStyle name="Input 24 6 4" xfId="20164"/>
    <cellStyle name="Input 24 6 5" xfId="20165"/>
    <cellStyle name="Input 24 6 6" xfId="20166"/>
    <cellStyle name="Input 24 6 7" xfId="20159"/>
    <cellStyle name="Input 24 7" xfId="4764"/>
    <cellStyle name="Input 24 7 2" xfId="20167"/>
    <cellStyle name="Input 24 8" xfId="8044"/>
    <cellStyle name="Input 24 8 2" xfId="20168"/>
    <cellStyle name="Input 24 9" xfId="20169"/>
    <cellStyle name="Input 25" xfId="1286"/>
    <cellStyle name="Input 25 10" xfId="20170"/>
    <cellStyle name="Input 25 2" xfId="2748"/>
    <cellStyle name="Input 25 2 2" xfId="8361"/>
    <cellStyle name="Input 25 2 2 2" xfId="20171"/>
    <cellStyle name="Input 25 2 2 2 2" xfId="20172"/>
    <cellStyle name="Input 25 2 2 2 3" xfId="20173"/>
    <cellStyle name="Input 25 2 2 3" xfId="20174"/>
    <cellStyle name="Input 25 2 2 3 2" xfId="20175"/>
    <cellStyle name="Input 25 2 2 4" xfId="20176"/>
    <cellStyle name="Input 25 2 2 4 2" xfId="20177"/>
    <cellStyle name="Input 25 2 2 5" xfId="20178"/>
    <cellStyle name="Input 25 2 2 6" xfId="20179"/>
    <cellStyle name="Input 25 2 2 7" xfId="20180"/>
    <cellStyle name="Input 25 2 2 8" xfId="20181"/>
    <cellStyle name="Input 25 2 2 9" xfId="20182"/>
    <cellStyle name="Input 25 2 3" xfId="20183"/>
    <cellStyle name="Input 25 2 3 2" xfId="20184"/>
    <cellStyle name="Input 25 2 3 2 2" xfId="20185"/>
    <cellStyle name="Input 25 2 3 2 3" xfId="20186"/>
    <cellStyle name="Input 25 2 3 3" xfId="20187"/>
    <cellStyle name="Input 25 2 3 3 2" xfId="20188"/>
    <cellStyle name="Input 25 2 3 4" xfId="20189"/>
    <cellStyle name="Input 25 2 3 5" xfId="20190"/>
    <cellStyle name="Input 25 2 3 6" xfId="20191"/>
    <cellStyle name="Input 25 2 4" xfId="20192"/>
    <cellStyle name="Input 25 2 4 2" xfId="20193"/>
    <cellStyle name="Input 25 2 5" xfId="20194"/>
    <cellStyle name="Input 25 2 6" xfId="20195"/>
    <cellStyle name="Input 25 2 7" xfId="20196"/>
    <cellStyle name="Input 25 3" xfId="4765"/>
    <cellStyle name="Input 25 3 2" xfId="20198"/>
    <cellStyle name="Input 25 3 2 2" xfId="20199"/>
    <cellStyle name="Input 25 3 2 2 2" xfId="20200"/>
    <cellStyle name="Input 25 3 2 3" xfId="20201"/>
    <cellStyle name="Input 25 3 2 3 2" xfId="20202"/>
    <cellStyle name="Input 25 3 2 4" xfId="20203"/>
    <cellStyle name="Input 25 3 2 4 2" xfId="20204"/>
    <cellStyle name="Input 25 3 2 5" xfId="20205"/>
    <cellStyle name="Input 25 3 2 6" xfId="20206"/>
    <cellStyle name="Input 25 3 2 7" xfId="20207"/>
    <cellStyle name="Input 25 3 2 8" xfId="20208"/>
    <cellStyle name="Input 25 3 2 9" xfId="20209"/>
    <cellStyle name="Input 25 3 3" xfId="20210"/>
    <cellStyle name="Input 25 3 3 2" xfId="20211"/>
    <cellStyle name="Input 25 3 3 2 2" xfId="20212"/>
    <cellStyle name="Input 25 3 3 3" xfId="20213"/>
    <cellStyle name="Input 25 3 3 3 2" xfId="20214"/>
    <cellStyle name="Input 25 3 3 4" xfId="20215"/>
    <cellStyle name="Input 25 3 3 5" xfId="20216"/>
    <cellStyle name="Input 25 3 3 6" xfId="20217"/>
    <cellStyle name="Input 25 3 4" xfId="20218"/>
    <cellStyle name="Input 25 3 5" xfId="20219"/>
    <cellStyle name="Input 25 3 6" xfId="20220"/>
    <cellStyle name="Input 25 3 7" xfId="20221"/>
    <cellStyle name="Input 25 3 8" xfId="20197"/>
    <cellStyle name="Input 25 4" xfId="4766"/>
    <cellStyle name="Input 25 4 10" xfId="20222"/>
    <cellStyle name="Input 25 4 2" xfId="4767"/>
    <cellStyle name="Input 25 4 2 2" xfId="20224"/>
    <cellStyle name="Input 25 4 2 3" xfId="20225"/>
    <cellStyle name="Input 25 4 2 4" xfId="20223"/>
    <cellStyle name="Input 25 4 3" xfId="20226"/>
    <cellStyle name="Input 25 4 3 2" xfId="20227"/>
    <cellStyle name="Input 25 4 4" xfId="20228"/>
    <cellStyle name="Input 25 4 4 2" xfId="20229"/>
    <cellStyle name="Input 25 4 5" xfId="20230"/>
    <cellStyle name="Input 25 4 6" xfId="20231"/>
    <cellStyle name="Input 25 4 7" xfId="20232"/>
    <cellStyle name="Input 25 4 8" xfId="20233"/>
    <cellStyle name="Input 25 4 9" xfId="20234"/>
    <cellStyle name="Input 25 5" xfId="4768"/>
    <cellStyle name="Input 25 5 10" xfId="20235"/>
    <cellStyle name="Input 25 5 2" xfId="4769"/>
    <cellStyle name="Input 25 5 2 2" xfId="20237"/>
    <cellStyle name="Input 25 5 2 3" xfId="20238"/>
    <cellStyle name="Input 25 5 2 4" xfId="20236"/>
    <cellStyle name="Input 25 5 3" xfId="20239"/>
    <cellStyle name="Input 25 5 3 2" xfId="20240"/>
    <cellStyle name="Input 25 5 4" xfId="20241"/>
    <cellStyle name="Input 25 5 4 2" xfId="20242"/>
    <cellStyle name="Input 25 5 5" xfId="20243"/>
    <cellStyle name="Input 25 5 6" xfId="20244"/>
    <cellStyle name="Input 25 5 7" xfId="20245"/>
    <cellStyle name="Input 25 5 8" xfId="20246"/>
    <cellStyle name="Input 25 5 9" xfId="20247"/>
    <cellStyle name="Input 25 6" xfId="4770"/>
    <cellStyle name="Input 25 6 2" xfId="20249"/>
    <cellStyle name="Input 25 6 2 2" xfId="20250"/>
    <cellStyle name="Input 25 6 3" xfId="20251"/>
    <cellStyle name="Input 25 6 3 2" xfId="20252"/>
    <cellStyle name="Input 25 6 4" xfId="20253"/>
    <cellStyle name="Input 25 6 5" xfId="20254"/>
    <cellStyle name="Input 25 6 6" xfId="20255"/>
    <cellStyle name="Input 25 6 7" xfId="20248"/>
    <cellStyle name="Input 25 7" xfId="4771"/>
    <cellStyle name="Input 25 7 2" xfId="20256"/>
    <cellStyle name="Input 25 8" xfId="8045"/>
    <cellStyle name="Input 25 8 2" xfId="20257"/>
    <cellStyle name="Input 25 9" xfId="20258"/>
    <cellStyle name="Input 26" xfId="1287"/>
    <cellStyle name="Input 26 10" xfId="20259"/>
    <cellStyle name="Input 26 2" xfId="2749"/>
    <cellStyle name="Input 26 2 2" xfId="8362"/>
    <cellStyle name="Input 26 2 2 2" xfId="20260"/>
    <cellStyle name="Input 26 2 2 2 2" xfId="20261"/>
    <cellStyle name="Input 26 2 2 2 3" xfId="20262"/>
    <cellStyle name="Input 26 2 2 3" xfId="20263"/>
    <cellStyle name="Input 26 2 2 3 2" xfId="20264"/>
    <cellStyle name="Input 26 2 2 4" xfId="20265"/>
    <cellStyle name="Input 26 2 2 4 2" xfId="20266"/>
    <cellStyle name="Input 26 2 2 5" xfId="20267"/>
    <cellStyle name="Input 26 2 2 6" xfId="20268"/>
    <cellStyle name="Input 26 2 2 7" xfId="20269"/>
    <cellStyle name="Input 26 2 2 8" xfId="20270"/>
    <cellStyle name="Input 26 2 2 9" xfId="20271"/>
    <cellStyle name="Input 26 2 3" xfId="20272"/>
    <cellStyle name="Input 26 2 3 2" xfId="20273"/>
    <cellStyle name="Input 26 2 3 2 2" xfId="20274"/>
    <cellStyle name="Input 26 2 3 2 3" xfId="20275"/>
    <cellStyle name="Input 26 2 3 3" xfId="20276"/>
    <cellStyle name="Input 26 2 3 3 2" xfId="20277"/>
    <cellStyle name="Input 26 2 3 4" xfId="20278"/>
    <cellStyle name="Input 26 2 3 5" xfId="20279"/>
    <cellStyle name="Input 26 2 3 6" xfId="20280"/>
    <cellStyle name="Input 26 2 4" xfId="20281"/>
    <cellStyle name="Input 26 2 4 2" xfId="20282"/>
    <cellStyle name="Input 26 2 5" xfId="20283"/>
    <cellStyle name="Input 26 2 6" xfId="20284"/>
    <cellStyle name="Input 26 2 7" xfId="20285"/>
    <cellStyle name="Input 26 3" xfId="4772"/>
    <cellStyle name="Input 26 3 2" xfId="20287"/>
    <cellStyle name="Input 26 3 2 2" xfId="20288"/>
    <cellStyle name="Input 26 3 2 2 2" xfId="20289"/>
    <cellStyle name="Input 26 3 2 3" xfId="20290"/>
    <cellStyle name="Input 26 3 2 3 2" xfId="20291"/>
    <cellStyle name="Input 26 3 2 4" xfId="20292"/>
    <cellStyle name="Input 26 3 2 4 2" xfId="20293"/>
    <cellStyle name="Input 26 3 2 5" xfId="20294"/>
    <cellStyle name="Input 26 3 2 6" xfId="20295"/>
    <cellStyle name="Input 26 3 2 7" xfId="20296"/>
    <cellStyle name="Input 26 3 2 8" xfId="20297"/>
    <cellStyle name="Input 26 3 2 9" xfId="20298"/>
    <cellStyle name="Input 26 3 3" xfId="20299"/>
    <cellStyle name="Input 26 3 3 2" xfId="20300"/>
    <cellStyle name="Input 26 3 3 2 2" xfId="20301"/>
    <cellStyle name="Input 26 3 3 3" xfId="20302"/>
    <cellStyle name="Input 26 3 3 3 2" xfId="20303"/>
    <cellStyle name="Input 26 3 3 4" xfId="20304"/>
    <cellStyle name="Input 26 3 3 5" xfId="20305"/>
    <cellStyle name="Input 26 3 3 6" xfId="20306"/>
    <cellStyle name="Input 26 3 4" xfId="20307"/>
    <cellStyle name="Input 26 3 5" xfId="20308"/>
    <cellStyle name="Input 26 3 6" xfId="20309"/>
    <cellStyle name="Input 26 3 7" xfId="20310"/>
    <cellStyle name="Input 26 3 8" xfId="20286"/>
    <cellStyle name="Input 26 4" xfId="4773"/>
    <cellStyle name="Input 26 4 10" xfId="20311"/>
    <cellStyle name="Input 26 4 2" xfId="4774"/>
    <cellStyle name="Input 26 4 2 2" xfId="20313"/>
    <cellStyle name="Input 26 4 2 3" xfId="20314"/>
    <cellStyle name="Input 26 4 2 4" xfId="20312"/>
    <cellStyle name="Input 26 4 3" xfId="20315"/>
    <cellStyle name="Input 26 4 3 2" xfId="20316"/>
    <cellStyle name="Input 26 4 4" xfId="20317"/>
    <cellStyle name="Input 26 4 4 2" xfId="20318"/>
    <cellStyle name="Input 26 4 5" xfId="20319"/>
    <cellStyle name="Input 26 4 6" xfId="20320"/>
    <cellStyle name="Input 26 4 7" xfId="20321"/>
    <cellStyle name="Input 26 4 8" xfId="20322"/>
    <cellStyle name="Input 26 4 9" xfId="20323"/>
    <cellStyle name="Input 26 5" xfId="4775"/>
    <cellStyle name="Input 26 5 10" xfId="20324"/>
    <cellStyle name="Input 26 5 2" xfId="5230"/>
    <cellStyle name="Input 26 5 2 2" xfId="20326"/>
    <cellStyle name="Input 26 5 2 3" xfId="20327"/>
    <cellStyle name="Input 26 5 2 4" xfId="20325"/>
    <cellStyle name="Input 26 5 3" xfId="20328"/>
    <cellStyle name="Input 26 5 3 2" xfId="20329"/>
    <cellStyle name="Input 26 5 4" xfId="20330"/>
    <cellStyle name="Input 26 5 4 2" xfId="20331"/>
    <cellStyle name="Input 26 5 5" xfId="20332"/>
    <cellStyle name="Input 26 5 6" xfId="20333"/>
    <cellStyle name="Input 26 5 7" xfId="20334"/>
    <cellStyle name="Input 26 5 8" xfId="20335"/>
    <cellStyle name="Input 26 5 9" xfId="20336"/>
    <cellStyle name="Input 26 6" xfId="4777"/>
    <cellStyle name="Input 26 6 2" xfId="20338"/>
    <cellStyle name="Input 26 6 2 2" xfId="20339"/>
    <cellStyle name="Input 26 6 3" xfId="20340"/>
    <cellStyle name="Input 26 6 3 2" xfId="20341"/>
    <cellStyle name="Input 26 6 4" xfId="20342"/>
    <cellStyle name="Input 26 6 5" xfId="20343"/>
    <cellStyle name="Input 26 6 6" xfId="20344"/>
    <cellStyle name="Input 26 6 7" xfId="20337"/>
    <cellStyle name="Input 26 7" xfId="5231"/>
    <cellStyle name="Input 26 7 2" xfId="20345"/>
    <cellStyle name="Input 26 8" xfId="8046"/>
    <cellStyle name="Input 26 8 2" xfId="20346"/>
    <cellStyle name="Input 26 9" xfId="20347"/>
    <cellStyle name="Input 27" xfId="2750"/>
    <cellStyle name="Input 27 10" xfId="20348"/>
    <cellStyle name="Input 27 2" xfId="5328"/>
    <cellStyle name="Input 27 2 2" xfId="20350"/>
    <cellStyle name="Input 27 2 2 2" xfId="20351"/>
    <cellStyle name="Input 27 2 2 2 2" xfId="20352"/>
    <cellStyle name="Input 27 2 2 2 3" xfId="20353"/>
    <cellStyle name="Input 27 2 2 3" xfId="20354"/>
    <cellStyle name="Input 27 2 2 3 2" xfId="20355"/>
    <cellStyle name="Input 27 2 2 4" xfId="20356"/>
    <cellStyle name="Input 27 2 2 4 2" xfId="20357"/>
    <cellStyle name="Input 27 2 2 5" xfId="20358"/>
    <cellStyle name="Input 27 2 2 6" xfId="20359"/>
    <cellStyle name="Input 27 2 2 7" xfId="20360"/>
    <cellStyle name="Input 27 2 2 8" xfId="20361"/>
    <cellStyle name="Input 27 2 2 9" xfId="20362"/>
    <cellStyle name="Input 27 2 3" xfId="20363"/>
    <cellStyle name="Input 27 2 3 2" xfId="20364"/>
    <cellStyle name="Input 27 2 3 2 2" xfId="20365"/>
    <cellStyle name="Input 27 2 3 2 3" xfId="20366"/>
    <cellStyle name="Input 27 2 3 3" xfId="20367"/>
    <cellStyle name="Input 27 2 3 3 2" xfId="20368"/>
    <cellStyle name="Input 27 2 3 4" xfId="20369"/>
    <cellStyle name="Input 27 2 3 5" xfId="20370"/>
    <cellStyle name="Input 27 2 3 6" xfId="20371"/>
    <cellStyle name="Input 27 2 4" xfId="20372"/>
    <cellStyle name="Input 27 2 4 2" xfId="20373"/>
    <cellStyle name="Input 27 2 5" xfId="20374"/>
    <cellStyle name="Input 27 2 6" xfId="20375"/>
    <cellStyle name="Input 27 2 7" xfId="20376"/>
    <cellStyle name="Input 27 2 8" xfId="20349"/>
    <cellStyle name="Input 27 3" xfId="4778"/>
    <cellStyle name="Input 27 3 2" xfId="20378"/>
    <cellStyle name="Input 27 3 2 2" xfId="20379"/>
    <cellStyle name="Input 27 3 2 2 2" xfId="20380"/>
    <cellStyle name="Input 27 3 2 3" xfId="20381"/>
    <cellStyle name="Input 27 3 2 3 2" xfId="20382"/>
    <cellStyle name="Input 27 3 2 4" xfId="20383"/>
    <cellStyle name="Input 27 3 2 4 2" xfId="20384"/>
    <cellStyle name="Input 27 3 2 5" xfId="20385"/>
    <cellStyle name="Input 27 3 2 6" xfId="20386"/>
    <cellStyle name="Input 27 3 2 7" xfId="20387"/>
    <cellStyle name="Input 27 3 2 8" xfId="20388"/>
    <cellStyle name="Input 27 3 2 9" xfId="20389"/>
    <cellStyle name="Input 27 3 3" xfId="20390"/>
    <cellStyle name="Input 27 3 3 2" xfId="20391"/>
    <cellStyle name="Input 27 3 3 2 2" xfId="20392"/>
    <cellStyle name="Input 27 3 3 3" xfId="20393"/>
    <cellStyle name="Input 27 3 3 3 2" xfId="20394"/>
    <cellStyle name="Input 27 3 3 4" xfId="20395"/>
    <cellStyle name="Input 27 3 3 5" xfId="20396"/>
    <cellStyle name="Input 27 3 3 6" xfId="20397"/>
    <cellStyle name="Input 27 3 4" xfId="20398"/>
    <cellStyle name="Input 27 3 5" xfId="20399"/>
    <cellStyle name="Input 27 3 6" xfId="20400"/>
    <cellStyle name="Input 27 3 7" xfId="20401"/>
    <cellStyle name="Input 27 3 8" xfId="20377"/>
    <cellStyle name="Input 27 4" xfId="5456"/>
    <cellStyle name="Input 27 4 10" xfId="20402"/>
    <cellStyle name="Input 27 4 2" xfId="4779"/>
    <cellStyle name="Input 27 4 2 2" xfId="20404"/>
    <cellStyle name="Input 27 4 2 3" xfId="20405"/>
    <cellStyle name="Input 27 4 2 4" xfId="20403"/>
    <cellStyle name="Input 27 4 3" xfId="20406"/>
    <cellStyle name="Input 27 4 3 2" xfId="20407"/>
    <cellStyle name="Input 27 4 4" xfId="20408"/>
    <cellStyle name="Input 27 4 4 2" xfId="20409"/>
    <cellStyle name="Input 27 4 5" xfId="20410"/>
    <cellStyle name="Input 27 4 6" xfId="20411"/>
    <cellStyle name="Input 27 4 7" xfId="20412"/>
    <cellStyle name="Input 27 4 8" xfId="20413"/>
    <cellStyle name="Input 27 4 9" xfId="20414"/>
    <cellStyle name="Input 27 5" xfId="5458"/>
    <cellStyle name="Input 27 5 10" xfId="20415"/>
    <cellStyle name="Input 27 5 2" xfId="4780"/>
    <cellStyle name="Input 27 5 2 2" xfId="20417"/>
    <cellStyle name="Input 27 5 2 3" xfId="20418"/>
    <cellStyle name="Input 27 5 2 4" xfId="20416"/>
    <cellStyle name="Input 27 5 3" xfId="20419"/>
    <cellStyle name="Input 27 5 3 2" xfId="20420"/>
    <cellStyle name="Input 27 5 4" xfId="20421"/>
    <cellStyle name="Input 27 5 4 2" xfId="20422"/>
    <cellStyle name="Input 27 5 5" xfId="20423"/>
    <cellStyle name="Input 27 5 6" xfId="20424"/>
    <cellStyle name="Input 27 5 7" xfId="20425"/>
    <cellStyle name="Input 27 5 8" xfId="20426"/>
    <cellStyle name="Input 27 5 9" xfId="20427"/>
    <cellStyle name="Input 27 6" xfId="5323"/>
    <cellStyle name="Input 27 6 2" xfId="20429"/>
    <cellStyle name="Input 27 6 2 2" xfId="20430"/>
    <cellStyle name="Input 27 6 3" xfId="20431"/>
    <cellStyle name="Input 27 6 3 2" xfId="20432"/>
    <cellStyle name="Input 27 6 4" xfId="20433"/>
    <cellStyle name="Input 27 6 5" xfId="20434"/>
    <cellStyle name="Input 27 6 6" xfId="20435"/>
    <cellStyle name="Input 27 6 7" xfId="20428"/>
    <cellStyle name="Input 27 7" xfId="4781"/>
    <cellStyle name="Input 27 7 2" xfId="20436"/>
    <cellStyle name="Input 27 8" xfId="8363"/>
    <cellStyle name="Input 27 9" xfId="20437"/>
    <cellStyle name="Input 28" xfId="2751"/>
    <cellStyle name="Input 28 10" xfId="20438"/>
    <cellStyle name="Input 28 2" xfId="4782"/>
    <cellStyle name="Input 28 2 2" xfId="20440"/>
    <cellStyle name="Input 28 2 2 2" xfId="20441"/>
    <cellStyle name="Input 28 2 2 2 2" xfId="20442"/>
    <cellStyle name="Input 28 2 2 2 3" xfId="20443"/>
    <cellStyle name="Input 28 2 2 3" xfId="20444"/>
    <cellStyle name="Input 28 2 2 3 2" xfId="20445"/>
    <cellStyle name="Input 28 2 2 4" xfId="20446"/>
    <cellStyle name="Input 28 2 2 4 2" xfId="20447"/>
    <cellStyle name="Input 28 2 2 5" xfId="20448"/>
    <cellStyle name="Input 28 2 2 6" xfId="20449"/>
    <cellStyle name="Input 28 2 2 7" xfId="20450"/>
    <cellStyle name="Input 28 2 2 8" xfId="20451"/>
    <cellStyle name="Input 28 2 2 9" xfId="20452"/>
    <cellStyle name="Input 28 2 3" xfId="20453"/>
    <cellStyle name="Input 28 2 3 2" xfId="20454"/>
    <cellStyle name="Input 28 2 3 2 2" xfId="20455"/>
    <cellStyle name="Input 28 2 3 2 3" xfId="20456"/>
    <cellStyle name="Input 28 2 3 3" xfId="20457"/>
    <cellStyle name="Input 28 2 3 3 2" xfId="20458"/>
    <cellStyle name="Input 28 2 3 4" xfId="20459"/>
    <cellStyle name="Input 28 2 3 5" xfId="20460"/>
    <cellStyle name="Input 28 2 3 6" xfId="20461"/>
    <cellStyle name="Input 28 2 4" xfId="20462"/>
    <cellStyle name="Input 28 2 4 2" xfId="20463"/>
    <cellStyle name="Input 28 2 5" xfId="20464"/>
    <cellStyle name="Input 28 2 6" xfId="20465"/>
    <cellStyle name="Input 28 2 7" xfId="20466"/>
    <cellStyle name="Input 28 2 8" xfId="20439"/>
    <cellStyle name="Input 28 3" xfId="4783"/>
    <cellStyle name="Input 28 3 2" xfId="20468"/>
    <cellStyle name="Input 28 3 2 2" xfId="20469"/>
    <cellStyle name="Input 28 3 2 2 2" xfId="20470"/>
    <cellStyle name="Input 28 3 2 3" xfId="20471"/>
    <cellStyle name="Input 28 3 2 3 2" xfId="20472"/>
    <cellStyle name="Input 28 3 2 4" xfId="20473"/>
    <cellStyle name="Input 28 3 2 4 2" xfId="20474"/>
    <cellStyle name="Input 28 3 2 5" xfId="20475"/>
    <cellStyle name="Input 28 3 2 6" xfId="20476"/>
    <cellStyle name="Input 28 3 2 7" xfId="20477"/>
    <cellStyle name="Input 28 3 2 8" xfId="20478"/>
    <cellStyle name="Input 28 3 2 9" xfId="20479"/>
    <cellStyle name="Input 28 3 3" xfId="20480"/>
    <cellStyle name="Input 28 3 3 2" xfId="20481"/>
    <cellStyle name="Input 28 3 3 2 2" xfId="20482"/>
    <cellStyle name="Input 28 3 3 3" xfId="20483"/>
    <cellStyle name="Input 28 3 3 3 2" xfId="20484"/>
    <cellStyle name="Input 28 3 3 4" xfId="20485"/>
    <cellStyle name="Input 28 3 3 5" xfId="20486"/>
    <cellStyle name="Input 28 3 3 6" xfId="20487"/>
    <cellStyle name="Input 28 3 4" xfId="20488"/>
    <cellStyle name="Input 28 3 5" xfId="20489"/>
    <cellStyle name="Input 28 3 6" xfId="20490"/>
    <cellStyle name="Input 28 3 7" xfId="20491"/>
    <cellStyle name="Input 28 3 8" xfId="20467"/>
    <cellStyle name="Input 28 4" xfId="4784"/>
    <cellStyle name="Input 28 4 10" xfId="20492"/>
    <cellStyle name="Input 28 4 2" xfId="4785"/>
    <cellStyle name="Input 28 4 2 2" xfId="20494"/>
    <cellStyle name="Input 28 4 2 3" xfId="20495"/>
    <cellStyle name="Input 28 4 2 4" xfId="20493"/>
    <cellStyle name="Input 28 4 3" xfId="20496"/>
    <cellStyle name="Input 28 4 3 2" xfId="20497"/>
    <cellStyle name="Input 28 4 4" xfId="20498"/>
    <cellStyle name="Input 28 4 4 2" xfId="20499"/>
    <cellStyle name="Input 28 4 5" xfId="20500"/>
    <cellStyle name="Input 28 4 6" xfId="20501"/>
    <cellStyle name="Input 28 4 7" xfId="20502"/>
    <cellStyle name="Input 28 4 8" xfId="20503"/>
    <cellStyle name="Input 28 4 9" xfId="20504"/>
    <cellStyle name="Input 28 5" xfId="4786"/>
    <cellStyle name="Input 28 5 10" xfId="20505"/>
    <cellStyle name="Input 28 5 2" xfId="4787"/>
    <cellStyle name="Input 28 5 2 2" xfId="20507"/>
    <cellStyle name="Input 28 5 2 3" xfId="20508"/>
    <cellStyle name="Input 28 5 2 4" xfId="20506"/>
    <cellStyle name="Input 28 5 3" xfId="20509"/>
    <cellStyle name="Input 28 5 3 2" xfId="20510"/>
    <cellStyle name="Input 28 5 4" xfId="20511"/>
    <cellStyle name="Input 28 5 4 2" xfId="20512"/>
    <cellStyle name="Input 28 5 5" xfId="20513"/>
    <cellStyle name="Input 28 5 6" xfId="20514"/>
    <cellStyle name="Input 28 5 7" xfId="20515"/>
    <cellStyle name="Input 28 5 8" xfId="20516"/>
    <cellStyle name="Input 28 5 9" xfId="20517"/>
    <cellStyle name="Input 28 6" xfId="4788"/>
    <cellStyle name="Input 28 6 2" xfId="20519"/>
    <cellStyle name="Input 28 6 2 2" xfId="20520"/>
    <cellStyle name="Input 28 6 3" xfId="20521"/>
    <cellStyle name="Input 28 6 3 2" xfId="20522"/>
    <cellStyle name="Input 28 6 4" xfId="20523"/>
    <cellStyle name="Input 28 6 5" xfId="20524"/>
    <cellStyle name="Input 28 6 6" xfId="20525"/>
    <cellStyle name="Input 28 6 7" xfId="20518"/>
    <cellStyle name="Input 28 7" xfId="4789"/>
    <cellStyle name="Input 28 7 2" xfId="20526"/>
    <cellStyle name="Input 28 8" xfId="8364"/>
    <cellStyle name="Input 28 9" xfId="20527"/>
    <cellStyle name="Input 29" xfId="2752"/>
    <cellStyle name="Input 29 10" xfId="20528"/>
    <cellStyle name="Input 29 2" xfId="4790"/>
    <cellStyle name="Input 29 2 2" xfId="20530"/>
    <cellStyle name="Input 29 2 2 2" xfId="20531"/>
    <cellStyle name="Input 29 2 2 2 2" xfId="20532"/>
    <cellStyle name="Input 29 2 2 2 3" xfId="20533"/>
    <cellStyle name="Input 29 2 2 3" xfId="20534"/>
    <cellStyle name="Input 29 2 2 3 2" xfId="20535"/>
    <cellStyle name="Input 29 2 2 4" xfId="20536"/>
    <cellStyle name="Input 29 2 2 4 2" xfId="20537"/>
    <cellStyle name="Input 29 2 2 5" xfId="20538"/>
    <cellStyle name="Input 29 2 2 6" xfId="20539"/>
    <cellStyle name="Input 29 2 2 7" xfId="20540"/>
    <cellStyle name="Input 29 2 2 8" xfId="20541"/>
    <cellStyle name="Input 29 2 2 9" xfId="20542"/>
    <cellStyle name="Input 29 2 3" xfId="20543"/>
    <cellStyle name="Input 29 2 3 2" xfId="20544"/>
    <cellStyle name="Input 29 2 3 2 2" xfId="20545"/>
    <cellStyle name="Input 29 2 3 2 3" xfId="20546"/>
    <cellStyle name="Input 29 2 3 3" xfId="20547"/>
    <cellStyle name="Input 29 2 3 3 2" xfId="20548"/>
    <cellStyle name="Input 29 2 3 4" xfId="20549"/>
    <cellStyle name="Input 29 2 3 5" xfId="20550"/>
    <cellStyle name="Input 29 2 3 6" xfId="20551"/>
    <cellStyle name="Input 29 2 4" xfId="20552"/>
    <cellStyle name="Input 29 2 4 2" xfId="20553"/>
    <cellStyle name="Input 29 2 5" xfId="20554"/>
    <cellStyle name="Input 29 2 6" xfId="20555"/>
    <cellStyle name="Input 29 2 7" xfId="20556"/>
    <cellStyle name="Input 29 2 8" xfId="20529"/>
    <cellStyle name="Input 29 3" xfId="4791"/>
    <cellStyle name="Input 29 3 2" xfId="20558"/>
    <cellStyle name="Input 29 3 2 2" xfId="20559"/>
    <cellStyle name="Input 29 3 2 2 2" xfId="20560"/>
    <cellStyle name="Input 29 3 2 3" xfId="20561"/>
    <cellStyle name="Input 29 3 2 3 2" xfId="20562"/>
    <cellStyle name="Input 29 3 2 4" xfId="20563"/>
    <cellStyle name="Input 29 3 2 4 2" xfId="20564"/>
    <cellStyle name="Input 29 3 2 5" xfId="20565"/>
    <cellStyle name="Input 29 3 2 6" xfId="20566"/>
    <cellStyle name="Input 29 3 2 7" xfId="20567"/>
    <cellStyle name="Input 29 3 2 8" xfId="20568"/>
    <cellStyle name="Input 29 3 2 9" xfId="20569"/>
    <cellStyle name="Input 29 3 3" xfId="20570"/>
    <cellStyle name="Input 29 3 3 2" xfId="20571"/>
    <cellStyle name="Input 29 3 3 2 2" xfId="20572"/>
    <cellStyle name="Input 29 3 3 3" xfId="20573"/>
    <cellStyle name="Input 29 3 3 3 2" xfId="20574"/>
    <cellStyle name="Input 29 3 3 4" xfId="20575"/>
    <cellStyle name="Input 29 3 3 5" xfId="20576"/>
    <cellStyle name="Input 29 3 3 6" xfId="20577"/>
    <cellStyle name="Input 29 3 4" xfId="20578"/>
    <cellStyle name="Input 29 3 5" xfId="20579"/>
    <cellStyle name="Input 29 3 6" xfId="20580"/>
    <cellStyle name="Input 29 3 7" xfId="20581"/>
    <cellStyle name="Input 29 3 8" xfId="20557"/>
    <cellStyle name="Input 29 4" xfId="4792"/>
    <cellStyle name="Input 29 4 10" xfId="20582"/>
    <cellStyle name="Input 29 4 2" xfId="4793"/>
    <cellStyle name="Input 29 4 2 2" xfId="20584"/>
    <cellStyle name="Input 29 4 2 3" xfId="20585"/>
    <cellStyle name="Input 29 4 2 4" xfId="20583"/>
    <cellStyle name="Input 29 4 3" xfId="20586"/>
    <cellStyle name="Input 29 4 3 2" xfId="20587"/>
    <cellStyle name="Input 29 4 4" xfId="20588"/>
    <cellStyle name="Input 29 4 4 2" xfId="20589"/>
    <cellStyle name="Input 29 4 5" xfId="20590"/>
    <cellStyle name="Input 29 4 6" xfId="20591"/>
    <cellStyle name="Input 29 4 7" xfId="20592"/>
    <cellStyle name="Input 29 4 8" xfId="20593"/>
    <cellStyle name="Input 29 4 9" xfId="20594"/>
    <cellStyle name="Input 29 5" xfId="4794"/>
    <cellStyle name="Input 29 5 10" xfId="20595"/>
    <cellStyle name="Input 29 5 2" xfId="5442"/>
    <cellStyle name="Input 29 5 2 2" xfId="20597"/>
    <cellStyle name="Input 29 5 2 3" xfId="20598"/>
    <cellStyle name="Input 29 5 2 4" xfId="20596"/>
    <cellStyle name="Input 29 5 3" xfId="20599"/>
    <cellStyle name="Input 29 5 3 2" xfId="20600"/>
    <cellStyle name="Input 29 5 4" xfId="20601"/>
    <cellStyle name="Input 29 5 4 2" xfId="20602"/>
    <cellStyle name="Input 29 5 5" xfId="20603"/>
    <cellStyle name="Input 29 5 6" xfId="20604"/>
    <cellStyle name="Input 29 5 7" xfId="20605"/>
    <cellStyle name="Input 29 5 8" xfId="20606"/>
    <cellStyle name="Input 29 5 9" xfId="20607"/>
    <cellStyle name="Input 29 6" xfId="4795"/>
    <cellStyle name="Input 29 6 2" xfId="20609"/>
    <cellStyle name="Input 29 6 2 2" xfId="20610"/>
    <cellStyle name="Input 29 6 3" xfId="20611"/>
    <cellStyle name="Input 29 6 3 2" xfId="20612"/>
    <cellStyle name="Input 29 6 4" xfId="20613"/>
    <cellStyle name="Input 29 6 5" xfId="20614"/>
    <cellStyle name="Input 29 6 6" xfId="20615"/>
    <cellStyle name="Input 29 6 7" xfId="20608"/>
    <cellStyle name="Input 29 7" xfId="4796"/>
    <cellStyle name="Input 29 7 2" xfId="20616"/>
    <cellStyle name="Input 29 8" xfId="8365"/>
    <cellStyle name="Input 29 9" xfId="20617"/>
    <cellStyle name="Input 3" xfId="1288"/>
    <cellStyle name="Input 3 10" xfId="20618"/>
    <cellStyle name="Input 3 2" xfId="1289"/>
    <cellStyle name="Input 3 2 2" xfId="1290"/>
    <cellStyle name="Input 3 2 2 2" xfId="8049"/>
    <cellStyle name="Input 3 2 2 2 2" xfId="20619"/>
    <cellStyle name="Input 3 2 2 2 3" xfId="20620"/>
    <cellStyle name="Input 3 2 2 3" xfId="20621"/>
    <cellStyle name="Input 3 2 2 3 2" xfId="20622"/>
    <cellStyle name="Input 3 2 2 4" xfId="20623"/>
    <cellStyle name="Input 3 2 2 4 2" xfId="20624"/>
    <cellStyle name="Input 3 2 2 5" xfId="20625"/>
    <cellStyle name="Input 3 2 2 6" xfId="20626"/>
    <cellStyle name="Input 3 2 2 7" xfId="20627"/>
    <cellStyle name="Input 3 2 2 8" xfId="20628"/>
    <cellStyle name="Input 3 2 2 9" xfId="20629"/>
    <cellStyle name="Input 3 2 3" xfId="4797"/>
    <cellStyle name="Input 3 2 3 2" xfId="20631"/>
    <cellStyle name="Input 3 2 3 2 2" xfId="20632"/>
    <cellStyle name="Input 3 2 3 2 3" xfId="20633"/>
    <cellStyle name="Input 3 2 3 3" xfId="20634"/>
    <cellStyle name="Input 3 2 3 3 2" xfId="20635"/>
    <cellStyle name="Input 3 2 3 4" xfId="20636"/>
    <cellStyle name="Input 3 2 3 5" xfId="20637"/>
    <cellStyle name="Input 3 2 3 6" xfId="20638"/>
    <cellStyle name="Input 3 2 3 7" xfId="20630"/>
    <cellStyle name="Input 3 2 4" xfId="4798"/>
    <cellStyle name="Input 3 2 4 2" xfId="5439"/>
    <cellStyle name="Input 3 2 4 2 2" xfId="20640"/>
    <cellStyle name="Input 3 2 4 3" xfId="20639"/>
    <cellStyle name="Input 3 2 5" xfId="4799"/>
    <cellStyle name="Input 3 2 5 2" xfId="4800"/>
    <cellStyle name="Input 3 2 5 3" xfId="20641"/>
    <cellStyle name="Input 3 2 6" xfId="4801"/>
    <cellStyle name="Input 3 2 6 2" xfId="20642"/>
    <cellStyle name="Input 3 2 7" xfId="5334"/>
    <cellStyle name="Input 3 2 7 2" xfId="20643"/>
    <cellStyle name="Input 3 2 8" xfId="8048"/>
    <cellStyle name="Input 3 3" xfId="1291"/>
    <cellStyle name="Input 3 3 2" xfId="1292"/>
    <cellStyle name="Input 3 3 2 2" xfId="8051"/>
    <cellStyle name="Input 3 3 2 2 2" xfId="20644"/>
    <cellStyle name="Input 3 3 2 3" xfId="20645"/>
    <cellStyle name="Input 3 3 2 3 2" xfId="20646"/>
    <cellStyle name="Input 3 3 2 4" xfId="20647"/>
    <cellStyle name="Input 3 3 2 4 2" xfId="20648"/>
    <cellStyle name="Input 3 3 2 5" xfId="20649"/>
    <cellStyle name="Input 3 3 2 6" xfId="20650"/>
    <cellStyle name="Input 3 3 2 7" xfId="20651"/>
    <cellStyle name="Input 3 3 2 8" xfId="20652"/>
    <cellStyle name="Input 3 3 2 9" xfId="20653"/>
    <cellStyle name="Input 3 3 3" xfId="8050"/>
    <cellStyle name="Input 3 3 3 2" xfId="20654"/>
    <cellStyle name="Input 3 3 3 2 2" xfId="20655"/>
    <cellStyle name="Input 3 3 3 3" xfId="20656"/>
    <cellStyle name="Input 3 3 3 3 2" xfId="20657"/>
    <cellStyle name="Input 3 3 3 4" xfId="20658"/>
    <cellStyle name="Input 3 3 3 5" xfId="20659"/>
    <cellStyle name="Input 3 3 3 6" xfId="20660"/>
    <cellStyle name="Input 3 3 4" xfId="20661"/>
    <cellStyle name="Input 3 3 5" xfId="20662"/>
    <cellStyle name="Input 3 3 6" xfId="20663"/>
    <cellStyle name="Input 3 3 7" xfId="20664"/>
    <cellStyle name="Input 3 4" xfId="1293"/>
    <cellStyle name="Input 3 4 2" xfId="8052"/>
    <cellStyle name="Input 3 4 2 2" xfId="20665"/>
    <cellStyle name="Input 3 4 2 3" xfId="20666"/>
    <cellStyle name="Input 3 4 3" xfId="20667"/>
    <cellStyle name="Input 3 4 3 2" xfId="20668"/>
    <cellStyle name="Input 3 4 4" xfId="20669"/>
    <cellStyle name="Input 3 4 4 2" xfId="20670"/>
    <cellStyle name="Input 3 4 5" xfId="20671"/>
    <cellStyle name="Input 3 4 6" xfId="20672"/>
    <cellStyle name="Input 3 4 7" xfId="20673"/>
    <cellStyle name="Input 3 4 8" xfId="20674"/>
    <cellStyle name="Input 3 4 9" xfId="20675"/>
    <cellStyle name="Input 3 5" xfId="5232"/>
    <cellStyle name="Input 3 5 10" xfId="20676"/>
    <cellStyle name="Input 3 5 2" xfId="3522"/>
    <cellStyle name="Input 3 5 2 2" xfId="20678"/>
    <cellStyle name="Input 3 5 2 3" xfId="20679"/>
    <cellStyle name="Input 3 5 2 4" xfId="20677"/>
    <cellStyle name="Input 3 5 3" xfId="20680"/>
    <cellStyle name="Input 3 5 3 2" xfId="20681"/>
    <cellStyle name="Input 3 5 4" xfId="20682"/>
    <cellStyle name="Input 3 5 4 2" xfId="20683"/>
    <cellStyle name="Input 3 5 5" xfId="20684"/>
    <cellStyle name="Input 3 5 6" xfId="20685"/>
    <cellStyle name="Input 3 5 7" xfId="20686"/>
    <cellStyle name="Input 3 5 8" xfId="20687"/>
    <cellStyle name="Input 3 5 9" xfId="20688"/>
    <cellStyle name="Input 3 6" xfId="3523"/>
    <cellStyle name="Input 3 6 2" xfId="3524"/>
    <cellStyle name="Input 3 6 2 2" xfId="20691"/>
    <cellStyle name="Input 3 6 2 3" xfId="20690"/>
    <cellStyle name="Input 3 6 3" xfId="20692"/>
    <cellStyle name="Input 3 6 3 2" xfId="20693"/>
    <cellStyle name="Input 3 6 4" xfId="20694"/>
    <cellStyle name="Input 3 6 5" xfId="20695"/>
    <cellStyle name="Input 3 6 6" xfId="20696"/>
    <cellStyle name="Input 3 6 7" xfId="20689"/>
    <cellStyle name="Input 3 7" xfId="3525"/>
    <cellStyle name="Input 3 7 2" xfId="20697"/>
    <cellStyle name="Input 3 8" xfId="3526"/>
    <cellStyle name="Input 3 8 2" xfId="20698"/>
    <cellStyle name="Input 3 9" xfId="8047"/>
    <cellStyle name="Input 30" xfId="2753"/>
    <cellStyle name="Input 30 10" xfId="20699"/>
    <cellStyle name="Input 30 2" xfId="5233"/>
    <cellStyle name="Input 30 2 2" xfId="20701"/>
    <cellStyle name="Input 30 2 2 2" xfId="20702"/>
    <cellStyle name="Input 30 2 2 2 2" xfId="20703"/>
    <cellStyle name="Input 30 2 2 2 3" xfId="20704"/>
    <cellStyle name="Input 30 2 2 3" xfId="20705"/>
    <cellStyle name="Input 30 2 2 3 2" xfId="20706"/>
    <cellStyle name="Input 30 2 2 4" xfId="20707"/>
    <cellStyle name="Input 30 2 2 4 2" xfId="20708"/>
    <cellStyle name="Input 30 2 2 5" xfId="20709"/>
    <cellStyle name="Input 30 2 2 6" xfId="20710"/>
    <cellStyle name="Input 30 2 2 7" xfId="20711"/>
    <cellStyle name="Input 30 2 2 8" xfId="20712"/>
    <cellStyle name="Input 30 2 2 9" xfId="20713"/>
    <cellStyle name="Input 30 2 3" xfId="20714"/>
    <cellStyle name="Input 30 2 3 2" xfId="20715"/>
    <cellStyle name="Input 30 2 3 2 2" xfId="20716"/>
    <cellStyle name="Input 30 2 3 2 3" xfId="20717"/>
    <cellStyle name="Input 30 2 3 3" xfId="20718"/>
    <cellStyle name="Input 30 2 3 3 2" xfId="20719"/>
    <cellStyle name="Input 30 2 3 4" xfId="20720"/>
    <cellStyle name="Input 30 2 3 5" xfId="20721"/>
    <cellStyle name="Input 30 2 3 6" xfId="20722"/>
    <cellStyle name="Input 30 2 4" xfId="20723"/>
    <cellStyle name="Input 30 2 4 2" xfId="20724"/>
    <cellStyle name="Input 30 2 5" xfId="20725"/>
    <cellStyle name="Input 30 2 6" xfId="20726"/>
    <cellStyle name="Input 30 2 7" xfId="20727"/>
    <cellStyle name="Input 30 2 8" xfId="20700"/>
    <cellStyle name="Input 30 3" xfId="5234"/>
    <cellStyle name="Input 30 3 2" xfId="20729"/>
    <cellStyle name="Input 30 3 2 2" xfId="20730"/>
    <cellStyle name="Input 30 3 2 2 2" xfId="20731"/>
    <cellStyle name="Input 30 3 2 3" xfId="20732"/>
    <cellStyle name="Input 30 3 2 3 2" xfId="20733"/>
    <cellStyle name="Input 30 3 2 4" xfId="20734"/>
    <cellStyle name="Input 30 3 2 4 2" xfId="20735"/>
    <cellStyle name="Input 30 3 2 5" xfId="20736"/>
    <cellStyle name="Input 30 3 2 6" xfId="20737"/>
    <cellStyle name="Input 30 3 2 7" xfId="20738"/>
    <cellStyle name="Input 30 3 2 8" xfId="20739"/>
    <cellStyle name="Input 30 3 2 9" xfId="20740"/>
    <cellStyle name="Input 30 3 3" xfId="20741"/>
    <cellStyle name="Input 30 3 3 2" xfId="20742"/>
    <cellStyle name="Input 30 3 3 2 2" xfId="20743"/>
    <cellStyle name="Input 30 3 3 3" xfId="20744"/>
    <cellStyle name="Input 30 3 3 3 2" xfId="20745"/>
    <cellStyle name="Input 30 3 3 4" xfId="20746"/>
    <cellStyle name="Input 30 3 3 5" xfId="20747"/>
    <cellStyle name="Input 30 3 3 6" xfId="20748"/>
    <cellStyle name="Input 30 3 4" xfId="20749"/>
    <cellStyle name="Input 30 3 5" xfId="20750"/>
    <cellStyle name="Input 30 3 6" xfId="20751"/>
    <cellStyle name="Input 30 3 7" xfId="20752"/>
    <cellStyle name="Input 30 3 8" xfId="20728"/>
    <cellStyle name="Input 30 4" xfId="5235"/>
    <cellStyle name="Input 30 4 10" xfId="20753"/>
    <cellStyle name="Input 30 4 2" xfId="3616"/>
    <cellStyle name="Input 30 4 2 2" xfId="20755"/>
    <cellStyle name="Input 30 4 2 3" xfId="20756"/>
    <cellStyle name="Input 30 4 2 4" xfId="20754"/>
    <cellStyle name="Input 30 4 3" xfId="20757"/>
    <cellStyle name="Input 30 4 3 2" xfId="20758"/>
    <cellStyle name="Input 30 4 4" xfId="20759"/>
    <cellStyle name="Input 30 4 4 2" xfId="20760"/>
    <cellStyle name="Input 30 4 5" xfId="20761"/>
    <cellStyle name="Input 30 4 6" xfId="20762"/>
    <cellStyle name="Input 30 4 7" xfId="20763"/>
    <cellStyle name="Input 30 4 8" xfId="20764"/>
    <cellStyle name="Input 30 4 9" xfId="20765"/>
    <cellStyle name="Input 30 5" xfId="3617"/>
    <cellStyle name="Input 30 5 10" xfId="20766"/>
    <cellStyle name="Input 30 5 2" xfId="3618"/>
    <cellStyle name="Input 30 5 2 2" xfId="20768"/>
    <cellStyle name="Input 30 5 2 3" xfId="20769"/>
    <cellStyle name="Input 30 5 2 4" xfId="20767"/>
    <cellStyle name="Input 30 5 3" xfId="20770"/>
    <cellStyle name="Input 30 5 3 2" xfId="20771"/>
    <cellStyle name="Input 30 5 4" xfId="20772"/>
    <cellStyle name="Input 30 5 4 2" xfId="20773"/>
    <cellStyle name="Input 30 5 5" xfId="20774"/>
    <cellStyle name="Input 30 5 6" xfId="20775"/>
    <cellStyle name="Input 30 5 7" xfId="20776"/>
    <cellStyle name="Input 30 5 8" xfId="20777"/>
    <cellStyle name="Input 30 5 9" xfId="20778"/>
    <cellStyle name="Input 30 6" xfId="3619"/>
    <cellStyle name="Input 30 6 2" xfId="20780"/>
    <cellStyle name="Input 30 6 2 2" xfId="20781"/>
    <cellStyle name="Input 30 6 3" xfId="20782"/>
    <cellStyle name="Input 30 6 3 2" xfId="20783"/>
    <cellStyle name="Input 30 6 4" xfId="20784"/>
    <cellStyle name="Input 30 6 5" xfId="20785"/>
    <cellStyle name="Input 30 6 6" xfId="20786"/>
    <cellStyle name="Input 30 6 7" xfId="20779"/>
    <cellStyle name="Input 30 7" xfId="3620"/>
    <cellStyle name="Input 30 7 2" xfId="20787"/>
    <cellStyle name="Input 30 8" xfId="8366"/>
    <cellStyle name="Input 30 9" xfId="20788"/>
    <cellStyle name="Input 31" xfId="2754"/>
    <cellStyle name="Input 31 10" xfId="20789"/>
    <cellStyle name="Input 31 2" xfId="5236"/>
    <cellStyle name="Input 31 2 2" xfId="20791"/>
    <cellStyle name="Input 31 2 2 2" xfId="20792"/>
    <cellStyle name="Input 31 2 2 2 2" xfId="20793"/>
    <cellStyle name="Input 31 2 2 2 3" xfId="20794"/>
    <cellStyle name="Input 31 2 2 3" xfId="20795"/>
    <cellStyle name="Input 31 2 2 3 2" xfId="20796"/>
    <cellStyle name="Input 31 2 2 4" xfId="20797"/>
    <cellStyle name="Input 31 2 2 4 2" xfId="20798"/>
    <cellStyle name="Input 31 2 2 5" xfId="20799"/>
    <cellStyle name="Input 31 2 2 6" xfId="20800"/>
    <cellStyle name="Input 31 2 2 7" xfId="20801"/>
    <cellStyle name="Input 31 2 2 8" xfId="20802"/>
    <cellStyle name="Input 31 2 2 9" xfId="20803"/>
    <cellStyle name="Input 31 2 3" xfId="20804"/>
    <cellStyle name="Input 31 2 3 2" xfId="20805"/>
    <cellStyle name="Input 31 2 3 2 2" xfId="20806"/>
    <cellStyle name="Input 31 2 3 2 3" xfId="20807"/>
    <cellStyle name="Input 31 2 3 3" xfId="20808"/>
    <cellStyle name="Input 31 2 3 3 2" xfId="20809"/>
    <cellStyle name="Input 31 2 3 4" xfId="20810"/>
    <cellStyle name="Input 31 2 3 5" xfId="20811"/>
    <cellStyle name="Input 31 2 3 6" xfId="20812"/>
    <cellStyle name="Input 31 2 4" xfId="20813"/>
    <cellStyle name="Input 31 2 4 2" xfId="20814"/>
    <cellStyle name="Input 31 2 5" xfId="20815"/>
    <cellStyle name="Input 31 2 6" xfId="20816"/>
    <cellStyle name="Input 31 2 7" xfId="20817"/>
    <cellStyle name="Input 31 2 8" xfId="20790"/>
    <cellStyle name="Input 31 3" xfId="3621"/>
    <cellStyle name="Input 31 3 2" xfId="20819"/>
    <cellStyle name="Input 31 3 2 2" xfId="20820"/>
    <cellStyle name="Input 31 3 2 2 2" xfId="20821"/>
    <cellStyle name="Input 31 3 2 3" xfId="20822"/>
    <cellStyle name="Input 31 3 2 3 2" xfId="20823"/>
    <cellStyle name="Input 31 3 2 4" xfId="20824"/>
    <cellStyle name="Input 31 3 2 4 2" xfId="20825"/>
    <cellStyle name="Input 31 3 2 5" xfId="20826"/>
    <cellStyle name="Input 31 3 2 6" xfId="20827"/>
    <cellStyle name="Input 31 3 2 7" xfId="20828"/>
    <cellStyle name="Input 31 3 2 8" xfId="20829"/>
    <cellStyle name="Input 31 3 2 9" xfId="20830"/>
    <cellStyle name="Input 31 3 3" xfId="20831"/>
    <cellStyle name="Input 31 3 3 2" xfId="20832"/>
    <cellStyle name="Input 31 3 3 2 2" xfId="20833"/>
    <cellStyle name="Input 31 3 3 3" xfId="20834"/>
    <cellStyle name="Input 31 3 3 3 2" xfId="20835"/>
    <cellStyle name="Input 31 3 3 4" xfId="20836"/>
    <cellStyle name="Input 31 3 3 5" xfId="20837"/>
    <cellStyle name="Input 31 3 3 6" xfId="20838"/>
    <cellStyle name="Input 31 3 4" xfId="20839"/>
    <cellStyle name="Input 31 3 5" xfId="20840"/>
    <cellStyle name="Input 31 3 6" xfId="20841"/>
    <cellStyle name="Input 31 3 7" xfId="20842"/>
    <cellStyle name="Input 31 3 8" xfId="20818"/>
    <cellStyle name="Input 31 4" xfId="5237"/>
    <cellStyle name="Input 31 4 10" xfId="20843"/>
    <cellStyle name="Input 31 4 2" xfId="5238"/>
    <cellStyle name="Input 31 4 2 2" xfId="20845"/>
    <cellStyle name="Input 31 4 2 3" xfId="20846"/>
    <cellStyle name="Input 31 4 2 4" xfId="20844"/>
    <cellStyle name="Input 31 4 3" xfId="20847"/>
    <cellStyle name="Input 31 4 3 2" xfId="20848"/>
    <cellStyle name="Input 31 4 4" xfId="20849"/>
    <cellStyle name="Input 31 4 4 2" xfId="20850"/>
    <cellStyle name="Input 31 4 5" xfId="20851"/>
    <cellStyle name="Input 31 4 6" xfId="20852"/>
    <cellStyle name="Input 31 4 7" xfId="20853"/>
    <cellStyle name="Input 31 4 8" xfId="20854"/>
    <cellStyle name="Input 31 4 9" xfId="20855"/>
    <cellStyle name="Input 31 5" xfId="5239"/>
    <cellStyle name="Input 31 5 10" xfId="20856"/>
    <cellStyle name="Input 31 5 2" xfId="5240"/>
    <cellStyle name="Input 31 5 2 2" xfId="20858"/>
    <cellStyle name="Input 31 5 2 3" xfId="20859"/>
    <cellStyle name="Input 31 5 2 4" xfId="20857"/>
    <cellStyle name="Input 31 5 3" xfId="20860"/>
    <cellStyle name="Input 31 5 3 2" xfId="20861"/>
    <cellStyle name="Input 31 5 4" xfId="20862"/>
    <cellStyle name="Input 31 5 4 2" xfId="20863"/>
    <cellStyle name="Input 31 5 5" xfId="20864"/>
    <cellStyle name="Input 31 5 6" xfId="20865"/>
    <cellStyle name="Input 31 5 7" xfId="20866"/>
    <cellStyle name="Input 31 5 8" xfId="20867"/>
    <cellStyle name="Input 31 5 9" xfId="20868"/>
    <cellStyle name="Input 31 6" xfId="4802"/>
    <cellStyle name="Input 31 6 2" xfId="20870"/>
    <cellStyle name="Input 31 6 2 2" xfId="20871"/>
    <cellStyle name="Input 31 6 3" xfId="20872"/>
    <cellStyle name="Input 31 6 3 2" xfId="20873"/>
    <cellStyle name="Input 31 6 4" xfId="20874"/>
    <cellStyle name="Input 31 6 5" xfId="20875"/>
    <cellStyle name="Input 31 6 6" xfId="20876"/>
    <cellStyle name="Input 31 6 7" xfId="20869"/>
    <cellStyle name="Input 31 7" xfId="4803"/>
    <cellStyle name="Input 31 7 2" xfId="20877"/>
    <cellStyle name="Input 31 8" xfId="8367"/>
    <cellStyle name="Input 31 9" xfId="20878"/>
    <cellStyle name="Input 32" xfId="2755"/>
    <cellStyle name="Input 32 10" xfId="20879"/>
    <cellStyle name="Input 32 2" xfId="4804"/>
    <cellStyle name="Input 32 2 2" xfId="20881"/>
    <cellStyle name="Input 32 2 2 2" xfId="20882"/>
    <cellStyle name="Input 32 2 2 2 2" xfId="20883"/>
    <cellStyle name="Input 32 2 2 2 3" xfId="20884"/>
    <cellStyle name="Input 32 2 2 3" xfId="20885"/>
    <cellStyle name="Input 32 2 2 3 2" xfId="20886"/>
    <cellStyle name="Input 32 2 2 4" xfId="20887"/>
    <cellStyle name="Input 32 2 2 4 2" xfId="20888"/>
    <cellStyle name="Input 32 2 2 5" xfId="20889"/>
    <cellStyle name="Input 32 2 2 6" xfId="20890"/>
    <cellStyle name="Input 32 2 2 7" xfId="20891"/>
    <cellStyle name="Input 32 2 2 8" xfId="20892"/>
    <cellStyle name="Input 32 2 2 9" xfId="20893"/>
    <cellStyle name="Input 32 2 3" xfId="20894"/>
    <cellStyle name="Input 32 2 3 2" xfId="20895"/>
    <cellStyle name="Input 32 2 3 2 2" xfId="20896"/>
    <cellStyle name="Input 32 2 3 2 3" xfId="20897"/>
    <cellStyle name="Input 32 2 3 3" xfId="20898"/>
    <cellStyle name="Input 32 2 3 3 2" xfId="20899"/>
    <cellStyle name="Input 32 2 3 4" xfId="20900"/>
    <cellStyle name="Input 32 2 3 5" xfId="20901"/>
    <cellStyle name="Input 32 2 3 6" xfId="20902"/>
    <cellStyle name="Input 32 2 4" xfId="20903"/>
    <cellStyle name="Input 32 2 4 2" xfId="20904"/>
    <cellStyle name="Input 32 2 5" xfId="20905"/>
    <cellStyle name="Input 32 2 6" xfId="20906"/>
    <cellStyle name="Input 32 2 7" xfId="20907"/>
    <cellStyle name="Input 32 2 8" xfId="20880"/>
    <cellStyle name="Input 32 3" xfId="4805"/>
    <cellStyle name="Input 32 3 2" xfId="20909"/>
    <cellStyle name="Input 32 3 2 2" xfId="20910"/>
    <cellStyle name="Input 32 3 2 2 2" xfId="20911"/>
    <cellStyle name="Input 32 3 2 3" xfId="20912"/>
    <cellStyle name="Input 32 3 2 3 2" xfId="20913"/>
    <cellStyle name="Input 32 3 2 4" xfId="20914"/>
    <cellStyle name="Input 32 3 2 4 2" xfId="20915"/>
    <cellStyle name="Input 32 3 2 5" xfId="20916"/>
    <cellStyle name="Input 32 3 2 6" xfId="20917"/>
    <cellStyle name="Input 32 3 2 7" xfId="20918"/>
    <cellStyle name="Input 32 3 2 8" xfId="20919"/>
    <cellStyle name="Input 32 3 2 9" xfId="20920"/>
    <cellStyle name="Input 32 3 3" xfId="20921"/>
    <cellStyle name="Input 32 3 3 2" xfId="20922"/>
    <cellStyle name="Input 32 3 3 2 2" xfId="20923"/>
    <cellStyle name="Input 32 3 3 3" xfId="20924"/>
    <cellStyle name="Input 32 3 3 3 2" xfId="20925"/>
    <cellStyle name="Input 32 3 3 4" xfId="20926"/>
    <cellStyle name="Input 32 3 3 5" xfId="20927"/>
    <cellStyle name="Input 32 3 3 6" xfId="20928"/>
    <cellStyle name="Input 32 3 4" xfId="20929"/>
    <cellStyle name="Input 32 3 5" xfId="20930"/>
    <cellStyle name="Input 32 3 6" xfId="20931"/>
    <cellStyle name="Input 32 3 7" xfId="20932"/>
    <cellStyle name="Input 32 3 8" xfId="20908"/>
    <cellStyle name="Input 32 4" xfId="4806"/>
    <cellStyle name="Input 32 4 10" xfId="20933"/>
    <cellStyle name="Input 32 4 2" xfId="3622"/>
    <cellStyle name="Input 32 4 2 2" xfId="20935"/>
    <cellStyle name="Input 32 4 2 3" xfId="20936"/>
    <cellStyle name="Input 32 4 2 4" xfId="20934"/>
    <cellStyle name="Input 32 4 3" xfId="20937"/>
    <cellStyle name="Input 32 4 3 2" xfId="20938"/>
    <cellStyle name="Input 32 4 4" xfId="20939"/>
    <cellStyle name="Input 32 4 4 2" xfId="20940"/>
    <cellStyle name="Input 32 4 5" xfId="20941"/>
    <cellStyle name="Input 32 4 6" xfId="20942"/>
    <cellStyle name="Input 32 4 7" xfId="20943"/>
    <cellStyle name="Input 32 4 8" xfId="20944"/>
    <cellStyle name="Input 32 4 9" xfId="20945"/>
    <cellStyle name="Input 32 5" xfId="4807"/>
    <cellStyle name="Input 32 5 10" xfId="20946"/>
    <cellStyle name="Input 32 5 2" xfId="4808"/>
    <cellStyle name="Input 32 5 2 2" xfId="20948"/>
    <cellStyle name="Input 32 5 2 3" xfId="20949"/>
    <cellStyle name="Input 32 5 2 4" xfId="20947"/>
    <cellStyle name="Input 32 5 3" xfId="20950"/>
    <cellStyle name="Input 32 5 3 2" xfId="20951"/>
    <cellStyle name="Input 32 5 4" xfId="20952"/>
    <cellStyle name="Input 32 5 4 2" xfId="20953"/>
    <cellStyle name="Input 32 5 5" xfId="20954"/>
    <cellStyle name="Input 32 5 6" xfId="20955"/>
    <cellStyle name="Input 32 5 7" xfId="20956"/>
    <cellStyle name="Input 32 5 8" xfId="20957"/>
    <cellStyle name="Input 32 5 9" xfId="20958"/>
    <cellStyle name="Input 32 6" xfId="5241"/>
    <cellStyle name="Input 32 6 2" xfId="20960"/>
    <cellStyle name="Input 32 6 2 2" xfId="20961"/>
    <cellStyle name="Input 32 6 3" xfId="20962"/>
    <cellStyle name="Input 32 6 3 2" xfId="20963"/>
    <cellStyle name="Input 32 6 4" xfId="20964"/>
    <cellStyle name="Input 32 6 5" xfId="20965"/>
    <cellStyle name="Input 32 6 6" xfId="20966"/>
    <cellStyle name="Input 32 6 7" xfId="20959"/>
    <cellStyle name="Input 32 7" xfId="5242"/>
    <cellStyle name="Input 32 7 2" xfId="20967"/>
    <cellStyle name="Input 32 8" xfId="8368"/>
    <cellStyle name="Input 32 9" xfId="20968"/>
    <cellStyle name="Input 33" xfId="2756"/>
    <cellStyle name="Input 33 10" xfId="20969"/>
    <cellStyle name="Input 33 2" xfId="5243"/>
    <cellStyle name="Input 33 2 2" xfId="20971"/>
    <cellStyle name="Input 33 2 2 2" xfId="20972"/>
    <cellStyle name="Input 33 2 2 2 2" xfId="20973"/>
    <cellStyle name="Input 33 2 2 2 3" xfId="20974"/>
    <cellStyle name="Input 33 2 2 3" xfId="20975"/>
    <cellStyle name="Input 33 2 2 3 2" xfId="20976"/>
    <cellStyle name="Input 33 2 2 4" xfId="20977"/>
    <cellStyle name="Input 33 2 2 4 2" xfId="20978"/>
    <cellStyle name="Input 33 2 2 5" xfId="20979"/>
    <cellStyle name="Input 33 2 2 6" xfId="20980"/>
    <cellStyle name="Input 33 2 2 7" xfId="20981"/>
    <cellStyle name="Input 33 2 2 8" xfId="20982"/>
    <cellStyle name="Input 33 2 2 9" xfId="20983"/>
    <cellStyle name="Input 33 2 3" xfId="20984"/>
    <cellStyle name="Input 33 2 3 2" xfId="20985"/>
    <cellStyle name="Input 33 2 3 2 2" xfId="20986"/>
    <cellStyle name="Input 33 2 3 2 3" xfId="20987"/>
    <cellStyle name="Input 33 2 3 3" xfId="20988"/>
    <cellStyle name="Input 33 2 3 3 2" xfId="20989"/>
    <cellStyle name="Input 33 2 3 4" xfId="20990"/>
    <cellStyle name="Input 33 2 3 5" xfId="20991"/>
    <cellStyle name="Input 33 2 3 6" xfId="20992"/>
    <cellStyle name="Input 33 2 4" xfId="20993"/>
    <cellStyle name="Input 33 2 4 2" xfId="20994"/>
    <cellStyle name="Input 33 2 5" xfId="20995"/>
    <cellStyle name="Input 33 2 6" xfId="20996"/>
    <cellStyle name="Input 33 2 7" xfId="20997"/>
    <cellStyle name="Input 33 2 8" xfId="20970"/>
    <cellStyle name="Input 33 3" xfId="5244"/>
    <cellStyle name="Input 33 3 2" xfId="20999"/>
    <cellStyle name="Input 33 3 2 2" xfId="21000"/>
    <cellStyle name="Input 33 3 2 2 2" xfId="21001"/>
    <cellStyle name="Input 33 3 2 3" xfId="21002"/>
    <cellStyle name="Input 33 3 2 3 2" xfId="21003"/>
    <cellStyle name="Input 33 3 2 4" xfId="21004"/>
    <cellStyle name="Input 33 3 2 4 2" xfId="21005"/>
    <cellStyle name="Input 33 3 2 5" xfId="21006"/>
    <cellStyle name="Input 33 3 2 6" xfId="21007"/>
    <cellStyle name="Input 33 3 2 7" xfId="21008"/>
    <cellStyle name="Input 33 3 2 8" xfId="21009"/>
    <cellStyle name="Input 33 3 2 9" xfId="21010"/>
    <cellStyle name="Input 33 3 3" xfId="21011"/>
    <cellStyle name="Input 33 3 3 2" xfId="21012"/>
    <cellStyle name="Input 33 3 3 2 2" xfId="21013"/>
    <cellStyle name="Input 33 3 3 3" xfId="21014"/>
    <cellStyle name="Input 33 3 3 3 2" xfId="21015"/>
    <cellStyle name="Input 33 3 3 4" xfId="21016"/>
    <cellStyle name="Input 33 3 3 5" xfId="21017"/>
    <cellStyle name="Input 33 3 3 6" xfId="21018"/>
    <cellStyle name="Input 33 3 4" xfId="21019"/>
    <cellStyle name="Input 33 3 5" xfId="21020"/>
    <cellStyle name="Input 33 3 6" xfId="21021"/>
    <cellStyle name="Input 33 3 7" xfId="21022"/>
    <cellStyle name="Input 33 3 8" xfId="20998"/>
    <cellStyle name="Input 33 4" xfId="3623"/>
    <cellStyle name="Input 33 4 10" xfId="21023"/>
    <cellStyle name="Input 33 4 2" xfId="3624"/>
    <cellStyle name="Input 33 4 2 2" xfId="21025"/>
    <cellStyle name="Input 33 4 2 3" xfId="21026"/>
    <cellStyle name="Input 33 4 2 4" xfId="21024"/>
    <cellStyle name="Input 33 4 3" xfId="21027"/>
    <cellStyle name="Input 33 4 3 2" xfId="21028"/>
    <cellStyle name="Input 33 4 4" xfId="21029"/>
    <cellStyle name="Input 33 4 4 2" xfId="21030"/>
    <cellStyle name="Input 33 4 5" xfId="21031"/>
    <cellStyle name="Input 33 4 6" xfId="21032"/>
    <cellStyle name="Input 33 4 7" xfId="21033"/>
    <cellStyle name="Input 33 4 8" xfId="21034"/>
    <cellStyle name="Input 33 4 9" xfId="21035"/>
    <cellStyle name="Input 33 5" xfId="3625"/>
    <cellStyle name="Input 33 5 10" xfId="21036"/>
    <cellStyle name="Input 33 5 2" xfId="3626"/>
    <cellStyle name="Input 33 5 2 2" xfId="21038"/>
    <cellStyle name="Input 33 5 2 3" xfId="21039"/>
    <cellStyle name="Input 33 5 2 4" xfId="21037"/>
    <cellStyle name="Input 33 5 3" xfId="21040"/>
    <cellStyle name="Input 33 5 3 2" xfId="21041"/>
    <cellStyle name="Input 33 5 4" xfId="21042"/>
    <cellStyle name="Input 33 5 4 2" xfId="21043"/>
    <cellStyle name="Input 33 5 5" xfId="21044"/>
    <cellStyle name="Input 33 5 6" xfId="21045"/>
    <cellStyle name="Input 33 5 7" xfId="21046"/>
    <cellStyle name="Input 33 5 8" xfId="21047"/>
    <cellStyle name="Input 33 5 9" xfId="21048"/>
    <cellStyle name="Input 33 6" xfId="3627"/>
    <cellStyle name="Input 33 6 2" xfId="21050"/>
    <cellStyle name="Input 33 6 2 2" xfId="21051"/>
    <cellStyle name="Input 33 6 3" xfId="21052"/>
    <cellStyle name="Input 33 6 3 2" xfId="21053"/>
    <cellStyle name="Input 33 6 4" xfId="21054"/>
    <cellStyle name="Input 33 6 5" xfId="21055"/>
    <cellStyle name="Input 33 6 6" xfId="21056"/>
    <cellStyle name="Input 33 6 7" xfId="21049"/>
    <cellStyle name="Input 33 7" xfId="3628"/>
    <cellStyle name="Input 33 7 2" xfId="21057"/>
    <cellStyle name="Input 33 8" xfId="8369"/>
    <cellStyle name="Input 33 9" xfId="21058"/>
    <cellStyle name="Input 34" xfId="2757"/>
    <cellStyle name="Input 34 10" xfId="21059"/>
    <cellStyle name="Input 34 2" xfId="3629"/>
    <cellStyle name="Input 34 2 2" xfId="21061"/>
    <cellStyle name="Input 34 2 2 2" xfId="21062"/>
    <cellStyle name="Input 34 2 2 2 2" xfId="21063"/>
    <cellStyle name="Input 34 2 2 2 3" xfId="21064"/>
    <cellStyle name="Input 34 2 2 3" xfId="21065"/>
    <cellStyle name="Input 34 2 2 3 2" xfId="21066"/>
    <cellStyle name="Input 34 2 2 4" xfId="21067"/>
    <cellStyle name="Input 34 2 2 4 2" xfId="21068"/>
    <cellStyle name="Input 34 2 2 5" xfId="21069"/>
    <cellStyle name="Input 34 2 2 6" xfId="21070"/>
    <cellStyle name="Input 34 2 2 7" xfId="21071"/>
    <cellStyle name="Input 34 2 2 8" xfId="21072"/>
    <cellStyle name="Input 34 2 2 9" xfId="21073"/>
    <cellStyle name="Input 34 2 3" xfId="21074"/>
    <cellStyle name="Input 34 2 3 2" xfId="21075"/>
    <cellStyle name="Input 34 2 3 2 2" xfId="21076"/>
    <cellStyle name="Input 34 2 3 2 3" xfId="21077"/>
    <cellStyle name="Input 34 2 3 3" xfId="21078"/>
    <cellStyle name="Input 34 2 3 3 2" xfId="21079"/>
    <cellStyle name="Input 34 2 3 4" xfId="21080"/>
    <cellStyle name="Input 34 2 3 5" xfId="21081"/>
    <cellStyle name="Input 34 2 3 6" xfId="21082"/>
    <cellStyle name="Input 34 2 4" xfId="21083"/>
    <cellStyle name="Input 34 2 4 2" xfId="21084"/>
    <cellStyle name="Input 34 2 5" xfId="21085"/>
    <cellStyle name="Input 34 2 6" xfId="21086"/>
    <cellStyle name="Input 34 2 7" xfId="21087"/>
    <cellStyle name="Input 34 2 8" xfId="21060"/>
    <cellStyle name="Input 34 3" xfId="3630"/>
    <cellStyle name="Input 34 3 2" xfId="21089"/>
    <cellStyle name="Input 34 3 2 2" xfId="21090"/>
    <cellStyle name="Input 34 3 2 2 2" xfId="21091"/>
    <cellStyle name="Input 34 3 2 3" xfId="21092"/>
    <cellStyle name="Input 34 3 2 3 2" xfId="21093"/>
    <cellStyle name="Input 34 3 2 4" xfId="21094"/>
    <cellStyle name="Input 34 3 2 4 2" xfId="21095"/>
    <cellStyle name="Input 34 3 2 5" xfId="21096"/>
    <cellStyle name="Input 34 3 2 6" xfId="21097"/>
    <cellStyle name="Input 34 3 2 7" xfId="21098"/>
    <cellStyle name="Input 34 3 2 8" xfId="21099"/>
    <cellStyle name="Input 34 3 2 9" xfId="21100"/>
    <cellStyle name="Input 34 3 3" xfId="21101"/>
    <cellStyle name="Input 34 3 3 2" xfId="21102"/>
    <cellStyle name="Input 34 3 3 2 2" xfId="21103"/>
    <cellStyle name="Input 34 3 3 3" xfId="21104"/>
    <cellStyle name="Input 34 3 3 3 2" xfId="21105"/>
    <cellStyle name="Input 34 3 3 4" xfId="21106"/>
    <cellStyle name="Input 34 3 3 5" xfId="21107"/>
    <cellStyle name="Input 34 3 3 6" xfId="21108"/>
    <cellStyle name="Input 34 3 4" xfId="21109"/>
    <cellStyle name="Input 34 3 5" xfId="21110"/>
    <cellStyle name="Input 34 3 6" xfId="21111"/>
    <cellStyle name="Input 34 3 7" xfId="21112"/>
    <cellStyle name="Input 34 3 8" xfId="21088"/>
    <cellStyle name="Input 34 4" xfId="3631"/>
    <cellStyle name="Input 34 4 10" xfId="21113"/>
    <cellStyle name="Input 34 4 2" xfId="5245"/>
    <cellStyle name="Input 34 4 2 2" xfId="21115"/>
    <cellStyle name="Input 34 4 2 3" xfId="21116"/>
    <cellStyle name="Input 34 4 2 4" xfId="21114"/>
    <cellStyle name="Input 34 4 3" xfId="21117"/>
    <cellStyle name="Input 34 4 3 2" xfId="21118"/>
    <cellStyle name="Input 34 4 4" xfId="21119"/>
    <cellStyle name="Input 34 4 4 2" xfId="21120"/>
    <cellStyle name="Input 34 4 5" xfId="21121"/>
    <cellStyle name="Input 34 4 6" xfId="21122"/>
    <cellStyle name="Input 34 4 7" xfId="21123"/>
    <cellStyle name="Input 34 4 8" xfId="21124"/>
    <cellStyle name="Input 34 4 9" xfId="21125"/>
    <cellStyle name="Input 34 5" xfId="3527"/>
    <cellStyle name="Input 34 5 10" xfId="21126"/>
    <cellStyle name="Input 34 5 2" xfId="5246"/>
    <cellStyle name="Input 34 5 2 2" xfId="21128"/>
    <cellStyle name="Input 34 5 2 3" xfId="21129"/>
    <cellStyle name="Input 34 5 2 4" xfId="21127"/>
    <cellStyle name="Input 34 5 3" xfId="21130"/>
    <cellStyle name="Input 34 5 3 2" xfId="21131"/>
    <cellStyle name="Input 34 5 4" xfId="21132"/>
    <cellStyle name="Input 34 5 4 2" xfId="21133"/>
    <cellStyle name="Input 34 5 5" xfId="21134"/>
    <cellStyle name="Input 34 5 6" xfId="21135"/>
    <cellStyle name="Input 34 5 7" xfId="21136"/>
    <cellStyle name="Input 34 5 8" xfId="21137"/>
    <cellStyle name="Input 34 5 9" xfId="21138"/>
    <cellStyle name="Input 34 6" xfId="3266"/>
    <cellStyle name="Input 34 6 2" xfId="21140"/>
    <cellStyle name="Input 34 6 2 2" xfId="21141"/>
    <cellStyle name="Input 34 6 3" xfId="21142"/>
    <cellStyle name="Input 34 6 3 2" xfId="21143"/>
    <cellStyle name="Input 34 6 4" xfId="21144"/>
    <cellStyle name="Input 34 6 5" xfId="21145"/>
    <cellStyle name="Input 34 6 6" xfId="21146"/>
    <cellStyle name="Input 34 6 7" xfId="21139"/>
    <cellStyle name="Input 34 7" xfId="5247"/>
    <cellStyle name="Input 34 7 2" xfId="21147"/>
    <cellStyle name="Input 34 8" xfId="8370"/>
    <cellStyle name="Input 34 9" xfId="21148"/>
    <cellStyle name="Input 35" xfId="2758"/>
    <cellStyle name="Input 35 10" xfId="21149"/>
    <cellStyle name="Input 35 2" xfId="5248"/>
    <cellStyle name="Input 35 2 2" xfId="21151"/>
    <cellStyle name="Input 35 2 2 2" xfId="21152"/>
    <cellStyle name="Input 35 2 2 2 2" xfId="21153"/>
    <cellStyle name="Input 35 2 2 2 3" xfId="21154"/>
    <cellStyle name="Input 35 2 2 3" xfId="21155"/>
    <cellStyle name="Input 35 2 2 3 2" xfId="21156"/>
    <cellStyle name="Input 35 2 2 4" xfId="21157"/>
    <cellStyle name="Input 35 2 2 4 2" xfId="21158"/>
    <cellStyle name="Input 35 2 2 5" xfId="21159"/>
    <cellStyle name="Input 35 2 2 6" xfId="21160"/>
    <cellStyle name="Input 35 2 2 7" xfId="21161"/>
    <cellStyle name="Input 35 2 2 8" xfId="21162"/>
    <cellStyle name="Input 35 2 2 9" xfId="21163"/>
    <cellStyle name="Input 35 2 3" xfId="21164"/>
    <cellStyle name="Input 35 2 3 2" xfId="21165"/>
    <cellStyle name="Input 35 2 3 2 2" xfId="21166"/>
    <cellStyle name="Input 35 2 3 2 3" xfId="21167"/>
    <cellStyle name="Input 35 2 3 3" xfId="21168"/>
    <cellStyle name="Input 35 2 3 3 2" xfId="21169"/>
    <cellStyle name="Input 35 2 3 4" xfId="21170"/>
    <cellStyle name="Input 35 2 3 5" xfId="21171"/>
    <cellStyle name="Input 35 2 3 6" xfId="21172"/>
    <cellStyle name="Input 35 2 4" xfId="21173"/>
    <cellStyle name="Input 35 2 4 2" xfId="21174"/>
    <cellStyle name="Input 35 2 5" xfId="21175"/>
    <cellStyle name="Input 35 2 6" xfId="21176"/>
    <cellStyle name="Input 35 2 7" xfId="21177"/>
    <cellStyle name="Input 35 2 8" xfId="21150"/>
    <cellStyle name="Input 35 3" xfId="4809"/>
    <cellStyle name="Input 35 3 2" xfId="21179"/>
    <cellStyle name="Input 35 3 2 2" xfId="21180"/>
    <cellStyle name="Input 35 3 2 2 2" xfId="21181"/>
    <cellStyle name="Input 35 3 2 3" xfId="21182"/>
    <cellStyle name="Input 35 3 2 3 2" xfId="21183"/>
    <cellStyle name="Input 35 3 2 4" xfId="21184"/>
    <cellStyle name="Input 35 3 2 4 2" xfId="21185"/>
    <cellStyle name="Input 35 3 2 5" xfId="21186"/>
    <cellStyle name="Input 35 3 2 6" xfId="21187"/>
    <cellStyle name="Input 35 3 2 7" xfId="21188"/>
    <cellStyle name="Input 35 3 2 8" xfId="21189"/>
    <cellStyle name="Input 35 3 2 9" xfId="21190"/>
    <cellStyle name="Input 35 3 3" xfId="21191"/>
    <cellStyle name="Input 35 3 3 2" xfId="21192"/>
    <cellStyle name="Input 35 3 3 2 2" xfId="21193"/>
    <cellStyle name="Input 35 3 3 3" xfId="21194"/>
    <cellStyle name="Input 35 3 3 3 2" xfId="21195"/>
    <cellStyle name="Input 35 3 3 4" xfId="21196"/>
    <cellStyle name="Input 35 3 3 5" xfId="21197"/>
    <cellStyle name="Input 35 3 3 6" xfId="21198"/>
    <cellStyle name="Input 35 3 4" xfId="21199"/>
    <cellStyle name="Input 35 3 5" xfId="21200"/>
    <cellStyle name="Input 35 3 6" xfId="21201"/>
    <cellStyle name="Input 35 3 7" xfId="21202"/>
    <cellStyle name="Input 35 3 8" xfId="21178"/>
    <cellStyle name="Input 35 4" xfId="3528"/>
    <cellStyle name="Input 35 4 10" xfId="21203"/>
    <cellStyle name="Input 35 4 2" xfId="4810"/>
    <cellStyle name="Input 35 4 2 2" xfId="21205"/>
    <cellStyle name="Input 35 4 2 3" xfId="21206"/>
    <cellStyle name="Input 35 4 2 4" xfId="21204"/>
    <cellStyle name="Input 35 4 3" xfId="21207"/>
    <cellStyle name="Input 35 4 3 2" xfId="21208"/>
    <cellStyle name="Input 35 4 4" xfId="21209"/>
    <cellStyle name="Input 35 4 4 2" xfId="21210"/>
    <cellStyle name="Input 35 4 5" xfId="21211"/>
    <cellStyle name="Input 35 4 6" xfId="21212"/>
    <cellStyle name="Input 35 4 7" xfId="21213"/>
    <cellStyle name="Input 35 4 8" xfId="21214"/>
    <cellStyle name="Input 35 4 9" xfId="21215"/>
    <cellStyle name="Input 35 5" xfId="3267"/>
    <cellStyle name="Input 35 5 10" xfId="21216"/>
    <cellStyle name="Input 35 5 2" xfId="4811"/>
    <cellStyle name="Input 35 5 2 2" xfId="21218"/>
    <cellStyle name="Input 35 5 2 3" xfId="21219"/>
    <cellStyle name="Input 35 5 2 4" xfId="21217"/>
    <cellStyle name="Input 35 5 3" xfId="21220"/>
    <cellStyle name="Input 35 5 3 2" xfId="21221"/>
    <cellStyle name="Input 35 5 4" xfId="21222"/>
    <cellStyle name="Input 35 5 4 2" xfId="21223"/>
    <cellStyle name="Input 35 5 5" xfId="21224"/>
    <cellStyle name="Input 35 5 6" xfId="21225"/>
    <cellStyle name="Input 35 5 7" xfId="21226"/>
    <cellStyle name="Input 35 5 8" xfId="21227"/>
    <cellStyle name="Input 35 5 9" xfId="21228"/>
    <cellStyle name="Input 35 6" xfId="4812"/>
    <cellStyle name="Input 35 6 2" xfId="21230"/>
    <cellStyle name="Input 35 6 2 2" xfId="21231"/>
    <cellStyle name="Input 35 6 3" xfId="21232"/>
    <cellStyle name="Input 35 6 3 2" xfId="21233"/>
    <cellStyle name="Input 35 6 4" xfId="21234"/>
    <cellStyle name="Input 35 6 5" xfId="21235"/>
    <cellStyle name="Input 35 6 6" xfId="21236"/>
    <cellStyle name="Input 35 6 7" xfId="21229"/>
    <cellStyle name="Input 35 7" xfId="4813"/>
    <cellStyle name="Input 35 7 2" xfId="21237"/>
    <cellStyle name="Input 35 8" xfId="8371"/>
    <cellStyle name="Input 35 9" xfId="21238"/>
    <cellStyle name="Input 36" xfId="2759"/>
    <cellStyle name="Input 36 10" xfId="21239"/>
    <cellStyle name="Input 36 2" xfId="4955"/>
    <cellStyle name="Input 36 2 2" xfId="21241"/>
    <cellStyle name="Input 36 2 2 2" xfId="21242"/>
    <cellStyle name="Input 36 2 2 2 2" xfId="21243"/>
    <cellStyle name="Input 36 2 2 2 3" xfId="21244"/>
    <cellStyle name="Input 36 2 2 3" xfId="21245"/>
    <cellStyle name="Input 36 2 2 3 2" xfId="21246"/>
    <cellStyle name="Input 36 2 2 4" xfId="21247"/>
    <cellStyle name="Input 36 2 2 4 2" xfId="21248"/>
    <cellStyle name="Input 36 2 2 5" xfId="21249"/>
    <cellStyle name="Input 36 2 2 6" xfId="21250"/>
    <cellStyle name="Input 36 2 2 7" xfId="21251"/>
    <cellStyle name="Input 36 2 2 8" xfId="21252"/>
    <cellStyle name="Input 36 2 2 9" xfId="21253"/>
    <cellStyle name="Input 36 2 3" xfId="21254"/>
    <cellStyle name="Input 36 2 3 2" xfId="21255"/>
    <cellStyle name="Input 36 2 3 2 2" xfId="21256"/>
    <cellStyle name="Input 36 2 3 2 3" xfId="21257"/>
    <cellStyle name="Input 36 2 3 3" xfId="21258"/>
    <cellStyle name="Input 36 2 3 3 2" xfId="21259"/>
    <cellStyle name="Input 36 2 3 4" xfId="21260"/>
    <cellStyle name="Input 36 2 3 5" xfId="21261"/>
    <cellStyle name="Input 36 2 3 6" xfId="21262"/>
    <cellStyle name="Input 36 2 4" xfId="21263"/>
    <cellStyle name="Input 36 2 4 2" xfId="21264"/>
    <cellStyle name="Input 36 2 5" xfId="21265"/>
    <cellStyle name="Input 36 2 6" xfId="21266"/>
    <cellStyle name="Input 36 2 7" xfId="21267"/>
    <cellStyle name="Input 36 2 8" xfId="21240"/>
    <cellStyle name="Input 36 3" xfId="3529"/>
    <cellStyle name="Input 36 3 2" xfId="21269"/>
    <cellStyle name="Input 36 3 2 2" xfId="21270"/>
    <cellStyle name="Input 36 3 2 2 2" xfId="21271"/>
    <cellStyle name="Input 36 3 2 3" xfId="21272"/>
    <cellStyle name="Input 36 3 2 3 2" xfId="21273"/>
    <cellStyle name="Input 36 3 2 4" xfId="21274"/>
    <cellStyle name="Input 36 3 2 4 2" xfId="21275"/>
    <cellStyle name="Input 36 3 2 5" xfId="21276"/>
    <cellStyle name="Input 36 3 2 6" xfId="21277"/>
    <cellStyle name="Input 36 3 2 7" xfId="21278"/>
    <cellStyle name="Input 36 3 2 8" xfId="21279"/>
    <cellStyle name="Input 36 3 2 9" xfId="21280"/>
    <cellStyle name="Input 36 3 3" xfId="21281"/>
    <cellStyle name="Input 36 3 3 2" xfId="21282"/>
    <cellStyle name="Input 36 3 3 2 2" xfId="21283"/>
    <cellStyle name="Input 36 3 3 3" xfId="21284"/>
    <cellStyle name="Input 36 3 3 3 2" xfId="21285"/>
    <cellStyle name="Input 36 3 3 4" xfId="21286"/>
    <cellStyle name="Input 36 3 3 5" xfId="21287"/>
    <cellStyle name="Input 36 3 3 6" xfId="21288"/>
    <cellStyle name="Input 36 3 4" xfId="21289"/>
    <cellStyle name="Input 36 3 5" xfId="21290"/>
    <cellStyle name="Input 36 3 6" xfId="21291"/>
    <cellStyle name="Input 36 3 7" xfId="21292"/>
    <cellStyle name="Input 36 3 8" xfId="21268"/>
    <cellStyle name="Input 36 4" xfId="5249"/>
    <cellStyle name="Input 36 4 10" xfId="21293"/>
    <cellStyle name="Input 36 4 2" xfId="5250"/>
    <cellStyle name="Input 36 4 2 2" xfId="21295"/>
    <cellStyle name="Input 36 4 2 3" xfId="21296"/>
    <cellStyle name="Input 36 4 2 4" xfId="21294"/>
    <cellStyle name="Input 36 4 3" xfId="21297"/>
    <cellStyle name="Input 36 4 3 2" xfId="21298"/>
    <cellStyle name="Input 36 4 4" xfId="21299"/>
    <cellStyle name="Input 36 4 4 2" xfId="21300"/>
    <cellStyle name="Input 36 4 5" xfId="21301"/>
    <cellStyle name="Input 36 4 6" xfId="21302"/>
    <cellStyle name="Input 36 4 7" xfId="21303"/>
    <cellStyle name="Input 36 4 8" xfId="21304"/>
    <cellStyle name="Input 36 4 9" xfId="21305"/>
    <cellStyle name="Input 36 5" xfId="5251"/>
    <cellStyle name="Input 36 5 10" xfId="21306"/>
    <cellStyle name="Input 36 5 2" xfId="5252"/>
    <cellStyle name="Input 36 5 2 2" xfId="21308"/>
    <cellStyle name="Input 36 5 2 3" xfId="21309"/>
    <cellStyle name="Input 36 5 2 4" xfId="21307"/>
    <cellStyle name="Input 36 5 3" xfId="21310"/>
    <cellStyle name="Input 36 5 3 2" xfId="21311"/>
    <cellStyle name="Input 36 5 4" xfId="21312"/>
    <cellStyle name="Input 36 5 4 2" xfId="21313"/>
    <cellStyle name="Input 36 5 5" xfId="21314"/>
    <cellStyle name="Input 36 5 6" xfId="21315"/>
    <cellStyle name="Input 36 5 7" xfId="21316"/>
    <cellStyle name="Input 36 5 8" xfId="21317"/>
    <cellStyle name="Input 36 5 9" xfId="21318"/>
    <cellStyle name="Input 36 6" xfId="5253"/>
    <cellStyle name="Input 36 6 2" xfId="21320"/>
    <cellStyle name="Input 36 6 2 2" xfId="21321"/>
    <cellStyle name="Input 36 6 3" xfId="21322"/>
    <cellStyle name="Input 36 6 3 2" xfId="21323"/>
    <cellStyle name="Input 36 6 4" xfId="21324"/>
    <cellStyle name="Input 36 6 5" xfId="21325"/>
    <cellStyle name="Input 36 6 6" xfId="21326"/>
    <cellStyle name="Input 36 6 7" xfId="21319"/>
    <cellStyle name="Input 36 7" xfId="5254"/>
    <cellStyle name="Input 36 7 2" xfId="21327"/>
    <cellStyle name="Input 36 8" xfId="8372"/>
    <cellStyle name="Input 36 9" xfId="21328"/>
    <cellStyle name="Input 37" xfId="2760"/>
    <cellStyle name="Input 37 10" xfId="21329"/>
    <cellStyle name="Input 37 2" xfId="5255"/>
    <cellStyle name="Input 37 2 2" xfId="21331"/>
    <cellStyle name="Input 37 2 2 2" xfId="21332"/>
    <cellStyle name="Input 37 2 2 2 2" xfId="21333"/>
    <cellStyle name="Input 37 2 2 2 3" xfId="21334"/>
    <cellStyle name="Input 37 2 2 3" xfId="21335"/>
    <cellStyle name="Input 37 2 2 3 2" xfId="21336"/>
    <cellStyle name="Input 37 2 2 4" xfId="21337"/>
    <cellStyle name="Input 37 2 2 4 2" xfId="21338"/>
    <cellStyle name="Input 37 2 2 5" xfId="21339"/>
    <cellStyle name="Input 37 2 2 6" xfId="21340"/>
    <cellStyle name="Input 37 2 2 7" xfId="21341"/>
    <cellStyle name="Input 37 2 2 8" xfId="21342"/>
    <cellStyle name="Input 37 2 2 9" xfId="21343"/>
    <cellStyle name="Input 37 2 3" xfId="21344"/>
    <cellStyle name="Input 37 2 3 2" xfId="21345"/>
    <cellStyle name="Input 37 2 3 2 2" xfId="21346"/>
    <cellStyle name="Input 37 2 3 2 3" xfId="21347"/>
    <cellStyle name="Input 37 2 3 3" xfId="21348"/>
    <cellStyle name="Input 37 2 3 3 2" xfId="21349"/>
    <cellStyle name="Input 37 2 3 4" xfId="21350"/>
    <cellStyle name="Input 37 2 3 5" xfId="21351"/>
    <cellStyle name="Input 37 2 3 6" xfId="21352"/>
    <cellStyle name="Input 37 2 4" xfId="21353"/>
    <cellStyle name="Input 37 2 4 2" xfId="21354"/>
    <cellStyle name="Input 37 2 5" xfId="21355"/>
    <cellStyle name="Input 37 2 6" xfId="21356"/>
    <cellStyle name="Input 37 2 7" xfId="21357"/>
    <cellStyle name="Input 37 2 8" xfId="21330"/>
    <cellStyle name="Input 37 3" xfId="4814"/>
    <cellStyle name="Input 37 3 2" xfId="21359"/>
    <cellStyle name="Input 37 3 2 2" xfId="21360"/>
    <cellStyle name="Input 37 3 2 2 2" xfId="21361"/>
    <cellStyle name="Input 37 3 2 3" xfId="21362"/>
    <cellStyle name="Input 37 3 2 3 2" xfId="21363"/>
    <cellStyle name="Input 37 3 2 4" xfId="21364"/>
    <cellStyle name="Input 37 3 2 4 2" xfId="21365"/>
    <cellStyle name="Input 37 3 2 5" xfId="21366"/>
    <cellStyle name="Input 37 3 2 6" xfId="21367"/>
    <cellStyle name="Input 37 3 2 7" xfId="21368"/>
    <cellStyle name="Input 37 3 2 8" xfId="21369"/>
    <cellStyle name="Input 37 3 2 9" xfId="21370"/>
    <cellStyle name="Input 37 3 3" xfId="21371"/>
    <cellStyle name="Input 37 3 3 2" xfId="21372"/>
    <cellStyle name="Input 37 3 3 2 2" xfId="21373"/>
    <cellStyle name="Input 37 3 3 3" xfId="21374"/>
    <cellStyle name="Input 37 3 3 3 2" xfId="21375"/>
    <cellStyle name="Input 37 3 3 4" xfId="21376"/>
    <cellStyle name="Input 37 3 3 5" xfId="21377"/>
    <cellStyle name="Input 37 3 3 6" xfId="21378"/>
    <cellStyle name="Input 37 3 4" xfId="21379"/>
    <cellStyle name="Input 37 3 5" xfId="21380"/>
    <cellStyle name="Input 37 3 6" xfId="21381"/>
    <cellStyle name="Input 37 3 7" xfId="21382"/>
    <cellStyle name="Input 37 3 8" xfId="21358"/>
    <cellStyle name="Input 37 4" xfId="4815"/>
    <cellStyle name="Input 37 4 10" xfId="21383"/>
    <cellStyle name="Input 37 4 2" xfId="4816"/>
    <cellStyle name="Input 37 4 2 2" xfId="21385"/>
    <cellStyle name="Input 37 4 2 3" xfId="21386"/>
    <cellStyle name="Input 37 4 2 4" xfId="21384"/>
    <cellStyle name="Input 37 4 3" xfId="21387"/>
    <cellStyle name="Input 37 4 3 2" xfId="21388"/>
    <cellStyle name="Input 37 4 4" xfId="21389"/>
    <cellStyle name="Input 37 4 4 2" xfId="21390"/>
    <cellStyle name="Input 37 4 5" xfId="21391"/>
    <cellStyle name="Input 37 4 6" xfId="21392"/>
    <cellStyle name="Input 37 4 7" xfId="21393"/>
    <cellStyle name="Input 37 4 8" xfId="21394"/>
    <cellStyle name="Input 37 4 9" xfId="21395"/>
    <cellStyle name="Input 37 5" xfId="5361"/>
    <cellStyle name="Input 37 5 10" xfId="21396"/>
    <cellStyle name="Input 37 5 2" xfId="4817"/>
    <cellStyle name="Input 37 5 2 2" xfId="21398"/>
    <cellStyle name="Input 37 5 2 3" xfId="21399"/>
    <cellStyle name="Input 37 5 2 4" xfId="21397"/>
    <cellStyle name="Input 37 5 3" xfId="21400"/>
    <cellStyle name="Input 37 5 3 2" xfId="21401"/>
    <cellStyle name="Input 37 5 4" xfId="21402"/>
    <cellStyle name="Input 37 5 4 2" xfId="21403"/>
    <cellStyle name="Input 37 5 5" xfId="21404"/>
    <cellStyle name="Input 37 5 6" xfId="21405"/>
    <cellStyle name="Input 37 5 7" xfId="21406"/>
    <cellStyle name="Input 37 5 8" xfId="21407"/>
    <cellStyle name="Input 37 5 9" xfId="21408"/>
    <cellStyle name="Input 37 6" xfId="4818"/>
    <cellStyle name="Input 37 6 2" xfId="21410"/>
    <cellStyle name="Input 37 6 2 2" xfId="21411"/>
    <cellStyle name="Input 37 6 3" xfId="21412"/>
    <cellStyle name="Input 37 6 3 2" xfId="21413"/>
    <cellStyle name="Input 37 6 4" xfId="21414"/>
    <cellStyle name="Input 37 6 5" xfId="21415"/>
    <cellStyle name="Input 37 6 6" xfId="21416"/>
    <cellStyle name="Input 37 6 7" xfId="21409"/>
    <cellStyle name="Input 37 7" xfId="4819"/>
    <cellStyle name="Input 37 7 2" xfId="21417"/>
    <cellStyle name="Input 37 8" xfId="8373"/>
    <cellStyle name="Input 37 9" xfId="21418"/>
    <cellStyle name="Input 38" xfId="2986"/>
    <cellStyle name="Input 38 10" xfId="21419"/>
    <cellStyle name="Input 38 2" xfId="4820"/>
    <cellStyle name="Input 38 2 2" xfId="21420"/>
    <cellStyle name="Input 38 2 2 2" xfId="21421"/>
    <cellStyle name="Input 38 2 2 2 2" xfId="21422"/>
    <cellStyle name="Input 38 2 2 3" xfId="21423"/>
    <cellStyle name="Input 38 2 2 3 2" xfId="21424"/>
    <cellStyle name="Input 38 2 2 4" xfId="21425"/>
    <cellStyle name="Input 38 2 2 4 2" xfId="21426"/>
    <cellStyle name="Input 38 2 2 5" xfId="21427"/>
    <cellStyle name="Input 38 2 2 6" xfId="21428"/>
    <cellStyle name="Input 38 2 2 7" xfId="21429"/>
    <cellStyle name="Input 38 2 2 8" xfId="21430"/>
    <cellStyle name="Input 38 2 2 9" xfId="21431"/>
    <cellStyle name="Input 38 3" xfId="4956"/>
    <cellStyle name="Input 38 3 10" xfId="21432"/>
    <cellStyle name="Input 38 3 2" xfId="5362"/>
    <cellStyle name="Input 38 3 2 2" xfId="21434"/>
    <cellStyle name="Input 38 3 2 3" xfId="21433"/>
    <cellStyle name="Input 38 3 3" xfId="21435"/>
    <cellStyle name="Input 38 3 3 2" xfId="21436"/>
    <cellStyle name="Input 38 3 4" xfId="21437"/>
    <cellStyle name="Input 38 3 4 2" xfId="21438"/>
    <cellStyle name="Input 38 3 5" xfId="21439"/>
    <cellStyle name="Input 38 3 6" xfId="21440"/>
    <cellStyle name="Input 38 3 7" xfId="21441"/>
    <cellStyle name="Input 38 3 8" xfId="21442"/>
    <cellStyle name="Input 38 3 9" xfId="21443"/>
    <cellStyle name="Input 38 4" xfId="5363"/>
    <cellStyle name="Input 38 4 10" xfId="21444"/>
    <cellStyle name="Input 38 4 2" xfId="21445"/>
    <cellStyle name="Input 38 4 2 2" xfId="21446"/>
    <cellStyle name="Input 38 4 3" xfId="21447"/>
    <cellStyle name="Input 38 4 3 2" xfId="21448"/>
    <cellStyle name="Input 38 4 4" xfId="21449"/>
    <cellStyle name="Input 38 4 4 2" xfId="21450"/>
    <cellStyle name="Input 38 4 5" xfId="21451"/>
    <cellStyle name="Input 38 4 6" xfId="21452"/>
    <cellStyle name="Input 38 4 7" xfId="21453"/>
    <cellStyle name="Input 38 4 8" xfId="21454"/>
    <cellStyle name="Input 38 4 9" xfId="21455"/>
    <cellStyle name="Input 38 5" xfId="3530"/>
    <cellStyle name="Input 38 5 10" xfId="21456"/>
    <cellStyle name="Input 38 5 2" xfId="21457"/>
    <cellStyle name="Input 38 5 2 2" xfId="21458"/>
    <cellStyle name="Input 38 5 3" xfId="21459"/>
    <cellStyle name="Input 38 5 3 2" xfId="21460"/>
    <cellStyle name="Input 38 5 4" xfId="21461"/>
    <cellStyle name="Input 38 5 4 2" xfId="21462"/>
    <cellStyle name="Input 38 5 5" xfId="21463"/>
    <cellStyle name="Input 38 5 6" xfId="21464"/>
    <cellStyle name="Input 38 5 7" xfId="21465"/>
    <cellStyle name="Input 38 5 8" xfId="21466"/>
    <cellStyle name="Input 38 5 9" xfId="21467"/>
    <cellStyle name="Input 38 6" xfId="4821"/>
    <cellStyle name="Input 38 6 2" xfId="5364"/>
    <cellStyle name="Input 38 6 2 2" xfId="21470"/>
    <cellStyle name="Input 38 6 2 3" xfId="21469"/>
    <cellStyle name="Input 38 6 3" xfId="21471"/>
    <cellStyle name="Input 38 6 3 2" xfId="21472"/>
    <cellStyle name="Input 38 6 4" xfId="21473"/>
    <cellStyle name="Input 38 6 5" xfId="21474"/>
    <cellStyle name="Input 38 6 6" xfId="21475"/>
    <cellStyle name="Input 38 6 7" xfId="21468"/>
    <cellStyle name="Input 38 7" xfId="4957"/>
    <cellStyle name="Input 38 7 2" xfId="5365"/>
    <cellStyle name="Input 38 7 3" xfId="21476"/>
    <cellStyle name="Input 38 8" xfId="8480"/>
    <cellStyle name="Input 38 9" xfId="21477"/>
    <cellStyle name="Input 39" xfId="2935"/>
    <cellStyle name="Input 39 10" xfId="21478"/>
    <cellStyle name="Input 39 2" xfId="5366"/>
    <cellStyle name="Input 39 2 10" xfId="21479"/>
    <cellStyle name="Input 39 2 2" xfId="21480"/>
    <cellStyle name="Input 39 2 2 2" xfId="21481"/>
    <cellStyle name="Input 39 2 3" xfId="21482"/>
    <cellStyle name="Input 39 2 3 2" xfId="21483"/>
    <cellStyle name="Input 39 2 4" xfId="21484"/>
    <cellStyle name="Input 39 2 4 2" xfId="21485"/>
    <cellStyle name="Input 39 2 5" xfId="21486"/>
    <cellStyle name="Input 39 2 6" xfId="21487"/>
    <cellStyle name="Input 39 2 7" xfId="21488"/>
    <cellStyle name="Input 39 2 8" xfId="21489"/>
    <cellStyle name="Input 39 2 9" xfId="21490"/>
    <cellStyle name="Input 39 3" xfId="3531"/>
    <cellStyle name="Input 39 3 10" xfId="21491"/>
    <cellStyle name="Input 39 3 2" xfId="21492"/>
    <cellStyle name="Input 39 3 2 2" xfId="21493"/>
    <cellStyle name="Input 39 3 3" xfId="21494"/>
    <cellStyle name="Input 39 3 3 2" xfId="21495"/>
    <cellStyle name="Input 39 3 4" xfId="21496"/>
    <cellStyle name="Input 39 3 4 2" xfId="21497"/>
    <cellStyle name="Input 39 3 5" xfId="21498"/>
    <cellStyle name="Input 39 3 6" xfId="21499"/>
    <cellStyle name="Input 39 3 7" xfId="21500"/>
    <cellStyle name="Input 39 3 8" xfId="21501"/>
    <cellStyle name="Input 39 3 9" xfId="21502"/>
    <cellStyle name="Input 39 4" xfId="4822"/>
    <cellStyle name="Input 39 4 10" xfId="21503"/>
    <cellStyle name="Input 39 4 2" xfId="4958"/>
    <cellStyle name="Input 39 4 2 2" xfId="21505"/>
    <cellStyle name="Input 39 4 2 3" xfId="21504"/>
    <cellStyle name="Input 39 4 3" xfId="21506"/>
    <cellStyle name="Input 39 4 3 2" xfId="21507"/>
    <cellStyle name="Input 39 4 4" xfId="21508"/>
    <cellStyle name="Input 39 4 4 2" xfId="21509"/>
    <cellStyle name="Input 39 4 5" xfId="21510"/>
    <cellStyle name="Input 39 4 6" xfId="21511"/>
    <cellStyle name="Input 39 4 7" xfId="21512"/>
    <cellStyle name="Input 39 4 8" xfId="21513"/>
    <cellStyle name="Input 39 4 9" xfId="21514"/>
    <cellStyle name="Input 39 5" xfId="5367"/>
    <cellStyle name="Input 39 5 10" xfId="21515"/>
    <cellStyle name="Input 39 5 2" xfId="4959"/>
    <cellStyle name="Input 39 5 2 2" xfId="21517"/>
    <cellStyle name="Input 39 5 2 3" xfId="21516"/>
    <cellStyle name="Input 39 5 3" xfId="21518"/>
    <cellStyle name="Input 39 5 3 2" xfId="21519"/>
    <cellStyle name="Input 39 5 4" xfId="21520"/>
    <cellStyle name="Input 39 5 4 2" xfId="21521"/>
    <cellStyle name="Input 39 5 5" xfId="21522"/>
    <cellStyle name="Input 39 5 6" xfId="21523"/>
    <cellStyle name="Input 39 5 7" xfId="21524"/>
    <cellStyle name="Input 39 5 8" xfId="21525"/>
    <cellStyle name="Input 39 5 9" xfId="21526"/>
    <cellStyle name="Input 39 6" xfId="3532"/>
    <cellStyle name="Input 39 6 2" xfId="21528"/>
    <cellStyle name="Input 39 6 2 2" xfId="21529"/>
    <cellStyle name="Input 39 6 3" xfId="21530"/>
    <cellStyle name="Input 39 6 3 2" xfId="21531"/>
    <cellStyle name="Input 39 6 4" xfId="21532"/>
    <cellStyle name="Input 39 6 5" xfId="21533"/>
    <cellStyle name="Input 39 6 6" xfId="21534"/>
    <cellStyle name="Input 39 6 7" xfId="21527"/>
    <cellStyle name="Input 39 7" xfId="5368"/>
    <cellStyle name="Input 39 7 2" xfId="21535"/>
    <cellStyle name="Input 39 8" xfId="8478"/>
    <cellStyle name="Input 39 9" xfId="21536"/>
    <cellStyle name="Input 4" xfId="1294"/>
    <cellStyle name="Input 4 10" xfId="21537"/>
    <cellStyle name="Input 4 2" xfId="1295"/>
    <cellStyle name="Input 4 2 2" xfId="1296"/>
    <cellStyle name="Input 4 2 2 2" xfId="8055"/>
    <cellStyle name="Input 4 2 2 2 2" xfId="21538"/>
    <cellStyle name="Input 4 2 2 2 3" xfId="21539"/>
    <cellStyle name="Input 4 2 2 3" xfId="21540"/>
    <cellStyle name="Input 4 2 2 3 2" xfId="21541"/>
    <cellStyle name="Input 4 2 2 4" xfId="21542"/>
    <cellStyle name="Input 4 2 2 4 2" xfId="21543"/>
    <cellStyle name="Input 4 2 2 5" xfId="21544"/>
    <cellStyle name="Input 4 2 2 6" xfId="21545"/>
    <cellStyle name="Input 4 2 2 7" xfId="21546"/>
    <cellStyle name="Input 4 2 2 8" xfId="21547"/>
    <cellStyle name="Input 4 2 2 9" xfId="21548"/>
    <cellStyle name="Input 4 2 3" xfId="3533"/>
    <cellStyle name="Input 4 2 3 2" xfId="21550"/>
    <cellStyle name="Input 4 2 3 2 2" xfId="21551"/>
    <cellStyle name="Input 4 2 3 2 3" xfId="21552"/>
    <cellStyle name="Input 4 2 3 3" xfId="21553"/>
    <cellStyle name="Input 4 2 3 3 2" xfId="21554"/>
    <cellStyle name="Input 4 2 3 4" xfId="21555"/>
    <cellStyle name="Input 4 2 3 5" xfId="21556"/>
    <cellStyle name="Input 4 2 3 6" xfId="21557"/>
    <cellStyle name="Input 4 2 3 7" xfId="21549"/>
    <cellStyle name="Input 4 2 4" xfId="5369"/>
    <cellStyle name="Input 4 2 4 2" xfId="5370"/>
    <cellStyle name="Input 4 2 4 2 2" xfId="21559"/>
    <cellStyle name="Input 4 2 4 3" xfId="21558"/>
    <cellStyle name="Input 4 2 5" xfId="4960"/>
    <cellStyle name="Input 4 2 5 2" xfId="3534"/>
    <cellStyle name="Input 4 2 5 3" xfId="21560"/>
    <cellStyle name="Input 4 2 6" xfId="5371"/>
    <cellStyle name="Input 4 2 6 2" xfId="21561"/>
    <cellStyle name="Input 4 2 7" xfId="3535"/>
    <cellStyle name="Input 4 2 7 2" xfId="21562"/>
    <cellStyle name="Input 4 2 8" xfId="8054"/>
    <cellStyle name="Input 4 3" xfId="1297"/>
    <cellStyle name="Input 4 3 2" xfId="1298"/>
    <cellStyle name="Input 4 3 2 2" xfId="8057"/>
    <cellStyle name="Input 4 3 2 2 2" xfId="21563"/>
    <cellStyle name="Input 4 3 2 3" xfId="21564"/>
    <cellStyle name="Input 4 3 2 3 2" xfId="21565"/>
    <cellStyle name="Input 4 3 2 4" xfId="21566"/>
    <cellStyle name="Input 4 3 2 4 2" xfId="21567"/>
    <cellStyle name="Input 4 3 2 5" xfId="21568"/>
    <cellStyle name="Input 4 3 2 6" xfId="21569"/>
    <cellStyle name="Input 4 3 2 7" xfId="21570"/>
    <cellStyle name="Input 4 3 2 8" xfId="21571"/>
    <cellStyle name="Input 4 3 2 9" xfId="21572"/>
    <cellStyle name="Input 4 3 3" xfId="8056"/>
    <cellStyle name="Input 4 3 3 2" xfId="21573"/>
    <cellStyle name="Input 4 3 3 2 2" xfId="21574"/>
    <cellStyle name="Input 4 3 3 3" xfId="21575"/>
    <cellStyle name="Input 4 3 3 3 2" xfId="21576"/>
    <cellStyle name="Input 4 3 3 4" xfId="21577"/>
    <cellStyle name="Input 4 3 3 5" xfId="21578"/>
    <cellStyle name="Input 4 3 3 6" xfId="21579"/>
    <cellStyle name="Input 4 3 4" xfId="21580"/>
    <cellStyle name="Input 4 3 5" xfId="21581"/>
    <cellStyle name="Input 4 3 6" xfId="21582"/>
    <cellStyle name="Input 4 3 7" xfId="21583"/>
    <cellStyle name="Input 4 4" xfId="1299"/>
    <cellStyle name="Input 4 4 2" xfId="8058"/>
    <cellStyle name="Input 4 4 2 2" xfId="21584"/>
    <cellStyle name="Input 4 4 2 3" xfId="21585"/>
    <cellStyle name="Input 4 4 3" xfId="21586"/>
    <cellStyle name="Input 4 4 3 2" xfId="21587"/>
    <cellStyle name="Input 4 4 4" xfId="21588"/>
    <cellStyle name="Input 4 4 4 2" xfId="21589"/>
    <cellStyle name="Input 4 4 5" xfId="21590"/>
    <cellStyle name="Input 4 4 6" xfId="21591"/>
    <cellStyle name="Input 4 4 7" xfId="21592"/>
    <cellStyle name="Input 4 4 8" xfId="21593"/>
    <cellStyle name="Input 4 4 9" xfId="21594"/>
    <cellStyle name="Input 4 5" xfId="3536"/>
    <cellStyle name="Input 4 5 10" xfId="21595"/>
    <cellStyle name="Input 4 5 2" xfId="5372"/>
    <cellStyle name="Input 4 5 2 2" xfId="21597"/>
    <cellStyle name="Input 4 5 2 3" xfId="21598"/>
    <cellStyle name="Input 4 5 2 4" xfId="21596"/>
    <cellStyle name="Input 4 5 3" xfId="21599"/>
    <cellStyle name="Input 4 5 3 2" xfId="21600"/>
    <cellStyle name="Input 4 5 4" xfId="21601"/>
    <cellStyle name="Input 4 5 4 2" xfId="21602"/>
    <cellStyle name="Input 4 5 5" xfId="21603"/>
    <cellStyle name="Input 4 5 6" xfId="21604"/>
    <cellStyle name="Input 4 5 7" xfId="21605"/>
    <cellStyle name="Input 4 5 8" xfId="21606"/>
    <cellStyle name="Input 4 5 9" xfId="21607"/>
    <cellStyle name="Input 4 6" xfId="5373"/>
    <cellStyle name="Input 4 6 2" xfId="4961"/>
    <cellStyle name="Input 4 6 2 2" xfId="21610"/>
    <cellStyle name="Input 4 6 2 3" xfId="21609"/>
    <cellStyle name="Input 4 6 3" xfId="21611"/>
    <cellStyle name="Input 4 6 3 2" xfId="21612"/>
    <cellStyle name="Input 4 6 4" xfId="21613"/>
    <cellStyle name="Input 4 6 5" xfId="21614"/>
    <cellStyle name="Input 4 6 6" xfId="21615"/>
    <cellStyle name="Input 4 6 7" xfId="21608"/>
    <cellStyle name="Input 4 7" xfId="3537"/>
    <cellStyle name="Input 4 7 2" xfId="21616"/>
    <cellStyle name="Input 4 8" xfId="5374"/>
    <cellStyle name="Input 4 8 2" xfId="21617"/>
    <cellStyle name="Input 4 9" xfId="8053"/>
    <cellStyle name="Input 40" xfId="2930"/>
    <cellStyle name="Input 40 10" xfId="21618"/>
    <cellStyle name="Input 40 2" xfId="7830"/>
    <cellStyle name="Input 40 2 10" xfId="21619"/>
    <cellStyle name="Input 40 2 2" xfId="21620"/>
    <cellStyle name="Input 40 2 2 2" xfId="21621"/>
    <cellStyle name="Input 40 2 3" xfId="21622"/>
    <cellStyle name="Input 40 2 3 2" xfId="21623"/>
    <cellStyle name="Input 40 2 4" xfId="21624"/>
    <cellStyle name="Input 40 2 4 2" xfId="21625"/>
    <cellStyle name="Input 40 2 5" xfId="21626"/>
    <cellStyle name="Input 40 2 6" xfId="21627"/>
    <cellStyle name="Input 40 2 7" xfId="21628"/>
    <cellStyle name="Input 40 2 8" xfId="21629"/>
    <cellStyle name="Input 40 2 9" xfId="21630"/>
    <cellStyle name="Input 40 3" xfId="8476"/>
    <cellStyle name="Input 40 3 2" xfId="21631"/>
    <cellStyle name="Input 40 3 2 2" xfId="21632"/>
    <cellStyle name="Input 40 3 3" xfId="21633"/>
    <cellStyle name="Input 40 3 3 2" xfId="21634"/>
    <cellStyle name="Input 40 3 4" xfId="21635"/>
    <cellStyle name="Input 40 3 4 2" xfId="21636"/>
    <cellStyle name="Input 40 3 5" xfId="21637"/>
    <cellStyle name="Input 40 3 6" xfId="21638"/>
    <cellStyle name="Input 40 3 7" xfId="21639"/>
    <cellStyle name="Input 40 3 8" xfId="21640"/>
    <cellStyle name="Input 40 3 9" xfId="21641"/>
    <cellStyle name="Input 40 4" xfId="21642"/>
    <cellStyle name="Input 40 4 2" xfId="21643"/>
    <cellStyle name="Input 40 4 2 2" xfId="21644"/>
    <cellStyle name="Input 40 4 3" xfId="21645"/>
    <cellStyle name="Input 40 4 3 2" xfId="21646"/>
    <cellStyle name="Input 40 4 4" xfId="21647"/>
    <cellStyle name="Input 40 4 4 2" xfId="21648"/>
    <cellStyle name="Input 40 4 5" xfId="21649"/>
    <cellStyle name="Input 40 4 6" xfId="21650"/>
    <cellStyle name="Input 40 4 7" xfId="21651"/>
    <cellStyle name="Input 40 4 8" xfId="21652"/>
    <cellStyle name="Input 40 4 9" xfId="21653"/>
    <cellStyle name="Input 40 5" xfId="21654"/>
    <cellStyle name="Input 40 5 2" xfId="21655"/>
    <cellStyle name="Input 40 5 2 2" xfId="21656"/>
    <cellStyle name="Input 40 5 3" xfId="21657"/>
    <cellStyle name="Input 40 5 3 2" xfId="21658"/>
    <cellStyle name="Input 40 5 4" xfId="21659"/>
    <cellStyle name="Input 40 5 4 2" xfId="21660"/>
    <cellStyle name="Input 40 5 5" xfId="21661"/>
    <cellStyle name="Input 40 5 6" xfId="21662"/>
    <cellStyle name="Input 40 5 7" xfId="21663"/>
    <cellStyle name="Input 40 5 8" xfId="21664"/>
    <cellStyle name="Input 40 5 9" xfId="21665"/>
    <cellStyle name="Input 40 6" xfId="21666"/>
    <cellStyle name="Input 40 6 2" xfId="21667"/>
    <cellStyle name="Input 40 6 2 2" xfId="21668"/>
    <cellStyle name="Input 40 6 3" xfId="21669"/>
    <cellStyle name="Input 40 6 3 2" xfId="21670"/>
    <cellStyle name="Input 40 6 4" xfId="21671"/>
    <cellStyle name="Input 40 6 5" xfId="21672"/>
    <cellStyle name="Input 40 6 6" xfId="21673"/>
    <cellStyle name="Input 40 7" xfId="21674"/>
    <cellStyle name="Input 40 8" xfId="21675"/>
    <cellStyle name="Input 40 9" xfId="21676"/>
    <cellStyle name="Input 41" xfId="2933"/>
    <cellStyle name="Input 41 10" xfId="21677"/>
    <cellStyle name="Input 41 2" xfId="8477"/>
    <cellStyle name="Input 41 2 2" xfId="21678"/>
    <cellStyle name="Input 41 2 2 2" xfId="21679"/>
    <cellStyle name="Input 41 2 3" xfId="21680"/>
    <cellStyle name="Input 41 2 3 2" xfId="21681"/>
    <cellStyle name="Input 41 2 4" xfId="21682"/>
    <cellStyle name="Input 41 2 4 2" xfId="21683"/>
    <cellStyle name="Input 41 2 5" xfId="21684"/>
    <cellStyle name="Input 41 2 6" xfId="21685"/>
    <cellStyle name="Input 41 2 7" xfId="21686"/>
    <cellStyle name="Input 41 2 8" xfId="21687"/>
    <cellStyle name="Input 41 2 9" xfId="21688"/>
    <cellStyle name="Input 41 3" xfId="21689"/>
    <cellStyle name="Input 41 3 2" xfId="21690"/>
    <cellStyle name="Input 41 3 2 2" xfId="21691"/>
    <cellStyle name="Input 41 3 3" xfId="21692"/>
    <cellStyle name="Input 41 3 3 2" xfId="21693"/>
    <cellStyle name="Input 41 3 4" xfId="21694"/>
    <cellStyle name="Input 41 3 4 2" xfId="21695"/>
    <cellStyle name="Input 41 3 5" xfId="21696"/>
    <cellStyle name="Input 41 3 6" xfId="21697"/>
    <cellStyle name="Input 41 3 7" xfId="21698"/>
    <cellStyle name="Input 41 3 8" xfId="21699"/>
    <cellStyle name="Input 41 3 9" xfId="21700"/>
    <cellStyle name="Input 41 4" xfId="21701"/>
    <cellStyle name="Input 41 4 2" xfId="21702"/>
    <cellStyle name="Input 41 4 2 2" xfId="21703"/>
    <cellStyle name="Input 41 4 3" xfId="21704"/>
    <cellStyle name="Input 41 4 3 2" xfId="21705"/>
    <cellStyle name="Input 41 4 4" xfId="21706"/>
    <cellStyle name="Input 41 4 4 2" xfId="21707"/>
    <cellStyle name="Input 41 4 5" xfId="21708"/>
    <cellStyle name="Input 41 4 6" xfId="21709"/>
    <cellStyle name="Input 41 4 7" xfId="21710"/>
    <cellStyle name="Input 41 4 8" xfId="21711"/>
    <cellStyle name="Input 41 4 9" xfId="21712"/>
    <cellStyle name="Input 41 5" xfId="21713"/>
    <cellStyle name="Input 41 5 2" xfId="21714"/>
    <cellStyle name="Input 41 5 2 2" xfId="21715"/>
    <cellStyle name="Input 41 5 3" xfId="21716"/>
    <cellStyle name="Input 41 5 3 2" xfId="21717"/>
    <cellStyle name="Input 41 5 4" xfId="21718"/>
    <cellStyle name="Input 41 5 4 2" xfId="21719"/>
    <cellStyle name="Input 41 5 5" xfId="21720"/>
    <cellStyle name="Input 41 5 6" xfId="21721"/>
    <cellStyle name="Input 41 5 7" xfId="21722"/>
    <cellStyle name="Input 41 5 8" xfId="21723"/>
    <cellStyle name="Input 41 5 9" xfId="21724"/>
    <cellStyle name="Input 41 6" xfId="21725"/>
    <cellStyle name="Input 41 6 2" xfId="21726"/>
    <cellStyle name="Input 41 6 2 2" xfId="21727"/>
    <cellStyle name="Input 41 6 3" xfId="21728"/>
    <cellStyle name="Input 41 6 3 2" xfId="21729"/>
    <cellStyle name="Input 41 6 4" xfId="21730"/>
    <cellStyle name="Input 41 6 5" xfId="21731"/>
    <cellStyle name="Input 41 6 6" xfId="21732"/>
    <cellStyle name="Input 41 7" xfId="21733"/>
    <cellStyle name="Input 41 8" xfId="21734"/>
    <cellStyle name="Input 41 9" xfId="21735"/>
    <cellStyle name="Input 42" xfId="3175"/>
    <cellStyle name="Input 42 10" xfId="21736"/>
    <cellStyle name="Input 42 2" xfId="8494"/>
    <cellStyle name="Input 42 2 2" xfId="21737"/>
    <cellStyle name="Input 42 2 2 2" xfId="21738"/>
    <cellStyle name="Input 42 2 3" xfId="21739"/>
    <cellStyle name="Input 42 2 3 2" xfId="21740"/>
    <cellStyle name="Input 42 2 4" xfId="21741"/>
    <cellStyle name="Input 42 2 4 2" xfId="21742"/>
    <cellStyle name="Input 42 2 5" xfId="21743"/>
    <cellStyle name="Input 42 2 6" xfId="21744"/>
    <cellStyle name="Input 42 2 7" xfId="21745"/>
    <cellStyle name="Input 42 2 8" xfId="21746"/>
    <cellStyle name="Input 42 2 9" xfId="21747"/>
    <cellStyle name="Input 42 3" xfId="21748"/>
    <cellStyle name="Input 42 3 2" xfId="21749"/>
    <cellStyle name="Input 42 3 2 2" xfId="21750"/>
    <cellStyle name="Input 42 3 3" xfId="21751"/>
    <cellStyle name="Input 42 3 3 2" xfId="21752"/>
    <cellStyle name="Input 42 3 4" xfId="21753"/>
    <cellStyle name="Input 42 3 4 2" xfId="21754"/>
    <cellStyle name="Input 42 3 5" xfId="21755"/>
    <cellStyle name="Input 42 3 6" xfId="21756"/>
    <cellStyle name="Input 42 3 7" xfId="21757"/>
    <cellStyle name="Input 42 3 8" xfId="21758"/>
    <cellStyle name="Input 42 3 9" xfId="21759"/>
    <cellStyle name="Input 42 4" xfId="21760"/>
    <cellStyle name="Input 42 4 2" xfId="21761"/>
    <cellStyle name="Input 42 4 2 2" xfId="21762"/>
    <cellStyle name="Input 42 4 3" xfId="21763"/>
    <cellStyle name="Input 42 4 3 2" xfId="21764"/>
    <cellStyle name="Input 42 4 4" xfId="21765"/>
    <cellStyle name="Input 42 4 4 2" xfId="21766"/>
    <cellStyle name="Input 42 4 5" xfId="21767"/>
    <cellStyle name="Input 42 4 6" xfId="21768"/>
    <cellStyle name="Input 42 4 7" xfId="21769"/>
    <cellStyle name="Input 42 4 8" xfId="21770"/>
    <cellStyle name="Input 42 4 9" xfId="21771"/>
    <cellStyle name="Input 42 5" xfId="21772"/>
    <cellStyle name="Input 42 5 2" xfId="21773"/>
    <cellStyle name="Input 42 5 2 2" xfId="21774"/>
    <cellStyle name="Input 42 5 3" xfId="21775"/>
    <cellStyle name="Input 42 5 3 2" xfId="21776"/>
    <cellStyle name="Input 42 5 4" xfId="21777"/>
    <cellStyle name="Input 42 5 4 2" xfId="21778"/>
    <cellStyle name="Input 42 5 5" xfId="21779"/>
    <cellStyle name="Input 42 5 6" xfId="21780"/>
    <cellStyle name="Input 42 5 7" xfId="21781"/>
    <cellStyle name="Input 42 5 8" xfId="21782"/>
    <cellStyle name="Input 42 5 9" xfId="21783"/>
    <cellStyle name="Input 42 6" xfId="21784"/>
    <cellStyle name="Input 42 6 2" xfId="21785"/>
    <cellStyle name="Input 42 6 2 2" xfId="21786"/>
    <cellStyle name="Input 42 6 3" xfId="21787"/>
    <cellStyle name="Input 42 6 3 2" xfId="21788"/>
    <cellStyle name="Input 42 6 4" xfId="21789"/>
    <cellStyle name="Input 42 6 5" xfId="21790"/>
    <cellStyle name="Input 42 6 6" xfId="21791"/>
    <cellStyle name="Input 42 7" xfId="21792"/>
    <cellStyle name="Input 42 8" xfId="21793"/>
    <cellStyle name="Input 42 9" xfId="21794"/>
    <cellStyle name="Input 43" xfId="3038"/>
    <cellStyle name="Input 43 10" xfId="21795"/>
    <cellStyle name="Input 43 2" xfId="8482"/>
    <cellStyle name="Input 43 2 2" xfId="21796"/>
    <cellStyle name="Input 43 2 2 2" xfId="21797"/>
    <cellStyle name="Input 43 2 3" xfId="21798"/>
    <cellStyle name="Input 43 2 3 2" xfId="21799"/>
    <cellStyle name="Input 43 2 4" xfId="21800"/>
    <cellStyle name="Input 43 2 4 2" xfId="21801"/>
    <cellStyle name="Input 43 2 5" xfId="21802"/>
    <cellStyle name="Input 43 2 6" xfId="21803"/>
    <cellStyle name="Input 43 2 7" xfId="21804"/>
    <cellStyle name="Input 43 2 8" xfId="21805"/>
    <cellStyle name="Input 43 2 9" xfId="21806"/>
    <cellStyle name="Input 43 3" xfId="21807"/>
    <cellStyle name="Input 43 3 2" xfId="21808"/>
    <cellStyle name="Input 43 3 2 2" xfId="21809"/>
    <cellStyle name="Input 43 3 3" xfId="21810"/>
    <cellStyle name="Input 43 3 3 2" xfId="21811"/>
    <cellStyle name="Input 43 3 4" xfId="21812"/>
    <cellStyle name="Input 43 3 4 2" xfId="21813"/>
    <cellStyle name="Input 43 3 5" xfId="21814"/>
    <cellStyle name="Input 43 3 6" xfId="21815"/>
    <cellStyle name="Input 43 3 7" xfId="21816"/>
    <cellStyle name="Input 43 3 8" xfId="21817"/>
    <cellStyle name="Input 43 3 9" xfId="21818"/>
    <cellStyle name="Input 43 4" xfId="21819"/>
    <cellStyle name="Input 43 4 2" xfId="21820"/>
    <cellStyle name="Input 43 4 2 2" xfId="21821"/>
    <cellStyle name="Input 43 4 3" xfId="21822"/>
    <cellStyle name="Input 43 4 3 2" xfId="21823"/>
    <cellStyle name="Input 43 4 4" xfId="21824"/>
    <cellStyle name="Input 43 4 4 2" xfId="21825"/>
    <cellStyle name="Input 43 4 5" xfId="21826"/>
    <cellStyle name="Input 43 4 6" xfId="21827"/>
    <cellStyle name="Input 43 4 7" xfId="21828"/>
    <cellStyle name="Input 43 4 8" xfId="21829"/>
    <cellStyle name="Input 43 4 9" xfId="21830"/>
    <cellStyle name="Input 43 5" xfId="21831"/>
    <cellStyle name="Input 43 5 2" xfId="21832"/>
    <cellStyle name="Input 43 5 2 2" xfId="21833"/>
    <cellStyle name="Input 43 5 3" xfId="21834"/>
    <cellStyle name="Input 43 5 3 2" xfId="21835"/>
    <cellStyle name="Input 43 5 4" xfId="21836"/>
    <cellStyle name="Input 43 5 4 2" xfId="21837"/>
    <cellStyle name="Input 43 5 5" xfId="21838"/>
    <cellStyle name="Input 43 5 6" xfId="21839"/>
    <cellStyle name="Input 43 5 7" xfId="21840"/>
    <cellStyle name="Input 43 5 8" xfId="21841"/>
    <cellStyle name="Input 43 5 9" xfId="21842"/>
    <cellStyle name="Input 43 6" xfId="21843"/>
    <cellStyle name="Input 43 6 2" xfId="21844"/>
    <cellStyle name="Input 43 6 2 2" xfId="21845"/>
    <cellStyle name="Input 43 6 3" xfId="21846"/>
    <cellStyle name="Input 43 6 3 2" xfId="21847"/>
    <cellStyle name="Input 43 6 4" xfId="21848"/>
    <cellStyle name="Input 43 6 5" xfId="21849"/>
    <cellStyle name="Input 43 6 6" xfId="21850"/>
    <cellStyle name="Input 43 7" xfId="21851"/>
    <cellStyle name="Input 43 8" xfId="21852"/>
    <cellStyle name="Input 43 9" xfId="21853"/>
    <cellStyle name="Input 44" xfId="3172"/>
    <cellStyle name="Input 44 2" xfId="8493"/>
    <cellStyle name="Input 44 2 2" xfId="21855"/>
    <cellStyle name="Input 44 3" xfId="21856"/>
    <cellStyle name="Input 44 4" xfId="21854"/>
    <cellStyle name="Input 45" xfId="3169"/>
    <cellStyle name="Input 45 2" xfId="8492"/>
    <cellStyle name="Input 46" xfId="3159"/>
    <cellStyle name="Input 46 2" xfId="8491"/>
    <cellStyle name="Input 47" xfId="3026"/>
    <cellStyle name="Input 47 2" xfId="8481"/>
    <cellStyle name="Input 48" xfId="2984"/>
    <cellStyle name="Input 48 2" xfId="8479"/>
    <cellStyle name="Input 49" xfId="1236"/>
    <cellStyle name="Input 5" xfId="1300"/>
    <cellStyle name="Input 5 10" xfId="21857"/>
    <cellStyle name="Input 5 2" xfId="1301"/>
    <cellStyle name="Input 5 2 2" xfId="3538"/>
    <cellStyle name="Input 5 2 2 10" xfId="21858"/>
    <cellStyle name="Input 5 2 2 2" xfId="21859"/>
    <cellStyle name="Input 5 2 2 2 2" xfId="21860"/>
    <cellStyle name="Input 5 2 2 2 3" xfId="21861"/>
    <cellStyle name="Input 5 2 2 3" xfId="21862"/>
    <cellStyle name="Input 5 2 2 3 2" xfId="21863"/>
    <cellStyle name="Input 5 2 2 4" xfId="21864"/>
    <cellStyle name="Input 5 2 2 4 2" xfId="21865"/>
    <cellStyle name="Input 5 2 2 5" xfId="21866"/>
    <cellStyle name="Input 5 2 2 6" xfId="21867"/>
    <cellStyle name="Input 5 2 2 7" xfId="21868"/>
    <cellStyle name="Input 5 2 2 8" xfId="21869"/>
    <cellStyle name="Input 5 2 2 9" xfId="21870"/>
    <cellStyle name="Input 5 2 3" xfId="5375"/>
    <cellStyle name="Input 5 2 3 2" xfId="21872"/>
    <cellStyle name="Input 5 2 3 2 2" xfId="21873"/>
    <cellStyle name="Input 5 2 3 2 3" xfId="21874"/>
    <cellStyle name="Input 5 2 3 3" xfId="21875"/>
    <cellStyle name="Input 5 2 3 3 2" xfId="21876"/>
    <cellStyle name="Input 5 2 3 4" xfId="21877"/>
    <cellStyle name="Input 5 2 3 5" xfId="21878"/>
    <cellStyle name="Input 5 2 3 6" xfId="21879"/>
    <cellStyle name="Input 5 2 3 7" xfId="21871"/>
    <cellStyle name="Input 5 2 4" xfId="4962"/>
    <cellStyle name="Input 5 2 4 2" xfId="3539"/>
    <cellStyle name="Input 5 2 4 2 2" xfId="21881"/>
    <cellStyle name="Input 5 2 4 3" xfId="21880"/>
    <cellStyle name="Input 5 2 5" xfId="5376"/>
    <cellStyle name="Input 5 2 5 2" xfId="5377"/>
    <cellStyle name="Input 5 2 5 3" xfId="21882"/>
    <cellStyle name="Input 5 2 6" xfId="3540"/>
    <cellStyle name="Input 5 2 6 2" xfId="21883"/>
    <cellStyle name="Input 5 2 7" xfId="5378"/>
    <cellStyle name="Input 5 2 7 2" xfId="21884"/>
    <cellStyle name="Input 5 2 8" xfId="8060"/>
    <cellStyle name="Input 5 3" xfId="4963"/>
    <cellStyle name="Input 5 3 2" xfId="21886"/>
    <cellStyle name="Input 5 3 2 2" xfId="21887"/>
    <cellStyle name="Input 5 3 2 2 2" xfId="21888"/>
    <cellStyle name="Input 5 3 2 3" xfId="21889"/>
    <cellStyle name="Input 5 3 2 3 2" xfId="21890"/>
    <cellStyle name="Input 5 3 2 4" xfId="21891"/>
    <cellStyle name="Input 5 3 2 4 2" xfId="21892"/>
    <cellStyle name="Input 5 3 2 5" xfId="21893"/>
    <cellStyle name="Input 5 3 2 6" xfId="21894"/>
    <cellStyle name="Input 5 3 2 7" xfId="21895"/>
    <cellStyle name="Input 5 3 2 8" xfId="21896"/>
    <cellStyle name="Input 5 3 2 9" xfId="21897"/>
    <cellStyle name="Input 5 3 3" xfId="21898"/>
    <cellStyle name="Input 5 3 3 2" xfId="21899"/>
    <cellStyle name="Input 5 3 3 2 2" xfId="21900"/>
    <cellStyle name="Input 5 3 3 3" xfId="21901"/>
    <cellStyle name="Input 5 3 3 3 2" xfId="21902"/>
    <cellStyle name="Input 5 3 3 4" xfId="21903"/>
    <cellStyle name="Input 5 3 3 5" xfId="21904"/>
    <cellStyle name="Input 5 3 3 6" xfId="21905"/>
    <cellStyle name="Input 5 3 4" xfId="21906"/>
    <cellStyle name="Input 5 3 5" xfId="21907"/>
    <cellStyle name="Input 5 3 6" xfId="21908"/>
    <cellStyle name="Input 5 3 7" xfId="21909"/>
    <cellStyle name="Input 5 3 8" xfId="21885"/>
    <cellStyle name="Input 5 4" xfId="5379"/>
    <cellStyle name="Input 5 4 10" xfId="21910"/>
    <cellStyle name="Input 5 4 2" xfId="21911"/>
    <cellStyle name="Input 5 4 2 2" xfId="21912"/>
    <cellStyle name="Input 5 4 2 3" xfId="21913"/>
    <cellStyle name="Input 5 4 3" xfId="21914"/>
    <cellStyle name="Input 5 4 3 2" xfId="21915"/>
    <cellStyle name="Input 5 4 4" xfId="21916"/>
    <cellStyle name="Input 5 4 4 2" xfId="21917"/>
    <cellStyle name="Input 5 4 5" xfId="21918"/>
    <cellStyle name="Input 5 4 6" xfId="21919"/>
    <cellStyle name="Input 5 4 7" xfId="21920"/>
    <cellStyle name="Input 5 4 8" xfId="21921"/>
    <cellStyle name="Input 5 4 9" xfId="21922"/>
    <cellStyle name="Input 5 5" xfId="3541"/>
    <cellStyle name="Input 5 5 10" xfId="21923"/>
    <cellStyle name="Input 5 5 2" xfId="5380"/>
    <cellStyle name="Input 5 5 2 2" xfId="21925"/>
    <cellStyle name="Input 5 5 2 3" xfId="21926"/>
    <cellStyle name="Input 5 5 2 4" xfId="21924"/>
    <cellStyle name="Input 5 5 3" xfId="21927"/>
    <cellStyle name="Input 5 5 3 2" xfId="21928"/>
    <cellStyle name="Input 5 5 4" xfId="21929"/>
    <cellStyle name="Input 5 5 4 2" xfId="21930"/>
    <cellStyle name="Input 5 5 5" xfId="21931"/>
    <cellStyle name="Input 5 5 6" xfId="21932"/>
    <cellStyle name="Input 5 5 7" xfId="21933"/>
    <cellStyle name="Input 5 5 8" xfId="21934"/>
    <cellStyle name="Input 5 5 9" xfId="21935"/>
    <cellStyle name="Input 5 6" xfId="3542"/>
    <cellStyle name="Input 5 6 2" xfId="4964"/>
    <cellStyle name="Input 5 6 2 2" xfId="21938"/>
    <cellStyle name="Input 5 6 2 3" xfId="21937"/>
    <cellStyle name="Input 5 6 3" xfId="21939"/>
    <cellStyle name="Input 5 6 3 2" xfId="21940"/>
    <cellStyle name="Input 5 6 4" xfId="21941"/>
    <cellStyle name="Input 5 6 5" xfId="21942"/>
    <cellStyle name="Input 5 6 6" xfId="21943"/>
    <cellStyle name="Input 5 6 7" xfId="21936"/>
    <cellStyle name="Input 5 7" xfId="3543"/>
    <cellStyle name="Input 5 7 2" xfId="21944"/>
    <cellStyle name="Input 5 8" xfId="5381"/>
    <cellStyle name="Input 5 8 2" xfId="21945"/>
    <cellStyle name="Input 5 9" xfId="8059"/>
    <cellStyle name="Input 50" xfId="4040"/>
    <cellStyle name="Input 51" xfId="4315"/>
    <cellStyle name="Input 52" xfId="8004"/>
    <cellStyle name="Input 6" xfId="1302"/>
    <cellStyle name="Input 6 10" xfId="4965"/>
    <cellStyle name="Input 6 10 2" xfId="21946"/>
    <cellStyle name="Input 6 11" xfId="8061"/>
    <cellStyle name="Input 6 2" xfId="1303"/>
    <cellStyle name="Input 6 2 2" xfId="5382"/>
    <cellStyle name="Input 6 2 2 10" xfId="21947"/>
    <cellStyle name="Input 6 2 2 2" xfId="21948"/>
    <cellStyle name="Input 6 2 2 2 2" xfId="21949"/>
    <cellStyle name="Input 6 2 2 2 3" xfId="21950"/>
    <cellStyle name="Input 6 2 2 3" xfId="21951"/>
    <cellStyle name="Input 6 2 2 3 2" xfId="21952"/>
    <cellStyle name="Input 6 2 2 4" xfId="21953"/>
    <cellStyle name="Input 6 2 2 4 2" xfId="21954"/>
    <cellStyle name="Input 6 2 2 5" xfId="21955"/>
    <cellStyle name="Input 6 2 2 6" xfId="21956"/>
    <cellStyle name="Input 6 2 2 7" xfId="21957"/>
    <cellStyle name="Input 6 2 2 8" xfId="21958"/>
    <cellStyle name="Input 6 2 2 9" xfId="21959"/>
    <cellStyle name="Input 6 2 3" xfId="5383"/>
    <cellStyle name="Input 6 2 3 2" xfId="21961"/>
    <cellStyle name="Input 6 2 3 2 2" xfId="21962"/>
    <cellStyle name="Input 6 2 3 2 3" xfId="21963"/>
    <cellStyle name="Input 6 2 3 3" xfId="21964"/>
    <cellStyle name="Input 6 2 3 3 2" xfId="21965"/>
    <cellStyle name="Input 6 2 3 4" xfId="21966"/>
    <cellStyle name="Input 6 2 3 5" xfId="21967"/>
    <cellStyle name="Input 6 2 3 6" xfId="21968"/>
    <cellStyle name="Input 6 2 3 7" xfId="21960"/>
    <cellStyle name="Input 6 2 4" xfId="5384"/>
    <cellStyle name="Input 6 2 4 2" xfId="3544"/>
    <cellStyle name="Input 6 2 4 2 2" xfId="21970"/>
    <cellStyle name="Input 6 2 4 3" xfId="21969"/>
    <cellStyle name="Input 6 2 5" xfId="4966"/>
    <cellStyle name="Input 6 2 5 2" xfId="5008"/>
    <cellStyle name="Input 6 2 5 3" xfId="21971"/>
    <cellStyle name="Input 6 2 6" xfId="4823"/>
    <cellStyle name="Input 6 2 6 2" xfId="21972"/>
    <cellStyle name="Input 6 2 7" xfId="4824"/>
    <cellStyle name="Input 6 2 7 2" xfId="21973"/>
    <cellStyle name="Input 6 2 8" xfId="8062"/>
    <cellStyle name="Input 6 3" xfId="4825"/>
    <cellStyle name="Input 6 3 2" xfId="5256"/>
    <cellStyle name="Input 6 3 2 10" xfId="21975"/>
    <cellStyle name="Input 6 3 2 2" xfId="21976"/>
    <cellStyle name="Input 6 3 2 2 2" xfId="21977"/>
    <cellStyle name="Input 6 3 2 3" xfId="21978"/>
    <cellStyle name="Input 6 3 2 3 2" xfId="21979"/>
    <cellStyle name="Input 6 3 2 4" xfId="21980"/>
    <cellStyle name="Input 6 3 2 4 2" xfId="21981"/>
    <cellStyle name="Input 6 3 2 5" xfId="21982"/>
    <cellStyle name="Input 6 3 2 6" xfId="21983"/>
    <cellStyle name="Input 6 3 2 7" xfId="21984"/>
    <cellStyle name="Input 6 3 2 8" xfId="21985"/>
    <cellStyle name="Input 6 3 2 9" xfId="21986"/>
    <cellStyle name="Input 6 3 3" xfId="21987"/>
    <cellStyle name="Input 6 3 3 2" xfId="21988"/>
    <cellStyle name="Input 6 3 3 2 2" xfId="21989"/>
    <cellStyle name="Input 6 3 3 3" xfId="21990"/>
    <cellStyle name="Input 6 3 3 3 2" xfId="21991"/>
    <cellStyle name="Input 6 3 3 4" xfId="21992"/>
    <cellStyle name="Input 6 3 3 5" xfId="21993"/>
    <cellStyle name="Input 6 3 3 6" xfId="21994"/>
    <cellStyle name="Input 6 3 4" xfId="21995"/>
    <cellStyle name="Input 6 3 5" xfId="21996"/>
    <cellStyle name="Input 6 3 6" xfId="21997"/>
    <cellStyle name="Input 6 3 7" xfId="21998"/>
    <cellStyle name="Input 6 3 8" xfId="21974"/>
    <cellStyle name="Input 6 4" xfId="4826"/>
    <cellStyle name="Input 6 4 10" xfId="21999"/>
    <cellStyle name="Input 6 4 2" xfId="22000"/>
    <cellStyle name="Input 6 4 2 2" xfId="22001"/>
    <cellStyle name="Input 6 4 2 3" xfId="22002"/>
    <cellStyle name="Input 6 4 3" xfId="22003"/>
    <cellStyle name="Input 6 4 3 2" xfId="22004"/>
    <cellStyle name="Input 6 4 4" xfId="22005"/>
    <cellStyle name="Input 6 4 4 2" xfId="22006"/>
    <cellStyle name="Input 6 4 5" xfId="22007"/>
    <cellStyle name="Input 6 4 6" xfId="22008"/>
    <cellStyle name="Input 6 4 7" xfId="22009"/>
    <cellStyle name="Input 6 4 8" xfId="22010"/>
    <cellStyle name="Input 6 4 9" xfId="22011"/>
    <cellStyle name="Input 6 5" xfId="4827"/>
    <cellStyle name="Input 6 5 10" xfId="22012"/>
    <cellStyle name="Input 6 5 2" xfId="22013"/>
    <cellStyle name="Input 6 5 2 2" xfId="22014"/>
    <cellStyle name="Input 6 5 2 3" xfId="22015"/>
    <cellStyle name="Input 6 5 3" xfId="22016"/>
    <cellStyle name="Input 6 5 3 2" xfId="22017"/>
    <cellStyle name="Input 6 5 4" xfId="22018"/>
    <cellStyle name="Input 6 5 4 2" xfId="22019"/>
    <cellStyle name="Input 6 5 5" xfId="22020"/>
    <cellStyle name="Input 6 5 6" xfId="22021"/>
    <cellStyle name="Input 6 5 7" xfId="22022"/>
    <cellStyle name="Input 6 5 8" xfId="22023"/>
    <cellStyle name="Input 6 5 9" xfId="22024"/>
    <cellStyle name="Input 6 6" xfId="5257"/>
    <cellStyle name="Input 6 6 2" xfId="4828"/>
    <cellStyle name="Input 6 6 2 2" xfId="22027"/>
    <cellStyle name="Input 6 6 2 3" xfId="22026"/>
    <cellStyle name="Input 6 6 3" xfId="22028"/>
    <cellStyle name="Input 6 6 3 2" xfId="22029"/>
    <cellStyle name="Input 6 6 4" xfId="22030"/>
    <cellStyle name="Input 6 6 5" xfId="22031"/>
    <cellStyle name="Input 6 6 6" xfId="22032"/>
    <cellStyle name="Input 6 6 7" xfId="22025"/>
    <cellStyle name="Input 6 7" xfId="4829"/>
    <cellStyle name="Input 6 7 2" xfId="5258"/>
    <cellStyle name="Input 6 7 3" xfId="22033"/>
    <cellStyle name="Input 6 8" xfId="4830"/>
    <cellStyle name="Input 6 8 2" xfId="22034"/>
    <cellStyle name="Input 6 9" xfId="5259"/>
    <cellStyle name="Input 6 9 2" xfId="22035"/>
    <cellStyle name="Input 7" xfId="1304"/>
    <cellStyle name="Input 7 10" xfId="4831"/>
    <cellStyle name="Input 7 10 2" xfId="22036"/>
    <cellStyle name="Input 7 11" xfId="8063"/>
    <cellStyle name="Input 7 2" xfId="1305"/>
    <cellStyle name="Input 7 2 2" xfId="4832"/>
    <cellStyle name="Input 7 2 2 10" xfId="22037"/>
    <cellStyle name="Input 7 2 2 2" xfId="22038"/>
    <cellStyle name="Input 7 2 2 2 2" xfId="22039"/>
    <cellStyle name="Input 7 2 2 2 3" xfId="22040"/>
    <cellStyle name="Input 7 2 2 3" xfId="22041"/>
    <cellStyle name="Input 7 2 2 3 2" xfId="22042"/>
    <cellStyle name="Input 7 2 2 4" xfId="22043"/>
    <cellStyle name="Input 7 2 2 4 2" xfId="22044"/>
    <cellStyle name="Input 7 2 2 5" xfId="22045"/>
    <cellStyle name="Input 7 2 2 6" xfId="22046"/>
    <cellStyle name="Input 7 2 2 7" xfId="22047"/>
    <cellStyle name="Input 7 2 2 8" xfId="22048"/>
    <cellStyle name="Input 7 2 2 9" xfId="22049"/>
    <cellStyle name="Input 7 2 3" xfId="4833"/>
    <cellStyle name="Input 7 2 3 2" xfId="22051"/>
    <cellStyle name="Input 7 2 3 2 2" xfId="22052"/>
    <cellStyle name="Input 7 2 3 2 3" xfId="22053"/>
    <cellStyle name="Input 7 2 3 3" xfId="22054"/>
    <cellStyle name="Input 7 2 3 3 2" xfId="22055"/>
    <cellStyle name="Input 7 2 3 4" xfId="22056"/>
    <cellStyle name="Input 7 2 3 5" xfId="22057"/>
    <cellStyle name="Input 7 2 3 6" xfId="22058"/>
    <cellStyle name="Input 7 2 3 7" xfId="22050"/>
    <cellStyle name="Input 7 2 4" xfId="4834"/>
    <cellStyle name="Input 7 2 4 2" xfId="4835"/>
    <cellStyle name="Input 7 2 4 2 2" xfId="22060"/>
    <cellStyle name="Input 7 2 4 3" xfId="22059"/>
    <cellStyle name="Input 7 2 5" xfId="4836"/>
    <cellStyle name="Input 7 2 5 2" xfId="4837"/>
    <cellStyle name="Input 7 2 5 3" xfId="22061"/>
    <cellStyle name="Input 7 2 6" xfId="5260"/>
    <cellStyle name="Input 7 2 6 2" xfId="22062"/>
    <cellStyle name="Input 7 2 7" xfId="4838"/>
    <cellStyle name="Input 7 2 7 2" xfId="22063"/>
    <cellStyle name="Input 7 2 8" xfId="8064"/>
    <cellStyle name="Input 7 3" xfId="4839"/>
    <cellStyle name="Input 7 3 2" xfId="4840"/>
    <cellStyle name="Input 7 3 2 10" xfId="22065"/>
    <cellStyle name="Input 7 3 2 2" xfId="22066"/>
    <cellStyle name="Input 7 3 2 2 2" xfId="22067"/>
    <cellStyle name="Input 7 3 2 3" xfId="22068"/>
    <cellStyle name="Input 7 3 2 3 2" xfId="22069"/>
    <cellStyle name="Input 7 3 2 4" xfId="22070"/>
    <cellStyle name="Input 7 3 2 4 2" xfId="22071"/>
    <cellStyle name="Input 7 3 2 5" xfId="22072"/>
    <cellStyle name="Input 7 3 2 6" xfId="22073"/>
    <cellStyle name="Input 7 3 2 7" xfId="22074"/>
    <cellStyle name="Input 7 3 2 8" xfId="22075"/>
    <cellStyle name="Input 7 3 2 9" xfId="22076"/>
    <cellStyle name="Input 7 3 3" xfId="22077"/>
    <cellStyle name="Input 7 3 3 2" xfId="22078"/>
    <cellStyle name="Input 7 3 3 2 2" xfId="22079"/>
    <cellStyle name="Input 7 3 3 3" xfId="22080"/>
    <cellStyle name="Input 7 3 3 3 2" xfId="22081"/>
    <cellStyle name="Input 7 3 3 4" xfId="22082"/>
    <cellStyle name="Input 7 3 3 5" xfId="22083"/>
    <cellStyle name="Input 7 3 3 6" xfId="22084"/>
    <cellStyle name="Input 7 3 4" xfId="22085"/>
    <cellStyle name="Input 7 3 5" xfId="22086"/>
    <cellStyle name="Input 7 3 6" xfId="22087"/>
    <cellStyle name="Input 7 3 7" xfId="22088"/>
    <cellStyle name="Input 7 3 8" xfId="22064"/>
    <cellStyle name="Input 7 4" xfId="4841"/>
    <cellStyle name="Input 7 4 10" xfId="22089"/>
    <cellStyle name="Input 7 4 2" xfId="22090"/>
    <cellStyle name="Input 7 4 2 2" xfId="22091"/>
    <cellStyle name="Input 7 4 2 3" xfId="22092"/>
    <cellStyle name="Input 7 4 3" xfId="22093"/>
    <cellStyle name="Input 7 4 3 2" xfId="22094"/>
    <cellStyle name="Input 7 4 4" xfId="22095"/>
    <cellStyle name="Input 7 4 4 2" xfId="22096"/>
    <cellStyle name="Input 7 4 5" xfId="22097"/>
    <cellStyle name="Input 7 4 6" xfId="22098"/>
    <cellStyle name="Input 7 4 7" xfId="22099"/>
    <cellStyle name="Input 7 4 8" xfId="22100"/>
    <cellStyle name="Input 7 4 9" xfId="22101"/>
    <cellStyle name="Input 7 5" xfId="4842"/>
    <cellStyle name="Input 7 5 10" xfId="22102"/>
    <cellStyle name="Input 7 5 2" xfId="22103"/>
    <cellStyle name="Input 7 5 2 2" xfId="22104"/>
    <cellStyle name="Input 7 5 2 3" xfId="22105"/>
    <cellStyle name="Input 7 5 3" xfId="22106"/>
    <cellStyle name="Input 7 5 3 2" xfId="22107"/>
    <cellStyle name="Input 7 5 4" xfId="22108"/>
    <cellStyle name="Input 7 5 4 2" xfId="22109"/>
    <cellStyle name="Input 7 5 5" xfId="22110"/>
    <cellStyle name="Input 7 5 6" xfId="22111"/>
    <cellStyle name="Input 7 5 7" xfId="22112"/>
    <cellStyle name="Input 7 5 8" xfId="22113"/>
    <cellStyle name="Input 7 5 9" xfId="22114"/>
    <cellStyle name="Input 7 6" xfId="5385"/>
    <cellStyle name="Input 7 6 2" xfId="5386"/>
    <cellStyle name="Input 7 6 2 2" xfId="22117"/>
    <cellStyle name="Input 7 6 2 3" xfId="22116"/>
    <cellStyle name="Input 7 6 3" xfId="22118"/>
    <cellStyle name="Input 7 6 3 2" xfId="22119"/>
    <cellStyle name="Input 7 6 4" xfId="22120"/>
    <cellStyle name="Input 7 6 5" xfId="22121"/>
    <cellStyle name="Input 7 6 6" xfId="22122"/>
    <cellStyle name="Input 7 6 7" xfId="22115"/>
    <cellStyle name="Input 7 7" xfId="5009"/>
    <cellStyle name="Input 7 7 2" xfId="4967"/>
    <cellStyle name="Input 7 7 3" xfId="22123"/>
    <cellStyle name="Input 7 8" xfId="5387"/>
    <cellStyle name="Input 7 8 2" xfId="22124"/>
    <cellStyle name="Input 7 9" xfId="4968"/>
    <cellStyle name="Input 7 9 2" xfId="22125"/>
    <cellStyle name="Input 8" xfId="1306"/>
    <cellStyle name="Input 8 10" xfId="5010"/>
    <cellStyle name="Input 8 10 2" xfId="22126"/>
    <cellStyle name="Input 8 2" xfId="1307"/>
    <cellStyle name="Input 8 2 10" xfId="22127"/>
    <cellStyle name="Input 8 2 2" xfId="1308"/>
    <cellStyle name="Input 8 2 2 10" xfId="22128"/>
    <cellStyle name="Input 8 2 2 2" xfId="5011"/>
    <cellStyle name="Input 8 2 2 2 2" xfId="22130"/>
    <cellStyle name="Input 8 2 2 2 3" xfId="22131"/>
    <cellStyle name="Input 8 2 2 2 4" xfId="22129"/>
    <cellStyle name="Input 8 2 2 3" xfId="8066"/>
    <cellStyle name="Input 8 2 2 3 2" xfId="22133"/>
    <cellStyle name="Input 8 2 2 3 3" xfId="22132"/>
    <cellStyle name="Input 8 2 2 4" xfId="22134"/>
    <cellStyle name="Input 8 2 2 4 2" xfId="22135"/>
    <cellStyle name="Input 8 2 2 5" xfId="22136"/>
    <cellStyle name="Input 8 2 2 6" xfId="22137"/>
    <cellStyle name="Input 8 2 2 7" xfId="22138"/>
    <cellStyle name="Input 8 2 2 8" xfId="22139"/>
    <cellStyle name="Input 8 2 2 9" xfId="22140"/>
    <cellStyle name="Input 8 2 3" xfId="5389"/>
    <cellStyle name="Input 8 2 3 2" xfId="22142"/>
    <cellStyle name="Input 8 2 3 2 2" xfId="22143"/>
    <cellStyle name="Input 8 2 3 2 3" xfId="22144"/>
    <cellStyle name="Input 8 2 3 3" xfId="22145"/>
    <cellStyle name="Input 8 2 3 3 2" xfId="22146"/>
    <cellStyle name="Input 8 2 3 4" xfId="22147"/>
    <cellStyle name="Input 8 2 3 5" xfId="22148"/>
    <cellStyle name="Input 8 2 3 6" xfId="22149"/>
    <cellStyle name="Input 8 2 3 7" xfId="22141"/>
    <cellStyle name="Input 8 2 4" xfId="3545"/>
    <cellStyle name="Input 8 2 4 2" xfId="5390"/>
    <cellStyle name="Input 8 2 4 2 2" xfId="22151"/>
    <cellStyle name="Input 8 2 4 3" xfId="22150"/>
    <cellStyle name="Input 8 2 5" xfId="3197"/>
    <cellStyle name="Input 8 2 5 2" xfId="3546"/>
    <cellStyle name="Input 8 2 5 3" xfId="22152"/>
    <cellStyle name="Input 8 2 6" xfId="4843"/>
    <cellStyle name="Input 8 2 6 2" xfId="22153"/>
    <cellStyle name="Input 8 2 7" xfId="5261"/>
    <cellStyle name="Input 8 2 7 2" xfId="22154"/>
    <cellStyle name="Input 8 2 8" xfId="5388"/>
    <cellStyle name="Input 8 2 9" xfId="8065"/>
    <cellStyle name="Input 8 3" xfId="1309"/>
    <cellStyle name="Input 8 3 2" xfId="4969"/>
    <cellStyle name="Input 8 3 2 10" xfId="22156"/>
    <cellStyle name="Input 8 3 2 2" xfId="22157"/>
    <cellStyle name="Input 8 3 2 2 2" xfId="22158"/>
    <cellStyle name="Input 8 3 2 3" xfId="22159"/>
    <cellStyle name="Input 8 3 2 3 2" xfId="22160"/>
    <cellStyle name="Input 8 3 2 4" xfId="22161"/>
    <cellStyle name="Input 8 3 2 4 2" xfId="22162"/>
    <cellStyle name="Input 8 3 2 5" xfId="22163"/>
    <cellStyle name="Input 8 3 2 6" xfId="22164"/>
    <cellStyle name="Input 8 3 2 7" xfId="22165"/>
    <cellStyle name="Input 8 3 2 8" xfId="22166"/>
    <cellStyle name="Input 8 3 2 9" xfId="22167"/>
    <cellStyle name="Input 8 3 3" xfId="5262"/>
    <cellStyle name="Input 8 3 3 2" xfId="22169"/>
    <cellStyle name="Input 8 3 3 2 2" xfId="22170"/>
    <cellStyle name="Input 8 3 3 3" xfId="22171"/>
    <cellStyle name="Input 8 3 3 3 2" xfId="22172"/>
    <cellStyle name="Input 8 3 3 4" xfId="22173"/>
    <cellStyle name="Input 8 3 3 5" xfId="22174"/>
    <cellStyle name="Input 8 3 3 6" xfId="22175"/>
    <cellStyle name="Input 8 3 3 7" xfId="22168"/>
    <cellStyle name="Input 8 3 4" xfId="8067"/>
    <cellStyle name="Input 8 3 4 2" xfId="22176"/>
    <cellStyle name="Input 8 3 5" xfId="22177"/>
    <cellStyle name="Input 8 3 6" xfId="22178"/>
    <cellStyle name="Input 8 3 7" xfId="22179"/>
    <cellStyle name="Input 8 3 8" xfId="22155"/>
    <cellStyle name="Input 8 4" xfId="1310"/>
    <cellStyle name="Input 8 4 10" xfId="22180"/>
    <cellStyle name="Input 8 4 2" xfId="5391"/>
    <cellStyle name="Input 8 4 2 2" xfId="22182"/>
    <cellStyle name="Input 8 4 2 3" xfId="22183"/>
    <cellStyle name="Input 8 4 2 4" xfId="22181"/>
    <cellStyle name="Input 8 4 3" xfId="22184"/>
    <cellStyle name="Input 8 4 3 2" xfId="22185"/>
    <cellStyle name="Input 8 4 4" xfId="22186"/>
    <cellStyle name="Input 8 4 4 2" xfId="22187"/>
    <cellStyle name="Input 8 4 5" xfId="22188"/>
    <cellStyle name="Input 8 4 6" xfId="22189"/>
    <cellStyle name="Input 8 4 7" xfId="22190"/>
    <cellStyle name="Input 8 4 8" xfId="22191"/>
    <cellStyle name="Input 8 4 9" xfId="22192"/>
    <cellStyle name="Input 8 5" xfId="2761"/>
    <cellStyle name="Input 8 5 2" xfId="3547"/>
    <cellStyle name="Input 8 5 2 2" xfId="22194"/>
    <cellStyle name="Input 8 5 2 3" xfId="22195"/>
    <cellStyle name="Input 8 5 2 4" xfId="22193"/>
    <cellStyle name="Input 8 5 3" xfId="8374"/>
    <cellStyle name="Input 8 5 3 2" xfId="22196"/>
    <cellStyle name="Input 8 5 4" xfId="22197"/>
    <cellStyle name="Input 8 5 4 2" xfId="22198"/>
    <cellStyle name="Input 8 5 5" xfId="22199"/>
    <cellStyle name="Input 8 5 6" xfId="22200"/>
    <cellStyle name="Input 8 5 7" xfId="22201"/>
    <cellStyle name="Input 8 5 8" xfId="22202"/>
    <cellStyle name="Input 8 5 9" xfId="22203"/>
    <cellStyle name="Input 8 6" xfId="4970"/>
    <cellStyle name="Input 8 6 2" xfId="5392"/>
    <cellStyle name="Input 8 6 2 2" xfId="22206"/>
    <cellStyle name="Input 8 6 2 3" xfId="22205"/>
    <cellStyle name="Input 8 6 3" xfId="22207"/>
    <cellStyle name="Input 8 6 3 2" xfId="22208"/>
    <cellStyle name="Input 8 6 4" xfId="22209"/>
    <cellStyle name="Input 8 6 5" xfId="22210"/>
    <cellStyle name="Input 8 6 6" xfId="22211"/>
    <cellStyle name="Input 8 6 7" xfId="22204"/>
    <cellStyle name="Input 8 7" xfId="5393"/>
    <cellStyle name="Input 8 7 2" xfId="3548"/>
    <cellStyle name="Input 8 7 3" xfId="22212"/>
    <cellStyle name="Input 8 8" xfId="5394"/>
    <cellStyle name="Input 8 8 2" xfId="22213"/>
    <cellStyle name="Input 8 9" xfId="3549"/>
    <cellStyle name="Input 8 9 2" xfId="22214"/>
    <cellStyle name="Input 9" xfId="1311"/>
    <cellStyle name="Input 9 10" xfId="4844"/>
    <cellStyle name="Input 9 10 2" xfId="22215"/>
    <cellStyle name="Input 9 2" xfId="1312"/>
    <cellStyle name="Input 9 2 10" xfId="22216"/>
    <cellStyle name="Input 9 2 2" xfId="1313"/>
    <cellStyle name="Input 9 2 2 10" xfId="22217"/>
    <cellStyle name="Input 9 2 2 2" xfId="3550"/>
    <cellStyle name="Input 9 2 2 2 2" xfId="22219"/>
    <cellStyle name="Input 9 2 2 2 3" xfId="22220"/>
    <cellStyle name="Input 9 2 2 2 4" xfId="22218"/>
    <cellStyle name="Input 9 2 2 3" xfId="8069"/>
    <cellStyle name="Input 9 2 2 3 2" xfId="22222"/>
    <cellStyle name="Input 9 2 2 3 3" xfId="22221"/>
    <cellStyle name="Input 9 2 2 4" xfId="22223"/>
    <cellStyle name="Input 9 2 2 4 2" xfId="22224"/>
    <cellStyle name="Input 9 2 2 5" xfId="22225"/>
    <cellStyle name="Input 9 2 2 6" xfId="22226"/>
    <cellStyle name="Input 9 2 2 7" xfId="22227"/>
    <cellStyle name="Input 9 2 2 8" xfId="22228"/>
    <cellStyle name="Input 9 2 2 9" xfId="22229"/>
    <cellStyle name="Input 9 2 3" xfId="4971"/>
    <cellStyle name="Input 9 2 3 2" xfId="22231"/>
    <cellStyle name="Input 9 2 3 2 2" xfId="22232"/>
    <cellStyle name="Input 9 2 3 2 3" xfId="22233"/>
    <cellStyle name="Input 9 2 3 3" xfId="22234"/>
    <cellStyle name="Input 9 2 3 3 2" xfId="22235"/>
    <cellStyle name="Input 9 2 3 4" xfId="22236"/>
    <cellStyle name="Input 9 2 3 5" xfId="22237"/>
    <cellStyle name="Input 9 2 3 6" xfId="22238"/>
    <cellStyle name="Input 9 2 3 7" xfId="22230"/>
    <cellStyle name="Input 9 2 4" xfId="5395"/>
    <cellStyle name="Input 9 2 4 2" xfId="5396"/>
    <cellStyle name="Input 9 2 4 2 2" xfId="22240"/>
    <cellStyle name="Input 9 2 4 3" xfId="22239"/>
    <cellStyle name="Input 9 2 5" xfId="3551"/>
    <cellStyle name="Input 9 2 5 2" xfId="5397"/>
    <cellStyle name="Input 9 2 5 3" xfId="22241"/>
    <cellStyle name="Input 9 2 6" xfId="3199"/>
    <cellStyle name="Input 9 2 6 2" xfId="22242"/>
    <cellStyle name="Input 9 2 7" xfId="3552"/>
    <cellStyle name="Input 9 2 7 2" xfId="22243"/>
    <cellStyle name="Input 9 2 8" xfId="3198"/>
    <cellStyle name="Input 9 2 9" xfId="8068"/>
    <cellStyle name="Input 9 3" xfId="1314"/>
    <cellStyle name="Input 9 3 2" xfId="3200"/>
    <cellStyle name="Input 9 3 2 10" xfId="22245"/>
    <cellStyle name="Input 9 3 2 2" xfId="22246"/>
    <cellStyle name="Input 9 3 2 2 2" xfId="22247"/>
    <cellStyle name="Input 9 3 2 3" xfId="22248"/>
    <cellStyle name="Input 9 3 2 3 2" xfId="22249"/>
    <cellStyle name="Input 9 3 2 4" xfId="22250"/>
    <cellStyle name="Input 9 3 2 4 2" xfId="22251"/>
    <cellStyle name="Input 9 3 2 5" xfId="22252"/>
    <cellStyle name="Input 9 3 2 6" xfId="22253"/>
    <cellStyle name="Input 9 3 2 7" xfId="22254"/>
    <cellStyle name="Input 9 3 2 8" xfId="22255"/>
    <cellStyle name="Input 9 3 2 9" xfId="22256"/>
    <cellStyle name="Input 9 3 3" xfId="5271"/>
    <cellStyle name="Input 9 3 3 2" xfId="22258"/>
    <cellStyle name="Input 9 3 3 2 2" xfId="22259"/>
    <cellStyle name="Input 9 3 3 3" xfId="22260"/>
    <cellStyle name="Input 9 3 3 3 2" xfId="22261"/>
    <cellStyle name="Input 9 3 3 4" xfId="22262"/>
    <cellStyle name="Input 9 3 3 5" xfId="22263"/>
    <cellStyle name="Input 9 3 3 6" xfId="22264"/>
    <cellStyle name="Input 9 3 3 7" xfId="22257"/>
    <cellStyle name="Input 9 3 4" xfId="8070"/>
    <cellStyle name="Input 9 3 4 2" xfId="22265"/>
    <cellStyle name="Input 9 3 5" xfId="22266"/>
    <cellStyle name="Input 9 3 6" xfId="22267"/>
    <cellStyle name="Input 9 3 7" xfId="22268"/>
    <cellStyle name="Input 9 3 8" xfId="22244"/>
    <cellStyle name="Input 9 4" xfId="1315"/>
    <cellStyle name="Input 9 4 10" xfId="22269"/>
    <cellStyle name="Input 9 4 2" xfId="3201"/>
    <cellStyle name="Input 9 4 2 2" xfId="22271"/>
    <cellStyle name="Input 9 4 2 3" xfId="22272"/>
    <cellStyle name="Input 9 4 2 4" xfId="22270"/>
    <cellStyle name="Input 9 4 3" xfId="22273"/>
    <cellStyle name="Input 9 4 3 2" xfId="22274"/>
    <cellStyle name="Input 9 4 4" xfId="22275"/>
    <cellStyle name="Input 9 4 4 2" xfId="22276"/>
    <cellStyle name="Input 9 4 5" xfId="22277"/>
    <cellStyle name="Input 9 4 6" xfId="22278"/>
    <cellStyle name="Input 9 4 7" xfId="22279"/>
    <cellStyle name="Input 9 4 8" xfId="22280"/>
    <cellStyle name="Input 9 4 9" xfId="22281"/>
    <cellStyle name="Input 9 5" xfId="2762"/>
    <cellStyle name="Input 9 5 2" xfId="3202"/>
    <cellStyle name="Input 9 5 2 2" xfId="22283"/>
    <cellStyle name="Input 9 5 2 3" xfId="22284"/>
    <cellStyle name="Input 9 5 2 4" xfId="22282"/>
    <cellStyle name="Input 9 5 3" xfId="8375"/>
    <cellStyle name="Input 9 5 3 2" xfId="22285"/>
    <cellStyle name="Input 9 5 4" xfId="22286"/>
    <cellStyle name="Input 9 5 4 2" xfId="22287"/>
    <cellStyle name="Input 9 5 5" xfId="22288"/>
    <cellStyle name="Input 9 5 6" xfId="22289"/>
    <cellStyle name="Input 9 5 7" xfId="22290"/>
    <cellStyle name="Input 9 5 8" xfId="22291"/>
    <cellStyle name="Input 9 5 9" xfId="22292"/>
    <cellStyle name="Input 9 6" xfId="3553"/>
    <cellStyle name="Input 9 6 2" xfId="3203"/>
    <cellStyle name="Input 9 6 2 2" xfId="22295"/>
    <cellStyle name="Input 9 6 2 3" xfId="22294"/>
    <cellStyle name="Input 9 6 3" xfId="22296"/>
    <cellStyle name="Input 9 6 3 2" xfId="22297"/>
    <cellStyle name="Input 9 6 4" xfId="22298"/>
    <cellStyle name="Input 9 6 5" xfId="22299"/>
    <cellStyle name="Input 9 6 6" xfId="22300"/>
    <cellStyle name="Input 9 6 7" xfId="22293"/>
    <cellStyle name="Input 9 7" xfId="3554"/>
    <cellStyle name="Input 9 7 2" xfId="4845"/>
    <cellStyle name="Input 9 7 3" xfId="22301"/>
    <cellStyle name="Input 9 8" xfId="4846"/>
    <cellStyle name="Input 9 8 2" xfId="22302"/>
    <cellStyle name="Input 9 9" xfId="4847"/>
    <cellStyle name="Input 9 9 2" xfId="22303"/>
    <cellStyle name="Instructions" xfId="1316"/>
    <cellStyle name="Integer" xfId="1317"/>
    <cellStyle name="Integer 2" xfId="1318"/>
    <cellStyle name="Integer 2 2" xfId="1319"/>
    <cellStyle name="Integer 2 2 2" xfId="22304"/>
    <cellStyle name="Integer 2 3" xfId="22305"/>
    <cellStyle name="Integer 2 4" xfId="22306"/>
    <cellStyle name="Integer 3" xfId="1320"/>
    <cellStyle name="Integer 3 2" xfId="2987"/>
    <cellStyle name="Integer 4" xfId="1321"/>
    <cellStyle name="Integer 4 2" xfId="4848"/>
    <cellStyle name="Integer 5" xfId="4849"/>
    <cellStyle name="Integer 6" xfId="5471"/>
    <cellStyle name="Integer 7" xfId="5472"/>
    <cellStyle name="Integer_5.2" xfId="5473"/>
    <cellStyle name="Intial cap" xfId="1322"/>
    <cellStyle name="Intial cap 2" xfId="1323"/>
    <cellStyle name="Intial cap 2 2" xfId="2988"/>
    <cellStyle name="Intial cap 3" xfId="1324"/>
    <cellStyle name="Intial cap 3 2" xfId="5474"/>
    <cellStyle name="Intial cap 3 3" xfId="22307"/>
    <cellStyle name="Intial cap 4" xfId="1325"/>
    <cellStyle name="Intitulé cours" xfId="2763"/>
    <cellStyle name="Jegyzet" xfId="40359"/>
    <cellStyle name="Jelölőszín (1)" xfId="40360"/>
    <cellStyle name="Jelölőszín (2)" xfId="40361"/>
    <cellStyle name="Jelölőszín (3)" xfId="40362"/>
    <cellStyle name="Jelölőszín (4)" xfId="40363"/>
    <cellStyle name="Jelölőszín (5)" xfId="40364"/>
    <cellStyle name="Jelölőszín (6)" xfId="40365"/>
    <cellStyle name="Jó" xfId="40366"/>
    <cellStyle name="Kimenet" xfId="40367"/>
    <cellStyle name="Labels - Style3" xfId="1326"/>
    <cellStyle name="Labels - Style3 10" xfId="8071"/>
    <cellStyle name="Labels - Style3 10 2" xfId="22309"/>
    <cellStyle name="Labels - Style3 11" xfId="22308"/>
    <cellStyle name="Labels - Style3 2" xfId="1327"/>
    <cellStyle name="Labels - Style3 2 10" xfId="22311"/>
    <cellStyle name="Labels - Style3 2 11" xfId="22312"/>
    <cellStyle name="Labels - Style3 2 12" xfId="22310"/>
    <cellStyle name="Labels - Style3 2 2" xfId="1328"/>
    <cellStyle name="Labels - Style3 2 2 2" xfId="8073"/>
    <cellStyle name="Labels - Style3 2 2 2 2" xfId="22314"/>
    <cellStyle name="Labels - Style3 2 2 2 2 2" xfId="22315"/>
    <cellStyle name="Labels - Style3 2 2 2 2 3" xfId="22316"/>
    <cellStyle name="Labels - Style3 2 2 2 2 4" xfId="22317"/>
    <cellStyle name="Labels - Style3 2 2 2 3" xfId="22318"/>
    <cellStyle name="Labels - Style3 2 2 2 3 2" xfId="22319"/>
    <cellStyle name="Labels - Style3 2 2 2 3 3" xfId="22320"/>
    <cellStyle name="Labels - Style3 2 2 2 3 4" xfId="22321"/>
    <cellStyle name="Labels - Style3 2 2 2 4" xfId="22322"/>
    <cellStyle name="Labels - Style3 2 2 2 5" xfId="22323"/>
    <cellStyle name="Labels - Style3 2 2 2 6" xfId="22324"/>
    <cellStyle name="Labels - Style3 2 2 3" xfId="22325"/>
    <cellStyle name="Labels - Style3 2 2 3 2" xfId="22326"/>
    <cellStyle name="Labels - Style3 2 2 3 2 2" xfId="22327"/>
    <cellStyle name="Labels - Style3 2 2 3 2 3" xfId="22328"/>
    <cellStyle name="Labels - Style3 2 2 3 3" xfId="22329"/>
    <cellStyle name="Labels - Style3 2 2 3 4" xfId="22330"/>
    <cellStyle name="Labels - Style3 2 2 4" xfId="22331"/>
    <cellStyle name="Labels - Style3 2 2 4 2" xfId="22332"/>
    <cellStyle name="Labels - Style3 2 2 4 2 2" xfId="22333"/>
    <cellStyle name="Labels - Style3 2 2 4 2 3" xfId="22334"/>
    <cellStyle name="Labels - Style3 2 2 4 3" xfId="22335"/>
    <cellStyle name="Labels - Style3 2 2 4 4" xfId="22336"/>
    <cellStyle name="Labels - Style3 2 2 5" xfId="22337"/>
    <cellStyle name="Labels - Style3 2 2 5 2" xfId="22338"/>
    <cellStyle name="Labels - Style3 2 2 5 3" xfId="22339"/>
    <cellStyle name="Labels - Style3 2 2 5 4" xfId="22340"/>
    <cellStyle name="Labels - Style3 2 2 6" xfId="22341"/>
    <cellStyle name="Labels - Style3 2 2 6 2" xfId="22342"/>
    <cellStyle name="Labels - Style3 2 2 6 3" xfId="22343"/>
    <cellStyle name="Labels - Style3 2 2 7" xfId="22344"/>
    <cellStyle name="Labels - Style3 2 2 8" xfId="22345"/>
    <cellStyle name="Labels - Style3 2 2 8 2" xfId="22346"/>
    <cellStyle name="Labels - Style3 2 2 9" xfId="22313"/>
    <cellStyle name="Labels - Style3 2 3" xfId="5476"/>
    <cellStyle name="Labels - Style3 2 3 2" xfId="22348"/>
    <cellStyle name="Labels - Style3 2 3 2 2" xfId="22349"/>
    <cellStyle name="Labels - Style3 2 3 2 2 2" xfId="22350"/>
    <cellStyle name="Labels - Style3 2 3 2 2 3" xfId="22351"/>
    <cellStyle name="Labels - Style3 2 3 2 2 4" xfId="22352"/>
    <cellStyle name="Labels - Style3 2 3 2 3" xfId="22353"/>
    <cellStyle name="Labels - Style3 2 3 2 3 2" xfId="22354"/>
    <cellStyle name="Labels - Style3 2 3 2 3 3" xfId="22355"/>
    <cellStyle name="Labels - Style3 2 3 2 3 4" xfId="22356"/>
    <cellStyle name="Labels - Style3 2 3 2 4" xfId="22357"/>
    <cellStyle name="Labels - Style3 2 3 2 5" xfId="22358"/>
    <cellStyle name="Labels - Style3 2 3 2 6" xfId="22359"/>
    <cellStyle name="Labels - Style3 2 3 3" xfId="22360"/>
    <cellStyle name="Labels - Style3 2 3 3 2" xfId="22361"/>
    <cellStyle name="Labels - Style3 2 3 3 2 2" xfId="22362"/>
    <cellStyle name="Labels - Style3 2 3 3 2 3" xfId="22363"/>
    <cellStyle name="Labels - Style3 2 3 3 3" xfId="22364"/>
    <cellStyle name="Labels - Style3 2 3 3 4" xfId="22365"/>
    <cellStyle name="Labels - Style3 2 3 4" xfId="22366"/>
    <cellStyle name="Labels - Style3 2 3 4 2" xfId="22367"/>
    <cellStyle name="Labels - Style3 2 3 4 3" xfId="22368"/>
    <cellStyle name="Labels - Style3 2 3 4 4" xfId="22369"/>
    <cellStyle name="Labels - Style3 2 3 5" xfId="22370"/>
    <cellStyle name="Labels - Style3 2 3 5 2" xfId="22371"/>
    <cellStyle name="Labels - Style3 2 3 5 3" xfId="22372"/>
    <cellStyle name="Labels - Style3 2 3 5 4" xfId="22373"/>
    <cellStyle name="Labels - Style3 2 3 6" xfId="22374"/>
    <cellStyle name="Labels - Style3 2 3 7" xfId="22375"/>
    <cellStyle name="Labels - Style3 2 3 8" xfId="22376"/>
    <cellStyle name="Labels - Style3 2 3 9" xfId="22347"/>
    <cellStyle name="Labels - Style3 2 4" xfId="8072"/>
    <cellStyle name="Labels - Style3 2 4 2" xfId="22378"/>
    <cellStyle name="Labels - Style3 2 4 2 2" xfId="22379"/>
    <cellStyle name="Labels - Style3 2 4 2 3" xfId="22380"/>
    <cellStyle name="Labels - Style3 2 4 2 4" xfId="22381"/>
    <cellStyle name="Labels - Style3 2 4 3" xfId="22382"/>
    <cellStyle name="Labels - Style3 2 4 3 2" xfId="22383"/>
    <cellStyle name="Labels - Style3 2 4 3 3" xfId="22384"/>
    <cellStyle name="Labels - Style3 2 4 3 4" xfId="22385"/>
    <cellStyle name="Labels - Style3 2 4 4" xfId="22386"/>
    <cellStyle name="Labels - Style3 2 4 4 2" xfId="22387"/>
    <cellStyle name="Labels - Style3 2 4 4 3" xfId="22388"/>
    <cellStyle name="Labels - Style3 2 4 4 4" xfId="22389"/>
    <cellStyle name="Labels - Style3 2 4 5" xfId="22390"/>
    <cellStyle name="Labels - Style3 2 4 6" xfId="22391"/>
    <cellStyle name="Labels - Style3 2 4 7" xfId="22392"/>
    <cellStyle name="Labels - Style3 2 4 8" xfId="22377"/>
    <cellStyle name="Labels - Style3 2 5" xfId="22393"/>
    <cellStyle name="Labels - Style3 2 5 2" xfId="22394"/>
    <cellStyle name="Labels - Style3 2 5 2 2" xfId="22395"/>
    <cellStyle name="Labels - Style3 2 5 2 3" xfId="22396"/>
    <cellStyle name="Labels - Style3 2 5 2 4" xfId="22397"/>
    <cellStyle name="Labels - Style3 2 5 3" xfId="22398"/>
    <cellStyle name="Labels - Style3 2 5 3 2" xfId="22399"/>
    <cellStyle name="Labels - Style3 2 5 3 3" xfId="22400"/>
    <cellStyle name="Labels - Style3 2 5 3 4" xfId="22401"/>
    <cellStyle name="Labels - Style3 2 5 4" xfId="22402"/>
    <cellStyle name="Labels - Style3 2 5 4 2" xfId="22403"/>
    <cellStyle name="Labels - Style3 2 5 4 3" xfId="22404"/>
    <cellStyle name="Labels - Style3 2 5 4 4" xfId="22405"/>
    <cellStyle name="Labels - Style3 2 5 5" xfId="22406"/>
    <cellStyle name="Labels - Style3 2 5 6" xfId="22407"/>
    <cellStyle name="Labels - Style3 2 5 7" xfId="22408"/>
    <cellStyle name="Labels - Style3 2 6" xfId="22409"/>
    <cellStyle name="Labels - Style3 2 6 2" xfId="22410"/>
    <cellStyle name="Labels - Style3 2 6 2 2" xfId="22411"/>
    <cellStyle name="Labels - Style3 2 6 2 3" xfId="22412"/>
    <cellStyle name="Labels - Style3 2 6 2 4" xfId="22413"/>
    <cellStyle name="Labels - Style3 2 6 3" xfId="22414"/>
    <cellStyle name="Labels - Style3 2 6 3 2" xfId="22415"/>
    <cellStyle name="Labels - Style3 2 6 3 3" xfId="22416"/>
    <cellStyle name="Labels - Style3 2 6 3 4" xfId="22417"/>
    <cellStyle name="Labels - Style3 2 6 4" xfId="22418"/>
    <cellStyle name="Labels - Style3 2 6 5" xfId="22419"/>
    <cellStyle name="Labels - Style3 2 6 6" xfId="22420"/>
    <cellStyle name="Labels - Style3 2 7" xfId="22421"/>
    <cellStyle name="Labels - Style3 2 7 2" xfId="22422"/>
    <cellStyle name="Labels - Style3 2 7 3" xfId="22423"/>
    <cellStyle name="Labels - Style3 2 7 4" xfId="22424"/>
    <cellStyle name="Labels - Style3 2 8" xfId="22425"/>
    <cellStyle name="Labels - Style3 2 8 2" xfId="22426"/>
    <cellStyle name="Labels - Style3 2 8 3" xfId="22427"/>
    <cellStyle name="Labels - Style3 2 8 4" xfId="22428"/>
    <cellStyle name="Labels - Style3 2 9" xfId="22429"/>
    <cellStyle name="Labels - Style3 2 9 2" xfId="22430"/>
    <cellStyle name="Labels - Style3 2 9 3" xfId="22431"/>
    <cellStyle name="Labels - Style3 2 9 4" xfId="22432"/>
    <cellStyle name="Labels - Style3 3" xfId="1329"/>
    <cellStyle name="Labels - Style3 3 2" xfId="1330"/>
    <cellStyle name="Labels - Style3 3 2 2" xfId="8075"/>
    <cellStyle name="Labels - Style3 3 2 2 2" xfId="22436"/>
    <cellStyle name="Labels - Style3 3 2 2 2 2" xfId="22437"/>
    <cellStyle name="Labels - Style3 3 2 2 3" xfId="22438"/>
    <cellStyle name="Labels - Style3 3 2 2 4" xfId="22435"/>
    <cellStyle name="Labels - Style3 3 2 3" xfId="22439"/>
    <cellStyle name="Labels - Style3 3 2 3 2" xfId="22440"/>
    <cellStyle name="Labels - Style3 3 2 3 2 2" xfId="22441"/>
    <cellStyle name="Labels - Style3 3 2 3 3" xfId="22442"/>
    <cellStyle name="Labels - Style3 3 2 4" xfId="22443"/>
    <cellStyle name="Labels - Style3 3 2 4 2" xfId="22444"/>
    <cellStyle name="Labels - Style3 3 2 4 3" xfId="22445"/>
    <cellStyle name="Labels - Style3 3 2 5" xfId="22446"/>
    <cellStyle name="Labels - Style3 3 2 6" xfId="22447"/>
    <cellStyle name="Labels - Style3 3 2 7" xfId="22448"/>
    <cellStyle name="Labels - Style3 3 2 8" xfId="22449"/>
    <cellStyle name="Labels - Style3 3 2 9" xfId="22434"/>
    <cellStyle name="Labels - Style3 3 3" xfId="5477"/>
    <cellStyle name="Labels - Style3 3 3 2" xfId="22451"/>
    <cellStyle name="Labels - Style3 3 3 2 2" xfId="22452"/>
    <cellStyle name="Labels - Style3 3 3 2 3" xfId="22453"/>
    <cellStyle name="Labels - Style3 3 3 3" xfId="22454"/>
    <cellStyle name="Labels - Style3 3 3 3 2" xfId="22455"/>
    <cellStyle name="Labels - Style3 3 3 4" xfId="22456"/>
    <cellStyle name="Labels - Style3 3 3 5" xfId="22457"/>
    <cellStyle name="Labels - Style3 3 3 6" xfId="22458"/>
    <cellStyle name="Labels - Style3 3 3 7" xfId="22450"/>
    <cellStyle name="Labels - Style3 3 4" xfId="8074"/>
    <cellStyle name="Labels - Style3 3 4 2" xfId="22460"/>
    <cellStyle name="Labels - Style3 3 4 3" xfId="22461"/>
    <cellStyle name="Labels - Style3 3 4 4" xfId="22462"/>
    <cellStyle name="Labels - Style3 3 4 5" xfId="22459"/>
    <cellStyle name="Labels - Style3 3 5" xfId="22463"/>
    <cellStyle name="Labels - Style3 3 5 2" xfId="22464"/>
    <cellStyle name="Labels - Style3 3 5 3" xfId="22465"/>
    <cellStyle name="Labels - Style3 3 5 4" xfId="22466"/>
    <cellStyle name="Labels - Style3 3 6" xfId="22467"/>
    <cellStyle name="Labels - Style3 3 7" xfId="22468"/>
    <cellStyle name="Labels - Style3 3 8" xfId="22433"/>
    <cellStyle name="Labels - Style3 4" xfId="1331"/>
    <cellStyle name="Labels - Style3 4 2" xfId="5479"/>
    <cellStyle name="Labels - Style3 4 2 2" xfId="22471"/>
    <cellStyle name="Labels - Style3 4 2 2 2" xfId="22472"/>
    <cellStyle name="Labels - Style3 4 2 2 3" xfId="22473"/>
    <cellStyle name="Labels - Style3 4 2 2 4" xfId="22474"/>
    <cellStyle name="Labels - Style3 4 2 3" xfId="22475"/>
    <cellStyle name="Labels - Style3 4 2 3 2" xfId="22476"/>
    <cellStyle name="Labels - Style3 4 2 3 3" xfId="22477"/>
    <cellStyle name="Labels - Style3 4 2 3 4" xfId="22478"/>
    <cellStyle name="Labels - Style3 4 2 4" xfId="22479"/>
    <cellStyle name="Labels - Style3 4 2 5" xfId="22480"/>
    <cellStyle name="Labels - Style3 4 2 6" xfId="22481"/>
    <cellStyle name="Labels - Style3 4 2 7" xfId="22470"/>
    <cellStyle name="Labels - Style3 4 3" xfId="5478"/>
    <cellStyle name="Labels - Style3 4 3 2" xfId="22483"/>
    <cellStyle name="Labels - Style3 4 3 2 2" xfId="22484"/>
    <cellStyle name="Labels - Style3 4 3 3" xfId="22485"/>
    <cellStyle name="Labels - Style3 4 3 4" xfId="22482"/>
    <cellStyle name="Labels - Style3 4 4" xfId="8076"/>
    <cellStyle name="Labels - Style3 4 4 2" xfId="22487"/>
    <cellStyle name="Labels - Style3 4 4 2 2" xfId="22488"/>
    <cellStyle name="Labels - Style3 4 4 3" xfId="22489"/>
    <cellStyle name="Labels - Style3 4 4 4" xfId="22486"/>
    <cellStyle name="Labels - Style3 4 5" xfId="22490"/>
    <cellStyle name="Labels - Style3 4 5 2" xfId="22491"/>
    <cellStyle name="Labels - Style3 4 5 3" xfId="22492"/>
    <cellStyle name="Labels - Style3 4 5 4" xfId="22493"/>
    <cellStyle name="Labels - Style3 4 6" xfId="22494"/>
    <cellStyle name="Labels - Style3 4 6 2" xfId="22495"/>
    <cellStyle name="Labels - Style3 4 7" xfId="22496"/>
    <cellStyle name="Labels - Style3 4 8" xfId="22497"/>
    <cellStyle name="Labels - Style3 4 9" xfId="22469"/>
    <cellStyle name="Labels - Style3 5" xfId="5480"/>
    <cellStyle name="Labels - Style3 5 2" xfId="5481"/>
    <cellStyle name="Labels - Style3 5 2 2" xfId="22500"/>
    <cellStyle name="Labels - Style3 5 2 2 2" xfId="22501"/>
    <cellStyle name="Labels - Style3 5 2 3" xfId="22502"/>
    <cellStyle name="Labels - Style3 5 2 4" xfId="22499"/>
    <cellStyle name="Labels - Style3 5 3" xfId="22503"/>
    <cellStyle name="Labels - Style3 5 3 2" xfId="22504"/>
    <cellStyle name="Labels - Style3 5 3 2 2" xfId="22505"/>
    <cellStyle name="Labels - Style3 5 3 3" xfId="22506"/>
    <cellStyle name="Labels - Style3 5 4" xfId="22507"/>
    <cellStyle name="Labels - Style3 5 4 2" xfId="22508"/>
    <cellStyle name="Labels - Style3 5 4 2 2" xfId="22509"/>
    <cellStyle name="Labels - Style3 5 4 3" xfId="22510"/>
    <cellStyle name="Labels - Style3 5 5" xfId="22511"/>
    <cellStyle name="Labels - Style3 5 5 2" xfId="22512"/>
    <cellStyle name="Labels - Style3 5 6" xfId="22513"/>
    <cellStyle name="Labels - Style3 5 7" xfId="22514"/>
    <cellStyle name="Labels - Style3 5 8" xfId="22515"/>
    <cellStyle name="Labels - Style3 5 9" xfId="22498"/>
    <cellStyle name="Labels - Style3 6" xfId="5482"/>
    <cellStyle name="Labels - Style3 6 2" xfId="22517"/>
    <cellStyle name="Labels - Style3 6 2 2" xfId="22518"/>
    <cellStyle name="Labels - Style3 6 2 2 2" xfId="22519"/>
    <cellStyle name="Labels - Style3 6 2 3" xfId="22520"/>
    <cellStyle name="Labels - Style3 6 3" xfId="22521"/>
    <cellStyle name="Labels - Style3 6 3 2" xfId="22522"/>
    <cellStyle name="Labels - Style3 6 3 2 2" xfId="22523"/>
    <cellStyle name="Labels - Style3 6 3 3" xfId="22524"/>
    <cellStyle name="Labels - Style3 6 4" xfId="22525"/>
    <cellStyle name="Labels - Style3 6 4 2" xfId="22526"/>
    <cellStyle name="Labels - Style3 6 5" xfId="22527"/>
    <cellStyle name="Labels - Style3 6 6" xfId="22528"/>
    <cellStyle name="Labels - Style3 6 7" xfId="22529"/>
    <cellStyle name="Labels - Style3 6 8" xfId="22516"/>
    <cellStyle name="Labels - Style3 7" xfId="5483"/>
    <cellStyle name="Labels - Style3 7 2" xfId="22531"/>
    <cellStyle name="Labels - Style3 7 3" xfId="22532"/>
    <cellStyle name="Labels - Style3 7 4" xfId="22533"/>
    <cellStyle name="Labels - Style3 7 5" xfId="22530"/>
    <cellStyle name="Labels - Style3 8" xfId="7832"/>
    <cellStyle name="Labels - Style3 8 2" xfId="22535"/>
    <cellStyle name="Labels - Style3 8 3" xfId="22536"/>
    <cellStyle name="Labels - Style3 8 4" xfId="22537"/>
    <cellStyle name="Labels - Style3 8 5" xfId="22534"/>
    <cellStyle name="Labels - Style3 9" xfId="5475"/>
    <cellStyle name="Labels - Style3 9 2" xfId="22538"/>
    <cellStyle name="Lien hypertexte" xfId="2764"/>
    <cellStyle name="Lien hypertexte visité" xfId="2765"/>
    <cellStyle name="Lien hypertexte_asad investment-ua" xfId="2766"/>
    <cellStyle name="Link Currency (0)" xfId="1332"/>
    <cellStyle name="Link Currency (0) 2" xfId="1333"/>
    <cellStyle name="Link Currency (0) 2 2" xfId="1334"/>
    <cellStyle name="Link Currency (0) 2 2 2" xfId="22539"/>
    <cellStyle name="Link Currency (0) 3" xfId="1335"/>
    <cellStyle name="Link Currency (0) 4" xfId="1336"/>
    <cellStyle name="Link Currency (2)" xfId="2767"/>
    <cellStyle name="Link Units (0)" xfId="2768"/>
    <cellStyle name="Link Units (1)" xfId="2769"/>
    <cellStyle name="Link Units (2)" xfId="2770"/>
    <cellStyle name="Linked Cell 10" xfId="5484"/>
    <cellStyle name="Linked Cell 11" xfId="5485"/>
    <cellStyle name="Linked Cell 12" xfId="5486"/>
    <cellStyle name="Linked Cell 13" xfId="5487"/>
    <cellStyle name="Linked Cell 14" xfId="5488"/>
    <cellStyle name="Linked Cell 15" xfId="5489"/>
    <cellStyle name="Linked Cell 16" xfId="5490"/>
    <cellStyle name="Linked Cell 17" xfId="5491"/>
    <cellStyle name="Linked Cell 18" xfId="22540"/>
    <cellStyle name="Linked Cell 2" xfId="1338"/>
    <cellStyle name="Linked Cell 2 2" xfId="1339"/>
    <cellStyle name="Linked Cell 2 2 2" xfId="5492"/>
    <cellStyle name="Linked Cell 2 3" xfId="5493"/>
    <cellStyle name="Linked Cell 3" xfId="1340"/>
    <cellStyle name="Linked Cell 3 2" xfId="1341"/>
    <cellStyle name="Linked Cell 4" xfId="1342"/>
    <cellStyle name="Linked Cell 4 2" xfId="1343"/>
    <cellStyle name="Linked Cell 5" xfId="1344"/>
    <cellStyle name="Linked Cell 5 2" xfId="1345"/>
    <cellStyle name="Linked Cell 6" xfId="1346"/>
    <cellStyle name="Linked Cell 6 2" xfId="5494"/>
    <cellStyle name="Linked Cell 7" xfId="1337"/>
    <cellStyle name="Linked Cell 8" xfId="5495"/>
    <cellStyle name="Linked Cell 9" xfId="5496"/>
    <cellStyle name="Magyarázó szöveg" xfId="40368"/>
    <cellStyle name="Millares [0]_laroux" xfId="1347"/>
    <cellStyle name="Millares_laroux" xfId="1348"/>
    <cellStyle name="Milliers [0]_AR1194" xfId="2771"/>
    <cellStyle name="Milliers_AR1194" xfId="2772"/>
    <cellStyle name="Moeda [0]_dimon" xfId="1349"/>
    <cellStyle name="Moeda_dimon" xfId="1350"/>
    <cellStyle name="Mon?taire [0]_AR1194" xfId="2773"/>
    <cellStyle name="Mon?taire_AR1194" xfId="2774"/>
    <cellStyle name="Moneda [0]_pldt" xfId="1351"/>
    <cellStyle name="Moneda_pldt" xfId="1352"/>
    <cellStyle name="Monétaire [0]_EDYAN" xfId="1353"/>
    <cellStyle name="Monétaire_EDYAN" xfId="1354"/>
    <cellStyle name="Mon้taire [0]_AR1194" xfId="2775"/>
    <cellStyle name="Mon้taire_AR1194" xfId="2776"/>
    <cellStyle name="MOQ" xfId="1355"/>
    <cellStyle name="MOQ 2" xfId="1356"/>
    <cellStyle name="MOQ 2 2" xfId="3127"/>
    <cellStyle name="MOQ 2 2 2" xfId="22541"/>
    <cellStyle name="MOQ 2 3" xfId="22542"/>
    <cellStyle name="MOQ 3" xfId="1357"/>
    <cellStyle name="MOQ 3 2" xfId="1358"/>
    <cellStyle name="MOQ 4" xfId="1359"/>
    <cellStyle name="Neutral 10" xfId="5497"/>
    <cellStyle name="Neutral 11" xfId="5498"/>
    <cellStyle name="Neutral 12" xfId="5499"/>
    <cellStyle name="Neutral 13" xfId="5500"/>
    <cellStyle name="Neutral 14" xfId="5501"/>
    <cellStyle name="Neutral 15" xfId="5502"/>
    <cellStyle name="Neutral 16" xfId="5503"/>
    <cellStyle name="Neutral 17" xfId="5504"/>
    <cellStyle name="Neutral 18" xfId="22543"/>
    <cellStyle name="Neutral 2" xfId="1361"/>
    <cellStyle name="Neutral 2 2" xfId="1362"/>
    <cellStyle name="Neutral 2 2 2" xfId="5505"/>
    <cellStyle name="Neutral 2 3" xfId="5506"/>
    <cellStyle name="Neutral 3" xfId="1363"/>
    <cellStyle name="Neutral 4" xfId="1364"/>
    <cellStyle name="Neutral 5" xfId="1365"/>
    <cellStyle name="Neutral 5 2" xfId="22544"/>
    <cellStyle name="Neutral 6" xfId="1366"/>
    <cellStyle name="Neutral 6 2" xfId="5507"/>
    <cellStyle name="Neutral 7" xfId="1360"/>
    <cellStyle name="Neutral 7 2" xfId="5508"/>
    <cellStyle name="Neutral 8" xfId="5509"/>
    <cellStyle name="Neutral 9" xfId="5510"/>
    <cellStyle name="New Markets operations Indicators" xfId="1367"/>
    <cellStyle name="New Times Roman" xfId="1368"/>
    <cellStyle name="New Times Roman 2" xfId="1369"/>
    <cellStyle name="New Times Roman 3" xfId="1370"/>
    <cellStyle name="New Times Roman 4" xfId="1371"/>
    <cellStyle name="Nom Responsable" xfId="2777"/>
    <cellStyle name="Normal" xfId="0" builtinId="0"/>
    <cellStyle name="Normal - Style1" xfId="1372"/>
    <cellStyle name="Normal - Style1 10" xfId="2444"/>
    <cellStyle name="Normal - Style1 11" xfId="2445"/>
    <cellStyle name="Normal - Style1 12" xfId="2446"/>
    <cellStyle name="Normal - Style1 13" xfId="2447"/>
    <cellStyle name="Normal - Style1 14" xfId="2448"/>
    <cellStyle name="Normal - Style1 15" xfId="2449"/>
    <cellStyle name="Normal - Style1 16" xfId="2450"/>
    <cellStyle name="Normal - Style1 17" xfId="2451"/>
    <cellStyle name="Normal - Style1 18" xfId="2452"/>
    <cellStyle name="Normal - Style1 19" xfId="2453"/>
    <cellStyle name="Normal - Style1 2" xfId="1373"/>
    <cellStyle name="Normal - Style1 2 2" xfId="1374"/>
    <cellStyle name="Normal - Style1 2 3" xfId="1375"/>
    <cellStyle name="Normal - Style1 2 4" xfId="1376"/>
    <cellStyle name="Normal - Style1 2 4 2" xfId="22546"/>
    <cellStyle name="Normal - Style1 20" xfId="5511"/>
    <cellStyle name="Normal - Style1 21" xfId="5512"/>
    <cellStyle name="Normal - Style1 21 2" xfId="22547"/>
    <cellStyle name="Normal - Style1 22" xfId="5513"/>
    <cellStyle name="Normal - Style1 23" xfId="22545"/>
    <cellStyle name="Normal - Style1 3" xfId="1377"/>
    <cellStyle name="Normal - Style1 3 2" xfId="1378"/>
    <cellStyle name="Normal - Style1 4" xfId="1379"/>
    <cellStyle name="Normal - Style1 4 2" xfId="2454"/>
    <cellStyle name="Normal - Style1 5" xfId="1380"/>
    <cellStyle name="Normal - Style1 6" xfId="1381"/>
    <cellStyle name="Normal - Style1 6 2" xfId="2455"/>
    <cellStyle name="Normal - Style1 7" xfId="2456"/>
    <cellStyle name="Normal - Style1 8" xfId="2457"/>
    <cellStyle name="Normal - Style1 9" xfId="2458"/>
    <cellStyle name="Normal - Style1_5.2" xfId="5514"/>
    <cellStyle name="Normal - Style2" xfId="5515"/>
    <cellStyle name="Normal - Style3" xfId="5516"/>
    <cellStyle name="Normal - Style4" xfId="5517"/>
    <cellStyle name="Normal - Style5" xfId="5518"/>
    <cellStyle name="Normal - Style6" xfId="5519"/>
    <cellStyle name="Normal - Style7" xfId="5520"/>
    <cellStyle name="Normal - Style8" xfId="5521"/>
    <cellStyle name="Normal 1" xfId="1382"/>
    <cellStyle name="Normal 10" xfId="58"/>
    <cellStyle name="Normal 10 10" xfId="7833"/>
    <cellStyle name="Normal 10 10 2" xfId="22549"/>
    <cellStyle name="Normal 10 11" xfId="8077"/>
    <cellStyle name="Normal 10 12" xfId="8502"/>
    <cellStyle name="Normal 10 13" xfId="22548"/>
    <cellStyle name="Normal 10 2" xfId="79"/>
    <cellStyle name="Normal 10 2 10" xfId="22551"/>
    <cellStyle name="Normal 10 2 11" xfId="22550"/>
    <cellStyle name="Normal 10 2 2" xfId="1385"/>
    <cellStyle name="Normal 10 2 2 2" xfId="5522"/>
    <cellStyle name="Normal 10 2 2 2 2" xfId="22554"/>
    <cellStyle name="Normal 10 2 2 2 2 2" xfId="22555"/>
    <cellStyle name="Normal 10 2 2 2 2 2 2" xfId="22556"/>
    <cellStyle name="Normal 10 2 2 2 2 3" xfId="22557"/>
    <cellStyle name="Normal 10 2 2 2 3" xfId="22558"/>
    <cellStyle name="Normal 10 2 2 2 3 2" xfId="22559"/>
    <cellStyle name="Normal 10 2 2 2 4" xfId="22560"/>
    <cellStyle name="Normal 10 2 2 2 5" xfId="22561"/>
    <cellStyle name="Normal 10 2 2 2 6" xfId="22553"/>
    <cellStyle name="Normal 10 2 2 3" xfId="22562"/>
    <cellStyle name="Normal 10 2 2 3 2" xfId="22563"/>
    <cellStyle name="Normal 10 2 2 3 2 2" xfId="22564"/>
    <cellStyle name="Normal 10 2 2 3 2 2 2" xfId="22565"/>
    <cellStyle name="Normal 10 2 2 3 2 3" xfId="22566"/>
    <cellStyle name="Normal 10 2 2 3 3" xfId="22567"/>
    <cellStyle name="Normal 10 2 2 3 3 2" xfId="22568"/>
    <cellStyle name="Normal 10 2 2 3 4" xfId="22569"/>
    <cellStyle name="Normal 10 2 2 4" xfId="22570"/>
    <cellStyle name="Normal 10 2 2 4 2" xfId="22571"/>
    <cellStyle name="Normal 10 2 2 4 2 2" xfId="22572"/>
    <cellStyle name="Normal 10 2 2 4 3" xfId="22573"/>
    <cellStyle name="Normal 10 2 2 5" xfId="22574"/>
    <cellStyle name="Normal 10 2 2 5 2" xfId="22575"/>
    <cellStyle name="Normal 10 2 2 5 2 2" xfId="22576"/>
    <cellStyle name="Normal 10 2 2 5 3" xfId="22577"/>
    <cellStyle name="Normal 10 2 2 6" xfId="22578"/>
    <cellStyle name="Normal 10 2 2 6 2" xfId="22579"/>
    <cellStyle name="Normal 10 2 2 7" xfId="22580"/>
    <cellStyle name="Normal 10 2 2 7 2" xfId="22581"/>
    <cellStyle name="Normal 10 2 2 8" xfId="22582"/>
    <cellStyle name="Normal 10 2 2 9" xfId="22552"/>
    <cellStyle name="Normal 10 2 3" xfId="1386"/>
    <cellStyle name="Normal 10 2 3 2" xfId="22584"/>
    <cellStyle name="Normal 10 2 3 2 2" xfId="22585"/>
    <cellStyle name="Normal 10 2 3 2 2 2" xfId="22586"/>
    <cellStyle name="Normal 10 2 3 2 2 2 2" xfId="22587"/>
    <cellStyle name="Normal 10 2 3 2 2 3" xfId="22588"/>
    <cellStyle name="Normal 10 2 3 2 3" xfId="22589"/>
    <cellStyle name="Normal 10 2 3 2 3 2" xfId="22590"/>
    <cellStyle name="Normal 10 2 3 2 4" xfId="22591"/>
    <cellStyle name="Normal 10 2 3 2 5" xfId="22592"/>
    <cellStyle name="Normal 10 2 3 3" xfId="22593"/>
    <cellStyle name="Normal 10 2 3 3 2" xfId="22594"/>
    <cellStyle name="Normal 10 2 3 3 2 2" xfId="22595"/>
    <cellStyle name="Normal 10 2 3 3 2 2 2" xfId="22596"/>
    <cellStyle name="Normal 10 2 3 3 2 3" xfId="22597"/>
    <cellStyle name="Normal 10 2 3 3 3" xfId="22598"/>
    <cellStyle name="Normal 10 2 3 3 3 2" xfId="22599"/>
    <cellStyle name="Normal 10 2 3 3 4" xfId="22600"/>
    <cellStyle name="Normal 10 2 3 3 5" xfId="22601"/>
    <cellStyle name="Normal 10 2 3 4" xfId="22602"/>
    <cellStyle name="Normal 10 2 3 4 2" xfId="22603"/>
    <cellStyle name="Normal 10 2 3 4 2 2" xfId="22604"/>
    <cellStyle name="Normal 10 2 3 4 3" xfId="22605"/>
    <cellStyle name="Normal 10 2 3 5" xfId="22606"/>
    <cellStyle name="Normal 10 2 3 5 2" xfId="22607"/>
    <cellStyle name="Normal 10 2 3 5 2 2" xfId="22608"/>
    <cellStyle name="Normal 10 2 3 5 3" xfId="22609"/>
    <cellStyle name="Normal 10 2 3 6" xfId="22610"/>
    <cellStyle name="Normal 10 2 3 6 2" xfId="22611"/>
    <cellStyle name="Normal 10 2 3 7" xfId="22612"/>
    <cellStyle name="Normal 10 2 3 8" xfId="22613"/>
    <cellStyle name="Normal 10 2 3 9" xfId="22583"/>
    <cellStyle name="Normal 10 2 4" xfId="3128"/>
    <cellStyle name="Normal 10 2 4 2" xfId="22615"/>
    <cellStyle name="Normal 10 2 4 2 2" xfId="22616"/>
    <cellStyle name="Normal 10 2 4 2 2 2" xfId="22617"/>
    <cellStyle name="Normal 10 2 4 2 2 2 2" xfId="22618"/>
    <cellStyle name="Normal 10 2 4 2 2 3" xfId="22619"/>
    <cellStyle name="Normal 10 2 4 2 3" xfId="22620"/>
    <cellStyle name="Normal 10 2 4 2 3 2" xfId="22621"/>
    <cellStyle name="Normal 10 2 4 2 4" xfId="22622"/>
    <cellStyle name="Normal 10 2 4 2 5" xfId="22623"/>
    <cellStyle name="Normal 10 2 4 3" xfId="22624"/>
    <cellStyle name="Normal 10 2 4 3 2" xfId="22625"/>
    <cellStyle name="Normal 10 2 4 3 2 2" xfId="22626"/>
    <cellStyle name="Normal 10 2 4 3 2 2 2" xfId="22627"/>
    <cellStyle name="Normal 10 2 4 3 2 3" xfId="22628"/>
    <cellStyle name="Normal 10 2 4 3 3" xfId="22629"/>
    <cellStyle name="Normal 10 2 4 3 3 2" xfId="22630"/>
    <cellStyle name="Normal 10 2 4 3 4" xfId="22631"/>
    <cellStyle name="Normal 10 2 4 4" xfId="22632"/>
    <cellStyle name="Normal 10 2 4 4 2" xfId="22633"/>
    <cellStyle name="Normal 10 2 4 4 2 2" xfId="22634"/>
    <cellStyle name="Normal 10 2 4 4 3" xfId="22635"/>
    <cellStyle name="Normal 10 2 4 5" xfId="22636"/>
    <cellStyle name="Normal 10 2 4 5 2" xfId="22637"/>
    <cellStyle name="Normal 10 2 4 5 2 2" xfId="22638"/>
    <cellStyle name="Normal 10 2 4 5 3" xfId="22639"/>
    <cellStyle name="Normal 10 2 4 6" xfId="22640"/>
    <cellStyle name="Normal 10 2 4 6 2" xfId="22641"/>
    <cellStyle name="Normal 10 2 4 7" xfId="22642"/>
    <cellStyle name="Normal 10 2 4 8" xfId="22643"/>
    <cellStyle name="Normal 10 2 4 9" xfId="22614"/>
    <cellStyle name="Normal 10 2 5" xfId="1384"/>
    <cellStyle name="Normal 10 2 5 2" xfId="22645"/>
    <cellStyle name="Normal 10 2 5 2 2" xfId="22646"/>
    <cellStyle name="Normal 10 2 5 2 2 2" xfId="22647"/>
    <cellStyle name="Normal 10 2 5 2 2 2 2" xfId="22648"/>
    <cellStyle name="Normal 10 2 5 2 2 3" xfId="22649"/>
    <cellStyle name="Normal 10 2 5 2 3" xfId="22650"/>
    <cellStyle name="Normal 10 2 5 2 3 2" xfId="22651"/>
    <cellStyle name="Normal 10 2 5 2 4" xfId="22652"/>
    <cellStyle name="Normal 10 2 5 3" xfId="22653"/>
    <cellStyle name="Normal 10 2 5 3 2" xfId="22654"/>
    <cellStyle name="Normal 10 2 5 3 2 2" xfId="22655"/>
    <cellStyle name="Normal 10 2 5 3 3" xfId="22656"/>
    <cellStyle name="Normal 10 2 5 4" xfId="22657"/>
    <cellStyle name="Normal 10 2 5 4 2" xfId="22658"/>
    <cellStyle name="Normal 10 2 5 4 2 2" xfId="22659"/>
    <cellStyle name="Normal 10 2 5 4 3" xfId="22660"/>
    <cellStyle name="Normal 10 2 5 5" xfId="22661"/>
    <cellStyle name="Normal 10 2 5 5 2" xfId="22662"/>
    <cellStyle name="Normal 10 2 5 6" xfId="22663"/>
    <cellStyle name="Normal 10 2 5 7" xfId="22664"/>
    <cellStyle name="Normal 10 2 5 8" xfId="22644"/>
    <cellStyle name="Normal 10 2 6" xfId="22665"/>
    <cellStyle name="Normal 10 2 6 2" xfId="22666"/>
    <cellStyle name="Normal 10 2 6 2 2" xfId="22667"/>
    <cellStyle name="Normal 10 2 6 2 2 2" xfId="22668"/>
    <cellStyle name="Normal 10 2 6 2 3" xfId="22669"/>
    <cellStyle name="Normal 10 2 6 3" xfId="22670"/>
    <cellStyle name="Normal 10 2 6 3 2" xfId="22671"/>
    <cellStyle name="Normal 10 2 6 4" xfId="22672"/>
    <cellStyle name="Normal 10 2 6 5" xfId="22673"/>
    <cellStyle name="Normal 10 2 7" xfId="22674"/>
    <cellStyle name="Normal 10 2 7 2" xfId="22675"/>
    <cellStyle name="Normal 10 2 7 2 2" xfId="22676"/>
    <cellStyle name="Normal 10 2 7 3" xfId="22677"/>
    <cellStyle name="Normal 10 2 8" xfId="22678"/>
    <cellStyle name="Normal 10 2 8 2" xfId="22679"/>
    <cellStyle name="Normal 10 2 8 2 2" xfId="22680"/>
    <cellStyle name="Normal 10 2 8 3" xfId="22681"/>
    <cellStyle name="Normal 10 2 9" xfId="22682"/>
    <cellStyle name="Normal 10 3" xfId="87"/>
    <cellStyle name="Normal 10 3 2" xfId="1388"/>
    <cellStyle name="Normal 10 3 2 2" xfId="5523"/>
    <cellStyle name="Normal 10 3 2 3" xfId="8078"/>
    <cellStyle name="Normal 10 3 2 4" xfId="22683"/>
    <cellStyle name="Normal 10 3 3" xfId="1387"/>
    <cellStyle name="Normal 10 3 3 2" xfId="22684"/>
    <cellStyle name="Normal 10 3 4" xfId="22685"/>
    <cellStyle name="Normal 10 4" xfId="112"/>
    <cellStyle name="Normal 10 4 2" xfId="1389"/>
    <cellStyle name="Normal 10 4 2 2" xfId="22687"/>
    <cellStyle name="Normal 10 4 2 2 2" xfId="22688"/>
    <cellStyle name="Normal 10 4 2 2 2 2" xfId="22689"/>
    <cellStyle name="Normal 10 4 2 2 3" xfId="22690"/>
    <cellStyle name="Normal 10 4 2 3" xfId="22691"/>
    <cellStyle name="Normal 10 4 2 3 2" xfId="22692"/>
    <cellStyle name="Normal 10 4 2 4" xfId="22693"/>
    <cellStyle name="Normal 10 4 3" xfId="5524"/>
    <cellStyle name="Normal 10 4 3 2" xfId="22695"/>
    <cellStyle name="Normal 10 4 3 2 2" xfId="22696"/>
    <cellStyle name="Normal 10 4 3 2 2 2" xfId="22697"/>
    <cellStyle name="Normal 10 4 3 2 3" xfId="22698"/>
    <cellStyle name="Normal 10 4 3 3" xfId="22699"/>
    <cellStyle name="Normal 10 4 3 3 2" xfId="22700"/>
    <cellStyle name="Normal 10 4 3 4" xfId="22701"/>
    <cellStyle name="Normal 10 4 3 5" xfId="22694"/>
    <cellStyle name="Normal 10 4 4" xfId="22702"/>
    <cellStyle name="Normal 10 4 4 2" xfId="22703"/>
    <cellStyle name="Normal 10 4 4 2 2" xfId="22704"/>
    <cellStyle name="Normal 10 4 4 3" xfId="22705"/>
    <cellStyle name="Normal 10 4 5" xfId="22706"/>
    <cellStyle name="Normal 10 4 5 2" xfId="22707"/>
    <cellStyle name="Normal 10 4 5 2 2" xfId="22708"/>
    <cellStyle name="Normal 10 4 5 3" xfId="22709"/>
    <cellStyle name="Normal 10 4 6" xfId="22710"/>
    <cellStyle name="Normal 10 4 6 2" xfId="22711"/>
    <cellStyle name="Normal 10 4 7" xfId="22712"/>
    <cellStyle name="Normal 10 4 8" xfId="22686"/>
    <cellStyle name="Normal 10 5" xfId="1390"/>
    <cellStyle name="Normal 10 5 2" xfId="5525"/>
    <cellStyle name="Normal 10 5 2 2" xfId="22715"/>
    <cellStyle name="Normal 10 5 2 2 2" xfId="22716"/>
    <cellStyle name="Normal 10 5 2 2 2 2" xfId="22717"/>
    <cellStyle name="Normal 10 5 2 2 3" xfId="22718"/>
    <cellStyle name="Normal 10 5 2 3" xfId="22719"/>
    <cellStyle name="Normal 10 5 2 3 2" xfId="22720"/>
    <cellStyle name="Normal 10 5 2 4" xfId="22721"/>
    <cellStyle name="Normal 10 5 2 5" xfId="22722"/>
    <cellStyle name="Normal 10 5 2 6" xfId="22714"/>
    <cellStyle name="Normal 10 5 3" xfId="8079"/>
    <cellStyle name="Normal 10 5 3 2" xfId="22724"/>
    <cellStyle name="Normal 10 5 3 2 2" xfId="22725"/>
    <cellStyle name="Normal 10 5 3 2 2 2" xfId="22726"/>
    <cellStyle name="Normal 10 5 3 2 3" xfId="22727"/>
    <cellStyle name="Normal 10 5 3 3" xfId="22728"/>
    <cellStyle name="Normal 10 5 3 3 2" xfId="22729"/>
    <cellStyle name="Normal 10 5 3 4" xfId="22730"/>
    <cellStyle name="Normal 10 5 3 5" xfId="22723"/>
    <cellStyle name="Normal 10 5 4" xfId="22731"/>
    <cellStyle name="Normal 10 5 4 2" xfId="22732"/>
    <cellStyle name="Normal 10 5 4 2 2" xfId="22733"/>
    <cellStyle name="Normal 10 5 4 3" xfId="22734"/>
    <cellStyle name="Normal 10 5 5" xfId="22735"/>
    <cellStyle name="Normal 10 5 5 2" xfId="22736"/>
    <cellStyle name="Normal 10 5 5 2 2" xfId="22737"/>
    <cellStyle name="Normal 10 5 5 3" xfId="22738"/>
    <cellStyle name="Normal 10 5 6" xfId="22739"/>
    <cellStyle name="Normal 10 5 6 2" xfId="22740"/>
    <cellStyle name="Normal 10 5 7" xfId="22741"/>
    <cellStyle name="Normal 10 5 8" xfId="22713"/>
    <cellStyle name="Normal 10 6" xfId="1391"/>
    <cellStyle name="Normal 10 6 2" xfId="5526"/>
    <cellStyle name="Normal 10 6 3" xfId="22742"/>
    <cellStyle name="Normal 10 65" xfId="40422"/>
    <cellStyle name="Normal 10 7" xfId="1392"/>
    <cellStyle name="Normal 10 7 2" xfId="5527"/>
    <cellStyle name="Normal 10 8" xfId="5528"/>
    <cellStyle name="Normal 10 8 2" xfId="5529"/>
    <cellStyle name="Normal 10 8 2 2" xfId="22745"/>
    <cellStyle name="Normal 10 8 2 2 2" xfId="22746"/>
    <cellStyle name="Normal 10 8 2 3" xfId="22747"/>
    <cellStyle name="Normal 10 8 2 4" xfId="22744"/>
    <cellStyle name="Normal 10 8 3" xfId="22748"/>
    <cellStyle name="Normal 10 8 3 2" xfId="22749"/>
    <cellStyle name="Normal 10 8 3 2 2" xfId="22750"/>
    <cellStyle name="Normal 10 8 3 3" xfId="22751"/>
    <cellStyle name="Normal 10 8 4" xfId="22752"/>
    <cellStyle name="Normal 10 8 4 2" xfId="22753"/>
    <cellStyle name="Normal 10 8 5" xfId="22754"/>
    <cellStyle name="Normal 10 8 6" xfId="22755"/>
    <cellStyle name="Normal 10 8 7" xfId="22743"/>
    <cellStyle name="Normal 10 9" xfId="5530"/>
    <cellStyle name="Normal 10 9 2" xfId="5531"/>
    <cellStyle name="Normal 10 9 3" xfId="22756"/>
    <cellStyle name="Normal 100" xfId="5532"/>
    <cellStyle name="Normal 101" xfId="5533"/>
    <cellStyle name="Normal 102" xfId="5534"/>
    <cellStyle name="Normal 103" xfId="5535"/>
    <cellStyle name="Normal 104" xfId="5536"/>
    <cellStyle name="Normal 105" xfId="5537"/>
    <cellStyle name="Normal 106" xfId="5538"/>
    <cellStyle name="Normal 107" xfId="5539"/>
    <cellStyle name="Normal 108" xfId="5540"/>
    <cellStyle name="Normal 109" xfId="5541"/>
    <cellStyle name="Normal 11" xfId="1393"/>
    <cellStyle name="Normal 11 2" xfId="1394"/>
    <cellStyle name="Normal 11 2 2" xfId="1395"/>
    <cellStyle name="Normal 11 2 2 2" xfId="22757"/>
    <cellStyle name="Normal 11 2 2 2 2" xfId="22758"/>
    <cellStyle name="Normal 11 2 2 2 2 2" xfId="22759"/>
    <cellStyle name="Normal 11 2 2 2 3" xfId="22760"/>
    <cellStyle name="Normal 11 2 2 2 4" xfId="22761"/>
    <cellStyle name="Normal 11 2 2 3" xfId="22762"/>
    <cellStyle name="Normal 11 2 2 3 2" xfId="22763"/>
    <cellStyle name="Normal 11 2 2 3 2 2" xfId="22764"/>
    <cellStyle name="Normal 11 2 2 3 3" xfId="22765"/>
    <cellStyle name="Normal 11 2 2 3 4" xfId="22766"/>
    <cellStyle name="Normal 11 2 2 4" xfId="22767"/>
    <cellStyle name="Normal 11 2 2 4 2" xfId="22768"/>
    <cellStyle name="Normal 11 2 2 5" xfId="22769"/>
    <cellStyle name="Normal 11 2 3" xfId="3129"/>
    <cellStyle name="Normal 11 2 3 2" xfId="8483"/>
    <cellStyle name="Normal 11 2 3 2 2" xfId="22772"/>
    <cellStyle name="Normal 11 2 3 2 2 2" xfId="22773"/>
    <cellStyle name="Normal 11 2 3 2 2 2 2" xfId="22774"/>
    <cellStyle name="Normal 11 2 3 2 2 3" xfId="22775"/>
    <cellStyle name="Normal 11 2 3 2 2 4" xfId="22776"/>
    <cellStyle name="Normal 11 2 3 2 3" xfId="22777"/>
    <cellStyle name="Normal 11 2 3 2 3 2" xfId="22778"/>
    <cellStyle name="Normal 11 2 3 2 4" xfId="22779"/>
    <cellStyle name="Normal 11 2 3 2 5" xfId="22780"/>
    <cellStyle name="Normal 11 2 3 2 6" xfId="22771"/>
    <cellStyle name="Normal 11 2 3 3" xfId="22781"/>
    <cellStyle name="Normal 11 2 3 3 2" xfId="22782"/>
    <cellStyle name="Normal 11 2 3 3 2 2" xfId="22783"/>
    <cellStyle name="Normal 11 2 3 3 3" xfId="22784"/>
    <cellStyle name="Normal 11 2 3 3 4" xfId="22785"/>
    <cellStyle name="Normal 11 2 3 4" xfId="22786"/>
    <cellStyle name="Normal 11 2 3 4 2" xfId="22787"/>
    <cellStyle name="Normal 11 2 3 4 2 2" xfId="22788"/>
    <cellStyle name="Normal 11 2 3 4 3" xfId="22789"/>
    <cellStyle name="Normal 11 2 3 4 4" xfId="22790"/>
    <cellStyle name="Normal 11 2 3 5" xfId="22791"/>
    <cellStyle name="Normal 11 2 3 5 2" xfId="22792"/>
    <cellStyle name="Normal 11 2 3 6" xfId="22793"/>
    <cellStyle name="Normal 11 2 3 7" xfId="22770"/>
    <cellStyle name="Normal 11 2 4" xfId="22794"/>
    <cellStyle name="Normal 11 2 4 2" xfId="22795"/>
    <cellStyle name="Normal 11 2 4 2 2" xfId="22796"/>
    <cellStyle name="Normal 11 2 4 2 2 2" xfId="22797"/>
    <cellStyle name="Normal 11 2 4 2 3" xfId="22798"/>
    <cellStyle name="Normal 11 2 4 2 4" xfId="22799"/>
    <cellStyle name="Normal 11 2 4 3" xfId="22800"/>
    <cellStyle name="Normal 11 2 4 3 2" xfId="22801"/>
    <cellStyle name="Normal 11 2 4 3 2 2" xfId="22802"/>
    <cellStyle name="Normal 11 2 4 3 3" xfId="22803"/>
    <cellStyle name="Normal 11 2 4 3 4" xfId="22804"/>
    <cellStyle name="Normal 11 2 4 4" xfId="22805"/>
    <cellStyle name="Normal 11 2 4 4 2" xfId="22806"/>
    <cellStyle name="Normal 11 2 4 5" xfId="22807"/>
    <cellStyle name="Normal 11 2 4 6" xfId="22808"/>
    <cellStyle name="Normal 11 2 5" xfId="22809"/>
    <cellStyle name="Normal 11 2 5 2" xfId="22810"/>
    <cellStyle name="Normal 11 2 5 2 2" xfId="22811"/>
    <cellStyle name="Normal 11 2 5 3" xfId="22812"/>
    <cellStyle name="Normal 11 2 5 4" xfId="22813"/>
    <cellStyle name="Normal 11 2 6" xfId="22814"/>
    <cellStyle name="Normal 11 2 6 2" xfId="22815"/>
    <cellStyle name="Normal 11 2 6 2 2" xfId="22816"/>
    <cellStyle name="Normal 11 2 6 3" xfId="22817"/>
    <cellStyle name="Normal 11 2 6 4" xfId="22818"/>
    <cellStyle name="Normal 11 2 7" xfId="22819"/>
    <cellStyle name="Normal 11 2 7 2" xfId="22820"/>
    <cellStyle name="Normal 11 2 7 2 2" xfId="22821"/>
    <cellStyle name="Normal 11 2 7 3" xfId="22822"/>
    <cellStyle name="Normal 11 2 7 4" xfId="22823"/>
    <cellStyle name="Normal 11 2 8" xfId="22824"/>
    <cellStyle name="Normal 11 3" xfId="1396"/>
    <cellStyle name="Normal 11 3 2" xfId="2993"/>
    <cellStyle name="Normal 11 3 2 2" xfId="22826"/>
    <cellStyle name="Normal 11 3 2 2 2" xfId="22827"/>
    <cellStyle name="Normal 11 3 2 2 2 2" xfId="22828"/>
    <cellStyle name="Normal 11 3 2 2 3" xfId="22829"/>
    <cellStyle name="Normal 11 3 2 2 4" xfId="22830"/>
    <cellStyle name="Normal 11 3 2 3" xfId="22831"/>
    <cellStyle name="Normal 11 3 2 3 2" xfId="22832"/>
    <cellStyle name="Normal 11 3 2 4" xfId="22833"/>
    <cellStyle name="Normal 11 3 2 5" xfId="22834"/>
    <cellStyle name="Normal 11 3 2 6" xfId="22825"/>
    <cellStyle name="Normal 11 3 3" xfId="22835"/>
    <cellStyle name="Normal 11 3 3 2" xfId="22836"/>
    <cellStyle name="Normal 11 3 3 2 2" xfId="22837"/>
    <cellStyle name="Normal 11 3 3 3" xfId="22838"/>
    <cellStyle name="Normal 11 3 3 4" xfId="22839"/>
    <cellStyle name="Normal 11 3 4" xfId="22840"/>
    <cellStyle name="Normal 11 3 4 2" xfId="22841"/>
    <cellStyle name="Normal 11 3 4 2 2" xfId="22842"/>
    <cellStyle name="Normal 11 3 4 3" xfId="22843"/>
    <cellStyle name="Normal 11 3 4 4" xfId="22844"/>
    <cellStyle name="Normal 11 3 5" xfId="22845"/>
    <cellStyle name="Normal 11 3 6" xfId="8519"/>
    <cellStyle name="Normal 11 4" xfId="1397"/>
    <cellStyle name="Normal 11 4 2" xfId="1398"/>
    <cellStyle name="Normal 11 4 2 2" xfId="22848"/>
    <cellStyle name="Normal 11 4 2 2 2" xfId="22849"/>
    <cellStyle name="Normal 11 4 2 3" xfId="22850"/>
    <cellStyle name="Normal 11 4 2 4" xfId="22851"/>
    <cellStyle name="Normal 11 4 2 5" xfId="22847"/>
    <cellStyle name="Normal 11 4 3" xfId="22852"/>
    <cellStyle name="Normal 11 4 3 2" xfId="22853"/>
    <cellStyle name="Normal 11 4 3 2 2" xfId="22854"/>
    <cellStyle name="Normal 11 4 3 3" xfId="22855"/>
    <cellStyle name="Normal 11 4 3 4" xfId="22856"/>
    <cellStyle name="Normal 11 4 4" xfId="22857"/>
    <cellStyle name="Normal 11 4 5" xfId="22846"/>
    <cellStyle name="Normal 11 5" xfId="1399"/>
    <cellStyle name="Normal 11 5 2" xfId="8080"/>
    <cellStyle name="Normal 11 5 2 2" xfId="22860"/>
    <cellStyle name="Normal 11 5 2 2 2" xfId="22861"/>
    <cellStyle name="Normal 11 5 2 3" xfId="22862"/>
    <cellStyle name="Normal 11 5 2 4" xfId="22863"/>
    <cellStyle name="Normal 11 5 2 5" xfId="22859"/>
    <cellStyle name="Normal 11 5 3" xfId="22864"/>
    <cellStyle name="Normal 11 5 3 2" xfId="22865"/>
    <cellStyle name="Normal 11 5 3 2 2" xfId="22866"/>
    <cellStyle name="Normal 11 5 3 3" xfId="22867"/>
    <cellStyle name="Normal 11 5 3 4" xfId="22868"/>
    <cellStyle name="Normal 11 5 4" xfId="22869"/>
    <cellStyle name="Normal 11 5 5" xfId="22870"/>
    <cellStyle name="Normal 11 5 6" xfId="22871"/>
    <cellStyle name="Normal 11 5 7" xfId="22858"/>
    <cellStyle name="Normal 11 6" xfId="1400"/>
    <cellStyle name="Normal 11 6 2" xfId="22873"/>
    <cellStyle name="Normal 11 6 2 2" xfId="22874"/>
    <cellStyle name="Normal 11 6 2 3" xfId="22875"/>
    <cellStyle name="Normal 11 6 3" xfId="22876"/>
    <cellStyle name="Normal 11 6 4" xfId="22877"/>
    <cellStyle name="Normal 11 6 5" xfId="22878"/>
    <cellStyle name="Normal 11 6 6" xfId="22872"/>
    <cellStyle name="Normal 11 7" xfId="1401"/>
    <cellStyle name="Normal 11 7 2" xfId="22880"/>
    <cellStyle name="Normal 11 7 2 2" xfId="22881"/>
    <cellStyle name="Normal 11 7 3" xfId="22882"/>
    <cellStyle name="Normal 11 7 4" xfId="22883"/>
    <cellStyle name="Normal 11 7 5" xfId="22879"/>
    <cellStyle name="Normal 11 8" xfId="2778"/>
    <cellStyle name="Normal 11 8 2" xfId="22885"/>
    <cellStyle name="Normal 11 8 2 2" xfId="22886"/>
    <cellStyle name="Normal 11 8 3" xfId="22887"/>
    <cellStyle name="Normal 11 8 4" xfId="22888"/>
    <cellStyle name="Normal 11 8 5" xfId="22884"/>
    <cellStyle name="Normal 11 9" xfId="22889"/>
    <cellStyle name="Normal 11_Accounts 30 June 2011 (OLD)" xfId="22890"/>
    <cellStyle name="Normal 110" xfId="5542"/>
    <cellStyle name="Normal 111" xfId="68"/>
    <cellStyle name="Normal 111 2" xfId="1402"/>
    <cellStyle name="Normal 112" xfId="5543"/>
    <cellStyle name="Normal 113" xfId="5544"/>
    <cellStyle name="Normal 113 2" xfId="5545"/>
    <cellStyle name="Normal 113 2 2" xfId="5546"/>
    <cellStyle name="Normal 113 2 2 2" xfId="5547"/>
    <cellStyle name="Normal 113 2 3" xfId="5548"/>
    <cellStyle name="Normal 113 2 4" xfId="5549"/>
    <cellStyle name="Normal 113 3" xfId="5550"/>
    <cellStyle name="Normal 113 3 2" xfId="5551"/>
    <cellStyle name="Normal 113 4" xfId="5552"/>
    <cellStyle name="Normal 113 5" xfId="5553"/>
    <cellStyle name="Normal 114" xfId="5554"/>
    <cellStyle name="Normal 114 2" xfId="5555"/>
    <cellStyle name="Normal 114 2 2" xfId="5556"/>
    <cellStyle name="Normal 114 2 2 2" xfId="5557"/>
    <cellStyle name="Normal 114 2 3" xfId="5558"/>
    <cellStyle name="Normal 114 2 4" xfId="5559"/>
    <cellStyle name="Normal 114 3" xfId="5560"/>
    <cellStyle name="Normal 114 3 2" xfId="5561"/>
    <cellStyle name="Normal 114 4" xfId="5562"/>
    <cellStyle name="Normal 114 5" xfId="5563"/>
    <cellStyle name="Normal 115" xfId="5564"/>
    <cellStyle name="Normal 115 2" xfId="5565"/>
    <cellStyle name="Normal 115 2 2" xfId="5566"/>
    <cellStyle name="Normal 115 2 2 2" xfId="5567"/>
    <cellStyle name="Normal 115 2 2 2 2" xfId="5568"/>
    <cellStyle name="Normal 115 2 2 3" xfId="5569"/>
    <cellStyle name="Normal 115 2 2 4" xfId="5570"/>
    <cellStyle name="Normal 115 2 3" xfId="5571"/>
    <cellStyle name="Normal 115 2 3 2" xfId="5572"/>
    <cellStyle name="Normal 115 2 4" xfId="5573"/>
    <cellStyle name="Normal 115 2 5" xfId="5574"/>
    <cellStyle name="Normal 115 2 6" xfId="40370"/>
    <cellStyle name="Normal 115 3" xfId="5575"/>
    <cellStyle name="Normal 115 3 2" xfId="5576"/>
    <cellStyle name="Normal 115 3 2 2" xfId="5577"/>
    <cellStyle name="Normal 115 3 3" xfId="5578"/>
    <cellStyle name="Normal 115 3 4" xfId="5579"/>
    <cellStyle name="Normal 115 4" xfId="5580"/>
    <cellStyle name="Normal 115 4 2" xfId="5581"/>
    <cellStyle name="Normal 115 5" xfId="5582"/>
    <cellStyle name="Normal 115 6" xfId="5583"/>
    <cellStyle name="Normal 115 7" xfId="40369"/>
    <cellStyle name="Normal 116" xfId="5584"/>
    <cellStyle name="Normal 116 2" xfId="5585"/>
    <cellStyle name="Normal 116 2 2" xfId="5586"/>
    <cellStyle name="Normal 116 2 2 2" xfId="5587"/>
    <cellStyle name="Normal 116 2 3" xfId="5588"/>
    <cellStyle name="Normal 116 2 4" xfId="5589"/>
    <cellStyle name="Normal 116 3" xfId="5590"/>
    <cellStyle name="Normal 116 3 2" xfId="5591"/>
    <cellStyle name="Normal 116 4" xfId="5592"/>
    <cellStyle name="Normal 116 5" xfId="5593"/>
    <cellStyle name="Normal 117" xfId="5594"/>
    <cellStyle name="Normal 117 2" xfId="5595"/>
    <cellStyle name="Normal 117 3" xfId="5596"/>
    <cellStyle name="Normal 117 3 2" xfId="5597"/>
    <cellStyle name="Normal 117 3 2 2" xfId="5598"/>
    <cellStyle name="Normal 117 3 3" xfId="5599"/>
    <cellStyle name="Normal 117 3 4" xfId="5600"/>
    <cellStyle name="Normal 117 4" xfId="5601"/>
    <cellStyle name="Normal 117 4 2" xfId="5602"/>
    <cellStyle name="Normal 117 5" xfId="5603"/>
    <cellStyle name="Normal 117 6" xfId="5604"/>
    <cellStyle name="Normal 118" xfId="5605"/>
    <cellStyle name="Normal 118 2" xfId="5606"/>
    <cellStyle name="Normal 118 2 2" xfId="5607"/>
    <cellStyle name="Normal 118 2 2 2" xfId="5608"/>
    <cellStyle name="Normal 118 2 3" xfId="5609"/>
    <cellStyle name="Normal 118 2 4" xfId="5610"/>
    <cellStyle name="Normal 118 3" xfId="5611"/>
    <cellStyle name="Normal 118 3 2" xfId="5612"/>
    <cellStyle name="Normal 118 4" xfId="5613"/>
    <cellStyle name="Normal 118 5" xfId="5614"/>
    <cellStyle name="Normal 119" xfId="5615"/>
    <cellStyle name="Normal 12" xfId="1403"/>
    <cellStyle name="Normal 12 10" xfId="5616"/>
    <cellStyle name="Normal 12 2" xfId="37"/>
    <cellStyle name="Normal 12 2 2" xfId="1405"/>
    <cellStyle name="Normal 12 2 2 2" xfId="22891"/>
    <cellStyle name="Normal 12 2 3" xfId="1404"/>
    <cellStyle name="Normal 12 3" xfId="1406"/>
    <cellStyle name="Normal 12 3 10" xfId="22893"/>
    <cellStyle name="Normal 12 3 11" xfId="22892"/>
    <cellStyle name="Normal 12 3 2" xfId="1407"/>
    <cellStyle name="Normal 12 3 2 2" xfId="5617"/>
    <cellStyle name="Normal 12 3 2 2 2" xfId="5618"/>
    <cellStyle name="Normal 12 3 2 2 2 2" xfId="22897"/>
    <cellStyle name="Normal 12 3 2 2 2 2 2" xfId="22898"/>
    <cellStyle name="Normal 12 3 2 2 2 3" xfId="22899"/>
    <cellStyle name="Normal 12 3 2 2 2 4" xfId="22896"/>
    <cellStyle name="Normal 12 3 2 2 3" xfId="22900"/>
    <cellStyle name="Normal 12 3 2 2 3 2" xfId="22901"/>
    <cellStyle name="Normal 12 3 2 2 4" xfId="22902"/>
    <cellStyle name="Normal 12 3 2 2 5" xfId="22903"/>
    <cellStyle name="Normal 12 3 2 2 6" xfId="22895"/>
    <cellStyle name="Normal 12 3 2 3" xfId="5619"/>
    <cellStyle name="Normal 12 3 2 3 2" xfId="22905"/>
    <cellStyle name="Normal 12 3 2 3 2 2" xfId="22906"/>
    <cellStyle name="Normal 12 3 2 3 2 2 2" xfId="22907"/>
    <cellStyle name="Normal 12 3 2 3 2 3" xfId="22908"/>
    <cellStyle name="Normal 12 3 2 3 3" xfId="22909"/>
    <cellStyle name="Normal 12 3 2 3 3 2" xfId="22910"/>
    <cellStyle name="Normal 12 3 2 3 4" xfId="22911"/>
    <cellStyle name="Normal 12 3 2 3 5" xfId="22904"/>
    <cellStyle name="Normal 12 3 2 4" xfId="5620"/>
    <cellStyle name="Normal 12 3 2 4 2" xfId="22913"/>
    <cellStyle name="Normal 12 3 2 4 2 2" xfId="22914"/>
    <cellStyle name="Normal 12 3 2 4 3" xfId="22915"/>
    <cellStyle name="Normal 12 3 2 4 4" xfId="22912"/>
    <cellStyle name="Normal 12 3 2 5" xfId="8081"/>
    <cellStyle name="Normal 12 3 2 5 2" xfId="22917"/>
    <cellStyle name="Normal 12 3 2 5 2 2" xfId="22918"/>
    <cellStyle name="Normal 12 3 2 5 3" xfId="22919"/>
    <cellStyle name="Normal 12 3 2 5 4" xfId="22916"/>
    <cellStyle name="Normal 12 3 2 6" xfId="22920"/>
    <cellStyle name="Normal 12 3 2 6 2" xfId="22921"/>
    <cellStyle name="Normal 12 3 2 7" xfId="22922"/>
    <cellStyle name="Normal 12 3 2 8" xfId="22923"/>
    <cellStyle name="Normal 12 3 2 9" xfId="22894"/>
    <cellStyle name="Normal 12 3 3" xfId="3130"/>
    <cellStyle name="Normal 12 3 3 2" xfId="5622"/>
    <cellStyle name="Normal 12 3 3 2 2" xfId="22926"/>
    <cellStyle name="Normal 12 3 3 2 2 2" xfId="22927"/>
    <cellStyle name="Normal 12 3 3 2 2 2 2" xfId="22928"/>
    <cellStyle name="Normal 12 3 3 2 2 3" xfId="22929"/>
    <cellStyle name="Normal 12 3 3 2 3" xfId="22930"/>
    <cellStyle name="Normal 12 3 3 2 3 2" xfId="22931"/>
    <cellStyle name="Normal 12 3 3 2 4" xfId="22932"/>
    <cellStyle name="Normal 12 3 3 2 5" xfId="22933"/>
    <cellStyle name="Normal 12 3 3 2 6" xfId="22925"/>
    <cellStyle name="Normal 12 3 3 3" xfId="5621"/>
    <cellStyle name="Normal 12 3 3 3 2" xfId="22935"/>
    <cellStyle name="Normal 12 3 3 3 2 2" xfId="22936"/>
    <cellStyle name="Normal 12 3 3 3 2 2 2" xfId="22937"/>
    <cellStyle name="Normal 12 3 3 3 2 3" xfId="22938"/>
    <cellStyle name="Normal 12 3 3 3 3" xfId="22939"/>
    <cellStyle name="Normal 12 3 3 3 3 2" xfId="22940"/>
    <cellStyle name="Normal 12 3 3 3 4" xfId="22941"/>
    <cellStyle name="Normal 12 3 3 3 5" xfId="22934"/>
    <cellStyle name="Normal 12 3 3 4" xfId="22942"/>
    <cellStyle name="Normal 12 3 3 4 2" xfId="22943"/>
    <cellStyle name="Normal 12 3 3 4 2 2" xfId="22944"/>
    <cellStyle name="Normal 12 3 3 4 3" xfId="22945"/>
    <cellStyle name="Normal 12 3 3 5" xfId="22946"/>
    <cellStyle name="Normal 12 3 3 5 2" xfId="22947"/>
    <cellStyle name="Normal 12 3 3 5 2 2" xfId="22948"/>
    <cellStyle name="Normal 12 3 3 5 3" xfId="22949"/>
    <cellStyle name="Normal 12 3 3 6" xfId="22950"/>
    <cellStyle name="Normal 12 3 3 6 2" xfId="22951"/>
    <cellStyle name="Normal 12 3 3 7" xfId="22952"/>
    <cellStyle name="Normal 12 3 3 8" xfId="22953"/>
    <cellStyle name="Normal 12 3 3 9" xfId="22924"/>
    <cellStyle name="Normal 12 3 4" xfId="5623"/>
    <cellStyle name="Normal 12 3 4 2" xfId="22955"/>
    <cellStyle name="Normal 12 3 4 2 2" xfId="22956"/>
    <cellStyle name="Normal 12 3 4 2 2 2" xfId="22957"/>
    <cellStyle name="Normal 12 3 4 2 2 2 2" xfId="22958"/>
    <cellStyle name="Normal 12 3 4 2 2 3" xfId="22959"/>
    <cellStyle name="Normal 12 3 4 2 3" xfId="22960"/>
    <cellStyle name="Normal 12 3 4 2 3 2" xfId="22961"/>
    <cellStyle name="Normal 12 3 4 2 4" xfId="22962"/>
    <cellStyle name="Normal 12 3 4 3" xfId="22963"/>
    <cellStyle name="Normal 12 3 4 3 2" xfId="22964"/>
    <cellStyle name="Normal 12 3 4 3 2 2" xfId="22965"/>
    <cellStyle name="Normal 12 3 4 3 3" xfId="22966"/>
    <cellStyle name="Normal 12 3 4 4" xfId="22967"/>
    <cellStyle name="Normal 12 3 4 4 2" xfId="22968"/>
    <cellStyle name="Normal 12 3 4 4 2 2" xfId="22969"/>
    <cellStyle name="Normal 12 3 4 4 3" xfId="22970"/>
    <cellStyle name="Normal 12 3 4 5" xfId="22971"/>
    <cellStyle name="Normal 12 3 4 5 2" xfId="22972"/>
    <cellStyle name="Normal 12 3 4 6" xfId="22973"/>
    <cellStyle name="Normal 12 3 4 7" xfId="22974"/>
    <cellStyle name="Normal 12 3 4 8" xfId="22954"/>
    <cellStyle name="Normal 12 3 5" xfId="5624"/>
    <cellStyle name="Normal 12 3 5 2" xfId="22976"/>
    <cellStyle name="Normal 12 3 5 2 2" xfId="22977"/>
    <cellStyle name="Normal 12 3 5 2 2 2" xfId="22978"/>
    <cellStyle name="Normal 12 3 5 2 3" xfId="22979"/>
    <cellStyle name="Normal 12 3 5 3" xfId="22980"/>
    <cellStyle name="Normal 12 3 5 3 2" xfId="22981"/>
    <cellStyle name="Normal 12 3 5 4" xfId="22982"/>
    <cellStyle name="Normal 12 3 5 5" xfId="22983"/>
    <cellStyle name="Normal 12 3 5 6" xfId="22975"/>
    <cellStyle name="Normal 12 3 6" xfId="22984"/>
    <cellStyle name="Normal 12 3 6 2" xfId="22985"/>
    <cellStyle name="Normal 12 3 6 2 2" xfId="22986"/>
    <cellStyle name="Normal 12 3 6 3" xfId="22987"/>
    <cellStyle name="Normal 12 3 7" xfId="22988"/>
    <cellStyle name="Normal 12 3 7 2" xfId="22989"/>
    <cellStyle name="Normal 12 3 7 2 2" xfId="22990"/>
    <cellStyle name="Normal 12 3 7 3" xfId="22991"/>
    <cellStyle name="Normal 12 3 8" xfId="22992"/>
    <cellStyle name="Normal 12 3 8 2" xfId="22993"/>
    <cellStyle name="Normal 12 3 9" xfId="22994"/>
    <cellStyle name="Normal 12 3 9 2" xfId="22995"/>
    <cellStyle name="Normal 12 4" xfId="1408"/>
    <cellStyle name="Normal 12 4 2" xfId="5626"/>
    <cellStyle name="Normal 12 4 2 2" xfId="5627"/>
    <cellStyle name="Normal 12 4 2 3" xfId="22997"/>
    <cellStyle name="Normal 12 4 3" xfId="5628"/>
    <cellStyle name="Normal 12 4 3 2" xfId="22998"/>
    <cellStyle name="Normal 12 4 4" xfId="5629"/>
    <cellStyle name="Normal 12 4 4 2" xfId="22999"/>
    <cellStyle name="Normal 12 4 5" xfId="5625"/>
    <cellStyle name="Normal 12 4 6" xfId="22996"/>
    <cellStyle name="Normal 12 5" xfId="1409"/>
    <cellStyle name="Normal 12 5 2" xfId="5630"/>
    <cellStyle name="Normal 12 5 2 2" xfId="23002"/>
    <cellStyle name="Normal 12 5 2 3" xfId="23001"/>
    <cellStyle name="Normal 12 5 3" xfId="8082"/>
    <cellStyle name="Normal 12 5 3 2" xfId="23003"/>
    <cellStyle name="Normal 12 5 4" xfId="23000"/>
    <cellStyle name="Normal 12 6" xfId="1410"/>
    <cellStyle name="Normal 12 6 2" xfId="5631"/>
    <cellStyle name="Normal 12 6 2 2" xfId="23005"/>
    <cellStyle name="Normal 12 6 3" xfId="23004"/>
    <cellStyle name="Normal 12 7" xfId="1411"/>
    <cellStyle name="Normal 12 7 2" xfId="5632"/>
    <cellStyle name="Normal 12 7 3" xfId="23006"/>
    <cellStyle name="Normal 12 8" xfId="1412"/>
    <cellStyle name="Normal 12 9" xfId="1413"/>
    <cellStyle name="Normal 12_ASMF Accounts - 30 September 2013" xfId="5633"/>
    <cellStyle name="Normal 120" xfId="5634"/>
    <cellStyle name="Normal 121" xfId="5635"/>
    <cellStyle name="Normal 121 2" xfId="5636"/>
    <cellStyle name="Normal 121 2 2" xfId="5637"/>
    <cellStyle name="Normal 121 2 2 2" xfId="5638"/>
    <cellStyle name="Normal 121 2 3" xfId="5639"/>
    <cellStyle name="Normal 121 2 4" xfId="5640"/>
    <cellStyle name="Normal 121 3" xfId="5641"/>
    <cellStyle name="Normal 121 3 2" xfId="5642"/>
    <cellStyle name="Normal 121 4" xfId="5643"/>
    <cellStyle name="Normal 121 5" xfId="5644"/>
    <cellStyle name="Normal 122" xfId="5645"/>
    <cellStyle name="Normal 122 2" xfId="5646"/>
    <cellStyle name="Normal 122 2 2" xfId="5647"/>
    <cellStyle name="Normal 122 2 2 2" xfId="5648"/>
    <cellStyle name="Normal 122 2 2 2 2" xfId="5649"/>
    <cellStyle name="Normal 122 2 2 3" xfId="5650"/>
    <cellStyle name="Normal 122 2 2 4" xfId="5651"/>
    <cellStyle name="Normal 122 2 3" xfId="5652"/>
    <cellStyle name="Normal 122 2 3 2" xfId="5653"/>
    <cellStyle name="Normal 122 2 4" xfId="5654"/>
    <cellStyle name="Normal 122 2 5" xfId="5655"/>
    <cellStyle name="Normal 123" xfId="5656"/>
    <cellStyle name="Normal 123 2" xfId="5657"/>
    <cellStyle name="Normal 123 2 2" xfId="5658"/>
    <cellStyle name="Normal 123 2 2 2" xfId="5659"/>
    <cellStyle name="Normal 123 2 3" xfId="5660"/>
    <cellStyle name="Normal 123 2 4" xfId="5661"/>
    <cellStyle name="Normal 123 3" xfId="5662"/>
    <cellStyle name="Normal 123 3 2" xfId="5663"/>
    <cellStyle name="Normal 123 4" xfId="5664"/>
    <cellStyle name="Normal 123 5" xfId="5665"/>
    <cellStyle name="Normal 124" xfId="3633"/>
    <cellStyle name="Normal 125" xfId="5666"/>
    <cellStyle name="Normal 125 2" xfId="5667"/>
    <cellStyle name="Normal 125 3" xfId="5668"/>
    <cellStyle name="Normal 126" xfId="5669"/>
    <cellStyle name="Normal 127" xfId="1414"/>
    <cellStyle name="Normal 127 2" xfId="5670"/>
    <cellStyle name="Normal 128" xfId="1415"/>
    <cellStyle name="Normal 128 2" xfId="5671"/>
    <cellStyle name="Normal 129" xfId="5672"/>
    <cellStyle name="Normal 13" xfId="59"/>
    <cellStyle name="Normal 13 10" xfId="23008"/>
    <cellStyle name="Normal 13 11" xfId="23007"/>
    <cellStyle name="Normal 13 2" xfId="1417"/>
    <cellStyle name="Normal 13 2 2" xfId="1418"/>
    <cellStyle name="Normal 13 2 2 2" xfId="23011"/>
    <cellStyle name="Normal 13 2 2 2 2" xfId="23012"/>
    <cellStyle name="Normal 13 2 2 2 2 2" xfId="23013"/>
    <cellStyle name="Normal 13 2 2 2 3" xfId="23014"/>
    <cellStyle name="Normal 13 2 2 2 4" xfId="23015"/>
    <cellStyle name="Normal 13 2 2 3" xfId="23016"/>
    <cellStyle name="Normal 13 2 2 3 2" xfId="23017"/>
    <cellStyle name="Normal 13 2 2 3 2 2" xfId="23018"/>
    <cellStyle name="Normal 13 2 2 3 3" xfId="23019"/>
    <cellStyle name="Normal 13 2 2 3 4" xfId="23020"/>
    <cellStyle name="Normal 13 2 2 4" xfId="23021"/>
    <cellStyle name="Normal 13 2 2 4 2" xfId="23022"/>
    <cellStyle name="Normal 13 2 2 5" xfId="23023"/>
    <cellStyle name="Normal 13 2 2 6" xfId="23024"/>
    <cellStyle name="Normal 13 2 2 7" xfId="23025"/>
    <cellStyle name="Normal 13 2 2 8" xfId="23010"/>
    <cellStyle name="Normal 13 2 3" xfId="5674"/>
    <cellStyle name="Normal 13 2 3 2" xfId="23027"/>
    <cellStyle name="Normal 13 2 3 2 2" xfId="23028"/>
    <cellStyle name="Normal 13 2 3 3" xfId="23029"/>
    <cellStyle name="Normal 13 2 3 4" xfId="23030"/>
    <cellStyle name="Normal 13 2 3 5" xfId="23026"/>
    <cellStyle name="Normal 13 2 4" xfId="23031"/>
    <cellStyle name="Normal 13 2 4 2" xfId="23032"/>
    <cellStyle name="Normal 13 2 4 2 2" xfId="23033"/>
    <cellStyle name="Normal 13 2 4 3" xfId="23034"/>
    <cellStyle name="Normal 13 2 4 4" xfId="23035"/>
    <cellStyle name="Normal 13 2 5" xfId="23036"/>
    <cellStyle name="Normal 13 2 6" xfId="23037"/>
    <cellStyle name="Normal 13 2 7" xfId="23009"/>
    <cellStyle name="Normal 13 2 8" xfId="40405"/>
    <cellStyle name="Normal 13 3" xfId="1419"/>
    <cellStyle name="Normal 13 3 2" xfId="3131"/>
    <cellStyle name="Normal 13 3 2 2" xfId="8484"/>
    <cellStyle name="Normal 13 3 2 2 2" xfId="23039"/>
    <cellStyle name="Normal 13 3 2 3" xfId="23038"/>
    <cellStyle name="Normal 13 3 3" xfId="5675"/>
    <cellStyle name="Normal 13 3 3 2" xfId="23041"/>
    <cellStyle name="Normal 13 3 3 2 2" xfId="23042"/>
    <cellStyle name="Normal 13 3 3 2 2 2" xfId="23043"/>
    <cellStyle name="Normal 13 3 3 2 2 2 2" xfId="23044"/>
    <cellStyle name="Normal 13 3 3 2 2 3" xfId="23045"/>
    <cellStyle name="Normal 13 3 3 2 3" xfId="23046"/>
    <cellStyle name="Normal 13 3 3 2 3 2" xfId="23047"/>
    <cellStyle name="Normal 13 3 3 2 4" xfId="23048"/>
    <cellStyle name="Normal 13 3 3 2 5" xfId="23049"/>
    <cellStyle name="Normal 13 3 3 3" xfId="23050"/>
    <cellStyle name="Normal 13 3 3 3 2" xfId="23051"/>
    <cellStyle name="Normal 13 3 3 3 2 2" xfId="23052"/>
    <cellStyle name="Normal 13 3 3 3 2 2 2" xfId="23053"/>
    <cellStyle name="Normal 13 3 3 3 2 3" xfId="23054"/>
    <cellStyle name="Normal 13 3 3 3 3" xfId="23055"/>
    <cellStyle name="Normal 13 3 3 3 3 2" xfId="23056"/>
    <cellStyle name="Normal 13 3 3 3 4" xfId="23057"/>
    <cellStyle name="Normal 13 3 3 4" xfId="23058"/>
    <cellStyle name="Normal 13 3 3 4 2" xfId="23059"/>
    <cellStyle name="Normal 13 3 3 4 2 2" xfId="23060"/>
    <cellStyle name="Normal 13 3 3 4 3" xfId="23061"/>
    <cellStyle name="Normal 13 3 3 5" xfId="23062"/>
    <cellStyle name="Normal 13 3 3 5 2" xfId="23063"/>
    <cellStyle name="Normal 13 3 3 5 2 2" xfId="23064"/>
    <cellStyle name="Normal 13 3 3 5 3" xfId="23065"/>
    <cellStyle name="Normal 13 3 3 6" xfId="23066"/>
    <cellStyle name="Normal 13 3 3 6 2" xfId="23067"/>
    <cellStyle name="Normal 13 3 3 7" xfId="23068"/>
    <cellStyle name="Normal 13 3 3 8" xfId="23069"/>
    <cellStyle name="Normal 13 3 3 9" xfId="23040"/>
    <cellStyle name="Normal 13 3 4" xfId="3185"/>
    <cellStyle name="Normal 13 3 5" xfId="8083"/>
    <cellStyle name="Normal 13 4" xfId="1420"/>
    <cellStyle name="Normal 13 4 2" xfId="7834"/>
    <cellStyle name="Normal 13 4 2 2" xfId="23072"/>
    <cellStyle name="Normal 13 4 2 2 2" xfId="23073"/>
    <cellStyle name="Normal 13 4 2 2 2 2" xfId="23074"/>
    <cellStyle name="Normal 13 4 2 2 3" xfId="23075"/>
    <cellStyle name="Normal 13 4 2 3" xfId="23076"/>
    <cellStyle name="Normal 13 4 2 3 2" xfId="23077"/>
    <cellStyle name="Normal 13 4 2 4" xfId="23078"/>
    <cellStyle name="Normal 13 4 2 5" xfId="23079"/>
    <cellStyle name="Normal 13 4 2 6" xfId="23071"/>
    <cellStyle name="Normal 13 4 3" xfId="8084"/>
    <cellStyle name="Normal 13 4 3 2" xfId="23081"/>
    <cellStyle name="Normal 13 4 3 2 2" xfId="23082"/>
    <cellStyle name="Normal 13 4 3 2 2 2" xfId="23083"/>
    <cellStyle name="Normal 13 4 3 2 3" xfId="23084"/>
    <cellStyle name="Normal 13 4 3 3" xfId="23085"/>
    <cellStyle name="Normal 13 4 3 3 2" xfId="23086"/>
    <cellStyle name="Normal 13 4 3 4" xfId="23087"/>
    <cellStyle name="Normal 13 4 3 5" xfId="23080"/>
    <cellStyle name="Normal 13 4 4" xfId="23088"/>
    <cellStyle name="Normal 13 4 4 2" xfId="23089"/>
    <cellStyle name="Normal 13 4 4 2 2" xfId="23090"/>
    <cellStyle name="Normal 13 4 4 3" xfId="23091"/>
    <cellStyle name="Normal 13 4 5" xfId="23092"/>
    <cellStyle name="Normal 13 4 5 2" xfId="23093"/>
    <cellStyle name="Normal 13 4 5 2 2" xfId="23094"/>
    <cellStyle name="Normal 13 4 5 3" xfId="23095"/>
    <cellStyle name="Normal 13 4 6" xfId="23096"/>
    <cellStyle name="Normal 13 4 6 2" xfId="23097"/>
    <cellStyle name="Normal 13 4 7" xfId="23098"/>
    <cellStyle name="Normal 13 4 7 2" xfId="23099"/>
    <cellStyle name="Normal 13 4 8" xfId="23100"/>
    <cellStyle name="Normal 13 4 9" xfId="23070"/>
    <cellStyle name="Normal 13 5" xfId="1421"/>
    <cellStyle name="Normal 13 5 2" xfId="23102"/>
    <cellStyle name="Normal 13 5 2 2" xfId="23103"/>
    <cellStyle name="Normal 13 5 2 2 2" xfId="23104"/>
    <cellStyle name="Normal 13 5 2 2 2 2" xfId="23105"/>
    <cellStyle name="Normal 13 5 2 2 3" xfId="23106"/>
    <cellStyle name="Normal 13 5 2 3" xfId="23107"/>
    <cellStyle name="Normal 13 5 2 3 2" xfId="23108"/>
    <cellStyle name="Normal 13 5 2 4" xfId="23109"/>
    <cellStyle name="Normal 13 5 2 5" xfId="23110"/>
    <cellStyle name="Normal 13 5 3" xfId="23111"/>
    <cellStyle name="Normal 13 5 3 2" xfId="23112"/>
    <cellStyle name="Normal 13 5 3 2 2" xfId="23113"/>
    <cellStyle name="Normal 13 5 3 2 2 2" xfId="23114"/>
    <cellStyle name="Normal 13 5 3 2 3" xfId="23115"/>
    <cellStyle name="Normal 13 5 3 3" xfId="23116"/>
    <cellStyle name="Normal 13 5 3 3 2" xfId="23117"/>
    <cellStyle name="Normal 13 5 3 4" xfId="23118"/>
    <cellStyle name="Normal 13 5 4" xfId="23119"/>
    <cellStyle name="Normal 13 5 4 2" xfId="23120"/>
    <cellStyle name="Normal 13 5 4 2 2" xfId="23121"/>
    <cellStyle name="Normal 13 5 4 3" xfId="23122"/>
    <cellStyle name="Normal 13 5 5" xfId="23123"/>
    <cellStyle name="Normal 13 5 5 2" xfId="23124"/>
    <cellStyle name="Normal 13 5 5 2 2" xfId="23125"/>
    <cellStyle name="Normal 13 5 5 3" xfId="23126"/>
    <cellStyle name="Normal 13 5 6" xfId="23127"/>
    <cellStyle name="Normal 13 5 6 2" xfId="23128"/>
    <cellStyle name="Normal 13 5 7" xfId="23129"/>
    <cellStyle name="Normal 13 5 8" xfId="23101"/>
    <cellStyle name="Normal 13 6" xfId="1422"/>
    <cellStyle name="Normal 13 6 2" xfId="8085"/>
    <cellStyle name="Normal 13 6 2 2" xfId="23132"/>
    <cellStyle name="Normal 13 6 2 2 2" xfId="23133"/>
    <cellStyle name="Normal 13 6 2 2 2 2" xfId="23134"/>
    <cellStyle name="Normal 13 6 2 2 3" xfId="23135"/>
    <cellStyle name="Normal 13 6 2 3" xfId="23136"/>
    <cellStyle name="Normal 13 6 2 3 2" xfId="23137"/>
    <cellStyle name="Normal 13 6 2 4" xfId="23138"/>
    <cellStyle name="Normal 13 6 2 5" xfId="23139"/>
    <cellStyle name="Normal 13 6 2 6" xfId="23131"/>
    <cellStyle name="Normal 13 6 3" xfId="23140"/>
    <cellStyle name="Normal 13 6 3 2" xfId="23141"/>
    <cellStyle name="Normal 13 6 3 2 2" xfId="23142"/>
    <cellStyle name="Normal 13 6 3 2 2 2" xfId="23143"/>
    <cellStyle name="Normal 13 6 3 2 3" xfId="23144"/>
    <cellStyle name="Normal 13 6 3 3" xfId="23145"/>
    <cellStyle name="Normal 13 6 3 3 2" xfId="23146"/>
    <cellStyle name="Normal 13 6 3 4" xfId="23147"/>
    <cellStyle name="Normal 13 6 4" xfId="23148"/>
    <cellStyle name="Normal 13 6 4 2" xfId="23149"/>
    <cellStyle name="Normal 13 6 4 2 2" xfId="23150"/>
    <cellStyle name="Normal 13 6 4 3" xfId="23151"/>
    <cellStyle name="Normal 13 6 5" xfId="23152"/>
    <cellStyle name="Normal 13 6 5 2" xfId="23153"/>
    <cellStyle name="Normal 13 6 5 2 2" xfId="23154"/>
    <cellStyle name="Normal 13 6 5 3" xfId="23155"/>
    <cellStyle name="Normal 13 6 6" xfId="23156"/>
    <cellStyle name="Normal 13 6 6 2" xfId="23157"/>
    <cellStyle name="Normal 13 6 7" xfId="23158"/>
    <cellStyle name="Normal 13 6 8" xfId="23159"/>
    <cellStyle name="Normal 13 6 9" xfId="23130"/>
    <cellStyle name="Normal 13 7" xfId="1423"/>
    <cellStyle name="Normal 13 7 2" xfId="8086"/>
    <cellStyle name="Normal 13 7 2 2" xfId="23162"/>
    <cellStyle name="Normal 13 7 2 2 2" xfId="23163"/>
    <cellStyle name="Normal 13 7 2 2 2 2" xfId="23164"/>
    <cellStyle name="Normal 13 7 2 2 3" xfId="23165"/>
    <cellStyle name="Normal 13 7 2 3" xfId="23166"/>
    <cellStyle name="Normal 13 7 2 3 2" xfId="23167"/>
    <cellStyle name="Normal 13 7 2 4" xfId="23168"/>
    <cellStyle name="Normal 13 7 2 5" xfId="23161"/>
    <cellStyle name="Normal 13 7 3" xfId="23169"/>
    <cellStyle name="Normal 13 7 3 2" xfId="23170"/>
    <cellStyle name="Normal 13 7 3 2 2" xfId="23171"/>
    <cellStyle name="Normal 13 7 3 3" xfId="23172"/>
    <cellStyle name="Normal 13 7 4" xfId="23173"/>
    <cellStyle name="Normal 13 7 4 2" xfId="23174"/>
    <cellStyle name="Normal 13 7 4 2 2" xfId="23175"/>
    <cellStyle name="Normal 13 7 4 3" xfId="23176"/>
    <cellStyle name="Normal 13 7 5" xfId="23177"/>
    <cellStyle name="Normal 13 7 6" xfId="23160"/>
    <cellStyle name="Normal 13 8" xfId="2779"/>
    <cellStyle name="Normal 13 8 2" xfId="23179"/>
    <cellStyle name="Normal 13 8 2 2" xfId="23180"/>
    <cellStyle name="Normal 13 8 3" xfId="23181"/>
    <cellStyle name="Normal 13 8 4" xfId="23182"/>
    <cellStyle name="Normal 13 8 5" xfId="23183"/>
    <cellStyle name="Normal 13 8 6" xfId="23178"/>
    <cellStyle name="Normal 13 9" xfId="5673"/>
    <cellStyle name="Normal 13 9 2" xfId="23184"/>
    <cellStyle name="Normal 130" xfId="5676"/>
    <cellStyle name="Normal 131" xfId="5677"/>
    <cellStyle name="Normal 132" xfId="5678"/>
    <cellStyle name="Normal 133" xfId="5679"/>
    <cellStyle name="Normal 134" xfId="5680"/>
    <cellStyle name="Normal 135" xfId="1424"/>
    <cellStyle name="Normal 135 2" xfId="5681"/>
    <cellStyle name="Normal 136" xfId="5682"/>
    <cellStyle name="Normal 137" xfId="5683"/>
    <cellStyle name="Normal 138" xfId="5684"/>
    <cellStyle name="Normal 139" xfId="5685"/>
    <cellStyle name="Normal 14" xfId="1425"/>
    <cellStyle name="Normal 14 2" xfId="1426"/>
    <cellStyle name="Normal 14 2 10" xfId="23187"/>
    <cellStyle name="Normal 14 2 10 2" xfId="23188"/>
    <cellStyle name="Normal 14 2 11" xfId="23189"/>
    <cellStyle name="Normal 14 2 12" xfId="23190"/>
    <cellStyle name="Normal 14 2 13" xfId="23186"/>
    <cellStyle name="Normal 14 2 2" xfId="1427"/>
    <cellStyle name="Normal 14 2 2 2" xfId="5687"/>
    <cellStyle name="Normal 14 2 2 2 2" xfId="5688"/>
    <cellStyle name="Normal 14 2 2 2 2 2" xfId="23194"/>
    <cellStyle name="Normal 14 2 2 2 2 2 2" xfId="23195"/>
    <cellStyle name="Normal 14 2 2 2 2 3" xfId="23196"/>
    <cellStyle name="Normal 14 2 2 2 2 4" xfId="23193"/>
    <cellStyle name="Normal 14 2 2 2 3" xfId="23197"/>
    <cellStyle name="Normal 14 2 2 2 3 2" xfId="23198"/>
    <cellStyle name="Normal 14 2 2 2 4" xfId="23199"/>
    <cellStyle name="Normal 14 2 2 2 5" xfId="23200"/>
    <cellStyle name="Normal 14 2 2 2 6" xfId="23192"/>
    <cellStyle name="Normal 14 2 2 3" xfId="5689"/>
    <cellStyle name="Normal 14 2 2 3 2" xfId="23202"/>
    <cellStyle name="Normal 14 2 2 3 2 2" xfId="23203"/>
    <cellStyle name="Normal 14 2 2 3 2 2 2" xfId="23204"/>
    <cellStyle name="Normal 14 2 2 3 2 3" xfId="23205"/>
    <cellStyle name="Normal 14 2 2 3 3" xfId="23206"/>
    <cellStyle name="Normal 14 2 2 3 3 2" xfId="23207"/>
    <cellStyle name="Normal 14 2 2 3 4" xfId="23208"/>
    <cellStyle name="Normal 14 2 2 3 5" xfId="23209"/>
    <cellStyle name="Normal 14 2 2 3 6" xfId="23201"/>
    <cellStyle name="Normal 14 2 2 4" xfId="5690"/>
    <cellStyle name="Normal 14 2 2 4 2" xfId="23211"/>
    <cellStyle name="Normal 14 2 2 4 2 2" xfId="23212"/>
    <cellStyle name="Normal 14 2 2 4 3" xfId="23213"/>
    <cellStyle name="Normal 14 2 2 4 4" xfId="23210"/>
    <cellStyle name="Normal 14 2 2 5" xfId="8087"/>
    <cellStyle name="Normal 14 2 2 5 2" xfId="23215"/>
    <cellStyle name="Normal 14 2 2 5 2 2" xfId="23216"/>
    <cellStyle name="Normal 14 2 2 5 3" xfId="23217"/>
    <cellStyle name="Normal 14 2 2 5 4" xfId="23214"/>
    <cellStyle name="Normal 14 2 2 6" xfId="23218"/>
    <cellStyle name="Normal 14 2 2 6 2" xfId="23219"/>
    <cellStyle name="Normal 14 2 2 7" xfId="23220"/>
    <cellStyle name="Normal 14 2 2 8" xfId="23221"/>
    <cellStyle name="Normal 14 2 2 9" xfId="23191"/>
    <cellStyle name="Normal 14 2 3" xfId="3132"/>
    <cellStyle name="Normal 14 2 3 2" xfId="5691"/>
    <cellStyle name="Normal 14 2 3 2 2" xfId="23224"/>
    <cellStyle name="Normal 14 2 3 2 2 2" xfId="23225"/>
    <cellStyle name="Normal 14 2 3 2 2 2 2" xfId="23226"/>
    <cellStyle name="Normal 14 2 3 2 2 3" xfId="23227"/>
    <cellStyle name="Normal 14 2 3 2 3" xfId="23228"/>
    <cellStyle name="Normal 14 2 3 2 3 2" xfId="23229"/>
    <cellStyle name="Normal 14 2 3 2 4" xfId="23230"/>
    <cellStyle name="Normal 14 2 3 2 5" xfId="23231"/>
    <cellStyle name="Normal 14 2 3 2 6" xfId="23223"/>
    <cellStyle name="Normal 14 2 3 3" xfId="8485"/>
    <cellStyle name="Normal 14 2 3 3 2" xfId="23233"/>
    <cellStyle name="Normal 14 2 3 3 2 2" xfId="23234"/>
    <cellStyle name="Normal 14 2 3 3 2 2 2" xfId="23235"/>
    <cellStyle name="Normal 14 2 3 3 2 3" xfId="23236"/>
    <cellStyle name="Normal 14 2 3 3 3" xfId="23237"/>
    <cellStyle name="Normal 14 2 3 3 3 2" xfId="23238"/>
    <cellStyle name="Normal 14 2 3 3 4" xfId="23239"/>
    <cellStyle name="Normal 14 2 3 3 5" xfId="23232"/>
    <cellStyle name="Normal 14 2 3 4" xfId="23240"/>
    <cellStyle name="Normal 14 2 3 4 2" xfId="23241"/>
    <cellStyle name="Normal 14 2 3 4 2 2" xfId="23242"/>
    <cellStyle name="Normal 14 2 3 4 3" xfId="23243"/>
    <cellStyle name="Normal 14 2 3 5" xfId="23244"/>
    <cellStyle name="Normal 14 2 3 5 2" xfId="23245"/>
    <cellStyle name="Normal 14 2 3 5 2 2" xfId="23246"/>
    <cellStyle name="Normal 14 2 3 5 3" xfId="23247"/>
    <cellStyle name="Normal 14 2 3 6" xfId="23248"/>
    <cellStyle name="Normal 14 2 3 6 2" xfId="23249"/>
    <cellStyle name="Normal 14 2 3 7" xfId="23250"/>
    <cellStyle name="Normal 14 2 3 8" xfId="23251"/>
    <cellStyle name="Normal 14 2 3 9" xfId="23222"/>
    <cellStyle name="Normal 14 2 4" xfId="5692"/>
    <cellStyle name="Normal 14 2 4 2" xfId="23253"/>
    <cellStyle name="Normal 14 2 4 3" xfId="23252"/>
    <cellStyle name="Normal 14 2 5" xfId="5693"/>
    <cellStyle name="Normal 14 2 5 2" xfId="23255"/>
    <cellStyle name="Normal 14 2 5 2 2" xfId="23256"/>
    <cellStyle name="Normal 14 2 5 2 2 2" xfId="23257"/>
    <cellStyle name="Normal 14 2 5 2 2 2 2" xfId="23258"/>
    <cellStyle name="Normal 14 2 5 2 2 3" xfId="23259"/>
    <cellStyle name="Normal 14 2 5 2 3" xfId="23260"/>
    <cellStyle name="Normal 14 2 5 2 3 2" xfId="23261"/>
    <cellStyle name="Normal 14 2 5 2 4" xfId="23262"/>
    <cellStyle name="Normal 14 2 5 2 5" xfId="23263"/>
    <cellStyle name="Normal 14 2 5 3" xfId="23264"/>
    <cellStyle name="Normal 14 2 5 3 2" xfId="23265"/>
    <cellStyle name="Normal 14 2 5 3 2 2" xfId="23266"/>
    <cellStyle name="Normal 14 2 5 3 2 2 2" xfId="23267"/>
    <cellStyle name="Normal 14 2 5 3 2 3" xfId="23268"/>
    <cellStyle name="Normal 14 2 5 3 3" xfId="23269"/>
    <cellStyle name="Normal 14 2 5 3 3 2" xfId="23270"/>
    <cellStyle name="Normal 14 2 5 3 4" xfId="23271"/>
    <cellStyle name="Normal 14 2 5 4" xfId="23272"/>
    <cellStyle name="Normal 14 2 5 4 2" xfId="23273"/>
    <cellStyle name="Normal 14 2 5 4 2 2" xfId="23274"/>
    <cellStyle name="Normal 14 2 5 4 3" xfId="23275"/>
    <cellStyle name="Normal 14 2 5 5" xfId="23276"/>
    <cellStyle name="Normal 14 2 5 5 2" xfId="23277"/>
    <cellStyle name="Normal 14 2 5 5 2 2" xfId="23278"/>
    <cellStyle name="Normal 14 2 5 5 3" xfId="23279"/>
    <cellStyle name="Normal 14 2 5 6" xfId="23280"/>
    <cellStyle name="Normal 14 2 5 6 2" xfId="23281"/>
    <cellStyle name="Normal 14 2 5 7" xfId="23282"/>
    <cellStyle name="Normal 14 2 5 8" xfId="23283"/>
    <cellStyle name="Normal 14 2 5 9" xfId="23254"/>
    <cellStyle name="Normal 14 2 6" xfId="23284"/>
    <cellStyle name="Normal 14 2 6 2" xfId="23285"/>
    <cellStyle name="Normal 14 2 6 2 2" xfId="23286"/>
    <cellStyle name="Normal 14 2 6 2 2 2" xfId="23287"/>
    <cellStyle name="Normal 14 2 6 2 2 2 2" xfId="23288"/>
    <cellStyle name="Normal 14 2 6 2 2 3" xfId="23289"/>
    <cellStyle name="Normal 14 2 6 2 3" xfId="23290"/>
    <cellStyle name="Normal 14 2 6 2 3 2" xfId="23291"/>
    <cellStyle name="Normal 14 2 6 2 4" xfId="23292"/>
    <cellStyle name="Normal 14 2 6 3" xfId="23293"/>
    <cellStyle name="Normal 14 2 6 3 2" xfId="23294"/>
    <cellStyle name="Normal 14 2 6 3 2 2" xfId="23295"/>
    <cellStyle name="Normal 14 2 6 3 3" xfId="23296"/>
    <cellStyle name="Normal 14 2 6 4" xfId="23297"/>
    <cellStyle name="Normal 14 2 6 4 2" xfId="23298"/>
    <cellStyle name="Normal 14 2 6 4 2 2" xfId="23299"/>
    <cellStyle name="Normal 14 2 6 4 3" xfId="23300"/>
    <cellStyle name="Normal 14 2 6 5" xfId="23301"/>
    <cellStyle name="Normal 14 2 6 5 2" xfId="23302"/>
    <cellStyle name="Normal 14 2 6 6" xfId="23303"/>
    <cellStyle name="Normal 14 2 7" xfId="23304"/>
    <cellStyle name="Normal 14 2 7 2" xfId="23305"/>
    <cellStyle name="Normal 14 2 7 2 2" xfId="23306"/>
    <cellStyle name="Normal 14 2 7 2 2 2" xfId="23307"/>
    <cellStyle name="Normal 14 2 7 2 3" xfId="23308"/>
    <cellStyle name="Normal 14 2 7 3" xfId="23309"/>
    <cellStyle name="Normal 14 2 7 3 2" xfId="23310"/>
    <cellStyle name="Normal 14 2 7 4" xfId="23311"/>
    <cellStyle name="Normal 14 2 7 5" xfId="23312"/>
    <cellStyle name="Normal 14 2 8" xfId="23313"/>
    <cellStyle name="Normal 14 2 8 2" xfId="23314"/>
    <cellStyle name="Normal 14 2 8 2 2" xfId="23315"/>
    <cellStyle name="Normal 14 2 8 3" xfId="23316"/>
    <cellStyle name="Normal 14 2 9" xfId="23317"/>
    <cellStyle name="Normal 14 2 9 2" xfId="23318"/>
    <cellStyle name="Normal 14 2 9 2 2" xfId="23319"/>
    <cellStyle name="Normal 14 2 9 3" xfId="23320"/>
    <cellStyle name="Normal 14 3" xfId="1428"/>
    <cellStyle name="Normal 14 3 10" xfId="23322"/>
    <cellStyle name="Normal 14 3 11" xfId="23321"/>
    <cellStyle name="Normal 14 3 2" xfId="5694"/>
    <cellStyle name="Normal 14 3 2 2" xfId="5695"/>
    <cellStyle name="Normal 14 3 2 2 2" xfId="23325"/>
    <cellStyle name="Normal 14 3 2 2 2 2" xfId="23326"/>
    <cellStyle name="Normal 14 3 2 2 2 2 2" xfId="23327"/>
    <cellStyle name="Normal 14 3 2 2 2 3" xfId="23328"/>
    <cellStyle name="Normal 14 3 2 2 3" xfId="23329"/>
    <cellStyle name="Normal 14 3 2 2 3 2" xfId="23330"/>
    <cellStyle name="Normal 14 3 2 2 4" xfId="23331"/>
    <cellStyle name="Normal 14 3 2 2 5" xfId="23332"/>
    <cellStyle name="Normal 14 3 2 2 6" xfId="23324"/>
    <cellStyle name="Normal 14 3 2 3" xfId="23333"/>
    <cellStyle name="Normal 14 3 2 3 2" xfId="23334"/>
    <cellStyle name="Normal 14 3 2 3 2 2" xfId="23335"/>
    <cellStyle name="Normal 14 3 2 3 2 2 2" xfId="23336"/>
    <cellStyle name="Normal 14 3 2 3 2 3" xfId="23337"/>
    <cellStyle name="Normal 14 3 2 3 3" xfId="23338"/>
    <cellStyle name="Normal 14 3 2 3 3 2" xfId="23339"/>
    <cellStyle name="Normal 14 3 2 3 4" xfId="23340"/>
    <cellStyle name="Normal 14 3 2 4" xfId="23341"/>
    <cellStyle name="Normal 14 3 2 4 2" xfId="23342"/>
    <cellStyle name="Normal 14 3 2 4 2 2" xfId="23343"/>
    <cellStyle name="Normal 14 3 2 4 3" xfId="23344"/>
    <cellStyle name="Normal 14 3 2 5" xfId="23345"/>
    <cellStyle name="Normal 14 3 2 5 2" xfId="23346"/>
    <cellStyle name="Normal 14 3 2 5 2 2" xfId="23347"/>
    <cellStyle name="Normal 14 3 2 5 3" xfId="23348"/>
    <cellStyle name="Normal 14 3 2 6" xfId="23349"/>
    <cellStyle name="Normal 14 3 2 6 2" xfId="23350"/>
    <cellStyle name="Normal 14 3 2 7" xfId="23351"/>
    <cellStyle name="Normal 14 3 2 8" xfId="23352"/>
    <cellStyle name="Normal 14 3 2 9" xfId="23323"/>
    <cellStyle name="Normal 14 3 3" xfId="5696"/>
    <cellStyle name="Normal 14 3 3 2" xfId="23354"/>
    <cellStyle name="Normal 14 3 3 2 2" xfId="23355"/>
    <cellStyle name="Normal 14 3 3 2 2 2" xfId="23356"/>
    <cellStyle name="Normal 14 3 3 2 2 2 2" xfId="23357"/>
    <cellStyle name="Normal 14 3 3 2 2 3" xfId="23358"/>
    <cellStyle name="Normal 14 3 3 2 3" xfId="23359"/>
    <cellStyle name="Normal 14 3 3 2 3 2" xfId="23360"/>
    <cellStyle name="Normal 14 3 3 2 4" xfId="23361"/>
    <cellStyle name="Normal 14 3 3 2 5" xfId="23362"/>
    <cellStyle name="Normal 14 3 3 3" xfId="23363"/>
    <cellStyle name="Normal 14 3 3 3 2" xfId="23364"/>
    <cellStyle name="Normal 14 3 3 3 2 2" xfId="23365"/>
    <cellStyle name="Normal 14 3 3 3 2 2 2" xfId="23366"/>
    <cellStyle name="Normal 14 3 3 3 2 3" xfId="23367"/>
    <cellStyle name="Normal 14 3 3 3 3" xfId="23368"/>
    <cellStyle name="Normal 14 3 3 3 3 2" xfId="23369"/>
    <cellStyle name="Normal 14 3 3 3 4" xfId="23370"/>
    <cellStyle name="Normal 14 3 3 4" xfId="23371"/>
    <cellStyle name="Normal 14 3 3 4 2" xfId="23372"/>
    <cellStyle name="Normal 14 3 3 4 2 2" xfId="23373"/>
    <cellStyle name="Normal 14 3 3 4 3" xfId="23374"/>
    <cellStyle name="Normal 14 3 3 5" xfId="23375"/>
    <cellStyle name="Normal 14 3 3 5 2" xfId="23376"/>
    <cellStyle name="Normal 14 3 3 5 2 2" xfId="23377"/>
    <cellStyle name="Normal 14 3 3 5 3" xfId="23378"/>
    <cellStyle name="Normal 14 3 3 6" xfId="23379"/>
    <cellStyle name="Normal 14 3 3 6 2" xfId="23380"/>
    <cellStyle name="Normal 14 3 3 7" xfId="23381"/>
    <cellStyle name="Normal 14 3 3 8" xfId="23382"/>
    <cellStyle name="Normal 14 3 3 9" xfId="23353"/>
    <cellStyle name="Normal 14 3 4" xfId="5697"/>
    <cellStyle name="Normal 14 3 4 2" xfId="23384"/>
    <cellStyle name="Normal 14 3 4 2 2" xfId="23385"/>
    <cellStyle name="Normal 14 3 4 2 2 2" xfId="23386"/>
    <cellStyle name="Normal 14 3 4 2 2 2 2" xfId="23387"/>
    <cellStyle name="Normal 14 3 4 2 2 3" xfId="23388"/>
    <cellStyle name="Normal 14 3 4 2 3" xfId="23389"/>
    <cellStyle name="Normal 14 3 4 2 3 2" xfId="23390"/>
    <cellStyle name="Normal 14 3 4 2 4" xfId="23391"/>
    <cellStyle name="Normal 14 3 4 3" xfId="23392"/>
    <cellStyle name="Normal 14 3 4 3 2" xfId="23393"/>
    <cellStyle name="Normal 14 3 4 3 2 2" xfId="23394"/>
    <cellStyle name="Normal 14 3 4 3 3" xfId="23395"/>
    <cellStyle name="Normal 14 3 4 4" xfId="23396"/>
    <cellStyle name="Normal 14 3 4 4 2" xfId="23397"/>
    <cellStyle name="Normal 14 3 4 4 2 2" xfId="23398"/>
    <cellStyle name="Normal 14 3 4 4 3" xfId="23399"/>
    <cellStyle name="Normal 14 3 4 5" xfId="23400"/>
    <cellStyle name="Normal 14 3 4 5 2" xfId="23401"/>
    <cellStyle name="Normal 14 3 4 6" xfId="23402"/>
    <cellStyle name="Normal 14 3 4 7" xfId="23403"/>
    <cellStyle name="Normal 14 3 4 8" xfId="23383"/>
    <cellStyle name="Normal 14 3 5" xfId="8088"/>
    <cellStyle name="Normal 14 3 5 2" xfId="23405"/>
    <cellStyle name="Normal 14 3 5 2 2" xfId="23406"/>
    <cellStyle name="Normal 14 3 5 2 2 2" xfId="23407"/>
    <cellStyle name="Normal 14 3 5 2 3" xfId="23408"/>
    <cellStyle name="Normal 14 3 5 3" xfId="23409"/>
    <cellStyle name="Normal 14 3 5 3 2" xfId="23410"/>
    <cellStyle name="Normal 14 3 5 4" xfId="23411"/>
    <cellStyle name="Normal 14 3 5 5" xfId="23412"/>
    <cellStyle name="Normal 14 3 5 6" xfId="23404"/>
    <cellStyle name="Normal 14 3 6" xfId="23413"/>
    <cellStyle name="Normal 14 3 6 2" xfId="23414"/>
    <cellStyle name="Normal 14 3 6 2 2" xfId="23415"/>
    <cellStyle name="Normal 14 3 6 3" xfId="23416"/>
    <cellStyle name="Normal 14 3 7" xfId="23417"/>
    <cellStyle name="Normal 14 3 7 2" xfId="23418"/>
    <cellStyle name="Normal 14 3 7 2 2" xfId="23419"/>
    <cellStyle name="Normal 14 3 7 3" xfId="23420"/>
    <cellStyle name="Normal 14 3 8" xfId="23421"/>
    <cellStyle name="Normal 14 3 8 2" xfId="23422"/>
    <cellStyle name="Normal 14 3 9" xfId="23423"/>
    <cellStyle name="Normal 14 3 9 2" xfId="23424"/>
    <cellStyle name="Normal 14 4" xfId="1429"/>
    <cellStyle name="Normal 14 4 2" xfId="5698"/>
    <cellStyle name="Normal 14 4 2 2" xfId="23427"/>
    <cellStyle name="Normal 14 4 2 3" xfId="23426"/>
    <cellStyle name="Normal 14 4 3" xfId="23425"/>
    <cellStyle name="Normal 14 5" xfId="1430"/>
    <cellStyle name="Normal 14 5 2" xfId="8089"/>
    <cellStyle name="Normal 14 5 2 2" xfId="23429"/>
    <cellStyle name="Normal 14 5 3" xfId="23430"/>
    <cellStyle name="Normal 14 5 4" xfId="23431"/>
    <cellStyle name="Normal 14 5 5" xfId="23428"/>
    <cellStyle name="Normal 14 6" xfId="1431"/>
    <cellStyle name="Normal 14 6 2" xfId="8090"/>
    <cellStyle name="Normal 14 6 3" xfId="23432"/>
    <cellStyle name="Normal 14 7" xfId="7835"/>
    <cellStyle name="Normal 14 7 2" xfId="23433"/>
    <cellStyle name="Normal 14 8" xfId="5686"/>
    <cellStyle name="Normal 14 9" xfId="23185"/>
    <cellStyle name="Normal 140" xfId="5699"/>
    <cellStyle name="Normal 141" xfId="5700"/>
    <cellStyle name="Normal 142" xfId="5701"/>
    <cellStyle name="Normal 143" xfId="1432"/>
    <cellStyle name="Normal 143 2" xfId="5702"/>
    <cellStyle name="Normal 143 3" xfId="8091"/>
    <cellStyle name="Normal 144" xfId="5703"/>
    <cellStyle name="Normal 145" xfId="5704"/>
    <cellStyle name="Normal 146" xfId="5705"/>
    <cellStyle name="Normal 147" xfId="5706"/>
    <cellStyle name="Normal 148" xfId="5707"/>
    <cellStyle name="Normal 149" xfId="5708"/>
    <cellStyle name="Normal 15" xfId="1433"/>
    <cellStyle name="Normal 15 10" xfId="23434"/>
    <cellStyle name="Normal 15 2" xfId="1434"/>
    <cellStyle name="Normal 15 2 2" xfId="1435"/>
    <cellStyle name="Normal 15 2 2 2" xfId="7860"/>
    <cellStyle name="Normal 15 2 3" xfId="1436"/>
    <cellStyle name="Normal 15 2 4" xfId="5710"/>
    <cellStyle name="Normal 15 2 5" xfId="23435"/>
    <cellStyle name="Normal 15 3" xfId="1437"/>
    <cellStyle name="Normal 15 3 2" xfId="1438"/>
    <cellStyle name="Normal 15 3 2 2" xfId="8092"/>
    <cellStyle name="Normal 15 3 3" xfId="5711"/>
    <cellStyle name="Normal 15 4" xfId="1439"/>
    <cellStyle name="Normal 15 4 2" xfId="5712"/>
    <cellStyle name="Normal 15 4 2 2" xfId="5713"/>
    <cellStyle name="Normal 15 4 2 2 2" xfId="23438"/>
    <cellStyle name="Normal 15 4 2 3" xfId="23437"/>
    <cellStyle name="Normal 15 4 3" xfId="5714"/>
    <cellStyle name="Normal 15 4 3 2" xfId="23440"/>
    <cellStyle name="Normal 15 4 3 3" xfId="23439"/>
    <cellStyle name="Normal 15 4 4" xfId="5715"/>
    <cellStyle name="Normal 15 4 4 2" xfId="23441"/>
    <cellStyle name="Normal 15 4 5" xfId="8093"/>
    <cellStyle name="Normal 15 4 5 2" xfId="23442"/>
    <cellStyle name="Normal 15 4 6" xfId="23436"/>
    <cellStyle name="Normal 15 5" xfId="1440"/>
    <cellStyle name="Normal 15 5 2" xfId="5716"/>
    <cellStyle name="Normal 15 5 3" xfId="8094"/>
    <cellStyle name="Normal 15 5 4" xfId="23443"/>
    <cellStyle name="Normal 15 6" xfId="1441"/>
    <cellStyle name="Normal 15 6 2" xfId="8095"/>
    <cellStyle name="Normal 15 6 3" xfId="23444"/>
    <cellStyle name="Normal 15 7" xfId="1442"/>
    <cellStyle name="Normal 15 7 2" xfId="8096"/>
    <cellStyle name="Normal 15 8" xfId="2780"/>
    <cellStyle name="Normal 15 9" xfId="5709"/>
    <cellStyle name="Normal 15_1. AISF Accounts - Dec 2013" xfId="5717"/>
    <cellStyle name="Normal 150" xfId="5718"/>
    <cellStyle name="Normal 151" xfId="5719"/>
    <cellStyle name="Normal 152" xfId="5720"/>
    <cellStyle name="Normal 153" xfId="5721"/>
    <cellStyle name="Normal 154" xfId="5722"/>
    <cellStyle name="Normal 155" xfId="5723"/>
    <cellStyle name="Normal 156" xfId="5724"/>
    <cellStyle name="Normal 157" xfId="5725"/>
    <cellStyle name="Normal 158" xfId="5726"/>
    <cellStyle name="Normal 159" xfId="5727"/>
    <cellStyle name="Normal 16" xfId="1443"/>
    <cellStyle name="Normal 16 2" xfId="1444"/>
    <cellStyle name="Normal 16 2 2" xfId="1445"/>
    <cellStyle name="Normal 16 2 2 2" xfId="8097"/>
    <cellStyle name="Normal 16 2 2 2 2" xfId="23447"/>
    <cellStyle name="Normal 16 2 2 3" xfId="23448"/>
    <cellStyle name="Normal 16 2 2 4" xfId="23446"/>
    <cellStyle name="Normal 16 2 3" xfId="1446"/>
    <cellStyle name="Normal 16 2 3 2" xfId="23450"/>
    <cellStyle name="Normal 16 2 3 3" xfId="23449"/>
    <cellStyle name="Normal 16 2 4" xfId="1447"/>
    <cellStyle name="Normal 16 2 4 2" xfId="23451"/>
    <cellStyle name="Normal 16 3" xfId="1448"/>
    <cellStyle name="Normal 16 3 2" xfId="3133"/>
    <cellStyle name="Normal 16 3 3" xfId="3636"/>
    <cellStyle name="Normal 16 3 4" xfId="8098"/>
    <cellStyle name="Normal 16 3 5" xfId="23452"/>
    <cellStyle name="Normal 16 4" xfId="1449"/>
    <cellStyle name="Normal 16 4 2" xfId="5729"/>
    <cellStyle name="Normal 16 4 3" xfId="8099"/>
    <cellStyle name="Normal 16 4 4" xfId="23453"/>
    <cellStyle name="Normal 16 5" xfId="1450"/>
    <cellStyle name="Normal 16 5 2" xfId="7876"/>
    <cellStyle name="Normal 16 5 3" xfId="8100"/>
    <cellStyle name="Normal 16 5 4" xfId="23454"/>
    <cellStyle name="Normal 16 6" xfId="1451"/>
    <cellStyle name="Normal 16 6 2" xfId="8101"/>
    <cellStyle name="Normal 16 7" xfId="5728"/>
    <cellStyle name="Normal 16 8" xfId="23445"/>
    <cellStyle name="Normal 160" xfId="5730"/>
    <cellStyle name="Normal 161" xfId="5731"/>
    <cellStyle name="Normal 162" xfId="5732"/>
    <cellStyle name="Normal 163" xfId="5733"/>
    <cellStyle name="Normal 164" xfId="5734"/>
    <cellStyle name="Normal 165" xfId="5735"/>
    <cellStyle name="Normal 166" xfId="5736"/>
    <cellStyle name="Normal 167" xfId="5737"/>
    <cellStyle name="Normal 168" xfId="5738"/>
    <cellStyle name="Normal 169" xfId="5739"/>
    <cellStyle name="Normal 17" xfId="60"/>
    <cellStyle name="Normal 17 10" xfId="5740"/>
    <cellStyle name="Normal 17 11" xfId="8503"/>
    <cellStyle name="Normal 17 2" xfId="80"/>
    <cellStyle name="Normal 17 2 2" xfId="1453"/>
    <cellStyle name="Normal 17 2 3" xfId="5741"/>
    <cellStyle name="Normal 17 3" xfId="88"/>
    <cellStyle name="Normal 17 3 2" xfId="1454"/>
    <cellStyle name="Normal 17 3 3" xfId="5742"/>
    <cellStyle name="Normal 17 3 4" xfId="23455"/>
    <cellStyle name="Normal 17 4" xfId="115"/>
    <cellStyle name="Normal 17 4 2" xfId="7861"/>
    <cellStyle name="Normal 17 4 3" xfId="8102"/>
    <cellStyle name="Normal 17 4 4" xfId="23456"/>
    <cellStyle name="Normal 17 5" xfId="1456"/>
    <cellStyle name="Normal 17 5 2" xfId="8103"/>
    <cellStyle name="Normal 17 6" xfId="1457"/>
    <cellStyle name="Normal 17 7" xfId="1458"/>
    <cellStyle name="Normal 17 7 2" xfId="8104"/>
    <cellStyle name="Normal 17 8" xfId="2781"/>
    <cellStyle name="Normal 17 9" xfId="1452"/>
    <cellStyle name="Normal 170" xfId="5743"/>
    <cellStyle name="Normal 171" xfId="5744"/>
    <cellStyle name="Normal 172" xfId="5745"/>
    <cellStyle name="Normal 173" xfId="5746"/>
    <cellStyle name="Normal 174" xfId="5747"/>
    <cellStyle name="Normal 175" xfId="5748"/>
    <cellStyle name="Normal 176" xfId="5749"/>
    <cellStyle name="Normal 177" xfId="5750"/>
    <cellStyle name="Normal 178" xfId="5751"/>
    <cellStyle name="Normal 179" xfId="5752"/>
    <cellStyle name="Normal 18" xfId="1459"/>
    <cellStyle name="Normal 18 10" xfId="23458"/>
    <cellStyle name="Normal 18 11" xfId="23459"/>
    <cellStyle name="Normal 18 12" xfId="23457"/>
    <cellStyle name="Normal 18 2" xfId="1460"/>
    <cellStyle name="Normal 18 2 10" xfId="23461"/>
    <cellStyle name="Normal 18 2 11" xfId="23460"/>
    <cellStyle name="Normal 18 2 2" xfId="1461"/>
    <cellStyle name="Normal 18 2 2 2" xfId="5754"/>
    <cellStyle name="Normal 18 2 2 2 2" xfId="5755"/>
    <cellStyle name="Normal 18 2 2 2 2 2" xfId="23465"/>
    <cellStyle name="Normal 18 2 2 2 2 2 2" xfId="23466"/>
    <cellStyle name="Normal 18 2 2 2 2 3" xfId="23467"/>
    <cellStyle name="Normal 18 2 2 2 2 4" xfId="23464"/>
    <cellStyle name="Normal 18 2 2 2 3" xfId="23468"/>
    <cellStyle name="Normal 18 2 2 2 3 2" xfId="23469"/>
    <cellStyle name="Normal 18 2 2 2 4" xfId="23470"/>
    <cellStyle name="Normal 18 2 2 2 5" xfId="23471"/>
    <cellStyle name="Normal 18 2 2 2 6" xfId="23463"/>
    <cellStyle name="Normal 18 2 2 3" xfId="5756"/>
    <cellStyle name="Normal 18 2 2 3 2" xfId="23473"/>
    <cellStyle name="Normal 18 2 2 3 2 2" xfId="23474"/>
    <cellStyle name="Normal 18 2 2 3 2 2 2" xfId="23475"/>
    <cellStyle name="Normal 18 2 2 3 2 3" xfId="23476"/>
    <cellStyle name="Normal 18 2 2 3 3" xfId="23477"/>
    <cellStyle name="Normal 18 2 2 3 3 2" xfId="23478"/>
    <cellStyle name="Normal 18 2 2 3 4" xfId="23479"/>
    <cellStyle name="Normal 18 2 2 3 5" xfId="23472"/>
    <cellStyle name="Normal 18 2 2 4" xfId="5757"/>
    <cellStyle name="Normal 18 2 2 4 2" xfId="23481"/>
    <cellStyle name="Normal 18 2 2 4 2 2" xfId="23482"/>
    <cellStyle name="Normal 18 2 2 4 3" xfId="23483"/>
    <cellStyle name="Normal 18 2 2 4 4" xfId="23480"/>
    <cellStyle name="Normal 18 2 2 5" xfId="8105"/>
    <cellStyle name="Normal 18 2 2 5 2" xfId="23485"/>
    <cellStyle name="Normal 18 2 2 5 2 2" xfId="23486"/>
    <cellStyle name="Normal 18 2 2 5 3" xfId="23487"/>
    <cellStyle name="Normal 18 2 2 5 4" xfId="23484"/>
    <cellStyle name="Normal 18 2 2 6" xfId="23488"/>
    <cellStyle name="Normal 18 2 2 6 2" xfId="23489"/>
    <cellStyle name="Normal 18 2 2 7" xfId="23490"/>
    <cellStyle name="Normal 18 2 2 8" xfId="23491"/>
    <cellStyle name="Normal 18 2 2 9" xfId="23462"/>
    <cellStyle name="Normal 18 2 3" xfId="5758"/>
    <cellStyle name="Normal 18 2 3 2" xfId="5759"/>
    <cellStyle name="Normal 18 2 3 2 2" xfId="23494"/>
    <cellStyle name="Normal 18 2 3 2 2 2" xfId="23495"/>
    <cellStyle name="Normal 18 2 3 2 2 2 2" xfId="23496"/>
    <cellStyle name="Normal 18 2 3 2 2 3" xfId="23497"/>
    <cellStyle name="Normal 18 2 3 2 3" xfId="23498"/>
    <cellStyle name="Normal 18 2 3 2 3 2" xfId="23499"/>
    <cellStyle name="Normal 18 2 3 2 4" xfId="23500"/>
    <cellStyle name="Normal 18 2 3 2 5" xfId="23501"/>
    <cellStyle name="Normal 18 2 3 2 6" xfId="23493"/>
    <cellStyle name="Normal 18 2 3 3" xfId="23502"/>
    <cellStyle name="Normal 18 2 3 3 2" xfId="23503"/>
    <cellStyle name="Normal 18 2 3 3 2 2" xfId="23504"/>
    <cellStyle name="Normal 18 2 3 3 2 2 2" xfId="23505"/>
    <cellStyle name="Normal 18 2 3 3 2 3" xfId="23506"/>
    <cellStyle name="Normal 18 2 3 3 3" xfId="23507"/>
    <cellStyle name="Normal 18 2 3 3 3 2" xfId="23508"/>
    <cellStyle name="Normal 18 2 3 3 4" xfId="23509"/>
    <cellStyle name="Normal 18 2 3 4" xfId="23510"/>
    <cellStyle name="Normal 18 2 3 4 2" xfId="23511"/>
    <cellStyle name="Normal 18 2 3 4 2 2" xfId="23512"/>
    <cellStyle name="Normal 18 2 3 4 3" xfId="23513"/>
    <cellStyle name="Normal 18 2 3 5" xfId="23514"/>
    <cellStyle name="Normal 18 2 3 5 2" xfId="23515"/>
    <cellStyle name="Normal 18 2 3 5 2 2" xfId="23516"/>
    <cellStyle name="Normal 18 2 3 5 3" xfId="23517"/>
    <cellStyle name="Normal 18 2 3 6" xfId="23518"/>
    <cellStyle name="Normal 18 2 3 6 2" xfId="23519"/>
    <cellStyle name="Normal 18 2 3 7" xfId="23520"/>
    <cellStyle name="Normal 18 2 3 8" xfId="23521"/>
    <cellStyle name="Normal 18 2 3 9" xfId="23492"/>
    <cellStyle name="Normal 18 2 4" xfId="5760"/>
    <cellStyle name="Normal 18 2 4 2" xfId="23523"/>
    <cellStyle name="Normal 18 2 4 2 2" xfId="23524"/>
    <cellStyle name="Normal 18 2 4 2 2 2" xfId="23525"/>
    <cellStyle name="Normal 18 2 4 2 2 2 2" xfId="23526"/>
    <cellStyle name="Normal 18 2 4 2 2 3" xfId="23527"/>
    <cellStyle name="Normal 18 2 4 2 3" xfId="23528"/>
    <cellStyle name="Normal 18 2 4 2 3 2" xfId="23529"/>
    <cellStyle name="Normal 18 2 4 2 4" xfId="23530"/>
    <cellStyle name="Normal 18 2 4 3" xfId="23531"/>
    <cellStyle name="Normal 18 2 4 3 2" xfId="23532"/>
    <cellStyle name="Normal 18 2 4 3 2 2" xfId="23533"/>
    <cellStyle name="Normal 18 2 4 3 3" xfId="23534"/>
    <cellStyle name="Normal 18 2 4 4" xfId="23535"/>
    <cellStyle name="Normal 18 2 4 4 2" xfId="23536"/>
    <cellStyle name="Normal 18 2 4 4 2 2" xfId="23537"/>
    <cellStyle name="Normal 18 2 4 4 3" xfId="23538"/>
    <cellStyle name="Normal 18 2 4 5" xfId="23539"/>
    <cellStyle name="Normal 18 2 4 5 2" xfId="23540"/>
    <cellStyle name="Normal 18 2 4 6" xfId="23541"/>
    <cellStyle name="Normal 18 2 4 7" xfId="23522"/>
    <cellStyle name="Normal 18 2 5" xfId="5761"/>
    <cellStyle name="Normal 18 2 5 2" xfId="23543"/>
    <cellStyle name="Normal 18 2 5 2 2" xfId="23544"/>
    <cellStyle name="Normal 18 2 5 2 2 2" xfId="23545"/>
    <cellStyle name="Normal 18 2 5 2 3" xfId="23546"/>
    <cellStyle name="Normal 18 2 5 3" xfId="23547"/>
    <cellStyle name="Normal 18 2 5 3 2" xfId="23548"/>
    <cellStyle name="Normal 18 2 5 4" xfId="23549"/>
    <cellStyle name="Normal 18 2 5 5" xfId="23550"/>
    <cellStyle name="Normal 18 2 5 6" xfId="23542"/>
    <cellStyle name="Normal 18 2 6" xfId="23551"/>
    <cellStyle name="Normal 18 2 6 2" xfId="23552"/>
    <cellStyle name="Normal 18 2 6 2 2" xfId="23553"/>
    <cellStyle name="Normal 18 2 6 3" xfId="23554"/>
    <cellStyle name="Normal 18 2 7" xfId="23555"/>
    <cellStyle name="Normal 18 2 7 2" xfId="23556"/>
    <cellStyle name="Normal 18 2 7 2 2" xfId="23557"/>
    <cellStyle name="Normal 18 2 7 3" xfId="23558"/>
    <cellStyle name="Normal 18 2 8" xfId="23559"/>
    <cellStyle name="Normal 18 2 8 2" xfId="23560"/>
    <cellStyle name="Normal 18 2 9" xfId="23561"/>
    <cellStyle name="Normal 18 3" xfId="1462"/>
    <cellStyle name="Normal 18 3 2" xfId="5762"/>
    <cellStyle name="Normal 18 3 2 2" xfId="5763"/>
    <cellStyle name="Normal 18 3 2 2 2" xfId="23565"/>
    <cellStyle name="Normal 18 3 2 2 2 2" xfId="23566"/>
    <cellStyle name="Normal 18 3 2 2 3" xfId="23567"/>
    <cellStyle name="Normal 18 3 2 2 4" xfId="23564"/>
    <cellStyle name="Normal 18 3 2 3" xfId="23568"/>
    <cellStyle name="Normal 18 3 2 3 2" xfId="23569"/>
    <cellStyle name="Normal 18 3 2 4" xfId="23570"/>
    <cellStyle name="Normal 18 3 2 5" xfId="23571"/>
    <cellStyle name="Normal 18 3 2 6" xfId="23563"/>
    <cellStyle name="Normal 18 3 3" xfId="5764"/>
    <cellStyle name="Normal 18 3 3 2" xfId="23573"/>
    <cellStyle name="Normal 18 3 3 2 2" xfId="23574"/>
    <cellStyle name="Normal 18 3 3 2 2 2" xfId="23575"/>
    <cellStyle name="Normal 18 3 3 2 3" xfId="23576"/>
    <cellStyle name="Normal 18 3 3 3" xfId="23577"/>
    <cellStyle name="Normal 18 3 3 3 2" xfId="23578"/>
    <cellStyle name="Normal 18 3 3 4" xfId="23579"/>
    <cellStyle name="Normal 18 3 3 5" xfId="23572"/>
    <cellStyle name="Normal 18 3 4" xfId="5765"/>
    <cellStyle name="Normal 18 3 4 2" xfId="23581"/>
    <cellStyle name="Normal 18 3 4 2 2" xfId="23582"/>
    <cellStyle name="Normal 18 3 4 3" xfId="23583"/>
    <cellStyle name="Normal 18 3 4 4" xfId="23580"/>
    <cellStyle name="Normal 18 3 5" xfId="8106"/>
    <cellStyle name="Normal 18 3 5 2" xfId="23585"/>
    <cellStyle name="Normal 18 3 5 2 2" xfId="23586"/>
    <cellStyle name="Normal 18 3 5 3" xfId="23587"/>
    <cellStyle name="Normal 18 3 5 4" xfId="23584"/>
    <cellStyle name="Normal 18 3 6" xfId="23588"/>
    <cellStyle name="Normal 18 3 6 2" xfId="23589"/>
    <cellStyle name="Normal 18 3 7" xfId="23590"/>
    <cellStyle name="Normal 18 3 7 2" xfId="23591"/>
    <cellStyle name="Normal 18 3 8" xfId="23592"/>
    <cellStyle name="Normal 18 3 9" xfId="23562"/>
    <cellStyle name="Normal 18 4" xfId="1463"/>
    <cellStyle name="Normal 18 4 2" xfId="5766"/>
    <cellStyle name="Normal 18 4 2 2" xfId="23595"/>
    <cellStyle name="Normal 18 4 2 2 2" xfId="23596"/>
    <cellStyle name="Normal 18 4 2 2 2 2" xfId="23597"/>
    <cellStyle name="Normal 18 4 2 2 3" xfId="23598"/>
    <cellStyle name="Normal 18 4 2 3" xfId="23599"/>
    <cellStyle name="Normal 18 4 2 3 2" xfId="23600"/>
    <cellStyle name="Normal 18 4 2 4" xfId="23601"/>
    <cellStyle name="Normal 18 4 2 5" xfId="23602"/>
    <cellStyle name="Normal 18 4 2 6" xfId="23594"/>
    <cellStyle name="Normal 18 4 3" xfId="23603"/>
    <cellStyle name="Normal 18 4 3 2" xfId="23604"/>
    <cellStyle name="Normal 18 4 3 2 2" xfId="23605"/>
    <cellStyle name="Normal 18 4 3 2 2 2" xfId="23606"/>
    <cellStyle name="Normal 18 4 3 2 3" xfId="23607"/>
    <cellStyle name="Normal 18 4 3 3" xfId="23608"/>
    <cellStyle name="Normal 18 4 3 3 2" xfId="23609"/>
    <cellStyle name="Normal 18 4 3 4" xfId="23610"/>
    <cellStyle name="Normal 18 4 4" xfId="23611"/>
    <cellStyle name="Normal 18 4 4 2" xfId="23612"/>
    <cellStyle name="Normal 18 4 4 2 2" xfId="23613"/>
    <cellStyle name="Normal 18 4 4 3" xfId="23614"/>
    <cellStyle name="Normal 18 4 5" xfId="23615"/>
    <cellStyle name="Normal 18 4 5 2" xfId="23616"/>
    <cellStyle name="Normal 18 4 5 2 2" xfId="23617"/>
    <cellStyle name="Normal 18 4 5 3" xfId="23618"/>
    <cellStyle name="Normal 18 4 6" xfId="23619"/>
    <cellStyle name="Normal 18 4 6 2" xfId="23620"/>
    <cellStyle name="Normal 18 4 7" xfId="23621"/>
    <cellStyle name="Normal 18 4 7 2" xfId="23622"/>
    <cellStyle name="Normal 18 4 8" xfId="23623"/>
    <cellStyle name="Normal 18 4 9" xfId="23593"/>
    <cellStyle name="Normal 18 5" xfId="1464"/>
    <cellStyle name="Normal 18 5 2" xfId="8107"/>
    <cellStyle name="Normal 18 5 2 2" xfId="23626"/>
    <cellStyle name="Normal 18 5 2 2 2" xfId="23627"/>
    <cellStyle name="Normal 18 5 2 2 2 2" xfId="23628"/>
    <cellStyle name="Normal 18 5 2 2 3" xfId="23629"/>
    <cellStyle name="Normal 18 5 2 3" xfId="23630"/>
    <cellStyle name="Normal 18 5 2 3 2" xfId="23631"/>
    <cellStyle name="Normal 18 5 2 4" xfId="23632"/>
    <cellStyle name="Normal 18 5 2 5" xfId="23625"/>
    <cellStyle name="Normal 18 5 3" xfId="23633"/>
    <cellStyle name="Normal 18 5 3 2" xfId="23634"/>
    <cellStyle name="Normal 18 5 3 2 2" xfId="23635"/>
    <cellStyle name="Normal 18 5 3 3" xfId="23636"/>
    <cellStyle name="Normal 18 5 4" xfId="23637"/>
    <cellStyle name="Normal 18 5 4 2" xfId="23638"/>
    <cellStyle name="Normal 18 5 4 2 2" xfId="23639"/>
    <cellStyle name="Normal 18 5 4 3" xfId="23640"/>
    <cellStyle name="Normal 18 5 5" xfId="23641"/>
    <cellStyle name="Normal 18 5 6" xfId="23624"/>
    <cellStyle name="Normal 18 6" xfId="1465"/>
    <cellStyle name="Normal 18 6 2" xfId="8108"/>
    <cellStyle name="Normal 18 6 2 2" xfId="23644"/>
    <cellStyle name="Normal 18 6 2 2 2" xfId="23645"/>
    <cellStyle name="Normal 18 6 2 3" xfId="23646"/>
    <cellStyle name="Normal 18 6 2 4" xfId="23643"/>
    <cellStyle name="Normal 18 6 3" xfId="23647"/>
    <cellStyle name="Normal 18 6 3 2" xfId="23648"/>
    <cellStyle name="Normal 18 6 4" xfId="23649"/>
    <cellStyle name="Normal 18 6 5" xfId="23650"/>
    <cellStyle name="Normal 18 6 6" xfId="23642"/>
    <cellStyle name="Normal 18 7" xfId="1466"/>
    <cellStyle name="Normal 18 7 2" xfId="23652"/>
    <cellStyle name="Normal 18 7 2 2" xfId="23653"/>
    <cellStyle name="Normal 18 7 3" xfId="23654"/>
    <cellStyle name="Normal 18 7 4" xfId="23651"/>
    <cellStyle name="Normal 18 8" xfId="1467"/>
    <cellStyle name="Normal 18 8 2" xfId="8109"/>
    <cellStyle name="Normal 18 8 2 2" xfId="23657"/>
    <cellStyle name="Normal 18 8 2 3" xfId="23656"/>
    <cellStyle name="Normal 18 8 3" xfId="23658"/>
    <cellStyle name="Normal 18 8 4" xfId="23655"/>
    <cellStyle name="Normal 18 9" xfId="5753"/>
    <cellStyle name="Normal 18 9 2" xfId="23660"/>
    <cellStyle name="Normal 18 9 3" xfId="23659"/>
    <cellStyle name="Normal 180" xfId="5767"/>
    <cellStyle name="Normal 181" xfId="5768"/>
    <cellStyle name="Normal 182" xfId="5769"/>
    <cellStyle name="Normal 183" xfId="5770"/>
    <cellStyle name="Normal 184" xfId="5771"/>
    <cellStyle name="Normal 185" xfId="5772"/>
    <cellStyle name="Normal 186" xfId="5773"/>
    <cellStyle name="Normal 187" xfId="5774"/>
    <cellStyle name="Normal 188" xfId="5775"/>
    <cellStyle name="Normal 189" xfId="5776"/>
    <cellStyle name="Normal 19" xfId="1468"/>
    <cellStyle name="Normal 19 2" xfId="1469"/>
    <cellStyle name="Normal 19 2 2" xfId="5778"/>
    <cellStyle name="Normal 19 2 2 2" xfId="23663"/>
    <cellStyle name="Normal 19 2 2 3" xfId="23662"/>
    <cellStyle name="Normal 19 2 3" xfId="23664"/>
    <cellStyle name="Normal 19 2 4" xfId="23661"/>
    <cellStyle name="Normal 19 3" xfId="1470"/>
    <cellStyle name="Normal 19 3 2" xfId="5779"/>
    <cellStyle name="Normal 19 3 3" xfId="8110"/>
    <cellStyle name="Normal 19 3 4" xfId="23665"/>
    <cellStyle name="Normal 19 4" xfId="1471"/>
    <cellStyle name="Normal 19 4 2" xfId="23666"/>
    <cellStyle name="Normal 19 5" xfId="1472"/>
    <cellStyle name="Normal 19 6" xfId="1473"/>
    <cellStyle name="Normal 19 7" xfId="2782"/>
    <cellStyle name="Normal 19 8" xfId="5777"/>
    <cellStyle name="Normal 190" xfId="5780"/>
    <cellStyle name="Normal 191" xfId="7806"/>
    <cellStyle name="Normal 192" xfId="7892"/>
    <cellStyle name="Normal 193" xfId="7895"/>
    <cellStyle name="Normal 194" xfId="5404"/>
    <cellStyle name="Normal 195" xfId="7897"/>
    <cellStyle name="Normal 196" xfId="8497"/>
    <cellStyle name="Normal 197" xfId="8507"/>
    <cellStyle name="Normal 198" xfId="40397"/>
    <cellStyle name="Normal 199" xfId="40398"/>
    <cellStyle name="Normal 2" xfId="19"/>
    <cellStyle name="Normal 2 10" xfId="1475"/>
    <cellStyle name="Normal 2 10 2" xfId="1476"/>
    <cellStyle name="Normal 2 10 3" xfId="3180"/>
    <cellStyle name="Normal 2 11" xfId="1477"/>
    <cellStyle name="Normal 2 11 10" xfId="23668"/>
    <cellStyle name="Normal 2 11 11" xfId="23669"/>
    <cellStyle name="Normal 2 11 12" xfId="23667"/>
    <cellStyle name="Normal 2 11 2" xfId="1478"/>
    <cellStyle name="Normal 2 11 2 2" xfId="23671"/>
    <cellStyle name="Normal 2 11 2 2 2" xfId="23672"/>
    <cellStyle name="Normal 2 11 2 2 2 2" xfId="23673"/>
    <cellStyle name="Normal 2 11 2 2 2 2 2" xfId="23674"/>
    <cellStyle name="Normal 2 11 2 2 2 3" xfId="23675"/>
    <cellStyle name="Normal 2 11 2 2 3" xfId="23676"/>
    <cellStyle name="Normal 2 11 2 2 3 2" xfId="23677"/>
    <cellStyle name="Normal 2 11 2 2 4" xfId="23678"/>
    <cellStyle name="Normal 2 11 2 2 5" xfId="23679"/>
    <cellStyle name="Normal 2 11 2 3" xfId="23680"/>
    <cellStyle name="Normal 2 11 2 3 2" xfId="23681"/>
    <cellStyle name="Normal 2 11 2 3 2 2" xfId="23682"/>
    <cellStyle name="Normal 2 11 2 3 2 2 2" xfId="23683"/>
    <cellStyle name="Normal 2 11 2 3 2 3" xfId="23684"/>
    <cellStyle name="Normal 2 11 2 3 3" xfId="23685"/>
    <cellStyle name="Normal 2 11 2 3 3 2" xfId="23686"/>
    <cellStyle name="Normal 2 11 2 3 4" xfId="23687"/>
    <cellStyle name="Normal 2 11 2 4" xfId="23688"/>
    <cellStyle name="Normal 2 11 2 4 2" xfId="23689"/>
    <cellStyle name="Normal 2 11 2 4 2 2" xfId="23690"/>
    <cellStyle name="Normal 2 11 2 4 3" xfId="23691"/>
    <cellStyle name="Normal 2 11 2 5" xfId="23692"/>
    <cellStyle name="Normal 2 11 2 5 2" xfId="23693"/>
    <cellStyle name="Normal 2 11 2 5 2 2" xfId="23694"/>
    <cellStyle name="Normal 2 11 2 5 3" xfId="23695"/>
    <cellStyle name="Normal 2 11 2 6" xfId="23696"/>
    <cellStyle name="Normal 2 11 2 6 2" xfId="23697"/>
    <cellStyle name="Normal 2 11 2 7" xfId="23698"/>
    <cellStyle name="Normal 2 11 2 7 2" xfId="23699"/>
    <cellStyle name="Normal 2 11 2 8" xfId="23700"/>
    <cellStyle name="Normal 2 11 2 9" xfId="23670"/>
    <cellStyle name="Normal 2 11 3" xfId="1479"/>
    <cellStyle name="Normal 2 11 3 2" xfId="23702"/>
    <cellStyle name="Normal 2 11 3 2 2" xfId="23703"/>
    <cellStyle name="Normal 2 11 3 2 2 2" xfId="23704"/>
    <cellStyle name="Normal 2 11 3 2 2 2 2" xfId="23705"/>
    <cellStyle name="Normal 2 11 3 2 2 3" xfId="23706"/>
    <cellStyle name="Normal 2 11 3 2 3" xfId="23707"/>
    <cellStyle name="Normal 2 11 3 2 3 2" xfId="23708"/>
    <cellStyle name="Normal 2 11 3 2 4" xfId="23709"/>
    <cellStyle name="Normal 2 11 3 2 5" xfId="23710"/>
    <cellStyle name="Normal 2 11 3 3" xfId="23711"/>
    <cellStyle name="Normal 2 11 3 3 2" xfId="23712"/>
    <cellStyle name="Normal 2 11 3 3 2 2" xfId="23713"/>
    <cellStyle name="Normal 2 11 3 3 2 2 2" xfId="23714"/>
    <cellStyle name="Normal 2 11 3 3 2 3" xfId="23715"/>
    <cellStyle name="Normal 2 11 3 3 3" xfId="23716"/>
    <cellStyle name="Normal 2 11 3 3 3 2" xfId="23717"/>
    <cellStyle name="Normal 2 11 3 3 4" xfId="23718"/>
    <cellStyle name="Normal 2 11 3 4" xfId="23719"/>
    <cellStyle name="Normal 2 11 3 4 2" xfId="23720"/>
    <cellStyle name="Normal 2 11 3 4 2 2" xfId="23721"/>
    <cellStyle name="Normal 2 11 3 4 3" xfId="23722"/>
    <cellStyle name="Normal 2 11 3 5" xfId="23723"/>
    <cellStyle name="Normal 2 11 3 5 2" xfId="23724"/>
    <cellStyle name="Normal 2 11 3 5 2 2" xfId="23725"/>
    <cellStyle name="Normal 2 11 3 5 3" xfId="23726"/>
    <cellStyle name="Normal 2 11 3 6" xfId="23727"/>
    <cellStyle name="Normal 2 11 3 6 2" xfId="23728"/>
    <cellStyle name="Normal 2 11 3 7" xfId="23729"/>
    <cellStyle name="Normal 2 11 3 8" xfId="23730"/>
    <cellStyle name="Normal 2 11 3 9" xfId="23701"/>
    <cellStyle name="Normal 2 11 4" xfId="5781"/>
    <cellStyle name="Normal 2 11 4 2" xfId="23732"/>
    <cellStyle name="Normal 2 11 4 2 2" xfId="23733"/>
    <cellStyle name="Normal 2 11 4 2 2 2" xfId="23734"/>
    <cellStyle name="Normal 2 11 4 2 2 2 2" xfId="23735"/>
    <cellStyle name="Normal 2 11 4 2 2 3" xfId="23736"/>
    <cellStyle name="Normal 2 11 4 2 3" xfId="23737"/>
    <cellStyle name="Normal 2 11 4 2 3 2" xfId="23738"/>
    <cellStyle name="Normal 2 11 4 2 4" xfId="23739"/>
    <cellStyle name="Normal 2 11 4 2 5" xfId="23740"/>
    <cellStyle name="Normal 2 11 4 3" xfId="23741"/>
    <cellStyle name="Normal 2 11 4 3 2" xfId="23742"/>
    <cellStyle name="Normal 2 11 4 3 2 2" xfId="23743"/>
    <cellStyle name="Normal 2 11 4 3 2 2 2" xfId="23744"/>
    <cellStyle name="Normal 2 11 4 3 2 3" xfId="23745"/>
    <cellStyle name="Normal 2 11 4 3 3" xfId="23746"/>
    <cellStyle name="Normal 2 11 4 3 3 2" xfId="23747"/>
    <cellStyle name="Normal 2 11 4 3 4" xfId="23748"/>
    <cellStyle name="Normal 2 11 4 4" xfId="23749"/>
    <cellStyle name="Normal 2 11 4 4 2" xfId="23750"/>
    <cellStyle name="Normal 2 11 4 4 2 2" xfId="23751"/>
    <cellStyle name="Normal 2 11 4 4 3" xfId="23752"/>
    <cellStyle name="Normal 2 11 4 5" xfId="23753"/>
    <cellStyle name="Normal 2 11 4 5 2" xfId="23754"/>
    <cellStyle name="Normal 2 11 4 5 2 2" xfId="23755"/>
    <cellStyle name="Normal 2 11 4 5 3" xfId="23756"/>
    <cellStyle name="Normal 2 11 4 6" xfId="23757"/>
    <cellStyle name="Normal 2 11 4 6 2" xfId="23758"/>
    <cellStyle name="Normal 2 11 4 7" xfId="23759"/>
    <cellStyle name="Normal 2 11 4 8" xfId="23760"/>
    <cellStyle name="Normal 2 11 4 9" xfId="23731"/>
    <cellStyle name="Normal 2 11 5" xfId="23761"/>
    <cellStyle name="Normal 2 11 5 2" xfId="23762"/>
    <cellStyle name="Normal 2 11 5 2 2" xfId="23763"/>
    <cellStyle name="Normal 2 11 5 2 2 2" xfId="23764"/>
    <cellStyle name="Normal 2 11 5 2 2 2 2" xfId="23765"/>
    <cellStyle name="Normal 2 11 5 2 2 3" xfId="23766"/>
    <cellStyle name="Normal 2 11 5 2 3" xfId="23767"/>
    <cellStyle name="Normal 2 11 5 2 3 2" xfId="23768"/>
    <cellStyle name="Normal 2 11 5 2 4" xfId="23769"/>
    <cellStyle name="Normal 2 11 5 3" xfId="23770"/>
    <cellStyle name="Normal 2 11 5 3 2" xfId="23771"/>
    <cellStyle name="Normal 2 11 5 3 2 2" xfId="23772"/>
    <cellStyle name="Normal 2 11 5 3 3" xfId="23773"/>
    <cellStyle name="Normal 2 11 5 4" xfId="23774"/>
    <cellStyle name="Normal 2 11 5 4 2" xfId="23775"/>
    <cellStyle name="Normal 2 11 5 4 2 2" xfId="23776"/>
    <cellStyle name="Normal 2 11 5 4 3" xfId="23777"/>
    <cellStyle name="Normal 2 11 5 5" xfId="23778"/>
    <cellStyle name="Normal 2 11 5 5 2" xfId="23779"/>
    <cellStyle name="Normal 2 11 5 6" xfId="23780"/>
    <cellStyle name="Normal 2 11 5 7" xfId="23781"/>
    <cellStyle name="Normal 2 11 6" xfId="23782"/>
    <cellStyle name="Normal 2 11 6 2" xfId="23783"/>
    <cellStyle name="Normal 2 11 6 2 2" xfId="23784"/>
    <cellStyle name="Normal 2 11 6 2 2 2" xfId="23785"/>
    <cellStyle name="Normal 2 11 6 2 3" xfId="23786"/>
    <cellStyle name="Normal 2 11 6 3" xfId="23787"/>
    <cellStyle name="Normal 2 11 6 3 2" xfId="23788"/>
    <cellStyle name="Normal 2 11 6 4" xfId="23789"/>
    <cellStyle name="Normal 2 11 6 5" xfId="23790"/>
    <cellStyle name="Normal 2 11 7" xfId="23791"/>
    <cellStyle name="Normal 2 11 7 2" xfId="23792"/>
    <cellStyle name="Normal 2 11 7 2 2" xfId="23793"/>
    <cellStyle name="Normal 2 11 7 3" xfId="23794"/>
    <cellStyle name="Normal 2 11 8" xfId="23795"/>
    <cellStyle name="Normal 2 11 8 2" xfId="23796"/>
    <cellStyle name="Normal 2 11 8 2 2" xfId="23797"/>
    <cellStyle name="Normal 2 11 8 3" xfId="23798"/>
    <cellStyle name="Normal 2 11 9" xfId="23799"/>
    <cellStyle name="Normal 2 11 9 2" xfId="23800"/>
    <cellStyle name="Normal 2 12" xfId="1480"/>
    <cellStyle name="Normal 2 12 2" xfId="23802"/>
    <cellStyle name="Normal 2 12 3" xfId="23801"/>
    <cellStyle name="Normal 2 13" xfId="1481"/>
    <cellStyle name="Normal 2 14" xfId="1482"/>
    <cellStyle name="Normal 2 15" xfId="1483"/>
    <cellStyle name="Normal 2 16" xfId="1484"/>
    <cellStyle name="Normal 2 17" xfId="1485"/>
    <cellStyle name="Normal 2 18" xfId="1486"/>
    <cellStyle name="Normal 2 19" xfId="1487"/>
    <cellStyle name="Normal 2 2" xfId="28"/>
    <cellStyle name="Normal 2 2 10" xfId="1489"/>
    <cellStyle name="Normal 2 2 11" xfId="1490"/>
    <cellStyle name="Normal 2 2 12" xfId="1491"/>
    <cellStyle name="Normal 2 2 13" xfId="1492"/>
    <cellStyle name="Normal 2 2 14" xfId="1493"/>
    <cellStyle name="Normal 2 2 15" xfId="1494"/>
    <cellStyle name="Normal 2 2 16" xfId="1495"/>
    <cellStyle name="Normal 2 2 17" xfId="1496"/>
    <cellStyle name="Normal 2 2 18" xfId="1497"/>
    <cellStyle name="Normal 2 2 19" xfId="1498"/>
    <cellStyle name="Normal 2 2 2" xfId="30"/>
    <cellStyle name="Normal 2 2 2 2" xfId="1500"/>
    <cellStyle name="Normal 2 2 2 2 2" xfId="1501"/>
    <cellStyle name="Normal 2 2 2 2 2 2" xfId="5783"/>
    <cellStyle name="Normal 2 2 2 2 3" xfId="2783"/>
    <cellStyle name="Normal 2 2 2 2 4" xfId="7874"/>
    <cellStyle name="Normal 2 2 2 2 5" xfId="5782"/>
    <cellStyle name="Normal 2 2 2 3" xfId="1502"/>
    <cellStyle name="Normal 2 2 2 3 2" xfId="5784"/>
    <cellStyle name="Normal 2 2 2 3 3" xfId="5785"/>
    <cellStyle name="Normal 2 2 2 3 4" xfId="5786"/>
    <cellStyle name="Normal 2 2 2 4" xfId="1503"/>
    <cellStyle name="Normal 2 2 2 4 2" xfId="5787"/>
    <cellStyle name="Normal 2 2 2 4 2 2" xfId="23804"/>
    <cellStyle name="Normal 2 2 2 4 3" xfId="23805"/>
    <cellStyle name="Normal 2 2 2 4 4" xfId="23803"/>
    <cellStyle name="Normal 2 2 2 5" xfId="5788"/>
    <cellStyle name="Normal 2 2 2 6" xfId="23806"/>
    <cellStyle name="Normal 2 2 2_5.2" xfId="5789"/>
    <cellStyle name="Normal 2 2 20" xfId="1504"/>
    <cellStyle name="Normal 2 2 21" xfId="1505"/>
    <cellStyle name="Normal 2 2 22" xfId="1506"/>
    <cellStyle name="Normal 2 2 23" xfId="1507"/>
    <cellStyle name="Normal 2 2 24" xfId="1508"/>
    <cellStyle name="Normal 2 2 25" xfId="1509"/>
    <cellStyle name="Normal 2 2 26" xfId="1510"/>
    <cellStyle name="Normal 2 2 27" xfId="1511"/>
    <cellStyle name="Normal 2 2 28" xfId="1512"/>
    <cellStyle name="Normal 2 2 29" xfId="1513"/>
    <cellStyle name="Normal 2 2 3" xfId="61"/>
    <cellStyle name="Normal 2 2 3 2" xfId="1515"/>
    <cellStyle name="Normal 2 2 3 2 2" xfId="1516"/>
    <cellStyle name="Normal 2 2 3 2 3" xfId="5790"/>
    <cellStyle name="Normal 2 2 3 3" xfId="1517"/>
    <cellStyle name="Normal 2 2 3 3 2" xfId="5791"/>
    <cellStyle name="Normal 2 2 3 3 3" xfId="23807"/>
    <cellStyle name="Normal 2 2 3 4" xfId="1518"/>
    <cellStyle name="Normal 2 2 3 4 2" xfId="5792"/>
    <cellStyle name="Normal 2 2 3 4 2 2" xfId="23809"/>
    <cellStyle name="Normal 2 2 3 4 3" xfId="23810"/>
    <cellStyle name="Normal 2 2 3 4 4" xfId="23808"/>
    <cellStyle name="Normal 2 2 3 5" xfId="1514"/>
    <cellStyle name="Normal 2 2 3 5 2" xfId="23811"/>
    <cellStyle name="Normal 2 2 3 6" xfId="5793"/>
    <cellStyle name="Normal 2 2 3 7" xfId="5794"/>
    <cellStyle name="Normal 2 2 3_5.2" xfId="5795"/>
    <cellStyle name="Normal 2 2 30" xfId="1519"/>
    <cellStyle name="Normal 2 2 31" xfId="1520"/>
    <cellStyle name="Normal 2 2 32" xfId="1521"/>
    <cellStyle name="Normal 2 2 32 2" xfId="1522"/>
    <cellStyle name="Normal 2 2 33" xfId="1523"/>
    <cellStyle name="Normal 2 2 33 2" xfId="1524"/>
    <cellStyle name="Normal 2 2 34" xfId="1525"/>
    <cellStyle name="Normal 2 2 35" xfId="1526"/>
    <cellStyle name="Normal 2 2 36" xfId="1527"/>
    <cellStyle name="Normal 2 2 37" xfId="1528"/>
    <cellStyle name="Normal 2 2 38" xfId="1529"/>
    <cellStyle name="Normal 2 2 39" xfId="1530"/>
    <cellStyle name="Normal 2 2 4" xfId="1531"/>
    <cellStyle name="Normal 2 2 4 2" xfId="1532"/>
    <cellStyle name="Normal 2 2 4 2 2" xfId="5796"/>
    <cellStyle name="Normal 2 2 4 3" xfId="1533"/>
    <cellStyle name="Normal 2 2 4 3 2" xfId="7868"/>
    <cellStyle name="Normal 2 2 4 4" xfId="1534"/>
    <cellStyle name="Normal 2 2 4 5" xfId="1535"/>
    <cellStyle name="Normal 2 2 40" xfId="1536"/>
    <cellStyle name="Normal 2 2 41" xfId="1537"/>
    <cellStyle name="Normal 2 2 42" xfId="1538"/>
    <cellStyle name="Normal 2 2 43" xfId="1539"/>
    <cellStyle name="Normal 2 2 44" xfId="1540"/>
    <cellStyle name="Normal 2 2 45" xfId="3646"/>
    <cellStyle name="Normal 2 2 5" xfId="1541"/>
    <cellStyle name="Normal 2 2 5 2" xfId="1542"/>
    <cellStyle name="Normal 2 2 5 3" xfId="5797"/>
    <cellStyle name="Normal 2 2 5 4" xfId="23812"/>
    <cellStyle name="Normal 2 2 6" xfId="1543"/>
    <cellStyle name="Normal 2 2 6 2" xfId="1544"/>
    <cellStyle name="Normal 2 2 7" xfId="1545"/>
    <cellStyle name="Normal 2 2 8" xfId="1546"/>
    <cellStyle name="Normal 2 2 9" xfId="1547"/>
    <cellStyle name="Normal 2 2_5.2" xfId="5798"/>
    <cellStyle name="Normal 2 20" xfId="1548"/>
    <cellStyle name="Normal 2 21" xfId="1549"/>
    <cellStyle name="Normal 2 21 2" xfId="40421"/>
    <cellStyle name="Normal 2 22" xfId="1550"/>
    <cellStyle name="Normal 2 22 10" xfId="23813"/>
    <cellStyle name="Normal 2 22 2" xfId="5799"/>
    <cellStyle name="Normal 2 22 2 2" xfId="5800"/>
    <cellStyle name="Normal 2 22 2 2 2" xfId="3640"/>
    <cellStyle name="Normal 2 22 2 2 2 2" xfId="7803"/>
    <cellStyle name="Normal 2 22 2 2 2 3" xfId="7882"/>
    <cellStyle name="Normal 2 22 2 3" xfId="7881"/>
    <cellStyle name="Normal 2 22 2 4" xfId="23814"/>
    <cellStyle name="Normal 2 22 3" xfId="5801"/>
    <cellStyle name="Normal 2 22 3 2" xfId="23815"/>
    <cellStyle name="Normal 2 22 4" xfId="5802"/>
    <cellStyle name="Normal 2 22 5" xfId="3641"/>
    <cellStyle name="Normal 2 22 5 2" xfId="7804"/>
    <cellStyle name="Normal 2 22 5 3" xfId="7883"/>
    <cellStyle name="Normal 2 22 6" xfId="7802"/>
    <cellStyle name="Normal 2 22 7" xfId="7869"/>
    <cellStyle name="Normal 2 22 8" xfId="7896"/>
    <cellStyle name="Normal 2 22 9" xfId="3639"/>
    <cellStyle name="Normal 2 23" xfId="1551"/>
    <cellStyle name="Normal 2 23 2" xfId="23817"/>
    <cellStyle name="Normal 2 23 3" xfId="23818"/>
    <cellStyle name="Normal 2 23 4" xfId="23816"/>
    <cellStyle name="Normal 2 24" xfId="1552"/>
    <cellStyle name="Normal 2 24 2" xfId="23819"/>
    <cellStyle name="Normal 2 25" xfId="1553"/>
    <cellStyle name="Normal 2 25 2" xfId="23820"/>
    <cellStyle name="Normal 2 26" xfId="1554"/>
    <cellStyle name="Normal 2 26 2" xfId="40382"/>
    <cellStyle name="Normal 2 27" xfId="1555"/>
    <cellStyle name="Normal 2 27 2" xfId="40383"/>
    <cellStyle name="Normal 2 28" xfId="1556"/>
    <cellStyle name="Normal 2 28 2" xfId="40386"/>
    <cellStyle name="Normal 2 29" xfId="1557"/>
    <cellStyle name="Normal 2 3" xfId="36"/>
    <cellStyle name="Normal 2 3 2" xfId="1559"/>
    <cellStyle name="Normal 2 3 2 2" xfId="1560"/>
    <cellStyle name="Normal 2 3 2 2 2" xfId="23822"/>
    <cellStyle name="Normal 2 3 2 2 3" xfId="23821"/>
    <cellStyle name="Normal 2 3 2 3" xfId="1561"/>
    <cellStyle name="Normal 2 3 2 3 2" xfId="23824"/>
    <cellStyle name="Normal 2 3 2 3 3" xfId="23823"/>
    <cellStyle name="Normal 2 3 2 4" xfId="23825"/>
    <cellStyle name="Normal 2 3 2 5" xfId="23826"/>
    <cellStyle name="Normal 2 3 3" xfId="1562"/>
    <cellStyle name="Normal 2 3 3 2" xfId="1563"/>
    <cellStyle name="Normal 2 3 3 2 2" xfId="23829"/>
    <cellStyle name="Normal 2 3 3 2 3" xfId="23828"/>
    <cellStyle name="Normal 2 3 3 3" xfId="23827"/>
    <cellStyle name="Normal 2 3 4" xfId="1564"/>
    <cellStyle name="Normal 2 3 4 2" xfId="23830"/>
    <cellStyle name="Normal 2 3 5" xfId="1565"/>
    <cellStyle name="Normal 2 3 5 2" xfId="23831"/>
    <cellStyle name="Normal 2 3 6" xfId="1566"/>
    <cellStyle name="Normal 2 3 7" xfId="2459"/>
    <cellStyle name="Normal 2 3 8" xfId="1558"/>
    <cellStyle name="Normal 2 3 9" xfId="8510"/>
    <cellStyle name="Normal 2 3_5.2" xfId="5803"/>
    <cellStyle name="Normal 2 30" xfId="1567"/>
    <cellStyle name="Normal 2 31" xfId="1568"/>
    <cellStyle name="Normal 2 32" xfId="1569"/>
    <cellStyle name="Normal 2 33" xfId="1570"/>
    <cellStyle name="Normal 2 34" xfId="1571"/>
    <cellStyle name="Normal 2 35" xfId="1572"/>
    <cellStyle name="Normal 2 36" xfId="1573"/>
    <cellStyle name="Normal 2 37" xfId="1574"/>
    <cellStyle name="Normal 2 38" xfId="1575"/>
    <cellStyle name="Normal 2 39" xfId="1576"/>
    <cellStyle name="Normal 2 4" xfId="62"/>
    <cellStyle name="Normal 2 4 2" xfId="1578"/>
    <cellStyle name="Normal 2 4 2 2" xfId="1579"/>
    <cellStyle name="Normal 2 4 2 3" xfId="1580"/>
    <cellStyle name="Normal 2 4 3" xfId="1581"/>
    <cellStyle name="Normal 2 4 3 2" xfId="1582"/>
    <cellStyle name="Normal 2 4 3 2 2" xfId="23832"/>
    <cellStyle name="Normal 2 4 3 3" xfId="23833"/>
    <cellStyle name="Normal 2 4 4" xfId="1583"/>
    <cellStyle name="Normal 2 4 4 2" xfId="5806"/>
    <cellStyle name="Normal 2 4 4 2 2" xfId="23835"/>
    <cellStyle name="Normal 2 4 4 3" xfId="5805"/>
    <cellStyle name="Normal 2 4 4 3 2" xfId="23836"/>
    <cellStyle name="Normal 2 4 4 4" xfId="23834"/>
    <cellStyle name="Normal 2 4 5" xfId="1584"/>
    <cellStyle name="Normal 2 4 5 2" xfId="1585"/>
    <cellStyle name="Normal 2 4 5 2 2" xfId="5808"/>
    <cellStyle name="Normal 2 4 5 3" xfId="5807"/>
    <cellStyle name="Normal 2 4 5 4" xfId="23837"/>
    <cellStyle name="Normal 2 4 6" xfId="1586"/>
    <cellStyle name="Normal 2 4 7" xfId="1577"/>
    <cellStyle name="Normal 2 4 8" xfId="5804"/>
    <cellStyle name="Normal 2 4_5.2" xfId="5809"/>
    <cellStyle name="Normal 2 40" xfId="1587"/>
    <cellStyle name="Normal 2 41" xfId="1588"/>
    <cellStyle name="Normal 2 42" xfId="1589"/>
    <cellStyle name="Normal 2 43" xfId="1590"/>
    <cellStyle name="Normal 2 44" xfId="1591"/>
    <cellStyle name="Normal 2 45" xfId="1592"/>
    <cellStyle name="Normal 2 46" xfId="1593"/>
    <cellStyle name="Normal 2 47" xfId="1594"/>
    <cellStyle name="Normal 2 48" xfId="1595"/>
    <cellStyle name="Normal 2 49" xfId="5810"/>
    <cellStyle name="Normal 2 5" xfId="1596"/>
    <cellStyle name="Normal 2 5 2" xfId="1597"/>
    <cellStyle name="Normal 2 5 2 2" xfId="1598"/>
    <cellStyle name="Normal 2 5 3" xfId="1599"/>
    <cellStyle name="Normal 2 5_5.2" xfId="5811"/>
    <cellStyle name="Normal 2 50" xfId="5812"/>
    <cellStyle name="Normal 2 51" xfId="5813"/>
    <cellStyle name="Normal 2 52" xfId="5814"/>
    <cellStyle name="Normal 2 53" xfId="5815"/>
    <cellStyle name="Normal 2 54" xfId="5816"/>
    <cellStyle name="Normal 2 55" xfId="5817"/>
    <cellStyle name="Normal 2 56" xfId="5818"/>
    <cellStyle name="Normal 2 57" xfId="5819"/>
    <cellStyle name="Normal 2 58" xfId="5820"/>
    <cellStyle name="Normal 2 59" xfId="5821"/>
    <cellStyle name="Normal 2 6" xfId="1600"/>
    <cellStyle name="Normal 2 6 10" xfId="40389"/>
    <cellStyle name="Normal 2 6 2" xfId="1601"/>
    <cellStyle name="Normal 2 6 2 2" xfId="1602"/>
    <cellStyle name="Normal 2 6 2 3" xfId="5823"/>
    <cellStyle name="Normal 2 6 3" xfId="1603"/>
    <cellStyle name="Normal 2 6 3 2" xfId="23838"/>
    <cellStyle name="Normal 2 6 3 2 2" xfId="23839"/>
    <cellStyle name="Normal 2 6 3 2 2 2" xfId="23840"/>
    <cellStyle name="Normal 2 6 3 2 2 2 2" xfId="23841"/>
    <cellStyle name="Normal 2 6 3 2 2 3" xfId="23842"/>
    <cellStyle name="Normal 2 6 3 2 3" xfId="23843"/>
    <cellStyle name="Normal 2 6 3 2 3 2" xfId="23844"/>
    <cellStyle name="Normal 2 6 3 2 4" xfId="23845"/>
    <cellStyle name="Normal 2 6 3 2 5" xfId="23846"/>
    <cellStyle name="Normal 2 6 3 3" xfId="23847"/>
    <cellStyle name="Normal 2 6 3 3 2" xfId="23848"/>
    <cellStyle name="Normal 2 6 3 3 2 2" xfId="23849"/>
    <cellStyle name="Normal 2 6 3 3 2 2 2" xfId="23850"/>
    <cellStyle name="Normal 2 6 3 3 2 3" xfId="23851"/>
    <cellStyle name="Normal 2 6 3 3 3" xfId="23852"/>
    <cellStyle name="Normal 2 6 3 3 3 2" xfId="23853"/>
    <cellStyle name="Normal 2 6 3 3 4" xfId="23854"/>
    <cellStyle name="Normal 2 6 3 4" xfId="23855"/>
    <cellStyle name="Normal 2 6 3 4 2" xfId="23856"/>
    <cellStyle name="Normal 2 6 3 4 2 2" xfId="23857"/>
    <cellStyle name="Normal 2 6 3 4 3" xfId="23858"/>
    <cellStyle name="Normal 2 6 3 5" xfId="23859"/>
    <cellStyle name="Normal 2 6 3 5 2" xfId="23860"/>
    <cellStyle name="Normal 2 6 3 5 2 2" xfId="23861"/>
    <cellStyle name="Normal 2 6 3 5 3" xfId="23862"/>
    <cellStyle name="Normal 2 6 3 6" xfId="23863"/>
    <cellStyle name="Normal 2 6 3 6 2" xfId="23864"/>
    <cellStyle name="Normal 2 6 3 6 2 2" xfId="23865"/>
    <cellStyle name="Normal 2 6 3 6 3" xfId="23866"/>
    <cellStyle name="Normal 2 6 3 7" xfId="23867"/>
    <cellStyle name="Normal 2 6 3 7 2" xfId="23868"/>
    <cellStyle name="Normal 2 6 3 8" xfId="23869"/>
    <cellStyle name="Normal 2 6 4" xfId="1604"/>
    <cellStyle name="Normal 2 6 4 2" xfId="5824"/>
    <cellStyle name="Normal 2 6 4 2 2" xfId="23871"/>
    <cellStyle name="Normal 2 6 4 3" xfId="23872"/>
    <cellStyle name="Normal 2 6 4 4" xfId="23870"/>
    <cellStyle name="Normal 2 6 5" xfId="1605"/>
    <cellStyle name="Normal 2 6 5 2" xfId="5825"/>
    <cellStyle name="Normal 2 6 5 3" xfId="23873"/>
    <cellStyle name="Normal 2 6 6" xfId="5826"/>
    <cellStyle name="Normal 2 6 7" xfId="5827"/>
    <cellStyle name="Normal 2 6 8" xfId="7836"/>
    <cellStyle name="Normal 2 6 9" xfId="5822"/>
    <cellStyle name="Normal 2 6_5.2" xfId="5828"/>
    <cellStyle name="Normal 2 60" xfId="5829"/>
    <cellStyle name="Normal 2 61" xfId="5830"/>
    <cellStyle name="Normal 2 62" xfId="5831"/>
    <cellStyle name="Normal 2 63" xfId="5832"/>
    <cellStyle name="Normal 2 64" xfId="5833"/>
    <cellStyle name="Normal 2 65" xfId="5834"/>
    <cellStyle name="Normal 2 66" xfId="5835"/>
    <cellStyle name="Normal 2 67" xfId="5836"/>
    <cellStyle name="Normal 2 68" xfId="5837"/>
    <cellStyle name="Normal 2 69" xfId="5838"/>
    <cellStyle name="Normal 2 7" xfId="1606"/>
    <cellStyle name="Normal 2 7 2" xfId="1607"/>
    <cellStyle name="Normal 2 7 2 10" xfId="23874"/>
    <cellStyle name="Normal 2 7 2 2" xfId="1608"/>
    <cellStyle name="Normal 2 7 2 2 2" xfId="5840"/>
    <cellStyle name="Normal 2 7 2 2 2 2" xfId="5841"/>
    <cellStyle name="Normal 2 7 2 2 2 2 2" xfId="23878"/>
    <cellStyle name="Normal 2 7 2 2 2 2 2 2" xfId="23879"/>
    <cellStyle name="Normal 2 7 2 2 2 2 3" xfId="23880"/>
    <cellStyle name="Normal 2 7 2 2 2 2 4" xfId="23877"/>
    <cellStyle name="Normal 2 7 2 2 2 3" xfId="23881"/>
    <cellStyle name="Normal 2 7 2 2 2 3 2" xfId="23882"/>
    <cellStyle name="Normal 2 7 2 2 2 4" xfId="23883"/>
    <cellStyle name="Normal 2 7 2 2 2 5" xfId="23884"/>
    <cellStyle name="Normal 2 7 2 2 2 6" xfId="23876"/>
    <cellStyle name="Normal 2 7 2 2 3" xfId="5842"/>
    <cellStyle name="Normal 2 7 2 2 3 2" xfId="23886"/>
    <cellStyle name="Normal 2 7 2 2 3 2 2" xfId="23887"/>
    <cellStyle name="Normal 2 7 2 2 3 2 2 2" xfId="23888"/>
    <cellStyle name="Normal 2 7 2 2 3 2 3" xfId="23889"/>
    <cellStyle name="Normal 2 7 2 2 3 3" xfId="23890"/>
    <cellStyle name="Normal 2 7 2 2 3 3 2" xfId="23891"/>
    <cellStyle name="Normal 2 7 2 2 3 4" xfId="23892"/>
    <cellStyle name="Normal 2 7 2 2 3 5" xfId="23885"/>
    <cellStyle name="Normal 2 7 2 2 4" xfId="5843"/>
    <cellStyle name="Normal 2 7 2 2 4 2" xfId="23894"/>
    <cellStyle name="Normal 2 7 2 2 4 2 2" xfId="23895"/>
    <cellStyle name="Normal 2 7 2 2 4 3" xfId="23896"/>
    <cellStyle name="Normal 2 7 2 2 4 4" xfId="23893"/>
    <cellStyle name="Normal 2 7 2 2 5" xfId="5839"/>
    <cellStyle name="Normal 2 7 2 2 5 2" xfId="23898"/>
    <cellStyle name="Normal 2 7 2 2 5 2 2" xfId="23899"/>
    <cellStyle name="Normal 2 7 2 2 5 3" xfId="23900"/>
    <cellStyle name="Normal 2 7 2 2 5 4" xfId="23897"/>
    <cellStyle name="Normal 2 7 2 2 6" xfId="23901"/>
    <cellStyle name="Normal 2 7 2 2 6 2" xfId="23902"/>
    <cellStyle name="Normal 2 7 2 2 7" xfId="23903"/>
    <cellStyle name="Normal 2 7 2 2 8" xfId="23904"/>
    <cellStyle name="Normal 2 7 2 2 9" xfId="23875"/>
    <cellStyle name="Normal 2 7 2 3" xfId="5844"/>
    <cellStyle name="Normal 2 7 2 3 2" xfId="5845"/>
    <cellStyle name="Normal 2 7 2 3 2 2" xfId="5846"/>
    <cellStyle name="Normal 2 7 2 3 2 2 2" xfId="23908"/>
    <cellStyle name="Normal 2 7 2 3 2 2 2 2" xfId="23909"/>
    <cellStyle name="Normal 2 7 2 3 2 2 3" xfId="23910"/>
    <cellStyle name="Normal 2 7 2 3 2 2 4" xfId="23907"/>
    <cellStyle name="Normal 2 7 2 3 2 3" xfId="23911"/>
    <cellStyle name="Normal 2 7 2 3 2 3 2" xfId="23912"/>
    <cellStyle name="Normal 2 7 2 3 2 4" xfId="23913"/>
    <cellStyle name="Normal 2 7 2 3 2 5" xfId="23906"/>
    <cellStyle name="Normal 2 7 2 3 3" xfId="5847"/>
    <cellStyle name="Normal 2 7 2 3 3 2" xfId="23915"/>
    <cellStyle name="Normal 2 7 2 3 3 2 2" xfId="23916"/>
    <cellStyle name="Normal 2 7 2 3 3 3" xfId="23917"/>
    <cellStyle name="Normal 2 7 2 3 3 4" xfId="23914"/>
    <cellStyle name="Normal 2 7 2 3 4" xfId="5848"/>
    <cellStyle name="Normal 2 7 2 3 4 2" xfId="23919"/>
    <cellStyle name="Normal 2 7 2 3 4 2 2" xfId="23920"/>
    <cellStyle name="Normal 2 7 2 3 4 3" xfId="23921"/>
    <cellStyle name="Normal 2 7 2 3 4 4" xfId="23918"/>
    <cellStyle name="Normal 2 7 2 3 5" xfId="23922"/>
    <cellStyle name="Normal 2 7 2 3 5 2" xfId="23923"/>
    <cellStyle name="Normal 2 7 2 3 6" xfId="23924"/>
    <cellStyle name="Normal 2 7 2 3 7" xfId="23925"/>
    <cellStyle name="Normal 2 7 2 3 8" xfId="23905"/>
    <cellStyle name="Normal 2 7 2 4" xfId="5849"/>
    <cellStyle name="Normal 2 7 2 4 2" xfId="23927"/>
    <cellStyle name="Normal 2 7 2 4 2 2" xfId="23928"/>
    <cellStyle name="Normal 2 7 2 4 2 2 2" xfId="23929"/>
    <cellStyle name="Normal 2 7 2 4 2 3" xfId="23930"/>
    <cellStyle name="Normal 2 7 2 4 3" xfId="23931"/>
    <cellStyle name="Normal 2 7 2 4 3 2" xfId="23932"/>
    <cellStyle name="Normal 2 7 2 4 4" xfId="23933"/>
    <cellStyle name="Normal 2 7 2 4 5" xfId="23934"/>
    <cellStyle name="Normal 2 7 2 4 6" xfId="23926"/>
    <cellStyle name="Normal 2 7 2 5" xfId="5850"/>
    <cellStyle name="Normal 2 7 2 5 2" xfId="23936"/>
    <cellStyle name="Normal 2 7 2 5 2 2" xfId="23937"/>
    <cellStyle name="Normal 2 7 2 5 3" xfId="23938"/>
    <cellStyle name="Normal 2 7 2 5 4" xfId="23935"/>
    <cellStyle name="Normal 2 7 2 6" xfId="5851"/>
    <cellStyle name="Normal 2 7 2 6 2" xfId="23940"/>
    <cellStyle name="Normal 2 7 2 6 2 2" xfId="23941"/>
    <cellStyle name="Normal 2 7 2 6 3" xfId="23942"/>
    <cellStyle name="Normal 2 7 2 6 4" xfId="23939"/>
    <cellStyle name="Normal 2 7 2 7" xfId="23943"/>
    <cellStyle name="Normal 2 7 2 7 2" xfId="23944"/>
    <cellStyle name="Normal 2 7 2 8" xfId="23945"/>
    <cellStyle name="Normal 2 7 2 9" xfId="23946"/>
    <cellStyle name="Normal 2 7 3" xfId="1609"/>
    <cellStyle name="Normal 2 7 3 2" xfId="23947"/>
    <cellStyle name="Normal 2 7 4" xfId="23948"/>
    <cellStyle name="Normal 2 70" xfId="5852"/>
    <cellStyle name="Normal 2 71" xfId="5853"/>
    <cellStyle name="Normal 2 72" xfId="5854"/>
    <cellStyle name="Normal 2 73" xfId="5855"/>
    <cellStyle name="Normal 2 74" xfId="5856"/>
    <cellStyle name="Normal 2 75" xfId="5857"/>
    <cellStyle name="Normal 2 76" xfId="5858"/>
    <cellStyle name="Normal 2 77" xfId="40417"/>
    <cellStyle name="Normal 2 8" xfId="63"/>
    <cellStyle name="Normal 2 8 2" xfId="1611"/>
    <cellStyle name="Normal 2 8 2 2" xfId="5859"/>
    <cellStyle name="Normal 2 8 3" xfId="1612"/>
    <cellStyle name="Normal 2 8 4" xfId="1613"/>
    <cellStyle name="Normal 2 8 5" xfId="1610"/>
    <cellStyle name="Normal 2 9" xfId="1614"/>
    <cellStyle name="Normal 2 9 2" xfId="1615"/>
    <cellStyle name="Normal 2 9 2 2" xfId="23950"/>
    <cellStyle name="Normal 2 9 2 2 2" xfId="23951"/>
    <cellStyle name="Normal 2 9 2 2 2 2" xfId="23952"/>
    <cellStyle name="Normal 2 9 2 2 2 2 2" xfId="23953"/>
    <cellStyle name="Normal 2 9 2 2 2 2 2 2" xfId="23954"/>
    <cellStyle name="Normal 2 9 2 2 2 2 3" xfId="23955"/>
    <cellStyle name="Normal 2 9 2 2 2 3" xfId="23956"/>
    <cellStyle name="Normal 2 9 2 2 2 3 2" xfId="23957"/>
    <cellStyle name="Normal 2 9 2 2 2 4" xfId="23958"/>
    <cellStyle name="Normal 2 9 2 2 2 5" xfId="23959"/>
    <cellStyle name="Normal 2 9 2 2 3" xfId="23960"/>
    <cellStyle name="Normal 2 9 2 2 3 2" xfId="23961"/>
    <cellStyle name="Normal 2 9 2 2 3 2 2" xfId="23962"/>
    <cellStyle name="Normal 2 9 2 2 3 2 2 2" xfId="23963"/>
    <cellStyle name="Normal 2 9 2 2 3 2 3" xfId="23964"/>
    <cellStyle name="Normal 2 9 2 2 3 3" xfId="23965"/>
    <cellStyle name="Normal 2 9 2 2 3 3 2" xfId="23966"/>
    <cellStyle name="Normal 2 9 2 2 3 4" xfId="23967"/>
    <cellStyle name="Normal 2 9 2 2 4" xfId="23968"/>
    <cellStyle name="Normal 2 9 2 2 4 2" xfId="23969"/>
    <cellStyle name="Normal 2 9 2 2 4 2 2" xfId="23970"/>
    <cellStyle name="Normal 2 9 2 2 4 3" xfId="23971"/>
    <cellStyle name="Normal 2 9 2 2 5" xfId="23972"/>
    <cellStyle name="Normal 2 9 2 2 5 2" xfId="23973"/>
    <cellStyle name="Normal 2 9 2 2 5 2 2" xfId="23974"/>
    <cellStyle name="Normal 2 9 2 2 5 3" xfId="23975"/>
    <cellStyle name="Normal 2 9 2 2 6" xfId="23976"/>
    <cellStyle name="Normal 2 9 2 2 6 2" xfId="23977"/>
    <cellStyle name="Normal 2 9 2 2 7" xfId="23978"/>
    <cellStyle name="Normal 2 9 2 2 8" xfId="23979"/>
    <cellStyle name="Normal 2 9 2 3" xfId="23980"/>
    <cellStyle name="Normal 2 9 2 4" xfId="23981"/>
    <cellStyle name="Normal 2 9 2 5" xfId="23982"/>
    <cellStyle name="Normal 2 9 2 6" xfId="23949"/>
    <cellStyle name="Normal 2 9 3" xfId="5860"/>
    <cellStyle name="Normal 2_1. AISF Accounts - Dec 2013" xfId="5861"/>
    <cellStyle name="Normal 20" xfId="1616"/>
    <cellStyle name="Normal 20 2" xfId="1617"/>
    <cellStyle name="Normal 20 3" xfId="1618"/>
    <cellStyle name="Normal 20 3 2" xfId="5863"/>
    <cellStyle name="Normal 20 4" xfId="5864"/>
    <cellStyle name="Normal 20 5" xfId="5862"/>
    <cellStyle name="Normal 200" xfId="40401"/>
    <cellStyle name="Normal 201" xfId="40413"/>
    <cellStyle name="Normal 202" xfId="40415"/>
    <cellStyle name="Normal 203" xfId="40416"/>
    <cellStyle name="Normal 204" xfId="40425"/>
    <cellStyle name="Normal 21" xfId="1619"/>
    <cellStyle name="Normal 21 2" xfId="1620"/>
    <cellStyle name="Normal 21 2 2" xfId="5866"/>
    <cellStyle name="Normal 21 3" xfId="1621"/>
    <cellStyle name="Normal 21 3 2" xfId="5867"/>
    <cellStyle name="Normal 21 3 3" xfId="23983"/>
    <cellStyle name="Normal 21 4" xfId="2784"/>
    <cellStyle name="Normal 21 4 2" xfId="7848"/>
    <cellStyle name="Normal 21 4 2 2" xfId="23986"/>
    <cellStyle name="Normal 21 4 2 3" xfId="23985"/>
    <cellStyle name="Normal 21 4 3" xfId="23987"/>
    <cellStyle name="Normal 21 4 4" xfId="23984"/>
    <cellStyle name="Normal 21 5" xfId="5865"/>
    <cellStyle name="Normal 21 5 2" xfId="23988"/>
    <cellStyle name="Normal 22" xfId="1622"/>
    <cellStyle name="Normal 22 10" xfId="23990"/>
    <cellStyle name="Normal 22 10 2" xfId="23991"/>
    <cellStyle name="Normal 22 11" xfId="23992"/>
    <cellStyle name="Normal 22 12" xfId="23993"/>
    <cellStyle name="Normal 22 13" xfId="23994"/>
    <cellStyle name="Normal 22 14" xfId="23989"/>
    <cellStyle name="Normal 22 2" xfId="1623"/>
    <cellStyle name="Normal 22 2 10" xfId="23996"/>
    <cellStyle name="Normal 22 2 11" xfId="23997"/>
    <cellStyle name="Normal 22 2 12" xfId="23995"/>
    <cellStyle name="Normal 22 2 2" xfId="5869"/>
    <cellStyle name="Normal 22 2 2 10" xfId="23999"/>
    <cellStyle name="Normal 22 2 2 10 2" xfId="24000"/>
    <cellStyle name="Normal 22 2 2 11" xfId="24001"/>
    <cellStyle name="Normal 22 2 2 12" xfId="24002"/>
    <cellStyle name="Normal 22 2 2 13" xfId="23998"/>
    <cellStyle name="Normal 22 2 2 2" xfId="5870"/>
    <cellStyle name="Normal 22 2 2 2 2" xfId="24004"/>
    <cellStyle name="Normal 22 2 2 2 2 2" xfId="24005"/>
    <cellStyle name="Normal 22 2 2 2 2 2 2" xfId="24006"/>
    <cellStyle name="Normal 22 2 2 2 2 2 2 2" xfId="24007"/>
    <cellStyle name="Normal 22 2 2 2 2 2 3" xfId="24008"/>
    <cellStyle name="Normal 22 2 2 2 2 3" xfId="24009"/>
    <cellStyle name="Normal 22 2 2 2 2 3 2" xfId="24010"/>
    <cellStyle name="Normal 22 2 2 2 2 4" xfId="24011"/>
    <cellStyle name="Normal 22 2 2 2 2 5" xfId="24012"/>
    <cellStyle name="Normal 22 2 2 2 3" xfId="24013"/>
    <cellStyle name="Normal 22 2 2 2 3 2" xfId="24014"/>
    <cellStyle name="Normal 22 2 2 2 3 2 2" xfId="24015"/>
    <cellStyle name="Normal 22 2 2 2 3 2 2 2" xfId="24016"/>
    <cellStyle name="Normal 22 2 2 2 3 2 3" xfId="24017"/>
    <cellStyle name="Normal 22 2 2 2 3 3" xfId="24018"/>
    <cellStyle name="Normal 22 2 2 2 3 3 2" xfId="24019"/>
    <cellStyle name="Normal 22 2 2 2 3 4" xfId="24020"/>
    <cellStyle name="Normal 22 2 2 2 4" xfId="24021"/>
    <cellStyle name="Normal 22 2 2 2 4 2" xfId="24022"/>
    <cellStyle name="Normal 22 2 2 2 4 2 2" xfId="24023"/>
    <cellStyle name="Normal 22 2 2 2 4 3" xfId="24024"/>
    <cellStyle name="Normal 22 2 2 2 5" xfId="24025"/>
    <cellStyle name="Normal 22 2 2 2 5 2" xfId="24026"/>
    <cellStyle name="Normal 22 2 2 2 5 2 2" xfId="24027"/>
    <cellStyle name="Normal 22 2 2 2 5 3" xfId="24028"/>
    <cellStyle name="Normal 22 2 2 2 6" xfId="24029"/>
    <cellStyle name="Normal 22 2 2 2 6 2" xfId="24030"/>
    <cellStyle name="Normal 22 2 2 2 7" xfId="24031"/>
    <cellStyle name="Normal 22 2 2 2 8" xfId="24032"/>
    <cellStyle name="Normal 22 2 2 2 9" xfId="24003"/>
    <cellStyle name="Normal 22 2 2 3" xfId="24033"/>
    <cellStyle name="Normal 22 2 2 3 2" xfId="24034"/>
    <cellStyle name="Normal 22 2 2 3 2 2" xfId="3183"/>
    <cellStyle name="Normal 22 2 2 3 2 2 2" xfId="8495"/>
    <cellStyle name="Normal 22 2 2 3 2 2 2 2" xfId="24037"/>
    <cellStyle name="Normal 22 2 2 3 2 2 2 3" xfId="24036"/>
    <cellStyle name="Normal 22 2 2 3 2 2 3" xfId="24038"/>
    <cellStyle name="Normal 22 2 2 3 2 2 4" xfId="24035"/>
    <cellStyle name="Normal 22 2 2 3 2 3" xfId="24039"/>
    <cellStyle name="Normal 22 2 2 3 2 3 2" xfId="24040"/>
    <cellStyle name="Normal 22 2 2 3 2 4" xfId="24041"/>
    <cellStyle name="Normal 22 2 2 3 2 5" xfId="24042"/>
    <cellStyle name="Normal 22 2 2 3 3" xfId="24043"/>
    <cellStyle name="Normal 22 2 2 3 3 2" xfId="24044"/>
    <cellStyle name="Normal 22 2 2 3 3 2 2" xfId="24045"/>
    <cellStyle name="Normal 22 2 2 3 3 2 2 2" xfId="24046"/>
    <cellStyle name="Normal 22 2 2 3 3 2 3" xfId="24047"/>
    <cellStyle name="Normal 22 2 2 3 3 3" xfId="24048"/>
    <cellStyle name="Normal 22 2 2 3 3 3 2" xfId="24049"/>
    <cellStyle name="Normal 22 2 2 3 3 4" xfId="24050"/>
    <cellStyle name="Normal 22 2 2 3 4" xfId="24051"/>
    <cellStyle name="Normal 22 2 2 3 4 2" xfId="24052"/>
    <cellStyle name="Normal 22 2 2 3 4 2 2" xfId="24053"/>
    <cellStyle name="Normal 22 2 2 3 4 3" xfId="24054"/>
    <cellStyle name="Normal 22 2 2 3 5" xfId="24055"/>
    <cellStyle name="Normal 22 2 2 3 5 2" xfId="24056"/>
    <cellStyle name="Normal 22 2 2 3 5 2 2" xfId="24057"/>
    <cellStyle name="Normal 22 2 2 3 5 3" xfId="24058"/>
    <cellStyle name="Normal 22 2 2 3 6" xfId="24059"/>
    <cellStyle name="Normal 22 2 2 3 6 2" xfId="24060"/>
    <cellStyle name="Normal 22 2 2 3 7" xfId="24061"/>
    <cellStyle name="Normal 22 2 2 3 8" xfId="24062"/>
    <cellStyle name="Normal 22 2 2 4" xfId="24063"/>
    <cellStyle name="Normal 22 2 2 4 2" xfId="24064"/>
    <cellStyle name="Normal 22 2 2 4 2 2" xfId="24065"/>
    <cellStyle name="Normal 22 2 2 4 2 2 2" xfId="24066"/>
    <cellStyle name="Normal 22 2 2 4 2 2 2 2" xfId="24067"/>
    <cellStyle name="Normal 22 2 2 4 2 2 3" xfId="24068"/>
    <cellStyle name="Normal 22 2 2 4 2 3" xfId="24069"/>
    <cellStyle name="Normal 22 2 2 4 2 3 2" xfId="24070"/>
    <cellStyle name="Normal 22 2 2 4 2 4" xfId="24071"/>
    <cellStyle name="Normal 22 2 2 4 2 5" xfId="24072"/>
    <cellStyle name="Normal 22 2 2 4 3" xfId="24073"/>
    <cellStyle name="Normal 22 2 2 4 3 2" xfId="24074"/>
    <cellStyle name="Normal 22 2 2 4 3 2 2" xfId="24075"/>
    <cellStyle name="Normal 22 2 2 4 3 2 2 2" xfId="24076"/>
    <cellStyle name="Normal 22 2 2 4 3 2 3" xfId="24077"/>
    <cellStyle name="Normal 22 2 2 4 3 3" xfId="24078"/>
    <cellStyle name="Normal 22 2 2 4 3 3 2" xfId="24079"/>
    <cellStyle name="Normal 22 2 2 4 3 4" xfId="24080"/>
    <cellStyle name="Normal 22 2 2 4 4" xfId="24081"/>
    <cellStyle name="Normal 22 2 2 4 4 2" xfId="24082"/>
    <cellStyle name="Normal 22 2 2 4 4 2 2" xfId="24083"/>
    <cellStyle name="Normal 22 2 2 4 4 3" xfId="24084"/>
    <cellStyle name="Normal 22 2 2 4 5" xfId="24085"/>
    <cellStyle name="Normal 22 2 2 4 5 2" xfId="24086"/>
    <cellStyle name="Normal 22 2 2 4 5 2 2" xfId="24087"/>
    <cellStyle name="Normal 22 2 2 4 5 3" xfId="24088"/>
    <cellStyle name="Normal 22 2 2 4 6" xfId="24089"/>
    <cellStyle name="Normal 22 2 2 4 6 2" xfId="24090"/>
    <cellStyle name="Normal 22 2 2 4 7" xfId="24091"/>
    <cellStyle name="Normal 22 2 2 4 8" xfId="24092"/>
    <cellStyle name="Normal 22 2 2 5" xfId="24093"/>
    <cellStyle name="Normal 22 2 2 5 2" xfId="24094"/>
    <cellStyle name="Normal 22 2 2 5 2 2" xfId="24095"/>
    <cellStyle name="Normal 22 2 2 5 2 2 2" xfId="24096"/>
    <cellStyle name="Normal 22 2 2 5 2 2 2 2" xfId="24097"/>
    <cellStyle name="Normal 22 2 2 5 2 2 3" xfId="24098"/>
    <cellStyle name="Normal 22 2 2 5 2 3" xfId="24099"/>
    <cellStyle name="Normal 22 2 2 5 2 3 2" xfId="24100"/>
    <cellStyle name="Normal 22 2 2 5 2 4" xfId="24101"/>
    <cellStyle name="Normal 22 2 2 5 2 5" xfId="24102"/>
    <cellStyle name="Normal 22 2 2 5 3" xfId="24103"/>
    <cellStyle name="Normal 22 2 2 5 3 2" xfId="24104"/>
    <cellStyle name="Normal 22 2 2 5 3 2 2" xfId="24105"/>
    <cellStyle name="Normal 22 2 2 5 3 2 2 2" xfId="24106"/>
    <cellStyle name="Normal 22 2 2 5 3 2 3" xfId="24107"/>
    <cellStyle name="Normal 22 2 2 5 3 3" xfId="24108"/>
    <cellStyle name="Normal 22 2 2 5 3 3 2" xfId="24109"/>
    <cellStyle name="Normal 22 2 2 5 3 4" xfId="24110"/>
    <cellStyle name="Normal 22 2 2 5 4" xfId="24111"/>
    <cellStyle name="Normal 22 2 2 5 4 2" xfId="24112"/>
    <cellStyle name="Normal 22 2 2 5 4 2 2" xfId="24113"/>
    <cellStyle name="Normal 22 2 2 5 4 3" xfId="24114"/>
    <cellStyle name="Normal 22 2 2 5 5" xfId="24115"/>
    <cellStyle name="Normal 22 2 2 5 5 2" xfId="24116"/>
    <cellStyle name="Normal 22 2 2 5 5 2 2" xfId="24117"/>
    <cellStyle name="Normal 22 2 2 5 5 3" xfId="24118"/>
    <cellStyle name="Normal 22 2 2 5 6" xfId="24119"/>
    <cellStyle name="Normal 22 2 2 5 6 2" xfId="24120"/>
    <cellStyle name="Normal 22 2 2 5 7" xfId="24121"/>
    <cellStyle name="Normal 22 2 2 5 8" xfId="24122"/>
    <cellStyle name="Normal 22 2 2 6" xfId="24123"/>
    <cellStyle name="Normal 22 2 2 6 2" xfId="24124"/>
    <cellStyle name="Normal 22 2 2 6 2 2" xfId="24125"/>
    <cellStyle name="Normal 22 2 2 6 2 2 2" xfId="24126"/>
    <cellStyle name="Normal 22 2 2 6 2 2 2 2" xfId="24127"/>
    <cellStyle name="Normal 22 2 2 6 2 2 3" xfId="24128"/>
    <cellStyle name="Normal 22 2 2 6 2 3" xfId="24129"/>
    <cellStyle name="Normal 22 2 2 6 2 3 2" xfId="24130"/>
    <cellStyle name="Normal 22 2 2 6 2 4" xfId="24131"/>
    <cellStyle name="Normal 22 2 2 6 3" xfId="24132"/>
    <cellStyle name="Normal 22 2 2 6 3 2" xfId="24133"/>
    <cellStyle name="Normal 22 2 2 6 3 2 2" xfId="24134"/>
    <cellStyle name="Normal 22 2 2 6 3 3" xfId="24135"/>
    <cellStyle name="Normal 22 2 2 6 4" xfId="24136"/>
    <cellStyle name="Normal 22 2 2 6 4 2" xfId="24137"/>
    <cellStyle name="Normal 22 2 2 6 4 2 2" xfId="24138"/>
    <cellStyle name="Normal 22 2 2 6 4 3" xfId="24139"/>
    <cellStyle name="Normal 22 2 2 6 5" xfId="24140"/>
    <cellStyle name="Normal 22 2 2 6 5 2" xfId="24141"/>
    <cellStyle name="Normal 22 2 2 6 6" xfId="24142"/>
    <cellStyle name="Normal 22 2 2 6 7" xfId="24143"/>
    <cellStyle name="Normal 22 2 2 7" xfId="24144"/>
    <cellStyle name="Normal 22 2 2 7 2" xfId="24145"/>
    <cellStyle name="Normal 22 2 2 7 2 2" xfId="24146"/>
    <cellStyle name="Normal 22 2 2 7 2 2 2" xfId="24147"/>
    <cellStyle name="Normal 22 2 2 7 2 3" xfId="24148"/>
    <cellStyle name="Normal 22 2 2 7 3" xfId="24149"/>
    <cellStyle name="Normal 22 2 2 7 3 2" xfId="24150"/>
    <cellStyle name="Normal 22 2 2 7 4" xfId="24151"/>
    <cellStyle name="Normal 22 2 2 7 5" xfId="24152"/>
    <cellStyle name="Normal 22 2 2 8" xfId="24153"/>
    <cellStyle name="Normal 22 2 2 8 2" xfId="24154"/>
    <cellStyle name="Normal 22 2 2 8 2 2" xfId="24155"/>
    <cellStyle name="Normal 22 2 2 8 3" xfId="24156"/>
    <cellStyle name="Normal 22 2 2 9" xfId="24157"/>
    <cellStyle name="Normal 22 2 2 9 2" xfId="24158"/>
    <cellStyle name="Normal 22 2 2 9 2 2" xfId="24159"/>
    <cellStyle name="Normal 22 2 2 9 3" xfId="24160"/>
    <cellStyle name="Normal 22 2 3" xfId="5871"/>
    <cellStyle name="Normal 22 2 3 2" xfId="24162"/>
    <cellStyle name="Normal 22 2 3 2 2" xfId="24163"/>
    <cellStyle name="Normal 22 2 3 2 2 2" xfId="24164"/>
    <cellStyle name="Normal 22 2 3 2 2 2 2" xfId="24165"/>
    <cellStyle name="Normal 22 2 3 2 2 3" xfId="24166"/>
    <cellStyle name="Normal 22 2 3 2 3" xfId="24167"/>
    <cellStyle name="Normal 22 2 3 2 3 2" xfId="24168"/>
    <cellStyle name="Normal 22 2 3 2 4" xfId="24169"/>
    <cellStyle name="Normal 22 2 3 2 5" xfId="24170"/>
    <cellStyle name="Normal 22 2 3 3" xfId="24171"/>
    <cellStyle name="Normal 22 2 3 3 2" xfId="24172"/>
    <cellStyle name="Normal 22 2 3 3 2 2" xfId="24173"/>
    <cellStyle name="Normal 22 2 3 3 2 2 2" xfId="24174"/>
    <cellStyle name="Normal 22 2 3 3 2 3" xfId="24175"/>
    <cellStyle name="Normal 22 2 3 3 3" xfId="24176"/>
    <cellStyle name="Normal 22 2 3 3 3 2" xfId="24177"/>
    <cellStyle name="Normal 22 2 3 3 4" xfId="24178"/>
    <cellStyle name="Normal 22 2 3 4" xfId="24179"/>
    <cellStyle name="Normal 22 2 3 4 2" xfId="24180"/>
    <cellStyle name="Normal 22 2 3 4 2 2" xfId="24181"/>
    <cellStyle name="Normal 22 2 3 4 3" xfId="24182"/>
    <cellStyle name="Normal 22 2 3 5" xfId="24183"/>
    <cellStyle name="Normal 22 2 3 5 2" xfId="24184"/>
    <cellStyle name="Normal 22 2 3 5 2 2" xfId="24185"/>
    <cellStyle name="Normal 22 2 3 5 3" xfId="24186"/>
    <cellStyle name="Normal 22 2 3 6" xfId="24187"/>
    <cellStyle name="Normal 22 2 3 6 2" xfId="24188"/>
    <cellStyle name="Normal 22 2 3 7" xfId="24189"/>
    <cellStyle name="Normal 22 2 3 8" xfId="24190"/>
    <cellStyle name="Normal 22 2 3 9" xfId="24161"/>
    <cellStyle name="Normal 22 2 4" xfId="5872"/>
    <cellStyle name="Normal 22 2 4 2" xfId="24192"/>
    <cellStyle name="Normal 22 2 4 2 2" xfId="24193"/>
    <cellStyle name="Normal 22 2 4 2 2 2" xfId="24194"/>
    <cellStyle name="Normal 22 2 4 2 2 2 2" xfId="24195"/>
    <cellStyle name="Normal 22 2 4 2 2 3" xfId="24196"/>
    <cellStyle name="Normal 22 2 4 2 3" xfId="24197"/>
    <cellStyle name="Normal 22 2 4 2 3 2" xfId="24198"/>
    <cellStyle name="Normal 22 2 4 2 4" xfId="24199"/>
    <cellStyle name="Normal 22 2 4 2 5" xfId="24200"/>
    <cellStyle name="Normal 22 2 4 3" xfId="24201"/>
    <cellStyle name="Normal 22 2 4 3 2" xfId="24202"/>
    <cellStyle name="Normal 22 2 4 3 2 2" xfId="24203"/>
    <cellStyle name="Normal 22 2 4 3 2 2 2" xfId="24204"/>
    <cellStyle name="Normal 22 2 4 3 2 3" xfId="24205"/>
    <cellStyle name="Normal 22 2 4 3 3" xfId="24206"/>
    <cellStyle name="Normal 22 2 4 3 3 2" xfId="24207"/>
    <cellStyle name="Normal 22 2 4 3 4" xfId="24208"/>
    <cellStyle name="Normal 22 2 4 4" xfId="24209"/>
    <cellStyle name="Normal 22 2 4 4 2" xfId="24210"/>
    <cellStyle name="Normal 22 2 4 4 2 2" xfId="24211"/>
    <cellStyle name="Normal 22 2 4 4 3" xfId="24212"/>
    <cellStyle name="Normal 22 2 4 5" xfId="24213"/>
    <cellStyle name="Normal 22 2 4 5 2" xfId="24214"/>
    <cellStyle name="Normal 22 2 4 5 2 2" xfId="24215"/>
    <cellStyle name="Normal 22 2 4 5 3" xfId="24216"/>
    <cellStyle name="Normal 22 2 4 6" xfId="24217"/>
    <cellStyle name="Normal 22 2 4 6 2" xfId="24218"/>
    <cellStyle name="Normal 22 2 4 7" xfId="24219"/>
    <cellStyle name="Normal 22 2 4 8" xfId="24220"/>
    <cellStyle name="Normal 22 2 4 9" xfId="24191"/>
    <cellStyle name="Normal 22 2 5" xfId="24221"/>
    <cellStyle name="Normal 22 2 5 2" xfId="24222"/>
    <cellStyle name="Normal 22 2 5 2 2" xfId="24223"/>
    <cellStyle name="Normal 22 2 5 2 2 2" xfId="24224"/>
    <cellStyle name="Normal 22 2 5 2 2 2 2" xfId="24225"/>
    <cellStyle name="Normal 22 2 5 2 2 3" xfId="24226"/>
    <cellStyle name="Normal 22 2 5 2 3" xfId="24227"/>
    <cellStyle name="Normal 22 2 5 2 3 2" xfId="24228"/>
    <cellStyle name="Normal 22 2 5 2 4" xfId="24229"/>
    <cellStyle name="Normal 22 2 5 3" xfId="24230"/>
    <cellStyle name="Normal 22 2 5 3 2" xfId="24231"/>
    <cellStyle name="Normal 22 2 5 3 2 2" xfId="24232"/>
    <cellStyle name="Normal 22 2 5 3 3" xfId="24233"/>
    <cellStyle name="Normal 22 2 5 4" xfId="24234"/>
    <cellStyle name="Normal 22 2 5 4 2" xfId="24235"/>
    <cellStyle name="Normal 22 2 5 4 2 2" xfId="24236"/>
    <cellStyle name="Normal 22 2 5 4 3" xfId="24237"/>
    <cellStyle name="Normal 22 2 5 5" xfId="24238"/>
    <cellStyle name="Normal 22 2 5 5 2" xfId="24239"/>
    <cellStyle name="Normal 22 2 5 6" xfId="24240"/>
    <cellStyle name="Normal 22 2 5 7" xfId="24241"/>
    <cellStyle name="Normal 22 2 6" xfId="24242"/>
    <cellStyle name="Normal 22 2 6 2" xfId="24243"/>
    <cellStyle name="Normal 22 2 6 2 2" xfId="24244"/>
    <cellStyle name="Normal 22 2 6 2 2 2" xfId="24245"/>
    <cellStyle name="Normal 22 2 6 2 3" xfId="24246"/>
    <cellStyle name="Normal 22 2 6 3" xfId="24247"/>
    <cellStyle name="Normal 22 2 6 3 2" xfId="24248"/>
    <cellStyle name="Normal 22 2 6 4" xfId="24249"/>
    <cellStyle name="Normal 22 2 6 5" xfId="24250"/>
    <cellStyle name="Normal 22 2 7" xfId="24251"/>
    <cellStyle name="Normal 22 2 7 2" xfId="24252"/>
    <cellStyle name="Normal 22 2 7 2 2" xfId="24253"/>
    <cellStyle name="Normal 22 2 7 3" xfId="24254"/>
    <cellStyle name="Normal 22 2 8" xfId="24255"/>
    <cellStyle name="Normal 22 2 8 2" xfId="24256"/>
    <cellStyle name="Normal 22 2 8 2 2" xfId="24257"/>
    <cellStyle name="Normal 22 2 8 3" xfId="24258"/>
    <cellStyle name="Normal 22 2 9" xfId="24259"/>
    <cellStyle name="Normal 22 2 9 2" xfId="24260"/>
    <cellStyle name="Normal 22 3" xfId="1624"/>
    <cellStyle name="Normal 22 3 2" xfId="5873"/>
    <cellStyle name="Normal 22 3 2 2" xfId="5874"/>
    <cellStyle name="Normal 22 3 2 2 2" xfId="24264"/>
    <cellStyle name="Normal 22 3 2 2 2 2" xfId="24265"/>
    <cellStyle name="Normal 22 3 2 2 3" xfId="24266"/>
    <cellStyle name="Normal 22 3 2 2 4" xfId="24263"/>
    <cellStyle name="Normal 22 3 2 3" xfId="24267"/>
    <cellStyle name="Normal 22 3 2 3 2" xfId="24268"/>
    <cellStyle name="Normal 22 3 2 4" xfId="24269"/>
    <cellStyle name="Normal 22 3 2 5" xfId="3184"/>
    <cellStyle name="Normal 22 3 2 5 2" xfId="8496"/>
    <cellStyle name="Normal 22 3 2 5 3" xfId="24270"/>
    <cellStyle name="Normal 22 3 2 6" xfId="24262"/>
    <cellStyle name="Normal 22 3 3" xfId="5875"/>
    <cellStyle name="Normal 22 3 3 2" xfId="24272"/>
    <cellStyle name="Normal 22 3 3 2 2" xfId="24273"/>
    <cellStyle name="Normal 22 3 3 2 2 2" xfId="24274"/>
    <cellStyle name="Normal 22 3 3 2 3" xfId="24275"/>
    <cellStyle name="Normal 22 3 3 3" xfId="24276"/>
    <cellStyle name="Normal 22 3 3 3 2" xfId="24277"/>
    <cellStyle name="Normal 22 3 3 4" xfId="24278"/>
    <cellStyle name="Normal 22 3 3 5" xfId="24271"/>
    <cellStyle name="Normal 22 3 4" xfId="5876"/>
    <cellStyle name="Normal 22 3 4 2" xfId="24280"/>
    <cellStyle name="Normal 22 3 4 2 2" xfId="24281"/>
    <cellStyle name="Normal 22 3 4 3" xfId="24282"/>
    <cellStyle name="Normal 22 3 4 4" xfId="24279"/>
    <cellStyle name="Normal 22 3 5" xfId="24283"/>
    <cellStyle name="Normal 22 3 5 2" xfId="24284"/>
    <cellStyle name="Normal 22 3 5 2 2" xfId="24285"/>
    <cellStyle name="Normal 22 3 5 3" xfId="24286"/>
    <cellStyle name="Normal 22 3 6" xfId="24287"/>
    <cellStyle name="Normal 22 3 6 2" xfId="24288"/>
    <cellStyle name="Normal 22 3 7" xfId="24289"/>
    <cellStyle name="Normal 22 3 7 2" xfId="24290"/>
    <cellStyle name="Normal 22 3 8" xfId="24291"/>
    <cellStyle name="Normal 22 3 9" xfId="24261"/>
    <cellStyle name="Normal 22 4" xfId="2994"/>
    <cellStyle name="Normal 22 4 2" xfId="5877"/>
    <cellStyle name="Normal 22 4 2 2" xfId="24294"/>
    <cellStyle name="Normal 22 4 2 2 2" xfId="24295"/>
    <cellStyle name="Normal 22 4 2 2 2 2" xfId="24296"/>
    <cellStyle name="Normal 22 4 2 2 3" xfId="24297"/>
    <cellStyle name="Normal 22 4 2 3" xfId="24298"/>
    <cellStyle name="Normal 22 4 2 3 2" xfId="24299"/>
    <cellStyle name="Normal 22 4 2 4" xfId="24300"/>
    <cellStyle name="Normal 22 4 2 5" xfId="24301"/>
    <cellStyle name="Normal 22 4 2 6" xfId="24293"/>
    <cellStyle name="Normal 22 4 3" xfId="24302"/>
    <cellStyle name="Normal 22 4 3 2" xfId="24303"/>
    <cellStyle name="Normal 22 4 3 2 2" xfId="24304"/>
    <cellStyle name="Normal 22 4 3 2 2 2" xfId="24305"/>
    <cellStyle name="Normal 22 4 3 2 3" xfId="24306"/>
    <cellStyle name="Normal 22 4 3 3" xfId="24307"/>
    <cellStyle name="Normal 22 4 3 3 2" xfId="24308"/>
    <cellStyle name="Normal 22 4 3 4" xfId="24309"/>
    <cellStyle name="Normal 22 4 4" xfId="24310"/>
    <cellStyle name="Normal 22 4 4 2" xfId="24311"/>
    <cellStyle name="Normal 22 4 4 2 2" xfId="24312"/>
    <cellStyle name="Normal 22 4 4 3" xfId="24313"/>
    <cellStyle name="Normal 22 4 5" xfId="24314"/>
    <cellStyle name="Normal 22 4 5 2" xfId="24315"/>
    <cellStyle name="Normal 22 4 5 2 2" xfId="24316"/>
    <cellStyle name="Normal 22 4 5 3" xfId="24317"/>
    <cellStyle name="Normal 22 4 6" xfId="24318"/>
    <cellStyle name="Normal 22 4 6 2" xfId="24319"/>
    <cellStyle name="Normal 22 4 7" xfId="24320"/>
    <cellStyle name="Normal 22 4 8" xfId="24321"/>
    <cellStyle name="Normal 22 4 9" xfId="24292"/>
    <cellStyle name="Normal 22 5" xfId="5878"/>
    <cellStyle name="Normal 22 5 2" xfId="24323"/>
    <cellStyle name="Normal 22 5 2 2" xfId="24324"/>
    <cellStyle name="Normal 22 5 2 2 2" xfId="24325"/>
    <cellStyle name="Normal 22 5 2 2 2 2" xfId="24326"/>
    <cellStyle name="Normal 22 5 2 2 3" xfId="24327"/>
    <cellStyle name="Normal 22 5 2 3" xfId="24328"/>
    <cellStyle name="Normal 22 5 2 3 2" xfId="24329"/>
    <cellStyle name="Normal 22 5 2 4" xfId="24330"/>
    <cellStyle name="Normal 22 5 3" xfId="24331"/>
    <cellStyle name="Normal 22 5 3 2" xfId="24332"/>
    <cellStyle name="Normal 22 5 3 2 2" xfId="24333"/>
    <cellStyle name="Normal 22 5 3 3" xfId="24334"/>
    <cellStyle name="Normal 22 5 4" xfId="24335"/>
    <cellStyle name="Normal 22 5 4 2" xfId="24336"/>
    <cellStyle name="Normal 22 5 4 2 2" xfId="24337"/>
    <cellStyle name="Normal 22 5 4 3" xfId="24338"/>
    <cellStyle name="Normal 22 5 5" xfId="24339"/>
    <cellStyle name="Normal 22 5 5 2" xfId="24340"/>
    <cellStyle name="Normal 22 5 6" xfId="24341"/>
    <cellStyle name="Normal 22 5 7" xfId="24342"/>
    <cellStyle name="Normal 22 5 8" xfId="24322"/>
    <cellStyle name="Normal 22 6" xfId="5879"/>
    <cellStyle name="Normal 22 6 2" xfId="24344"/>
    <cellStyle name="Normal 22 6 2 2" xfId="24345"/>
    <cellStyle name="Normal 22 6 2 2 2" xfId="24346"/>
    <cellStyle name="Normal 22 6 2 3" xfId="24347"/>
    <cellStyle name="Normal 22 6 3" xfId="24348"/>
    <cellStyle name="Normal 22 6 3 2" xfId="24349"/>
    <cellStyle name="Normal 22 6 4" xfId="24350"/>
    <cellStyle name="Normal 22 6 5" xfId="24351"/>
    <cellStyle name="Normal 22 6 6" xfId="24343"/>
    <cellStyle name="Normal 22 7" xfId="7849"/>
    <cellStyle name="Normal 22 7 2" xfId="24353"/>
    <cellStyle name="Normal 22 7 2 2" xfId="24354"/>
    <cellStyle name="Normal 22 7 3" xfId="24355"/>
    <cellStyle name="Normal 22 7 4" xfId="24352"/>
    <cellStyle name="Normal 22 8" xfId="5868"/>
    <cellStyle name="Normal 22 8 2" xfId="24357"/>
    <cellStyle name="Normal 22 8 2 2" xfId="24358"/>
    <cellStyle name="Normal 22 8 3" xfId="24359"/>
    <cellStyle name="Normal 22 8 4" xfId="24356"/>
    <cellStyle name="Normal 22 9" xfId="24360"/>
    <cellStyle name="Normal 23" xfId="1625"/>
    <cellStyle name="Normal 23 10" xfId="24362"/>
    <cellStyle name="Normal 23 10 2" xfId="24363"/>
    <cellStyle name="Normal 23 10 2 2" xfId="24364"/>
    <cellStyle name="Normal 23 10 3" xfId="24365"/>
    <cellStyle name="Normal 23 11" xfId="24366"/>
    <cellStyle name="Normal 23 12" xfId="24367"/>
    <cellStyle name="Normal 23 12 2" xfId="24368"/>
    <cellStyle name="Normal 23 13" xfId="24369"/>
    <cellStyle name="Normal 23 14" xfId="24370"/>
    <cellStyle name="Normal 23 15" xfId="24361"/>
    <cellStyle name="Normal 23 2" xfId="1626"/>
    <cellStyle name="Normal 23 2 2" xfId="5881"/>
    <cellStyle name="Normal 23 2 2 2" xfId="24372"/>
    <cellStyle name="Normal 23 2 2 3" xfId="24371"/>
    <cellStyle name="Normal 23 3" xfId="1627"/>
    <cellStyle name="Normal 23 3 10" xfId="24374"/>
    <cellStyle name="Normal 23 3 11" xfId="24375"/>
    <cellStyle name="Normal 23 3 12" xfId="24373"/>
    <cellStyle name="Normal 23 3 2" xfId="5882"/>
    <cellStyle name="Normal 23 3 2 2" xfId="24377"/>
    <cellStyle name="Normal 23 3 2 2 2" xfId="24378"/>
    <cellStyle name="Normal 23 3 2 2 2 2" xfId="24379"/>
    <cellStyle name="Normal 23 3 2 2 2 2 2" xfId="24380"/>
    <cellStyle name="Normal 23 3 2 2 2 3" xfId="24381"/>
    <cellStyle name="Normal 23 3 2 2 3" xfId="24382"/>
    <cellStyle name="Normal 23 3 2 2 3 2" xfId="24383"/>
    <cellStyle name="Normal 23 3 2 2 4" xfId="24384"/>
    <cellStyle name="Normal 23 3 2 2 5" xfId="24385"/>
    <cellStyle name="Normal 23 3 2 3" xfId="24386"/>
    <cellStyle name="Normal 23 3 2 3 2" xfId="24387"/>
    <cellStyle name="Normal 23 3 2 3 2 2" xfId="24388"/>
    <cellStyle name="Normal 23 3 2 3 2 2 2" xfId="24389"/>
    <cellStyle name="Normal 23 3 2 3 2 3" xfId="24390"/>
    <cellStyle name="Normal 23 3 2 3 3" xfId="24391"/>
    <cellStyle name="Normal 23 3 2 3 3 2" xfId="24392"/>
    <cellStyle name="Normal 23 3 2 3 4" xfId="24393"/>
    <cellStyle name="Normal 23 3 2 4" xfId="24394"/>
    <cellStyle name="Normal 23 3 2 4 2" xfId="24395"/>
    <cellStyle name="Normal 23 3 2 4 2 2" xfId="24396"/>
    <cellStyle name="Normal 23 3 2 4 3" xfId="24397"/>
    <cellStyle name="Normal 23 3 2 5" xfId="24398"/>
    <cellStyle name="Normal 23 3 2 5 2" xfId="24399"/>
    <cellStyle name="Normal 23 3 2 5 2 2" xfId="24400"/>
    <cellStyle name="Normal 23 3 2 5 3" xfId="24401"/>
    <cellStyle name="Normal 23 3 2 6" xfId="24402"/>
    <cellStyle name="Normal 23 3 2 6 2" xfId="24403"/>
    <cellStyle name="Normal 23 3 2 7" xfId="24404"/>
    <cellStyle name="Normal 23 3 2 8" xfId="24405"/>
    <cellStyle name="Normal 23 3 2 9" xfId="24376"/>
    <cellStyle name="Normal 23 3 3" xfId="24406"/>
    <cellStyle name="Normal 23 3 3 2" xfId="24407"/>
    <cellStyle name="Normal 23 3 3 2 2" xfId="24408"/>
    <cellStyle name="Normal 23 3 3 2 2 2" xfId="24409"/>
    <cellStyle name="Normal 23 3 3 2 2 2 2" xfId="24410"/>
    <cellStyle name="Normal 23 3 3 2 2 3" xfId="24411"/>
    <cellStyle name="Normal 23 3 3 2 3" xfId="24412"/>
    <cellStyle name="Normal 23 3 3 2 3 2" xfId="24413"/>
    <cellStyle name="Normal 23 3 3 2 4" xfId="24414"/>
    <cellStyle name="Normal 23 3 3 2 5" xfId="24415"/>
    <cellStyle name="Normal 23 3 3 3" xfId="24416"/>
    <cellStyle name="Normal 23 3 3 3 2" xfId="24417"/>
    <cellStyle name="Normal 23 3 3 3 2 2" xfId="24418"/>
    <cellStyle name="Normal 23 3 3 3 2 2 2" xfId="24419"/>
    <cellStyle name="Normal 23 3 3 3 2 3" xfId="24420"/>
    <cellStyle name="Normal 23 3 3 3 3" xfId="24421"/>
    <cellStyle name="Normal 23 3 3 3 3 2" xfId="24422"/>
    <cellStyle name="Normal 23 3 3 3 4" xfId="24423"/>
    <cellStyle name="Normal 23 3 3 4" xfId="24424"/>
    <cellStyle name="Normal 23 3 3 4 2" xfId="24425"/>
    <cellStyle name="Normal 23 3 3 4 2 2" xfId="24426"/>
    <cellStyle name="Normal 23 3 3 4 3" xfId="24427"/>
    <cellStyle name="Normal 23 3 3 5" xfId="24428"/>
    <cellStyle name="Normal 23 3 3 5 2" xfId="24429"/>
    <cellStyle name="Normal 23 3 3 5 2 2" xfId="24430"/>
    <cellStyle name="Normal 23 3 3 5 3" xfId="24431"/>
    <cellStyle name="Normal 23 3 3 6" xfId="24432"/>
    <cellStyle name="Normal 23 3 3 6 2" xfId="24433"/>
    <cellStyle name="Normal 23 3 3 7" xfId="24434"/>
    <cellStyle name="Normal 23 3 3 8" xfId="24435"/>
    <cellStyle name="Normal 23 3 4" xfId="24436"/>
    <cellStyle name="Normal 23 3 4 2" xfId="24437"/>
    <cellStyle name="Normal 23 3 4 2 2" xfId="24438"/>
    <cellStyle name="Normal 23 3 4 2 2 2" xfId="24439"/>
    <cellStyle name="Normal 23 3 4 2 2 2 2" xfId="24440"/>
    <cellStyle name="Normal 23 3 4 2 2 3" xfId="24441"/>
    <cellStyle name="Normal 23 3 4 2 3" xfId="24442"/>
    <cellStyle name="Normal 23 3 4 2 3 2" xfId="24443"/>
    <cellStyle name="Normal 23 3 4 2 4" xfId="24444"/>
    <cellStyle name="Normal 23 3 4 2 5" xfId="24445"/>
    <cellStyle name="Normal 23 3 4 3" xfId="24446"/>
    <cellStyle name="Normal 23 3 4 3 2" xfId="24447"/>
    <cellStyle name="Normal 23 3 4 3 2 2" xfId="24448"/>
    <cellStyle name="Normal 23 3 4 3 2 2 2" xfId="24449"/>
    <cellStyle name="Normal 23 3 4 3 2 3" xfId="24450"/>
    <cellStyle name="Normal 23 3 4 3 3" xfId="24451"/>
    <cellStyle name="Normal 23 3 4 3 3 2" xfId="24452"/>
    <cellStyle name="Normal 23 3 4 3 4" xfId="24453"/>
    <cellStyle name="Normal 23 3 4 4" xfId="24454"/>
    <cellStyle name="Normal 23 3 4 4 2" xfId="24455"/>
    <cellStyle name="Normal 23 3 4 4 2 2" xfId="24456"/>
    <cellStyle name="Normal 23 3 4 4 3" xfId="24457"/>
    <cellStyle name="Normal 23 3 4 5" xfId="24458"/>
    <cellStyle name="Normal 23 3 4 5 2" xfId="24459"/>
    <cellStyle name="Normal 23 3 4 5 2 2" xfId="24460"/>
    <cellStyle name="Normal 23 3 4 5 3" xfId="24461"/>
    <cellStyle name="Normal 23 3 4 6" xfId="24462"/>
    <cellStyle name="Normal 23 3 4 6 2" xfId="24463"/>
    <cellStyle name="Normal 23 3 4 7" xfId="24464"/>
    <cellStyle name="Normal 23 3 4 8" xfId="24465"/>
    <cellStyle name="Normal 23 3 5" xfId="24466"/>
    <cellStyle name="Normal 23 3 5 2" xfId="24467"/>
    <cellStyle name="Normal 23 3 5 2 2" xfId="24468"/>
    <cellStyle name="Normal 23 3 5 2 2 2" xfId="24469"/>
    <cellStyle name="Normal 23 3 5 2 2 2 2" xfId="24470"/>
    <cellStyle name="Normal 23 3 5 2 2 3" xfId="24471"/>
    <cellStyle name="Normal 23 3 5 2 3" xfId="24472"/>
    <cellStyle name="Normal 23 3 5 2 3 2" xfId="24473"/>
    <cellStyle name="Normal 23 3 5 2 4" xfId="24474"/>
    <cellStyle name="Normal 23 3 5 3" xfId="24475"/>
    <cellStyle name="Normal 23 3 5 3 2" xfId="24476"/>
    <cellStyle name="Normal 23 3 5 3 2 2" xfId="24477"/>
    <cellStyle name="Normal 23 3 5 3 3" xfId="24478"/>
    <cellStyle name="Normal 23 3 5 4" xfId="24479"/>
    <cellStyle name="Normal 23 3 5 4 2" xfId="24480"/>
    <cellStyle name="Normal 23 3 5 4 2 2" xfId="24481"/>
    <cellStyle name="Normal 23 3 5 4 3" xfId="24482"/>
    <cellStyle name="Normal 23 3 5 5" xfId="24483"/>
    <cellStyle name="Normal 23 3 5 5 2" xfId="24484"/>
    <cellStyle name="Normal 23 3 5 6" xfId="24485"/>
    <cellStyle name="Normal 23 3 5 7" xfId="24486"/>
    <cellStyle name="Normal 23 3 6" xfId="24487"/>
    <cellStyle name="Normal 23 3 6 2" xfId="24488"/>
    <cellStyle name="Normal 23 3 6 2 2" xfId="24489"/>
    <cellStyle name="Normal 23 3 6 2 2 2" xfId="24490"/>
    <cellStyle name="Normal 23 3 6 2 3" xfId="24491"/>
    <cellStyle name="Normal 23 3 6 3" xfId="24492"/>
    <cellStyle name="Normal 23 3 6 3 2" xfId="24493"/>
    <cellStyle name="Normal 23 3 6 4" xfId="24494"/>
    <cellStyle name="Normal 23 3 6 5" xfId="24495"/>
    <cellStyle name="Normal 23 3 7" xfId="24496"/>
    <cellStyle name="Normal 23 3 7 2" xfId="24497"/>
    <cellStyle name="Normal 23 3 7 2 2" xfId="24498"/>
    <cellStyle name="Normal 23 3 7 3" xfId="24499"/>
    <cellStyle name="Normal 23 3 8" xfId="24500"/>
    <cellStyle name="Normal 23 3 8 2" xfId="24501"/>
    <cellStyle name="Normal 23 3 8 2 2" xfId="24502"/>
    <cellStyle name="Normal 23 3 8 3" xfId="24503"/>
    <cellStyle name="Normal 23 3 9" xfId="24504"/>
    <cellStyle name="Normal 23 3 9 2" xfId="24505"/>
    <cellStyle name="Normal 23 4" xfId="7850"/>
    <cellStyle name="Normal 23 4 2" xfId="24507"/>
    <cellStyle name="Normal 23 4 2 2" xfId="24508"/>
    <cellStyle name="Normal 23 4 2 2 2" xfId="24509"/>
    <cellStyle name="Normal 23 4 2 2 2 2" xfId="24510"/>
    <cellStyle name="Normal 23 4 2 2 3" xfId="24511"/>
    <cellStyle name="Normal 23 4 2 3" xfId="24512"/>
    <cellStyle name="Normal 23 4 2 3 2" xfId="24513"/>
    <cellStyle name="Normal 23 4 2 4" xfId="24514"/>
    <cellStyle name="Normal 23 4 2 5" xfId="24515"/>
    <cellStyle name="Normal 23 4 3" xfId="24516"/>
    <cellStyle name="Normal 23 4 3 2" xfId="24517"/>
    <cellStyle name="Normal 23 4 3 2 2" xfId="24518"/>
    <cellStyle name="Normal 23 4 3 2 2 2" xfId="24519"/>
    <cellStyle name="Normal 23 4 3 2 3" xfId="24520"/>
    <cellStyle name="Normal 23 4 3 3" xfId="24521"/>
    <cellStyle name="Normal 23 4 3 3 2" xfId="24522"/>
    <cellStyle name="Normal 23 4 3 4" xfId="24523"/>
    <cellStyle name="Normal 23 4 4" xfId="24524"/>
    <cellStyle name="Normal 23 4 4 2" xfId="24525"/>
    <cellStyle name="Normal 23 4 4 2 2" xfId="24526"/>
    <cellStyle name="Normal 23 4 4 3" xfId="24527"/>
    <cellStyle name="Normal 23 4 5" xfId="24528"/>
    <cellStyle name="Normal 23 4 5 2" xfId="24529"/>
    <cellStyle name="Normal 23 4 5 2 2" xfId="24530"/>
    <cellStyle name="Normal 23 4 5 3" xfId="24531"/>
    <cellStyle name="Normal 23 4 6" xfId="24532"/>
    <cellStyle name="Normal 23 4 6 2" xfId="24533"/>
    <cellStyle name="Normal 23 4 7" xfId="24534"/>
    <cellStyle name="Normal 23 4 7 2" xfId="24535"/>
    <cellStyle name="Normal 23 4 8" xfId="24536"/>
    <cellStyle name="Normal 23 4 9" xfId="24506"/>
    <cellStyle name="Normal 23 5" xfId="5880"/>
    <cellStyle name="Normal 23 5 2" xfId="24538"/>
    <cellStyle name="Normal 23 5 2 2" xfId="24539"/>
    <cellStyle name="Normal 23 5 2 2 2" xfId="24540"/>
    <cellStyle name="Normal 23 5 2 2 2 2" xfId="24541"/>
    <cellStyle name="Normal 23 5 2 2 3" xfId="24542"/>
    <cellStyle name="Normal 23 5 2 3" xfId="24543"/>
    <cellStyle name="Normal 23 5 2 3 2" xfId="24544"/>
    <cellStyle name="Normal 23 5 2 4" xfId="24545"/>
    <cellStyle name="Normal 23 5 2 5" xfId="24546"/>
    <cellStyle name="Normal 23 5 3" xfId="24547"/>
    <cellStyle name="Normal 23 5 3 2" xfId="24548"/>
    <cellStyle name="Normal 23 5 3 2 2" xfId="24549"/>
    <cellStyle name="Normal 23 5 3 2 2 2" xfId="24550"/>
    <cellStyle name="Normal 23 5 3 2 3" xfId="24551"/>
    <cellStyle name="Normal 23 5 3 3" xfId="24552"/>
    <cellStyle name="Normal 23 5 3 3 2" xfId="24553"/>
    <cellStyle name="Normal 23 5 3 4" xfId="24554"/>
    <cellStyle name="Normal 23 5 4" xfId="24555"/>
    <cellStyle name="Normal 23 5 4 2" xfId="24556"/>
    <cellStyle name="Normal 23 5 4 2 2" xfId="24557"/>
    <cellStyle name="Normal 23 5 4 3" xfId="24558"/>
    <cellStyle name="Normal 23 5 5" xfId="24559"/>
    <cellStyle name="Normal 23 5 5 2" xfId="24560"/>
    <cellStyle name="Normal 23 5 5 2 2" xfId="24561"/>
    <cellStyle name="Normal 23 5 5 3" xfId="24562"/>
    <cellStyle name="Normal 23 5 6" xfId="24563"/>
    <cellStyle name="Normal 23 5 6 2" xfId="24564"/>
    <cellStyle name="Normal 23 5 7" xfId="24565"/>
    <cellStyle name="Normal 23 5 8" xfId="24566"/>
    <cellStyle name="Normal 23 5 9" xfId="24537"/>
    <cellStyle name="Normal 23 6" xfId="24567"/>
    <cellStyle name="Normal 23 6 2" xfId="24568"/>
    <cellStyle name="Normal 23 6 2 2" xfId="24569"/>
    <cellStyle name="Normal 23 6 2 2 2" xfId="24570"/>
    <cellStyle name="Normal 23 6 2 2 2 2" xfId="24571"/>
    <cellStyle name="Normal 23 6 2 2 3" xfId="24572"/>
    <cellStyle name="Normal 23 6 2 3" xfId="24573"/>
    <cellStyle name="Normal 23 6 2 3 2" xfId="24574"/>
    <cellStyle name="Normal 23 6 2 4" xfId="24575"/>
    <cellStyle name="Normal 23 6 2 5" xfId="24576"/>
    <cellStyle name="Normal 23 6 3" xfId="24577"/>
    <cellStyle name="Normal 23 6 3 2" xfId="24578"/>
    <cellStyle name="Normal 23 6 3 2 2" xfId="24579"/>
    <cellStyle name="Normal 23 6 3 2 2 2" xfId="24580"/>
    <cellStyle name="Normal 23 6 3 2 3" xfId="24581"/>
    <cellStyle name="Normal 23 6 3 3" xfId="24582"/>
    <cellStyle name="Normal 23 6 3 3 2" xfId="24583"/>
    <cellStyle name="Normal 23 6 3 4" xfId="24584"/>
    <cellStyle name="Normal 23 6 4" xfId="24585"/>
    <cellStyle name="Normal 23 6 4 2" xfId="24586"/>
    <cellStyle name="Normal 23 6 4 2 2" xfId="24587"/>
    <cellStyle name="Normal 23 6 4 3" xfId="24588"/>
    <cellStyle name="Normal 23 6 5" xfId="24589"/>
    <cellStyle name="Normal 23 6 5 2" xfId="24590"/>
    <cellStyle name="Normal 23 6 5 2 2" xfId="24591"/>
    <cellStyle name="Normal 23 6 5 3" xfId="24592"/>
    <cellStyle name="Normal 23 6 6" xfId="24593"/>
    <cellStyle name="Normal 23 6 6 2" xfId="24594"/>
    <cellStyle name="Normal 23 6 7" xfId="24595"/>
    <cellStyle name="Normal 23 6 8" xfId="24596"/>
    <cellStyle name="Normal 23 7" xfId="24597"/>
    <cellStyle name="Normal 23 7 2" xfId="24598"/>
    <cellStyle name="Normal 23 7 2 2" xfId="24599"/>
    <cellStyle name="Normal 23 7 2 2 2" xfId="24600"/>
    <cellStyle name="Normal 23 7 2 2 2 2" xfId="24601"/>
    <cellStyle name="Normal 23 7 2 2 3" xfId="24602"/>
    <cellStyle name="Normal 23 7 2 3" xfId="24603"/>
    <cellStyle name="Normal 23 7 2 3 2" xfId="24604"/>
    <cellStyle name="Normal 23 7 2 4" xfId="24605"/>
    <cellStyle name="Normal 23 7 2 5" xfId="24606"/>
    <cellStyle name="Normal 23 7 3" xfId="24607"/>
    <cellStyle name="Normal 23 7 3 2" xfId="24608"/>
    <cellStyle name="Normal 23 7 3 2 2" xfId="24609"/>
    <cellStyle name="Normal 23 7 3 3" xfId="24610"/>
    <cellStyle name="Normal 23 7 4" xfId="24611"/>
    <cellStyle name="Normal 23 7 4 2" xfId="24612"/>
    <cellStyle name="Normal 23 7 4 2 2" xfId="24613"/>
    <cellStyle name="Normal 23 7 4 3" xfId="24614"/>
    <cellStyle name="Normal 23 7 5" xfId="24615"/>
    <cellStyle name="Normal 23 7 5 2" xfId="24616"/>
    <cellStyle name="Normal 23 7 6" xfId="24617"/>
    <cellStyle name="Normal 23 7 7" xfId="24618"/>
    <cellStyle name="Normal 23 7 8" xfId="24619"/>
    <cellStyle name="Normal 23 8" xfId="24620"/>
    <cellStyle name="Normal 23 8 2" xfId="24621"/>
    <cellStyle name="Normal 23 8 2 2" xfId="24622"/>
    <cellStyle name="Normal 23 8 2 2 2" xfId="24623"/>
    <cellStyle name="Normal 23 8 2 3" xfId="24624"/>
    <cellStyle name="Normal 23 8 3" xfId="24625"/>
    <cellStyle name="Normal 23 8 3 2" xfId="24626"/>
    <cellStyle name="Normal 23 8 4" xfId="24627"/>
    <cellStyle name="Normal 23 8 5" xfId="24628"/>
    <cellStyle name="Normal 23 9" xfId="24629"/>
    <cellStyle name="Normal 23 9 2" xfId="24630"/>
    <cellStyle name="Normal 23 9 2 2" xfId="24631"/>
    <cellStyle name="Normal 23 9 3" xfId="24632"/>
    <cellStyle name="Normal 24" xfId="1628"/>
    <cellStyle name="Normal 24 2" xfId="1629"/>
    <cellStyle name="Normal 24 2 2" xfId="3134"/>
    <cellStyle name="Normal 24 2 3" xfId="5884"/>
    <cellStyle name="Normal 24 3" xfId="1630"/>
    <cellStyle name="Normal 24 3 2" xfId="5885"/>
    <cellStyle name="Normal 24 4" xfId="2785"/>
    <cellStyle name="Normal 24 4 2" xfId="7851"/>
    <cellStyle name="Normal 24 5" xfId="5883"/>
    <cellStyle name="Normal 24 6" xfId="8111"/>
    <cellStyle name="Normal 25" xfId="1631"/>
    <cellStyle name="Normal 25 10" xfId="24634"/>
    <cellStyle name="Normal 25 11" xfId="24635"/>
    <cellStyle name="Normal 25 11 2" xfId="24636"/>
    <cellStyle name="Normal 25 12" xfId="24637"/>
    <cellStyle name="Normal 25 13" xfId="24638"/>
    <cellStyle name="Normal 25 14" xfId="24633"/>
    <cellStyle name="Normal 25 2" xfId="1632"/>
    <cellStyle name="Normal 25 2 10" xfId="24640"/>
    <cellStyle name="Normal 25 2 10 2" xfId="24641"/>
    <cellStyle name="Normal 25 2 11" xfId="24642"/>
    <cellStyle name="Normal 25 2 12" xfId="24643"/>
    <cellStyle name="Normal 25 2 13" xfId="24639"/>
    <cellStyle name="Normal 25 2 2" xfId="24644"/>
    <cellStyle name="Normal 25 2 2 10" xfId="24645"/>
    <cellStyle name="Normal 25 2 2 11" xfId="24646"/>
    <cellStyle name="Normal 25 2 2 2" xfId="24647"/>
    <cellStyle name="Normal 25 2 2 2 2" xfId="24648"/>
    <cellStyle name="Normal 25 2 2 2 2 2" xfId="24649"/>
    <cellStyle name="Normal 25 2 2 2 2 2 2" xfId="24650"/>
    <cellStyle name="Normal 25 2 2 2 2 2 2 2" xfId="24651"/>
    <cellStyle name="Normal 25 2 2 2 2 2 3" xfId="24652"/>
    <cellStyle name="Normal 25 2 2 2 2 3" xfId="24653"/>
    <cellStyle name="Normal 25 2 2 2 2 3 2" xfId="24654"/>
    <cellStyle name="Normal 25 2 2 2 2 4" xfId="24655"/>
    <cellStyle name="Normal 25 2 2 2 2 5" xfId="24656"/>
    <cellStyle name="Normal 25 2 2 2 3" xfId="24657"/>
    <cellStyle name="Normal 25 2 2 2 3 2" xfId="24658"/>
    <cellStyle name="Normal 25 2 2 2 3 2 2" xfId="24659"/>
    <cellStyle name="Normal 25 2 2 2 3 2 2 2" xfId="24660"/>
    <cellStyle name="Normal 25 2 2 2 3 2 3" xfId="24661"/>
    <cellStyle name="Normal 25 2 2 2 3 3" xfId="24662"/>
    <cellStyle name="Normal 25 2 2 2 3 3 2" xfId="24663"/>
    <cellStyle name="Normal 25 2 2 2 3 4" xfId="24664"/>
    <cellStyle name="Normal 25 2 2 2 4" xfId="24665"/>
    <cellStyle name="Normal 25 2 2 2 4 2" xfId="24666"/>
    <cellStyle name="Normal 25 2 2 2 4 2 2" xfId="24667"/>
    <cellStyle name="Normal 25 2 2 2 4 3" xfId="24668"/>
    <cellStyle name="Normal 25 2 2 2 5" xfId="24669"/>
    <cellStyle name="Normal 25 2 2 2 5 2" xfId="24670"/>
    <cellStyle name="Normal 25 2 2 2 5 2 2" xfId="24671"/>
    <cellStyle name="Normal 25 2 2 2 5 3" xfId="24672"/>
    <cellStyle name="Normal 25 2 2 2 6" xfId="24673"/>
    <cellStyle name="Normal 25 2 2 2 6 2" xfId="24674"/>
    <cellStyle name="Normal 25 2 2 2 7" xfId="24675"/>
    <cellStyle name="Normal 25 2 2 2 8" xfId="24676"/>
    <cellStyle name="Normal 25 2 2 3" xfId="24677"/>
    <cellStyle name="Normal 25 2 2 3 2" xfId="24678"/>
    <cellStyle name="Normal 25 2 2 3 2 2" xfId="24679"/>
    <cellStyle name="Normal 25 2 2 3 2 2 2" xfId="24680"/>
    <cellStyle name="Normal 25 2 2 3 2 2 2 2" xfId="24681"/>
    <cellStyle name="Normal 25 2 2 3 2 2 3" xfId="24682"/>
    <cellStyle name="Normal 25 2 2 3 2 3" xfId="24683"/>
    <cellStyle name="Normal 25 2 2 3 2 3 2" xfId="24684"/>
    <cellStyle name="Normal 25 2 2 3 2 4" xfId="24685"/>
    <cellStyle name="Normal 25 2 2 3 2 5" xfId="24686"/>
    <cellStyle name="Normal 25 2 2 3 3" xfId="24687"/>
    <cellStyle name="Normal 25 2 2 3 3 2" xfId="24688"/>
    <cellStyle name="Normal 25 2 2 3 3 2 2" xfId="24689"/>
    <cellStyle name="Normal 25 2 2 3 3 2 2 2" xfId="24690"/>
    <cellStyle name="Normal 25 2 2 3 3 2 3" xfId="24691"/>
    <cellStyle name="Normal 25 2 2 3 3 3" xfId="24692"/>
    <cellStyle name="Normal 25 2 2 3 3 3 2" xfId="24693"/>
    <cellStyle name="Normal 25 2 2 3 3 4" xfId="24694"/>
    <cellStyle name="Normal 25 2 2 3 4" xfId="24695"/>
    <cellStyle name="Normal 25 2 2 3 4 2" xfId="24696"/>
    <cellStyle name="Normal 25 2 2 3 4 2 2" xfId="24697"/>
    <cellStyle name="Normal 25 2 2 3 4 3" xfId="24698"/>
    <cellStyle name="Normal 25 2 2 3 5" xfId="24699"/>
    <cellStyle name="Normal 25 2 2 3 5 2" xfId="24700"/>
    <cellStyle name="Normal 25 2 2 3 5 2 2" xfId="24701"/>
    <cellStyle name="Normal 25 2 2 3 5 3" xfId="24702"/>
    <cellStyle name="Normal 25 2 2 3 6" xfId="24703"/>
    <cellStyle name="Normal 25 2 2 3 6 2" xfId="24704"/>
    <cellStyle name="Normal 25 2 2 3 7" xfId="24705"/>
    <cellStyle name="Normal 25 2 2 3 8" xfId="24706"/>
    <cellStyle name="Normal 25 2 2 4" xfId="24707"/>
    <cellStyle name="Normal 25 2 2 4 2" xfId="24708"/>
    <cellStyle name="Normal 25 2 2 4 2 2" xfId="24709"/>
    <cellStyle name="Normal 25 2 2 4 2 2 2" xfId="24710"/>
    <cellStyle name="Normal 25 2 2 4 2 2 2 2" xfId="24711"/>
    <cellStyle name="Normal 25 2 2 4 2 2 3" xfId="24712"/>
    <cellStyle name="Normal 25 2 2 4 2 3" xfId="24713"/>
    <cellStyle name="Normal 25 2 2 4 2 3 2" xfId="24714"/>
    <cellStyle name="Normal 25 2 2 4 2 4" xfId="24715"/>
    <cellStyle name="Normal 25 2 2 4 2 5" xfId="24716"/>
    <cellStyle name="Normal 25 2 2 4 3" xfId="24717"/>
    <cellStyle name="Normal 25 2 2 4 3 2" xfId="24718"/>
    <cellStyle name="Normal 25 2 2 4 3 2 2" xfId="24719"/>
    <cellStyle name="Normal 25 2 2 4 3 2 2 2" xfId="24720"/>
    <cellStyle name="Normal 25 2 2 4 3 2 3" xfId="24721"/>
    <cellStyle name="Normal 25 2 2 4 3 3" xfId="24722"/>
    <cellStyle name="Normal 25 2 2 4 3 3 2" xfId="24723"/>
    <cellStyle name="Normal 25 2 2 4 3 4" xfId="24724"/>
    <cellStyle name="Normal 25 2 2 4 4" xfId="24725"/>
    <cellStyle name="Normal 25 2 2 4 4 2" xfId="24726"/>
    <cellStyle name="Normal 25 2 2 4 4 2 2" xfId="24727"/>
    <cellStyle name="Normal 25 2 2 4 4 3" xfId="24728"/>
    <cellStyle name="Normal 25 2 2 4 5" xfId="24729"/>
    <cellStyle name="Normal 25 2 2 4 5 2" xfId="24730"/>
    <cellStyle name="Normal 25 2 2 4 5 2 2" xfId="24731"/>
    <cellStyle name="Normal 25 2 2 4 5 3" xfId="24732"/>
    <cellStyle name="Normal 25 2 2 4 6" xfId="24733"/>
    <cellStyle name="Normal 25 2 2 4 6 2" xfId="24734"/>
    <cellStyle name="Normal 25 2 2 4 7" xfId="24735"/>
    <cellStyle name="Normal 25 2 2 4 8" xfId="24736"/>
    <cellStyle name="Normal 25 2 2 5" xfId="24737"/>
    <cellStyle name="Normal 25 2 2 5 2" xfId="24738"/>
    <cellStyle name="Normal 25 2 2 5 2 2" xfId="24739"/>
    <cellStyle name="Normal 25 2 2 5 2 2 2" xfId="24740"/>
    <cellStyle name="Normal 25 2 2 5 2 2 2 2" xfId="24741"/>
    <cellStyle name="Normal 25 2 2 5 2 2 3" xfId="24742"/>
    <cellStyle name="Normal 25 2 2 5 2 3" xfId="24743"/>
    <cellStyle name="Normal 25 2 2 5 2 3 2" xfId="24744"/>
    <cellStyle name="Normal 25 2 2 5 2 4" xfId="24745"/>
    <cellStyle name="Normal 25 2 2 5 3" xfId="24746"/>
    <cellStyle name="Normal 25 2 2 5 3 2" xfId="24747"/>
    <cellStyle name="Normal 25 2 2 5 3 2 2" xfId="24748"/>
    <cellStyle name="Normal 25 2 2 5 3 3" xfId="24749"/>
    <cellStyle name="Normal 25 2 2 5 4" xfId="24750"/>
    <cellStyle name="Normal 25 2 2 5 4 2" xfId="24751"/>
    <cellStyle name="Normal 25 2 2 5 4 2 2" xfId="24752"/>
    <cellStyle name="Normal 25 2 2 5 4 3" xfId="24753"/>
    <cellStyle name="Normal 25 2 2 5 5" xfId="24754"/>
    <cellStyle name="Normal 25 2 2 5 5 2" xfId="24755"/>
    <cellStyle name="Normal 25 2 2 5 6" xfId="24756"/>
    <cellStyle name="Normal 25 2 2 5 7" xfId="24757"/>
    <cellStyle name="Normal 25 2 2 6" xfId="24758"/>
    <cellStyle name="Normal 25 2 2 6 2" xfId="24759"/>
    <cellStyle name="Normal 25 2 2 6 2 2" xfId="24760"/>
    <cellStyle name="Normal 25 2 2 6 2 2 2" xfId="24761"/>
    <cellStyle name="Normal 25 2 2 6 2 3" xfId="24762"/>
    <cellStyle name="Normal 25 2 2 6 3" xfId="24763"/>
    <cellStyle name="Normal 25 2 2 6 3 2" xfId="24764"/>
    <cellStyle name="Normal 25 2 2 6 4" xfId="24765"/>
    <cellStyle name="Normal 25 2 2 6 5" xfId="24766"/>
    <cellStyle name="Normal 25 2 2 7" xfId="24767"/>
    <cellStyle name="Normal 25 2 2 7 2" xfId="24768"/>
    <cellStyle name="Normal 25 2 2 7 2 2" xfId="24769"/>
    <cellStyle name="Normal 25 2 2 7 3" xfId="24770"/>
    <cellStyle name="Normal 25 2 2 8" xfId="24771"/>
    <cellStyle name="Normal 25 2 2 8 2" xfId="24772"/>
    <cellStyle name="Normal 25 2 2 8 2 2" xfId="24773"/>
    <cellStyle name="Normal 25 2 2 8 3" xfId="24774"/>
    <cellStyle name="Normal 25 2 2 9" xfId="24775"/>
    <cellStyle name="Normal 25 2 2 9 2" xfId="24776"/>
    <cellStyle name="Normal 25 2 3" xfId="24777"/>
    <cellStyle name="Normal 25 2 3 2" xfId="24778"/>
    <cellStyle name="Normal 25 2 3 2 2" xfId="24779"/>
    <cellStyle name="Normal 25 2 3 2 2 2" xfId="24780"/>
    <cellStyle name="Normal 25 2 3 2 2 2 2" xfId="24781"/>
    <cellStyle name="Normal 25 2 3 2 2 3" xfId="24782"/>
    <cellStyle name="Normal 25 2 3 2 3" xfId="24783"/>
    <cellStyle name="Normal 25 2 3 2 3 2" xfId="24784"/>
    <cellStyle name="Normal 25 2 3 2 4" xfId="24785"/>
    <cellStyle name="Normal 25 2 3 2 5" xfId="24786"/>
    <cellStyle name="Normal 25 2 3 3" xfId="24787"/>
    <cellStyle name="Normal 25 2 3 3 2" xfId="24788"/>
    <cellStyle name="Normal 25 2 3 3 2 2" xfId="24789"/>
    <cellStyle name="Normal 25 2 3 3 2 2 2" xfId="24790"/>
    <cellStyle name="Normal 25 2 3 3 2 3" xfId="24791"/>
    <cellStyle name="Normal 25 2 3 3 3" xfId="24792"/>
    <cellStyle name="Normal 25 2 3 3 3 2" xfId="24793"/>
    <cellStyle name="Normal 25 2 3 3 4" xfId="24794"/>
    <cellStyle name="Normal 25 2 3 4" xfId="24795"/>
    <cellStyle name="Normal 25 2 3 4 2" xfId="24796"/>
    <cellStyle name="Normal 25 2 3 4 2 2" xfId="24797"/>
    <cellStyle name="Normal 25 2 3 4 3" xfId="24798"/>
    <cellStyle name="Normal 25 2 3 5" xfId="24799"/>
    <cellStyle name="Normal 25 2 3 5 2" xfId="24800"/>
    <cellStyle name="Normal 25 2 3 5 2 2" xfId="24801"/>
    <cellStyle name="Normal 25 2 3 5 3" xfId="24802"/>
    <cellStyle name="Normal 25 2 3 6" xfId="24803"/>
    <cellStyle name="Normal 25 2 3 6 2" xfId="24804"/>
    <cellStyle name="Normal 25 2 3 7" xfId="24805"/>
    <cellStyle name="Normal 25 2 3 8" xfId="24806"/>
    <cellStyle name="Normal 25 2 4" xfId="24807"/>
    <cellStyle name="Normal 25 2 4 2" xfId="24808"/>
    <cellStyle name="Normal 25 2 4 2 2" xfId="24809"/>
    <cellStyle name="Normal 25 2 4 2 2 2" xfId="24810"/>
    <cellStyle name="Normal 25 2 4 2 2 2 2" xfId="24811"/>
    <cellStyle name="Normal 25 2 4 2 2 3" xfId="24812"/>
    <cellStyle name="Normal 25 2 4 2 3" xfId="24813"/>
    <cellStyle name="Normal 25 2 4 2 3 2" xfId="24814"/>
    <cellStyle name="Normal 25 2 4 2 4" xfId="24815"/>
    <cellStyle name="Normal 25 2 4 2 5" xfId="24816"/>
    <cellStyle name="Normal 25 2 4 3" xfId="24817"/>
    <cellStyle name="Normal 25 2 4 3 2" xfId="24818"/>
    <cellStyle name="Normal 25 2 4 3 2 2" xfId="24819"/>
    <cellStyle name="Normal 25 2 4 3 2 2 2" xfId="24820"/>
    <cellStyle name="Normal 25 2 4 3 2 3" xfId="24821"/>
    <cellStyle name="Normal 25 2 4 3 3" xfId="24822"/>
    <cellStyle name="Normal 25 2 4 3 3 2" xfId="24823"/>
    <cellStyle name="Normal 25 2 4 3 4" xfId="24824"/>
    <cellStyle name="Normal 25 2 4 4" xfId="24825"/>
    <cellStyle name="Normal 25 2 4 4 2" xfId="24826"/>
    <cellStyle name="Normal 25 2 4 4 2 2" xfId="24827"/>
    <cellStyle name="Normal 25 2 4 4 3" xfId="24828"/>
    <cellStyle name="Normal 25 2 4 5" xfId="24829"/>
    <cellStyle name="Normal 25 2 4 5 2" xfId="24830"/>
    <cellStyle name="Normal 25 2 4 5 2 2" xfId="24831"/>
    <cellStyle name="Normal 25 2 4 5 3" xfId="24832"/>
    <cellStyle name="Normal 25 2 4 6" xfId="24833"/>
    <cellStyle name="Normal 25 2 4 6 2" xfId="24834"/>
    <cellStyle name="Normal 25 2 4 7" xfId="24835"/>
    <cellStyle name="Normal 25 2 4 8" xfId="24836"/>
    <cellStyle name="Normal 25 2 5" xfId="24837"/>
    <cellStyle name="Normal 25 2 5 2" xfId="24838"/>
    <cellStyle name="Normal 25 2 5 2 2" xfId="24839"/>
    <cellStyle name="Normal 25 2 5 2 2 2" xfId="24840"/>
    <cellStyle name="Normal 25 2 5 2 2 2 2" xfId="24841"/>
    <cellStyle name="Normal 25 2 5 2 2 3" xfId="24842"/>
    <cellStyle name="Normal 25 2 5 2 3" xfId="24843"/>
    <cellStyle name="Normal 25 2 5 2 3 2" xfId="24844"/>
    <cellStyle name="Normal 25 2 5 2 4" xfId="24845"/>
    <cellStyle name="Normal 25 2 5 2 5" xfId="24846"/>
    <cellStyle name="Normal 25 2 5 3" xfId="24847"/>
    <cellStyle name="Normal 25 2 5 3 2" xfId="24848"/>
    <cellStyle name="Normal 25 2 5 3 2 2" xfId="24849"/>
    <cellStyle name="Normal 25 2 5 3 2 2 2" xfId="24850"/>
    <cellStyle name="Normal 25 2 5 3 2 3" xfId="24851"/>
    <cellStyle name="Normal 25 2 5 3 3" xfId="24852"/>
    <cellStyle name="Normal 25 2 5 3 3 2" xfId="24853"/>
    <cellStyle name="Normal 25 2 5 3 4" xfId="24854"/>
    <cellStyle name="Normal 25 2 5 4" xfId="24855"/>
    <cellStyle name="Normal 25 2 5 4 2" xfId="24856"/>
    <cellStyle name="Normal 25 2 5 4 2 2" xfId="24857"/>
    <cellStyle name="Normal 25 2 5 4 3" xfId="24858"/>
    <cellStyle name="Normal 25 2 5 5" xfId="24859"/>
    <cellStyle name="Normal 25 2 5 5 2" xfId="24860"/>
    <cellStyle name="Normal 25 2 5 5 2 2" xfId="24861"/>
    <cellStyle name="Normal 25 2 5 5 3" xfId="24862"/>
    <cellStyle name="Normal 25 2 5 6" xfId="24863"/>
    <cellStyle name="Normal 25 2 5 6 2" xfId="24864"/>
    <cellStyle name="Normal 25 2 5 7" xfId="24865"/>
    <cellStyle name="Normal 25 2 5 8" xfId="24866"/>
    <cellStyle name="Normal 25 2 6" xfId="24867"/>
    <cellStyle name="Normal 25 2 6 2" xfId="24868"/>
    <cellStyle name="Normal 25 2 6 2 2" xfId="24869"/>
    <cellStyle name="Normal 25 2 6 2 2 2" xfId="24870"/>
    <cellStyle name="Normal 25 2 6 2 2 2 2" xfId="24871"/>
    <cellStyle name="Normal 25 2 6 2 2 3" xfId="24872"/>
    <cellStyle name="Normal 25 2 6 2 3" xfId="24873"/>
    <cellStyle name="Normal 25 2 6 2 3 2" xfId="24874"/>
    <cellStyle name="Normal 25 2 6 2 4" xfId="24875"/>
    <cellStyle name="Normal 25 2 6 3" xfId="24876"/>
    <cellStyle name="Normal 25 2 6 3 2" xfId="24877"/>
    <cellStyle name="Normal 25 2 6 3 2 2" xfId="24878"/>
    <cellStyle name="Normal 25 2 6 3 3" xfId="24879"/>
    <cellStyle name="Normal 25 2 6 4" xfId="24880"/>
    <cellStyle name="Normal 25 2 6 4 2" xfId="24881"/>
    <cellStyle name="Normal 25 2 6 4 2 2" xfId="24882"/>
    <cellStyle name="Normal 25 2 6 4 3" xfId="24883"/>
    <cellStyle name="Normal 25 2 6 5" xfId="24884"/>
    <cellStyle name="Normal 25 2 6 5 2" xfId="24885"/>
    <cellStyle name="Normal 25 2 6 6" xfId="24886"/>
    <cellStyle name="Normal 25 2 6 7" xfId="24887"/>
    <cellStyle name="Normal 25 2 7" xfId="24888"/>
    <cellStyle name="Normal 25 2 7 2" xfId="24889"/>
    <cellStyle name="Normal 25 2 7 2 2" xfId="24890"/>
    <cellStyle name="Normal 25 2 7 2 2 2" xfId="24891"/>
    <cellStyle name="Normal 25 2 7 2 3" xfId="24892"/>
    <cellStyle name="Normal 25 2 7 3" xfId="24893"/>
    <cellStyle name="Normal 25 2 7 3 2" xfId="24894"/>
    <cellStyle name="Normal 25 2 7 4" xfId="24895"/>
    <cellStyle name="Normal 25 2 7 5" xfId="24896"/>
    <cellStyle name="Normal 25 2 8" xfId="24897"/>
    <cellStyle name="Normal 25 2 8 2" xfId="24898"/>
    <cellStyle name="Normal 25 2 8 2 2" xfId="24899"/>
    <cellStyle name="Normal 25 2 8 3" xfId="24900"/>
    <cellStyle name="Normal 25 2 9" xfId="24901"/>
    <cellStyle name="Normal 25 2 9 2" xfId="24902"/>
    <cellStyle name="Normal 25 2 9 2 2" xfId="24903"/>
    <cellStyle name="Normal 25 2 9 3" xfId="24904"/>
    <cellStyle name="Normal 25 3" xfId="1633"/>
    <cellStyle name="Normal 25 3 2" xfId="24906"/>
    <cellStyle name="Normal 25 3 2 2" xfId="24907"/>
    <cellStyle name="Normal 25 3 2 2 2" xfId="24908"/>
    <cellStyle name="Normal 25 3 2 2 2 2" xfId="24909"/>
    <cellStyle name="Normal 25 3 2 2 3" xfId="24910"/>
    <cellStyle name="Normal 25 3 2 3" xfId="24911"/>
    <cellStyle name="Normal 25 3 2 3 2" xfId="24912"/>
    <cellStyle name="Normal 25 3 2 4" xfId="24913"/>
    <cellStyle name="Normal 25 3 3" xfId="24914"/>
    <cellStyle name="Normal 25 3 3 2" xfId="24915"/>
    <cellStyle name="Normal 25 3 3 2 2" xfId="24916"/>
    <cellStyle name="Normal 25 3 3 2 2 2" xfId="24917"/>
    <cellStyle name="Normal 25 3 3 2 3" xfId="24918"/>
    <cellStyle name="Normal 25 3 3 3" xfId="24919"/>
    <cellStyle name="Normal 25 3 3 3 2" xfId="24920"/>
    <cellStyle name="Normal 25 3 3 4" xfId="24921"/>
    <cellStyle name="Normal 25 3 4" xfId="24922"/>
    <cellStyle name="Normal 25 3 4 2" xfId="24923"/>
    <cellStyle name="Normal 25 3 4 2 2" xfId="24924"/>
    <cellStyle name="Normal 25 3 4 3" xfId="24925"/>
    <cellStyle name="Normal 25 3 5" xfId="24926"/>
    <cellStyle name="Normal 25 3 5 2" xfId="24927"/>
    <cellStyle name="Normal 25 3 5 2 2" xfId="24928"/>
    <cellStyle name="Normal 25 3 5 3" xfId="24929"/>
    <cellStyle name="Normal 25 3 6" xfId="24930"/>
    <cellStyle name="Normal 25 3 6 2" xfId="24931"/>
    <cellStyle name="Normal 25 3 7" xfId="24932"/>
    <cellStyle name="Normal 25 3 8" xfId="24933"/>
    <cellStyle name="Normal 25 3 9" xfId="24905"/>
    <cellStyle name="Normal 25 4" xfId="2928"/>
    <cellStyle name="Normal 25 4 2" xfId="24935"/>
    <cellStyle name="Normal 25 4 2 2" xfId="24936"/>
    <cellStyle name="Normal 25 4 2 2 2" xfId="24937"/>
    <cellStyle name="Normal 25 4 2 2 2 2" xfId="24938"/>
    <cellStyle name="Normal 25 4 2 2 3" xfId="24939"/>
    <cellStyle name="Normal 25 4 2 3" xfId="24940"/>
    <cellStyle name="Normal 25 4 2 3 2" xfId="24941"/>
    <cellStyle name="Normal 25 4 2 4" xfId="24942"/>
    <cellStyle name="Normal 25 4 2 5" xfId="24943"/>
    <cellStyle name="Normal 25 4 3" xfId="24944"/>
    <cellStyle name="Normal 25 4 3 2" xfId="24945"/>
    <cellStyle name="Normal 25 4 3 2 2" xfId="24946"/>
    <cellStyle name="Normal 25 4 3 2 2 2" xfId="24947"/>
    <cellStyle name="Normal 25 4 3 2 3" xfId="24948"/>
    <cellStyle name="Normal 25 4 3 3" xfId="24949"/>
    <cellStyle name="Normal 25 4 3 3 2" xfId="24950"/>
    <cellStyle name="Normal 25 4 3 4" xfId="24951"/>
    <cellStyle name="Normal 25 4 4" xfId="24952"/>
    <cellStyle name="Normal 25 4 4 2" xfId="24953"/>
    <cellStyle name="Normal 25 4 4 2 2" xfId="24954"/>
    <cellStyle name="Normal 25 4 4 3" xfId="24955"/>
    <cellStyle name="Normal 25 4 5" xfId="24956"/>
    <cellStyle name="Normal 25 4 5 2" xfId="24957"/>
    <cellStyle name="Normal 25 4 5 2 2" xfId="24958"/>
    <cellStyle name="Normal 25 4 5 3" xfId="24959"/>
    <cellStyle name="Normal 25 4 6" xfId="24960"/>
    <cellStyle name="Normal 25 4 6 2" xfId="24961"/>
    <cellStyle name="Normal 25 4 7" xfId="24962"/>
    <cellStyle name="Normal 25 4 8" xfId="24963"/>
    <cellStyle name="Normal 25 4 9" xfId="24934"/>
    <cellStyle name="Normal 25 5" xfId="5886"/>
    <cellStyle name="Normal 25 5 2" xfId="24965"/>
    <cellStyle name="Normal 25 5 2 2" xfId="24966"/>
    <cellStyle name="Normal 25 5 2 2 2" xfId="24967"/>
    <cellStyle name="Normal 25 5 2 2 2 2" xfId="24968"/>
    <cellStyle name="Normal 25 5 2 2 3" xfId="24969"/>
    <cellStyle name="Normal 25 5 2 3" xfId="24970"/>
    <cellStyle name="Normal 25 5 2 3 2" xfId="24971"/>
    <cellStyle name="Normal 25 5 2 4" xfId="24972"/>
    <cellStyle name="Normal 25 5 2 5" xfId="24973"/>
    <cellStyle name="Normal 25 5 3" xfId="24974"/>
    <cellStyle name="Normal 25 5 3 2" xfId="24975"/>
    <cellStyle name="Normal 25 5 3 2 2" xfId="24976"/>
    <cellStyle name="Normal 25 5 3 2 2 2" xfId="24977"/>
    <cellStyle name="Normal 25 5 3 2 3" xfId="24978"/>
    <cellStyle name="Normal 25 5 3 3" xfId="24979"/>
    <cellStyle name="Normal 25 5 3 3 2" xfId="24980"/>
    <cellStyle name="Normal 25 5 3 4" xfId="24981"/>
    <cellStyle name="Normal 25 5 4" xfId="24982"/>
    <cellStyle name="Normal 25 5 4 2" xfId="24983"/>
    <cellStyle name="Normal 25 5 4 2 2" xfId="24984"/>
    <cellStyle name="Normal 25 5 4 3" xfId="24985"/>
    <cellStyle name="Normal 25 5 5" xfId="24986"/>
    <cellStyle name="Normal 25 5 5 2" xfId="24987"/>
    <cellStyle name="Normal 25 5 5 2 2" xfId="24988"/>
    <cellStyle name="Normal 25 5 5 3" xfId="24989"/>
    <cellStyle name="Normal 25 5 6" xfId="24990"/>
    <cellStyle name="Normal 25 5 6 2" xfId="24991"/>
    <cellStyle name="Normal 25 5 7" xfId="24992"/>
    <cellStyle name="Normal 25 5 8" xfId="24993"/>
    <cellStyle name="Normal 25 5 9" xfId="24964"/>
    <cellStyle name="Normal 25 6" xfId="24994"/>
    <cellStyle name="Normal 25 6 2" xfId="24995"/>
    <cellStyle name="Normal 25 6 2 2" xfId="24996"/>
    <cellStyle name="Normal 25 6 2 2 2" xfId="24997"/>
    <cellStyle name="Normal 25 6 2 2 2 2" xfId="24998"/>
    <cellStyle name="Normal 25 6 2 2 3" xfId="24999"/>
    <cellStyle name="Normal 25 6 2 3" xfId="25000"/>
    <cellStyle name="Normal 25 6 2 3 2" xfId="25001"/>
    <cellStyle name="Normal 25 6 2 4" xfId="25002"/>
    <cellStyle name="Normal 25 6 3" xfId="25003"/>
    <cellStyle name="Normal 25 6 3 2" xfId="25004"/>
    <cellStyle name="Normal 25 6 3 2 2" xfId="25005"/>
    <cellStyle name="Normal 25 6 3 3" xfId="25006"/>
    <cellStyle name="Normal 25 6 4" xfId="25007"/>
    <cellStyle name="Normal 25 6 4 2" xfId="25008"/>
    <cellStyle name="Normal 25 6 4 2 2" xfId="25009"/>
    <cellStyle name="Normal 25 6 4 3" xfId="25010"/>
    <cellStyle name="Normal 25 6 5" xfId="25011"/>
    <cellStyle name="Normal 25 6 5 2" xfId="25012"/>
    <cellStyle name="Normal 25 6 6" xfId="25013"/>
    <cellStyle name="Normal 25 6 7" xfId="25014"/>
    <cellStyle name="Normal 25 7" xfId="25015"/>
    <cellStyle name="Normal 25 7 2" xfId="25016"/>
    <cellStyle name="Normal 25 7 2 2" xfId="25017"/>
    <cellStyle name="Normal 25 7 2 2 2" xfId="25018"/>
    <cellStyle name="Normal 25 7 2 3" xfId="25019"/>
    <cellStyle name="Normal 25 7 3" xfId="25020"/>
    <cellStyle name="Normal 25 7 3 2" xfId="25021"/>
    <cellStyle name="Normal 25 7 4" xfId="25022"/>
    <cellStyle name="Normal 25 7 5" xfId="25023"/>
    <cellStyle name="Normal 25 8" xfId="25024"/>
    <cellStyle name="Normal 25 8 2" xfId="25025"/>
    <cellStyle name="Normal 25 8 2 2" xfId="25026"/>
    <cellStyle name="Normal 25 8 3" xfId="25027"/>
    <cellStyle name="Normal 25 9" xfId="25028"/>
    <cellStyle name="Normal 25 9 2" xfId="25029"/>
    <cellStyle name="Normal 25 9 2 2" xfId="25030"/>
    <cellStyle name="Normal 25 9 3" xfId="25031"/>
    <cellStyle name="Normal 26" xfId="34"/>
    <cellStyle name="Normal 26 2" xfId="1635"/>
    <cellStyle name="Normal 26 2 2" xfId="5888"/>
    <cellStyle name="Normal 26 3" xfId="1636"/>
    <cellStyle name="Normal 26 3 2" xfId="5889"/>
    <cellStyle name="Normal 26 4" xfId="2786"/>
    <cellStyle name="Normal 26 4 2" xfId="7852"/>
    <cellStyle name="Normal 26 5" xfId="5887"/>
    <cellStyle name="Normal 27" xfId="1637"/>
    <cellStyle name="Normal 27 2" xfId="1638"/>
    <cellStyle name="Normal 27 2 2" xfId="7853"/>
    <cellStyle name="Normal 27 2 3" xfId="8112"/>
    <cellStyle name="Normal 27 2 4" xfId="25033"/>
    <cellStyle name="Normal 27 3" xfId="1639"/>
    <cellStyle name="Normal 27 3 2" xfId="1640"/>
    <cellStyle name="Normal 27 3 2 2" xfId="8114"/>
    <cellStyle name="Normal 27 3 2 3" xfId="25035"/>
    <cellStyle name="Normal 27 3 3" xfId="1641"/>
    <cellStyle name="Normal 27 3 3 2" xfId="8115"/>
    <cellStyle name="Normal 27 3 3 3" xfId="25036"/>
    <cellStyle name="Normal 27 3 4" xfId="8113"/>
    <cellStyle name="Normal 27 3 4 2" xfId="25037"/>
    <cellStyle name="Normal 27 3 5" xfId="25034"/>
    <cellStyle name="Normal 27 4" xfId="1642"/>
    <cellStyle name="Normal 27 5" xfId="1643"/>
    <cellStyle name="Normal 27 6" xfId="1644"/>
    <cellStyle name="Normal 27 7" xfId="3039"/>
    <cellStyle name="Normal 27 8" xfId="5890"/>
    <cellStyle name="Normal 27 9" xfId="25032"/>
    <cellStyle name="Normal 28" xfId="1645"/>
    <cellStyle name="Normal 28 2" xfId="1646"/>
    <cellStyle name="Normal 28 2 2" xfId="5892"/>
    <cellStyle name="Normal 28 2 2 2" xfId="25039"/>
    <cellStyle name="Normal 28 2 2 3" xfId="25038"/>
    <cellStyle name="Normal 28 3" xfId="5893"/>
    <cellStyle name="Normal 28 4" xfId="7854"/>
    <cellStyle name="Normal 28 5" xfId="5891"/>
    <cellStyle name="Normal 29" xfId="1647"/>
    <cellStyle name="Normal 29 10" xfId="25041"/>
    <cellStyle name="Normal 29 11" xfId="25042"/>
    <cellStyle name="Normal 29 12" xfId="25040"/>
    <cellStyle name="Normal 29 2" xfId="1648"/>
    <cellStyle name="Normal 29 2 2" xfId="25044"/>
    <cellStyle name="Normal 29 2 2 2" xfId="25045"/>
    <cellStyle name="Normal 29 2 2 2 2" xfId="25046"/>
    <cellStyle name="Normal 29 2 2 2 2 2" xfId="25047"/>
    <cellStyle name="Normal 29 2 2 2 3" xfId="25048"/>
    <cellStyle name="Normal 29 2 2 3" xfId="25049"/>
    <cellStyle name="Normal 29 2 2 3 2" xfId="25050"/>
    <cellStyle name="Normal 29 2 2 4" xfId="25051"/>
    <cellStyle name="Normal 29 2 2 5" xfId="25052"/>
    <cellStyle name="Normal 29 2 3" xfId="25053"/>
    <cellStyle name="Normal 29 2 3 2" xfId="25054"/>
    <cellStyle name="Normal 29 2 3 2 2" xfId="25055"/>
    <cellStyle name="Normal 29 2 3 2 2 2" xfId="25056"/>
    <cellStyle name="Normal 29 2 3 2 3" xfId="25057"/>
    <cellStyle name="Normal 29 2 3 3" xfId="25058"/>
    <cellStyle name="Normal 29 2 3 3 2" xfId="25059"/>
    <cellStyle name="Normal 29 2 3 4" xfId="25060"/>
    <cellStyle name="Normal 29 2 4" xfId="25061"/>
    <cellStyle name="Normal 29 2 4 2" xfId="25062"/>
    <cellStyle name="Normal 29 2 4 2 2" xfId="25063"/>
    <cellStyle name="Normal 29 2 4 3" xfId="25064"/>
    <cellStyle name="Normal 29 2 5" xfId="25065"/>
    <cellStyle name="Normal 29 2 5 2" xfId="25066"/>
    <cellStyle name="Normal 29 2 5 2 2" xfId="25067"/>
    <cellStyle name="Normal 29 2 5 3" xfId="25068"/>
    <cellStyle name="Normal 29 2 6" xfId="25069"/>
    <cellStyle name="Normal 29 2 6 2" xfId="25070"/>
    <cellStyle name="Normal 29 2 7" xfId="25071"/>
    <cellStyle name="Normal 29 2 7 2" xfId="25072"/>
    <cellStyle name="Normal 29 2 8" xfId="25073"/>
    <cellStyle name="Normal 29 2 9" xfId="25043"/>
    <cellStyle name="Normal 29 3" xfId="3166"/>
    <cellStyle name="Normal 29 3 2" xfId="25075"/>
    <cellStyle name="Normal 29 3 2 2" xfId="25076"/>
    <cellStyle name="Normal 29 3 2 2 2" xfId="25077"/>
    <cellStyle name="Normal 29 3 2 2 2 2" xfId="25078"/>
    <cellStyle name="Normal 29 3 2 2 3" xfId="25079"/>
    <cellStyle name="Normal 29 3 2 3" xfId="25080"/>
    <cellStyle name="Normal 29 3 2 3 2" xfId="25081"/>
    <cellStyle name="Normal 29 3 2 4" xfId="25082"/>
    <cellStyle name="Normal 29 3 2 5" xfId="25083"/>
    <cellStyle name="Normal 29 3 3" xfId="25084"/>
    <cellStyle name="Normal 29 3 3 2" xfId="25085"/>
    <cellStyle name="Normal 29 3 3 2 2" xfId="25086"/>
    <cellStyle name="Normal 29 3 3 2 2 2" xfId="25087"/>
    <cellStyle name="Normal 29 3 3 2 3" xfId="25088"/>
    <cellStyle name="Normal 29 3 3 3" xfId="25089"/>
    <cellStyle name="Normal 29 3 3 3 2" xfId="25090"/>
    <cellStyle name="Normal 29 3 3 4" xfId="25091"/>
    <cellStyle name="Normal 29 3 4" xfId="25092"/>
    <cellStyle name="Normal 29 3 4 2" xfId="25093"/>
    <cellStyle name="Normal 29 3 4 2 2" xfId="25094"/>
    <cellStyle name="Normal 29 3 4 3" xfId="25095"/>
    <cellStyle name="Normal 29 3 5" xfId="25096"/>
    <cellStyle name="Normal 29 3 5 2" xfId="25097"/>
    <cellStyle name="Normal 29 3 5 2 2" xfId="25098"/>
    <cellStyle name="Normal 29 3 5 3" xfId="25099"/>
    <cellStyle name="Normal 29 3 6" xfId="25100"/>
    <cellStyle name="Normal 29 3 6 2" xfId="25101"/>
    <cellStyle name="Normal 29 3 7" xfId="25102"/>
    <cellStyle name="Normal 29 3 8" xfId="25103"/>
    <cellStyle name="Normal 29 3 9" xfId="25074"/>
    <cellStyle name="Normal 29 4" xfId="5894"/>
    <cellStyle name="Normal 29 4 2" xfId="25105"/>
    <cellStyle name="Normal 29 4 2 2" xfId="25106"/>
    <cellStyle name="Normal 29 4 2 2 2" xfId="25107"/>
    <cellStyle name="Normal 29 4 2 2 2 2" xfId="25108"/>
    <cellStyle name="Normal 29 4 2 2 3" xfId="25109"/>
    <cellStyle name="Normal 29 4 2 3" xfId="25110"/>
    <cellStyle name="Normal 29 4 2 3 2" xfId="25111"/>
    <cellStyle name="Normal 29 4 2 4" xfId="25112"/>
    <cellStyle name="Normal 29 4 2 5" xfId="25113"/>
    <cellStyle name="Normal 29 4 3" xfId="25114"/>
    <cellStyle name="Normal 29 4 3 2" xfId="25115"/>
    <cellStyle name="Normal 29 4 3 2 2" xfId="25116"/>
    <cellStyle name="Normal 29 4 3 2 2 2" xfId="25117"/>
    <cellStyle name="Normal 29 4 3 2 3" xfId="25118"/>
    <cellStyle name="Normal 29 4 3 3" xfId="25119"/>
    <cellStyle name="Normal 29 4 3 3 2" xfId="25120"/>
    <cellStyle name="Normal 29 4 3 4" xfId="25121"/>
    <cellStyle name="Normal 29 4 4" xfId="25122"/>
    <cellStyle name="Normal 29 4 4 2" xfId="25123"/>
    <cellStyle name="Normal 29 4 4 2 2" xfId="25124"/>
    <cellStyle name="Normal 29 4 4 3" xfId="25125"/>
    <cellStyle name="Normal 29 4 5" xfId="25126"/>
    <cellStyle name="Normal 29 4 5 2" xfId="25127"/>
    <cellStyle name="Normal 29 4 5 2 2" xfId="25128"/>
    <cellStyle name="Normal 29 4 5 3" xfId="25129"/>
    <cellStyle name="Normal 29 4 6" xfId="25130"/>
    <cellStyle name="Normal 29 4 6 2" xfId="25131"/>
    <cellStyle name="Normal 29 4 7" xfId="25132"/>
    <cellStyle name="Normal 29 4 8" xfId="25133"/>
    <cellStyle name="Normal 29 4 9" xfId="25104"/>
    <cellStyle name="Normal 29 5" xfId="25134"/>
    <cellStyle name="Normal 29 5 2" xfId="25135"/>
    <cellStyle name="Normal 29 5 2 2" xfId="25136"/>
    <cellStyle name="Normal 29 5 2 2 2" xfId="25137"/>
    <cellStyle name="Normal 29 5 2 2 2 2" xfId="25138"/>
    <cellStyle name="Normal 29 5 2 2 3" xfId="25139"/>
    <cellStyle name="Normal 29 5 2 3" xfId="25140"/>
    <cellStyle name="Normal 29 5 2 3 2" xfId="25141"/>
    <cellStyle name="Normal 29 5 2 4" xfId="25142"/>
    <cellStyle name="Normal 29 5 3" xfId="25143"/>
    <cellStyle name="Normal 29 5 3 2" xfId="25144"/>
    <cellStyle name="Normal 29 5 3 2 2" xfId="25145"/>
    <cellStyle name="Normal 29 5 3 3" xfId="25146"/>
    <cellStyle name="Normal 29 5 4" xfId="25147"/>
    <cellStyle name="Normal 29 5 4 2" xfId="25148"/>
    <cellStyle name="Normal 29 5 4 2 2" xfId="25149"/>
    <cellStyle name="Normal 29 5 4 3" xfId="25150"/>
    <cellStyle name="Normal 29 5 5" xfId="25151"/>
    <cellStyle name="Normal 29 5 5 2" xfId="25152"/>
    <cellStyle name="Normal 29 5 6" xfId="25153"/>
    <cellStyle name="Normal 29 5 7" xfId="25154"/>
    <cellStyle name="Normal 29 6" xfId="25155"/>
    <cellStyle name="Normal 29 6 2" xfId="25156"/>
    <cellStyle name="Normal 29 6 2 2" xfId="25157"/>
    <cellStyle name="Normal 29 6 2 2 2" xfId="25158"/>
    <cellStyle name="Normal 29 6 2 3" xfId="25159"/>
    <cellStyle name="Normal 29 6 3" xfId="25160"/>
    <cellStyle name="Normal 29 6 3 2" xfId="25161"/>
    <cellStyle name="Normal 29 6 4" xfId="25162"/>
    <cellStyle name="Normal 29 6 5" xfId="25163"/>
    <cellStyle name="Normal 29 7" xfId="25164"/>
    <cellStyle name="Normal 29 7 2" xfId="25165"/>
    <cellStyle name="Normal 29 7 2 2" xfId="25166"/>
    <cellStyle name="Normal 29 7 3" xfId="25167"/>
    <cellStyle name="Normal 29 8" xfId="25168"/>
    <cellStyle name="Normal 29 8 2" xfId="25169"/>
    <cellStyle name="Normal 29 8 2 2" xfId="25170"/>
    <cellStyle name="Normal 29 8 3" xfId="25171"/>
    <cellStyle name="Normal 29 9" xfId="25172"/>
    <cellStyle name="Normal 29 9 2" xfId="25173"/>
    <cellStyle name="Normal 3" xfId="23"/>
    <cellStyle name="Normal 3 10" xfId="1650"/>
    <cellStyle name="Normal 3 10 2" xfId="25175"/>
    <cellStyle name="Normal 3 10 2 2" xfId="25176"/>
    <cellStyle name="Normal 3 10 3" xfId="25177"/>
    <cellStyle name="Normal 3 10 4" xfId="25178"/>
    <cellStyle name="Normal 3 10 5" xfId="25179"/>
    <cellStyle name="Normal 3 10 6" xfId="25174"/>
    <cellStyle name="Normal 3 11" xfId="1649"/>
    <cellStyle name="Normal 3 11 2" xfId="5895"/>
    <cellStyle name="Normal 3 11 2 2" xfId="25182"/>
    <cellStyle name="Normal 3 11 2 3" xfId="25181"/>
    <cellStyle name="Normal 3 11 3" xfId="25183"/>
    <cellStyle name="Normal 3 11 4" xfId="25184"/>
    <cellStyle name="Normal 3 11 5" xfId="8518"/>
    <cellStyle name="Normal 3 11 6" xfId="25180"/>
    <cellStyle name="Normal 3 12" xfId="5896"/>
    <cellStyle name="Normal 3 12 2" xfId="25186"/>
    <cellStyle name="Normal 3 12 2 2" xfId="25187"/>
    <cellStyle name="Normal 3 12 3" xfId="25188"/>
    <cellStyle name="Normal 3 12 4" xfId="25185"/>
    <cellStyle name="Normal 3 13" xfId="5897"/>
    <cellStyle name="Normal 3 13 2" xfId="25190"/>
    <cellStyle name="Normal 3 13 3" xfId="25189"/>
    <cellStyle name="Normal 3 14" xfId="5898"/>
    <cellStyle name="Normal 3 14 2" xfId="25192"/>
    <cellStyle name="Normal 3 14 3" xfId="25191"/>
    <cellStyle name="Normal 3 15" xfId="5899"/>
    <cellStyle name="Normal 3 16" xfId="5900"/>
    <cellStyle name="Normal 3 17" xfId="5901"/>
    <cellStyle name="Normal 3 18" xfId="5902"/>
    <cellStyle name="Normal 3 19" xfId="5903"/>
    <cellStyle name="Normal 3 2" xfId="64"/>
    <cellStyle name="Normal 3 2 2" xfId="1652"/>
    <cellStyle name="Normal 3 2 2 2" xfId="1653"/>
    <cellStyle name="Normal 3 2 2 2 2" xfId="2996"/>
    <cellStyle name="Normal 3 2 2 2 2 2" xfId="25194"/>
    <cellStyle name="Normal 3 2 2 2 3" xfId="25195"/>
    <cellStyle name="Normal 3 2 2 2 4" xfId="25193"/>
    <cellStyle name="Normal 3 2 2 3" xfId="1654"/>
    <cellStyle name="Normal 3 2 2 4" xfId="1655"/>
    <cellStyle name="Normal 3 2 3" xfId="1656"/>
    <cellStyle name="Normal 3 2 3 2" xfId="1657"/>
    <cellStyle name="Normal 3 2 3 3" xfId="25196"/>
    <cellStyle name="Normal 3 2 30" xfId="1658"/>
    <cellStyle name="Normal 3 2 4" xfId="1659"/>
    <cellStyle name="Normal 3 2 5" xfId="2997"/>
    <cellStyle name="Normal 3 2 5 2" xfId="25198"/>
    <cellStyle name="Normal 3 2 5 3" xfId="25197"/>
    <cellStyle name="Normal 3 2 6" xfId="2995"/>
    <cellStyle name="Normal 3 2 6 2" xfId="3635"/>
    <cellStyle name="Normal 3 2 7" xfId="1651"/>
    <cellStyle name="Normal 3 2 7 2" xfId="5905"/>
    <cellStyle name="Normal 3 2 7 3" xfId="25199"/>
    <cellStyle name="Normal 3 2 8" xfId="5904"/>
    <cellStyle name="Normal 3 2_5.2" xfId="5906"/>
    <cellStyle name="Normal 3 20" xfId="5907"/>
    <cellStyle name="Normal 3 21" xfId="5908"/>
    <cellStyle name="Normal 3 22" xfId="5909"/>
    <cellStyle name="Normal 3 23" xfId="5910"/>
    <cellStyle name="Normal 3 24" xfId="5911"/>
    <cellStyle name="Normal 3 25" xfId="5912"/>
    <cellStyle name="Normal 3 26" xfId="5913"/>
    <cellStyle name="Normal 3 27" xfId="5914"/>
    <cellStyle name="Normal 3 28" xfId="5915"/>
    <cellStyle name="Normal 3 29" xfId="5916"/>
    <cellStyle name="Normal 3 3" xfId="81"/>
    <cellStyle name="Normal 3 3 2" xfId="1661"/>
    <cellStyle name="Normal 3 3 2 2" xfId="1662"/>
    <cellStyle name="Normal 3 3 2 2 2" xfId="5920"/>
    <cellStyle name="Normal 3 3 2 2 2 2" xfId="5921"/>
    <cellStyle name="Normal 3 3 2 2 2 2 2" xfId="25203"/>
    <cellStyle name="Normal 3 3 2 2 2 3" xfId="25202"/>
    <cellStyle name="Normal 3 3 2 2 3" xfId="5922"/>
    <cellStyle name="Normal 3 3 2 2 3 2" xfId="25204"/>
    <cellStyle name="Normal 3 3 2 2 4" xfId="5923"/>
    <cellStyle name="Normal 3 3 2 2 4 2" xfId="25205"/>
    <cellStyle name="Normal 3 3 2 2 5" xfId="5919"/>
    <cellStyle name="Normal 3 3 2 2 6" xfId="25201"/>
    <cellStyle name="Normal 3 3 2 3" xfId="5924"/>
    <cellStyle name="Normal 3 3 2 3 2" xfId="5925"/>
    <cellStyle name="Normal 3 3 2 3 2 2" xfId="25208"/>
    <cellStyle name="Normal 3 3 2 3 2 3" xfId="25207"/>
    <cellStyle name="Normal 3 3 2 3 3" xfId="25209"/>
    <cellStyle name="Normal 3 3 2 3 4" xfId="25210"/>
    <cellStyle name="Normal 3 3 2 3 5" xfId="25206"/>
    <cellStyle name="Normal 3 3 2 4" xfId="5926"/>
    <cellStyle name="Normal 3 3 2 4 2" xfId="25211"/>
    <cellStyle name="Normal 3 3 2 5" xfId="5927"/>
    <cellStyle name="Normal 3 3 2 6" xfId="5918"/>
    <cellStyle name="Normal 3 3 2 7" xfId="25200"/>
    <cellStyle name="Normal 3 3 3" xfId="1663"/>
    <cellStyle name="Normal 3 3 3 2" xfId="25213"/>
    <cellStyle name="Normal 3 3 3 2 2" xfId="25214"/>
    <cellStyle name="Normal 3 3 3 2 2 2" xfId="25215"/>
    <cellStyle name="Normal 3 3 3 2 2 2 2" xfId="25216"/>
    <cellStyle name="Normal 3 3 3 2 2 3" xfId="25217"/>
    <cellStyle name="Normal 3 3 3 2 3" xfId="25218"/>
    <cellStyle name="Normal 3 3 3 2 3 2" xfId="25219"/>
    <cellStyle name="Normal 3 3 3 2 4" xfId="25220"/>
    <cellStyle name="Normal 3 3 3 2 5" xfId="25221"/>
    <cellStyle name="Normal 3 3 3 3" xfId="25222"/>
    <cellStyle name="Normal 3 3 3 3 2" xfId="25223"/>
    <cellStyle name="Normal 3 3 3 3 2 2" xfId="25224"/>
    <cellStyle name="Normal 3 3 3 3 2 2 2" xfId="25225"/>
    <cellStyle name="Normal 3 3 3 3 2 3" xfId="25226"/>
    <cellStyle name="Normal 3 3 3 3 3" xfId="25227"/>
    <cellStyle name="Normal 3 3 3 3 3 2" xfId="25228"/>
    <cellStyle name="Normal 3 3 3 3 4" xfId="25229"/>
    <cellStyle name="Normal 3 3 3 4" xfId="25230"/>
    <cellStyle name="Normal 3 3 3 4 2" xfId="25231"/>
    <cellStyle name="Normal 3 3 3 4 2 2" xfId="25232"/>
    <cellStyle name="Normal 3 3 3 4 3" xfId="25233"/>
    <cellStyle name="Normal 3 3 3 5" xfId="25234"/>
    <cellStyle name="Normal 3 3 3 5 2" xfId="25235"/>
    <cellStyle name="Normal 3 3 3 5 2 2" xfId="25236"/>
    <cellStyle name="Normal 3 3 3 5 3" xfId="25237"/>
    <cellStyle name="Normal 3 3 3 6" xfId="25238"/>
    <cellStyle name="Normal 3 3 3 6 2" xfId="25239"/>
    <cellStyle name="Normal 3 3 3 7" xfId="25240"/>
    <cellStyle name="Normal 3 3 3 8" xfId="25241"/>
    <cellStyle name="Normal 3 3 3 9" xfId="25212"/>
    <cellStyle name="Normal 3 3 4" xfId="1664"/>
    <cellStyle name="Normal 3 3 4 2" xfId="7885"/>
    <cellStyle name="Normal 3 3 4 2 2" xfId="25244"/>
    <cellStyle name="Normal 3 3 4 2 3" xfId="25243"/>
    <cellStyle name="Normal 3 3 4 3" xfId="25245"/>
    <cellStyle name="Normal 3 3 4 4" xfId="25246"/>
    <cellStyle name="Normal 3 3 4 5" xfId="25242"/>
    <cellStyle name="Normal 3 3 5" xfId="1665"/>
    <cellStyle name="Normal 3 3 6" xfId="1666"/>
    <cellStyle name="Normal 3 3 7" xfId="1660"/>
    <cellStyle name="Normal 3 3 8" xfId="5917"/>
    <cellStyle name="Normal 3 30" xfId="5928"/>
    <cellStyle name="Normal 3 31" xfId="5929"/>
    <cellStyle name="Normal 3 32" xfId="3645"/>
    <cellStyle name="Normal 3 33" xfId="8504"/>
    <cellStyle name="Normal 3 34" xfId="8513"/>
    <cellStyle name="Normal 3 4" xfId="89"/>
    <cellStyle name="Normal 3 4 10" xfId="25248"/>
    <cellStyle name="Normal 3 4 11" xfId="25249"/>
    <cellStyle name="Normal 3 4 12" xfId="25247"/>
    <cellStyle name="Normal 3 4 2" xfId="1668"/>
    <cellStyle name="Normal 3 4 2 10" xfId="25251"/>
    <cellStyle name="Normal 3 4 2 11" xfId="25250"/>
    <cellStyle name="Normal 3 4 2 2" xfId="5930"/>
    <cellStyle name="Normal 3 4 2 2 2" xfId="25253"/>
    <cellStyle name="Normal 3 4 2 2 2 2" xfId="25254"/>
    <cellStyle name="Normal 3 4 2 2 2 2 2" xfId="25255"/>
    <cellStyle name="Normal 3 4 2 2 2 2 2 2" xfId="25256"/>
    <cellStyle name="Normal 3 4 2 2 2 2 3" xfId="25257"/>
    <cellStyle name="Normal 3 4 2 2 2 3" xfId="25258"/>
    <cellStyle name="Normal 3 4 2 2 2 3 2" xfId="25259"/>
    <cellStyle name="Normal 3 4 2 2 2 4" xfId="25260"/>
    <cellStyle name="Normal 3 4 2 2 2 5" xfId="25261"/>
    <cellStyle name="Normal 3 4 2 2 3" xfId="25262"/>
    <cellStyle name="Normal 3 4 2 2 3 2" xfId="25263"/>
    <cellStyle name="Normal 3 4 2 2 3 2 2" xfId="25264"/>
    <cellStyle name="Normal 3 4 2 2 3 2 2 2" xfId="25265"/>
    <cellStyle name="Normal 3 4 2 2 3 2 3" xfId="25266"/>
    <cellStyle name="Normal 3 4 2 2 3 3" xfId="25267"/>
    <cellStyle name="Normal 3 4 2 2 3 3 2" xfId="25268"/>
    <cellStyle name="Normal 3 4 2 2 3 4" xfId="25269"/>
    <cellStyle name="Normal 3 4 2 2 4" xfId="25270"/>
    <cellStyle name="Normal 3 4 2 2 4 2" xfId="25271"/>
    <cellStyle name="Normal 3 4 2 2 4 2 2" xfId="25272"/>
    <cellStyle name="Normal 3 4 2 2 4 3" xfId="25273"/>
    <cellStyle name="Normal 3 4 2 2 5" xfId="25274"/>
    <cellStyle name="Normal 3 4 2 2 5 2" xfId="25275"/>
    <cellStyle name="Normal 3 4 2 2 5 2 2" xfId="25276"/>
    <cellStyle name="Normal 3 4 2 2 5 3" xfId="25277"/>
    <cellStyle name="Normal 3 4 2 2 6" xfId="25278"/>
    <cellStyle name="Normal 3 4 2 2 6 2" xfId="25279"/>
    <cellStyle name="Normal 3 4 2 2 7" xfId="25280"/>
    <cellStyle name="Normal 3 4 2 2 8" xfId="25281"/>
    <cellStyle name="Normal 3 4 2 2 9" xfId="25252"/>
    <cellStyle name="Normal 3 4 2 3" xfId="25282"/>
    <cellStyle name="Normal 3 4 2 3 2" xfId="25283"/>
    <cellStyle name="Normal 3 4 2 3 2 2" xfId="25284"/>
    <cellStyle name="Normal 3 4 2 3 2 2 2" xfId="25285"/>
    <cellStyle name="Normal 3 4 2 3 2 2 2 2" xfId="25286"/>
    <cellStyle name="Normal 3 4 2 3 2 2 3" xfId="25287"/>
    <cellStyle name="Normal 3 4 2 3 2 3" xfId="25288"/>
    <cellStyle name="Normal 3 4 2 3 2 3 2" xfId="25289"/>
    <cellStyle name="Normal 3 4 2 3 2 4" xfId="25290"/>
    <cellStyle name="Normal 3 4 2 3 2 5" xfId="25291"/>
    <cellStyle name="Normal 3 4 2 3 3" xfId="25292"/>
    <cellStyle name="Normal 3 4 2 3 3 2" xfId="25293"/>
    <cellStyle name="Normal 3 4 2 3 3 2 2" xfId="25294"/>
    <cellStyle name="Normal 3 4 2 3 3 2 2 2" xfId="25295"/>
    <cellStyle name="Normal 3 4 2 3 3 2 3" xfId="25296"/>
    <cellStyle name="Normal 3 4 2 3 3 3" xfId="25297"/>
    <cellStyle name="Normal 3 4 2 3 3 3 2" xfId="25298"/>
    <cellStyle name="Normal 3 4 2 3 3 4" xfId="25299"/>
    <cellStyle name="Normal 3 4 2 3 4" xfId="25300"/>
    <cellStyle name="Normal 3 4 2 3 4 2" xfId="25301"/>
    <cellStyle name="Normal 3 4 2 3 4 2 2" xfId="25302"/>
    <cellStyle name="Normal 3 4 2 3 4 3" xfId="25303"/>
    <cellStyle name="Normal 3 4 2 3 5" xfId="25304"/>
    <cellStyle name="Normal 3 4 2 3 5 2" xfId="25305"/>
    <cellStyle name="Normal 3 4 2 3 5 2 2" xfId="25306"/>
    <cellStyle name="Normal 3 4 2 3 5 3" xfId="25307"/>
    <cellStyle name="Normal 3 4 2 3 6" xfId="25308"/>
    <cellStyle name="Normal 3 4 2 3 6 2" xfId="25309"/>
    <cellStyle name="Normal 3 4 2 3 7" xfId="25310"/>
    <cellStyle name="Normal 3 4 2 3 8" xfId="25311"/>
    <cellStyle name="Normal 3 4 2 4" xfId="25312"/>
    <cellStyle name="Normal 3 4 2 4 2" xfId="25313"/>
    <cellStyle name="Normal 3 4 2 4 2 2" xfId="25314"/>
    <cellStyle name="Normal 3 4 2 4 2 2 2" xfId="25315"/>
    <cellStyle name="Normal 3 4 2 4 2 2 2 2" xfId="25316"/>
    <cellStyle name="Normal 3 4 2 4 2 2 3" xfId="25317"/>
    <cellStyle name="Normal 3 4 2 4 2 3" xfId="25318"/>
    <cellStyle name="Normal 3 4 2 4 2 3 2" xfId="25319"/>
    <cellStyle name="Normal 3 4 2 4 2 4" xfId="25320"/>
    <cellStyle name="Normal 3 4 2 4 3" xfId="25321"/>
    <cellStyle name="Normal 3 4 2 4 3 2" xfId="25322"/>
    <cellStyle name="Normal 3 4 2 4 3 2 2" xfId="25323"/>
    <cellStyle name="Normal 3 4 2 4 3 3" xfId="25324"/>
    <cellStyle name="Normal 3 4 2 4 4" xfId="25325"/>
    <cellStyle name="Normal 3 4 2 4 4 2" xfId="25326"/>
    <cellStyle name="Normal 3 4 2 4 4 2 2" xfId="25327"/>
    <cellStyle name="Normal 3 4 2 4 4 3" xfId="25328"/>
    <cellStyle name="Normal 3 4 2 4 5" xfId="25329"/>
    <cellStyle name="Normal 3 4 2 4 5 2" xfId="25330"/>
    <cellStyle name="Normal 3 4 2 4 6" xfId="25331"/>
    <cellStyle name="Normal 3 4 2 4 7" xfId="25332"/>
    <cellStyle name="Normal 3 4 2 5" xfId="25333"/>
    <cellStyle name="Normal 3 4 2 5 2" xfId="25334"/>
    <cellStyle name="Normal 3 4 2 5 2 2" xfId="25335"/>
    <cellStyle name="Normal 3 4 2 5 2 2 2" xfId="25336"/>
    <cellStyle name="Normal 3 4 2 5 2 3" xfId="25337"/>
    <cellStyle name="Normal 3 4 2 5 3" xfId="25338"/>
    <cellStyle name="Normal 3 4 2 5 3 2" xfId="25339"/>
    <cellStyle name="Normal 3 4 2 5 4" xfId="25340"/>
    <cellStyle name="Normal 3 4 2 5 5" xfId="25341"/>
    <cellStyle name="Normal 3 4 2 6" xfId="25342"/>
    <cellStyle name="Normal 3 4 2 6 2" xfId="25343"/>
    <cellStyle name="Normal 3 4 2 6 2 2" xfId="25344"/>
    <cellStyle name="Normal 3 4 2 6 3" xfId="25345"/>
    <cellStyle name="Normal 3 4 2 7" xfId="25346"/>
    <cellStyle name="Normal 3 4 2 7 2" xfId="25347"/>
    <cellStyle name="Normal 3 4 2 7 2 2" xfId="25348"/>
    <cellStyle name="Normal 3 4 2 7 3" xfId="25349"/>
    <cellStyle name="Normal 3 4 2 8" xfId="25350"/>
    <cellStyle name="Normal 3 4 2 8 2" xfId="25351"/>
    <cellStyle name="Normal 3 4 2 9" xfId="25352"/>
    <cellStyle name="Normal 3 4 2 9 2" xfId="25353"/>
    <cellStyle name="Normal 3 4 3" xfId="1669"/>
    <cellStyle name="Normal 3 4 3 2" xfId="25355"/>
    <cellStyle name="Normal 3 4 3 2 2" xfId="25356"/>
    <cellStyle name="Normal 3 4 3 2 2 2" xfId="25357"/>
    <cellStyle name="Normal 3 4 3 2 2 2 2" xfId="25358"/>
    <cellStyle name="Normal 3 4 3 2 2 3" xfId="25359"/>
    <cellStyle name="Normal 3 4 3 2 3" xfId="25360"/>
    <cellStyle name="Normal 3 4 3 2 3 2" xfId="25361"/>
    <cellStyle name="Normal 3 4 3 2 4" xfId="25362"/>
    <cellStyle name="Normal 3 4 3 2 5" xfId="25363"/>
    <cellStyle name="Normal 3 4 3 3" xfId="25364"/>
    <cellStyle name="Normal 3 4 3 3 2" xfId="25365"/>
    <cellStyle name="Normal 3 4 3 3 2 2" xfId="25366"/>
    <cellStyle name="Normal 3 4 3 3 2 2 2" xfId="25367"/>
    <cellStyle name="Normal 3 4 3 3 2 3" xfId="25368"/>
    <cellStyle name="Normal 3 4 3 3 3" xfId="25369"/>
    <cellStyle name="Normal 3 4 3 3 3 2" xfId="25370"/>
    <cellStyle name="Normal 3 4 3 3 4" xfId="25371"/>
    <cellStyle name="Normal 3 4 3 4" xfId="25372"/>
    <cellStyle name="Normal 3 4 3 4 2" xfId="25373"/>
    <cellStyle name="Normal 3 4 3 4 2 2" xfId="25374"/>
    <cellStyle name="Normal 3 4 3 4 3" xfId="25375"/>
    <cellStyle name="Normal 3 4 3 5" xfId="25376"/>
    <cellStyle name="Normal 3 4 3 5 2" xfId="25377"/>
    <cellStyle name="Normal 3 4 3 5 2 2" xfId="25378"/>
    <cellStyle name="Normal 3 4 3 5 3" xfId="25379"/>
    <cellStyle name="Normal 3 4 3 6" xfId="25380"/>
    <cellStyle name="Normal 3 4 3 6 2" xfId="25381"/>
    <cellStyle name="Normal 3 4 3 7" xfId="25382"/>
    <cellStyle name="Normal 3 4 3 8" xfId="25383"/>
    <cellStyle name="Normal 3 4 3 9" xfId="25354"/>
    <cellStyle name="Normal 3 4 4" xfId="1667"/>
    <cellStyle name="Normal 3 4 4 2" xfId="25385"/>
    <cellStyle name="Normal 3 4 4 2 2" xfId="25386"/>
    <cellStyle name="Normal 3 4 4 2 2 2" xfId="25387"/>
    <cellStyle name="Normal 3 4 4 2 2 2 2" xfId="25388"/>
    <cellStyle name="Normal 3 4 4 2 2 3" xfId="25389"/>
    <cellStyle name="Normal 3 4 4 2 3" xfId="25390"/>
    <cellStyle name="Normal 3 4 4 2 3 2" xfId="25391"/>
    <cellStyle name="Normal 3 4 4 2 4" xfId="25392"/>
    <cellStyle name="Normal 3 4 4 2 5" xfId="25393"/>
    <cellStyle name="Normal 3 4 4 3" xfId="25394"/>
    <cellStyle name="Normal 3 4 4 3 2" xfId="25395"/>
    <cellStyle name="Normal 3 4 4 3 2 2" xfId="25396"/>
    <cellStyle name="Normal 3 4 4 3 2 2 2" xfId="25397"/>
    <cellStyle name="Normal 3 4 4 3 2 3" xfId="25398"/>
    <cellStyle name="Normal 3 4 4 3 3" xfId="25399"/>
    <cellStyle name="Normal 3 4 4 3 3 2" xfId="25400"/>
    <cellStyle name="Normal 3 4 4 3 4" xfId="25401"/>
    <cellStyle name="Normal 3 4 4 4" xfId="25402"/>
    <cellStyle name="Normal 3 4 4 4 2" xfId="25403"/>
    <cellStyle name="Normal 3 4 4 4 2 2" xfId="25404"/>
    <cellStyle name="Normal 3 4 4 4 3" xfId="25405"/>
    <cellStyle name="Normal 3 4 4 5" xfId="25406"/>
    <cellStyle name="Normal 3 4 4 5 2" xfId="25407"/>
    <cellStyle name="Normal 3 4 4 5 2 2" xfId="25408"/>
    <cellStyle name="Normal 3 4 4 5 3" xfId="25409"/>
    <cellStyle name="Normal 3 4 4 6" xfId="25410"/>
    <cellStyle name="Normal 3 4 4 6 2" xfId="25411"/>
    <cellStyle name="Normal 3 4 4 7" xfId="25412"/>
    <cellStyle name="Normal 3 4 4 8" xfId="25413"/>
    <cellStyle name="Normal 3 4 4 9" xfId="25384"/>
    <cellStyle name="Normal 3 4 5" xfId="25414"/>
    <cellStyle name="Normal 3 4 5 2" xfId="25415"/>
    <cellStyle name="Normal 3 4 5 2 2" xfId="25416"/>
    <cellStyle name="Normal 3 4 5 2 2 2" xfId="25417"/>
    <cellStyle name="Normal 3 4 5 2 2 2 2" xfId="25418"/>
    <cellStyle name="Normal 3 4 5 2 2 3" xfId="25419"/>
    <cellStyle name="Normal 3 4 5 2 3" xfId="25420"/>
    <cellStyle name="Normal 3 4 5 2 3 2" xfId="25421"/>
    <cellStyle name="Normal 3 4 5 2 4" xfId="25422"/>
    <cellStyle name="Normal 3 4 5 2 5" xfId="25423"/>
    <cellStyle name="Normal 3 4 5 3" xfId="25424"/>
    <cellStyle name="Normal 3 4 5 3 2" xfId="25425"/>
    <cellStyle name="Normal 3 4 5 3 2 2" xfId="25426"/>
    <cellStyle name="Normal 3 4 5 3 2 2 2" xfId="25427"/>
    <cellStyle name="Normal 3 4 5 3 2 3" xfId="25428"/>
    <cellStyle name="Normal 3 4 5 3 3" xfId="25429"/>
    <cellStyle name="Normal 3 4 5 3 3 2" xfId="25430"/>
    <cellStyle name="Normal 3 4 5 3 4" xfId="25431"/>
    <cellStyle name="Normal 3 4 5 4" xfId="25432"/>
    <cellStyle name="Normal 3 4 5 4 2" xfId="25433"/>
    <cellStyle name="Normal 3 4 5 4 2 2" xfId="25434"/>
    <cellStyle name="Normal 3 4 5 4 3" xfId="25435"/>
    <cellStyle name="Normal 3 4 5 5" xfId="25436"/>
    <cellStyle name="Normal 3 4 5 5 2" xfId="25437"/>
    <cellStyle name="Normal 3 4 5 5 2 2" xfId="25438"/>
    <cellStyle name="Normal 3 4 5 5 3" xfId="25439"/>
    <cellStyle name="Normal 3 4 5 6" xfId="25440"/>
    <cellStyle name="Normal 3 4 5 6 2" xfId="25441"/>
    <cellStyle name="Normal 3 4 5 7" xfId="25442"/>
    <cellStyle name="Normal 3 4 5 8" xfId="25443"/>
    <cellStyle name="Normal 3 4 6" xfId="25444"/>
    <cellStyle name="Normal 3 4 6 2" xfId="25445"/>
    <cellStyle name="Normal 3 4 6 2 2" xfId="25446"/>
    <cellStyle name="Normal 3 4 6 2 2 2" xfId="25447"/>
    <cellStyle name="Normal 3 4 6 2 2 2 2" xfId="25448"/>
    <cellStyle name="Normal 3 4 6 2 2 3" xfId="25449"/>
    <cellStyle name="Normal 3 4 6 2 3" xfId="25450"/>
    <cellStyle name="Normal 3 4 6 2 3 2" xfId="25451"/>
    <cellStyle name="Normal 3 4 6 2 4" xfId="25452"/>
    <cellStyle name="Normal 3 4 6 3" xfId="25453"/>
    <cellStyle name="Normal 3 4 6 3 2" xfId="25454"/>
    <cellStyle name="Normal 3 4 6 3 2 2" xfId="25455"/>
    <cellStyle name="Normal 3 4 6 3 3" xfId="25456"/>
    <cellStyle name="Normal 3 4 6 4" xfId="25457"/>
    <cellStyle name="Normal 3 4 6 4 2" xfId="25458"/>
    <cellStyle name="Normal 3 4 6 4 2 2" xfId="25459"/>
    <cellStyle name="Normal 3 4 6 4 3" xfId="25460"/>
    <cellStyle name="Normal 3 4 6 5" xfId="25461"/>
    <cellStyle name="Normal 3 4 6 5 2" xfId="25462"/>
    <cellStyle name="Normal 3 4 6 6" xfId="25463"/>
    <cellStyle name="Normal 3 4 6 7" xfId="25464"/>
    <cellStyle name="Normal 3 4 7" xfId="25465"/>
    <cellStyle name="Normal 3 4 7 2" xfId="25466"/>
    <cellStyle name="Normal 3 4 7 2 2" xfId="25467"/>
    <cellStyle name="Normal 3 4 7 2 2 2" xfId="25468"/>
    <cellStyle name="Normal 3 4 7 2 3" xfId="25469"/>
    <cellStyle name="Normal 3 4 7 3" xfId="25470"/>
    <cellStyle name="Normal 3 4 7 3 2" xfId="25471"/>
    <cellStyle name="Normal 3 4 7 4" xfId="25472"/>
    <cellStyle name="Normal 3 4 7 5" xfId="25473"/>
    <cellStyle name="Normal 3 4 8" xfId="25474"/>
    <cellStyle name="Normal 3 4 8 2" xfId="25475"/>
    <cellStyle name="Normal 3 4 8 2 2" xfId="25476"/>
    <cellStyle name="Normal 3 4 8 3" xfId="25477"/>
    <cellStyle name="Normal 3 4 9" xfId="25478"/>
    <cellStyle name="Normal 3 4 9 2" xfId="25479"/>
    <cellStyle name="Normal 3 4 9 2 2" xfId="25480"/>
    <cellStyle name="Normal 3 4 9 3" xfId="25481"/>
    <cellStyle name="Normal 3 5" xfId="122"/>
    <cellStyle name="Normal 3 5 2" xfId="1670"/>
    <cellStyle name="Normal 3 5 2 2" xfId="25484"/>
    <cellStyle name="Normal 3 5 2 3" xfId="25485"/>
    <cellStyle name="Normal 3 5 2 4" xfId="25483"/>
    <cellStyle name="Normal 3 5 3" xfId="25486"/>
    <cellStyle name="Normal 3 5 3 2" xfId="25487"/>
    <cellStyle name="Normal 3 5 4" xfId="25482"/>
    <cellStyle name="Normal 3 6" xfId="1671"/>
    <cellStyle name="Normal 3 6 2" xfId="5932"/>
    <cellStyle name="Normal 3 6 2 2" xfId="5933"/>
    <cellStyle name="Normal 3 6 2 2 2" xfId="5934"/>
    <cellStyle name="Normal 3 6 2 2 2 2" xfId="25491"/>
    <cellStyle name="Normal 3 6 2 2 3" xfId="25490"/>
    <cellStyle name="Normal 3 6 2 3" xfId="5935"/>
    <cellStyle name="Normal 3 6 2 3 2" xfId="25492"/>
    <cellStyle name="Normal 3 6 2 4" xfId="5936"/>
    <cellStyle name="Normal 3 6 2 4 2" xfId="25493"/>
    <cellStyle name="Normal 3 6 2 5" xfId="25489"/>
    <cellStyle name="Normal 3 6 3" xfId="5937"/>
    <cellStyle name="Normal 3 6 3 2" xfId="5938"/>
    <cellStyle name="Normal 3 6 3 2 2" xfId="25496"/>
    <cellStyle name="Normal 3 6 3 2 3" xfId="25495"/>
    <cellStyle name="Normal 3 6 3 3" xfId="25497"/>
    <cellStyle name="Normal 3 6 3 4" xfId="25498"/>
    <cellStyle name="Normal 3 6 3 5" xfId="25494"/>
    <cellStyle name="Normal 3 6 4" xfId="5939"/>
    <cellStyle name="Normal 3 6 4 2" xfId="25500"/>
    <cellStyle name="Normal 3 6 4 3" xfId="25501"/>
    <cellStyle name="Normal 3 6 4 4" xfId="25502"/>
    <cellStyle name="Normal 3 6 4 5" xfId="25499"/>
    <cellStyle name="Normal 3 6 5" xfId="5940"/>
    <cellStyle name="Normal 3 6 5 2" xfId="25504"/>
    <cellStyle name="Normal 3 6 5 3" xfId="25503"/>
    <cellStyle name="Normal 3 6 6" xfId="5931"/>
    <cellStyle name="Normal 3 6 6 2" xfId="25505"/>
    <cellStyle name="Normal 3 6 7" xfId="25488"/>
    <cellStyle name="Normal 3 7" xfId="1672"/>
    <cellStyle name="Normal 3 7 2" xfId="25507"/>
    <cellStyle name="Normal 3 7 2 2" xfId="25508"/>
    <cellStyle name="Normal 3 7 2 2 2" xfId="25509"/>
    <cellStyle name="Normal 3 7 2 3" xfId="25510"/>
    <cellStyle name="Normal 3 7 2 4" xfId="25511"/>
    <cellStyle name="Normal 3 7 3" xfId="25512"/>
    <cellStyle name="Normal 3 7 3 2" xfId="25513"/>
    <cellStyle name="Normal 3 7 3 2 2" xfId="25514"/>
    <cellStyle name="Normal 3 7 3 3" xfId="25515"/>
    <cellStyle name="Normal 3 7 3 4" xfId="25516"/>
    <cellStyle name="Normal 3 7 4" xfId="25517"/>
    <cellStyle name="Normal 3 7 4 2" xfId="25518"/>
    <cellStyle name="Normal 3 7 5" xfId="25519"/>
    <cellStyle name="Normal 3 7 6" xfId="25520"/>
    <cellStyle name="Normal 3 7 7" xfId="25506"/>
    <cellStyle name="Normal 3 8" xfId="1673"/>
    <cellStyle name="Normal 3 8 2" xfId="25522"/>
    <cellStyle name="Normal 3 8 2 2" xfId="25523"/>
    <cellStyle name="Normal 3 8 2 2 2" xfId="25524"/>
    <cellStyle name="Normal 3 8 2 3" xfId="25525"/>
    <cellStyle name="Normal 3 8 2 4" xfId="25526"/>
    <cellStyle name="Normal 3 8 3" xfId="25527"/>
    <cellStyle name="Normal 3 8 3 2" xfId="25528"/>
    <cellStyle name="Normal 3 8 3 2 2" xfId="25529"/>
    <cellStyle name="Normal 3 8 3 3" xfId="25530"/>
    <cellStyle name="Normal 3 8 3 4" xfId="25531"/>
    <cellStyle name="Normal 3 8 4" xfId="25532"/>
    <cellStyle name="Normal 3 8 4 2" xfId="25533"/>
    <cellStyle name="Normal 3 8 5" xfId="25534"/>
    <cellStyle name="Normal 3 8 6" xfId="25535"/>
    <cellStyle name="Normal 3 8 7" xfId="25521"/>
    <cellStyle name="Normal 3 9" xfId="1674"/>
    <cellStyle name="Normal 3 9 2" xfId="25537"/>
    <cellStyle name="Normal 3 9 2 2" xfId="25538"/>
    <cellStyle name="Normal 3 9 2 3" xfId="25539"/>
    <cellStyle name="Normal 3 9 3" xfId="25540"/>
    <cellStyle name="Normal 3 9 4" xfId="25541"/>
    <cellStyle name="Normal 3 9 5" xfId="25542"/>
    <cellStyle name="Normal 3 9 6" xfId="25536"/>
    <cellStyle name="Normal 3_31 Dec Accounts 2009-NIUT" xfId="1675"/>
    <cellStyle name="Normal 30" xfId="1676"/>
    <cellStyle name="Normal 30 2" xfId="1677"/>
    <cellStyle name="Normal 30 2 2" xfId="7855"/>
    <cellStyle name="Normal 30 2 3" xfId="8116"/>
    <cellStyle name="Normal 30 2 4" xfId="25543"/>
    <cellStyle name="Normal 30 3" xfId="1678"/>
    <cellStyle name="Normal 30 4" xfId="5941"/>
    <cellStyle name="Normal 31" xfId="1679"/>
    <cellStyle name="Normal 31 2" xfId="1680"/>
    <cellStyle name="Normal 31 2 2" xfId="7856"/>
    <cellStyle name="Normal 31 2 2 2" xfId="25546"/>
    <cellStyle name="Normal 31 2 2 3" xfId="25545"/>
    <cellStyle name="Normal 31 2 3" xfId="8117"/>
    <cellStyle name="Normal 31 2 4" xfId="25544"/>
    <cellStyle name="Normal 31 3" xfId="1681"/>
    <cellStyle name="Normal 31 3 2" xfId="8118"/>
    <cellStyle name="Normal 31 3 3" xfId="25547"/>
    <cellStyle name="Normal 31 4" xfId="1682"/>
    <cellStyle name="Normal 31 5" xfId="1683"/>
    <cellStyle name="Normal 31 6" xfId="5942"/>
    <cellStyle name="Normal 32" xfId="1684"/>
    <cellStyle name="Normal 32 2" xfId="1685"/>
    <cellStyle name="Normal 32 2 2" xfId="25548"/>
    <cellStyle name="Normal 32 3" xfId="5943"/>
    <cellStyle name="Normal 32 3 2" xfId="25549"/>
    <cellStyle name="Normal 33" xfId="1686"/>
    <cellStyle name="Normal 33 10" xfId="25551"/>
    <cellStyle name="Normal 33 11" xfId="25552"/>
    <cellStyle name="Normal 33 12" xfId="25550"/>
    <cellStyle name="Normal 33 2" xfId="1687"/>
    <cellStyle name="Normal 33 2 2" xfId="7857"/>
    <cellStyle name="Normal 33 2 2 2" xfId="25555"/>
    <cellStyle name="Normal 33 2 2 2 2" xfId="25556"/>
    <cellStyle name="Normal 33 2 2 2 2 2" xfId="25557"/>
    <cellStyle name="Normal 33 2 2 2 3" xfId="25558"/>
    <cellStyle name="Normal 33 2 2 3" xfId="25559"/>
    <cellStyle name="Normal 33 2 2 3 2" xfId="25560"/>
    <cellStyle name="Normal 33 2 2 4" xfId="25561"/>
    <cellStyle name="Normal 33 2 2 5" xfId="25562"/>
    <cellStyle name="Normal 33 2 2 6" xfId="25554"/>
    <cellStyle name="Normal 33 2 3" xfId="8119"/>
    <cellStyle name="Normal 33 2 3 2" xfId="25564"/>
    <cellStyle name="Normal 33 2 3 2 2" xfId="25565"/>
    <cellStyle name="Normal 33 2 3 2 2 2" xfId="25566"/>
    <cellStyle name="Normal 33 2 3 2 3" xfId="25567"/>
    <cellStyle name="Normal 33 2 3 3" xfId="25568"/>
    <cellStyle name="Normal 33 2 3 3 2" xfId="25569"/>
    <cellStyle name="Normal 33 2 3 4" xfId="25570"/>
    <cellStyle name="Normal 33 2 3 5" xfId="25563"/>
    <cellStyle name="Normal 33 2 4" xfId="25571"/>
    <cellStyle name="Normal 33 2 4 2" xfId="25572"/>
    <cellStyle name="Normal 33 2 4 2 2" xfId="25573"/>
    <cellStyle name="Normal 33 2 4 3" xfId="25574"/>
    <cellStyle name="Normal 33 2 5" xfId="25575"/>
    <cellStyle name="Normal 33 2 5 2" xfId="25576"/>
    <cellStyle name="Normal 33 2 5 2 2" xfId="25577"/>
    <cellStyle name="Normal 33 2 5 3" xfId="25578"/>
    <cellStyle name="Normal 33 2 6" xfId="25579"/>
    <cellStyle name="Normal 33 2 6 2" xfId="25580"/>
    <cellStyle name="Normal 33 2 7" xfId="25581"/>
    <cellStyle name="Normal 33 2 8" xfId="25582"/>
    <cellStyle name="Normal 33 2 9" xfId="25553"/>
    <cellStyle name="Normal 33 3" xfId="1688"/>
    <cellStyle name="Normal 33 3 2" xfId="25584"/>
    <cellStyle name="Normal 33 3 2 2" xfId="25585"/>
    <cellStyle name="Normal 33 3 2 2 2" xfId="25586"/>
    <cellStyle name="Normal 33 3 2 2 2 2" xfId="25587"/>
    <cellStyle name="Normal 33 3 2 2 3" xfId="25588"/>
    <cellStyle name="Normal 33 3 2 3" xfId="25589"/>
    <cellStyle name="Normal 33 3 2 3 2" xfId="25590"/>
    <cellStyle name="Normal 33 3 2 4" xfId="25591"/>
    <cellStyle name="Normal 33 3 2 5" xfId="25592"/>
    <cellStyle name="Normal 33 3 3" xfId="25593"/>
    <cellStyle name="Normal 33 3 3 2" xfId="25594"/>
    <cellStyle name="Normal 33 3 3 2 2" xfId="25595"/>
    <cellStyle name="Normal 33 3 3 2 2 2" xfId="25596"/>
    <cellStyle name="Normal 33 3 3 2 3" xfId="25597"/>
    <cellStyle name="Normal 33 3 3 3" xfId="25598"/>
    <cellStyle name="Normal 33 3 3 3 2" xfId="25599"/>
    <cellStyle name="Normal 33 3 3 4" xfId="25600"/>
    <cellStyle name="Normal 33 3 4" xfId="25601"/>
    <cellStyle name="Normal 33 3 4 2" xfId="25602"/>
    <cellStyle name="Normal 33 3 4 2 2" xfId="25603"/>
    <cellStyle name="Normal 33 3 4 3" xfId="25604"/>
    <cellStyle name="Normal 33 3 5" xfId="25605"/>
    <cellStyle name="Normal 33 3 5 2" xfId="25606"/>
    <cellStyle name="Normal 33 3 5 2 2" xfId="25607"/>
    <cellStyle name="Normal 33 3 5 3" xfId="25608"/>
    <cellStyle name="Normal 33 3 6" xfId="25609"/>
    <cellStyle name="Normal 33 3 6 2" xfId="25610"/>
    <cellStyle name="Normal 33 3 7" xfId="25611"/>
    <cellStyle name="Normal 33 3 8" xfId="25612"/>
    <cellStyle name="Normal 33 3 9" xfId="25583"/>
    <cellStyle name="Normal 33 4" xfId="3025"/>
    <cellStyle name="Normal 33 4 2" xfId="25614"/>
    <cellStyle name="Normal 33 4 2 2" xfId="25615"/>
    <cellStyle name="Normal 33 4 2 2 2" xfId="25616"/>
    <cellStyle name="Normal 33 4 2 2 2 2" xfId="25617"/>
    <cellStyle name="Normal 33 4 2 2 3" xfId="25618"/>
    <cellStyle name="Normal 33 4 2 3" xfId="25619"/>
    <cellStyle name="Normal 33 4 2 3 2" xfId="25620"/>
    <cellStyle name="Normal 33 4 2 4" xfId="25621"/>
    <cellStyle name="Normal 33 4 2 5" xfId="25622"/>
    <cellStyle name="Normal 33 4 3" xfId="25623"/>
    <cellStyle name="Normal 33 4 3 2" xfId="25624"/>
    <cellStyle name="Normal 33 4 3 2 2" xfId="25625"/>
    <cellStyle name="Normal 33 4 3 2 2 2" xfId="25626"/>
    <cellStyle name="Normal 33 4 3 2 3" xfId="25627"/>
    <cellStyle name="Normal 33 4 3 3" xfId="25628"/>
    <cellStyle name="Normal 33 4 3 3 2" xfId="25629"/>
    <cellStyle name="Normal 33 4 3 4" xfId="25630"/>
    <cellStyle name="Normal 33 4 4" xfId="25631"/>
    <cellStyle name="Normal 33 4 4 2" xfId="25632"/>
    <cellStyle name="Normal 33 4 4 2 2" xfId="25633"/>
    <cellStyle name="Normal 33 4 4 3" xfId="25634"/>
    <cellStyle name="Normal 33 4 5" xfId="25635"/>
    <cellStyle name="Normal 33 4 5 2" xfId="25636"/>
    <cellStyle name="Normal 33 4 5 2 2" xfId="25637"/>
    <cellStyle name="Normal 33 4 5 3" xfId="25638"/>
    <cellStyle name="Normal 33 4 6" xfId="25639"/>
    <cellStyle name="Normal 33 4 6 2" xfId="25640"/>
    <cellStyle name="Normal 33 4 7" xfId="25641"/>
    <cellStyle name="Normal 33 4 8" xfId="25642"/>
    <cellStyle name="Normal 33 4 9" xfId="25613"/>
    <cellStyle name="Normal 33 5" xfId="5944"/>
    <cellStyle name="Normal 33 5 2" xfId="25644"/>
    <cellStyle name="Normal 33 5 2 2" xfId="25645"/>
    <cellStyle name="Normal 33 5 2 2 2" xfId="25646"/>
    <cellStyle name="Normal 33 5 2 2 2 2" xfId="25647"/>
    <cellStyle name="Normal 33 5 2 2 3" xfId="25648"/>
    <cellStyle name="Normal 33 5 2 3" xfId="25649"/>
    <cellStyle name="Normal 33 5 2 3 2" xfId="25650"/>
    <cellStyle name="Normal 33 5 2 4" xfId="25651"/>
    <cellStyle name="Normal 33 5 3" xfId="25652"/>
    <cellStyle name="Normal 33 5 3 2" xfId="25653"/>
    <cellStyle name="Normal 33 5 3 2 2" xfId="25654"/>
    <cellStyle name="Normal 33 5 3 3" xfId="25655"/>
    <cellStyle name="Normal 33 5 4" xfId="25656"/>
    <cellStyle name="Normal 33 5 4 2" xfId="25657"/>
    <cellStyle name="Normal 33 5 4 2 2" xfId="25658"/>
    <cellStyle name="Normal 33 5 4 3" xfId="25659"/>
    <cellStyle name="Normal 33 5 5" xfId="25660"/>
    <cellStyle name="Normal 33 5 5 2" xfId="25661"/>
    <cellStyle name="Normal 33 5 6" xfId="25662"/>
    <cellStyle name="Normal 33 5 7" xfId="25663"/>
    <cellStyle name="Normal 33 5 8" xfId="25643"/>
    <cellStyle name="Normal 33 6" xfId="25664"/>
    <cellStyle name="Normal 33 6 2" xfId="25665"/>
    <cellStyle name="Normal 33 6 2 2" xfId="25666"/>
    <cellStyle name="Normal 33 6 2 2 2" xfId="25667"/>
    <cellStyle name="Normal 33 6 2 3" xfId="25668"/>
    <cellStyle name="Normal 33 6 3" xfId="25669"/>
    <cellStyle name="Normal 33 6 3 2" xfId="25670"/>
    <cellStyle name="Normal 33 6 4" xfId="25671"/>
    <cellStyle name="Normal 33 6 5" xfId="25672"/>
    <cellStyle name="Normal 33 7" xfId="25673"/>
    <cellStyle name="Normal 33 7 2" xfId="25674"/>
    <cellStyle name="Normal 33 7 2 2" xfId="25675"/>
    <cellStyle name="Normal 33 7 3" xfId="25676"/>
    <cellStyle name="Normal 33 7 4" xfId="25677"/>
    <cellStyle name="Normal 33 7 5" xfId="25678"/>
    <cellStyle name="Normal 33 8" xfId="25679"/>
    <cellStyle name="Normal 33 8 2" xfId="25680"/>
    <cellStyle name="Normal 33 8 2 2" xfId="25681"/>
    <cellStyle name="Normal 33 8 3" xfId="25682"/>
    <cellStyle name="Normal 33 9" xfId="25683"/>
    <cellStyle name="Normal 33 9 2" xfId="25684"/>
    <cellStyle name="Normal 34" xfId="1689"/>
    <cellStyle name="Normal 34 10" xfId="25685"/>
    <cellStyle name="Normal 34 2" xfId="1690"/>
    <cellStyle name="Normal 34 2 2" xfId="5946"/>
    <cellStyle name="Normal 34 2 2 2" xfId="25688"/>
    <cellStyle name="Normal 34 2 2 2 2" xfId="25689"/>
    <cellStyle name="Normal 34 2 2 2 2 2" xfId="25690"/>
    <cellStyle name="Normal 34 2 2 2 3" xfId="25691"/>
    <cellStyle name="Normal 34 2 2 3" xfId="25692"/>
    <cellStyle name="Normal 34 2 2 3 2" xfId="25693"/>
    <cellStyle name="Normal 34 2 2 4" xfId="25694"/>
    <cellStyle name="Normal 34 2 2 5" xfId="25695"/>
    <cellStyle name="Normal 34 2 2 6" xfId="25687"/>
    <cellStyle name="Normal 34 2 3" xfId="25696"/>
    <cellStyle name="Normal 34 2 3 2" xfId="25697"/>
    <cellStyle name="Normal 34 2 3 2 2" xfId="25698"/>
    <cellStyle name="Normal 34 2 3 2 2 2" xfId="25699"/>
    <cellStyle name="Normal 34 2 3 2 3" xfId="25700"/>
    <cellStyle name="Normal 34 2 3 3" xfId="25701"/>
    <cellStyle name="Normal 34 2 3 3 2" xfId="25702"/>
    <cellStyle name="Normal 34 2 3 4" xfId="25703"/>
    <cellStyle name="Normal 34 2 4" xfId="25704"/>
    <cellStyle name="Normal 34 2 4 2" xfId="25705"/>
    <cellStyle name="Normal 34 2 4 2 2" xfId="25706"/>
    <cellStyle name="Normal 34 2 4 3" xfId="25707"/>
    <cellStyle name="Normal 34 2 5" xfId="25708"/>
    <cellStyle name="Normal 34 2 5 2" xfId="25709"/>
    <cellStyle name="Normal 34 2 5 2 2" xfId="25710"/>
    <cellStyle name="Normal 34 2 5 3" xfId="25711"/>
    <cellStyle name="Normal 34 2 6" xfId="25712"/>
    <cellStyle name="Normal 34 2 6 2" xfId="25713"/>
    <cellStyle name="Normal 34 2 7" xfId="25714"/>
    <cellStyle name="Normal 34 2 8" xfId="25715"/>
    <cellStyle name="Normal 34 2 9" xfId="25686"/>
    <cellStyle name="Normal 34 3" xfId="1691"/>
    <cellStyle name="Normal 34 3 2" xfId="3272"/>
    <cellStyle name="Normal 34 3 2 2" xfId="25718"/>
    <cellStyle name="Normal 34 3 2 2 2" xfId="25719"/>
    <cellStyle name="Normal 34 3 2 2 2 2" xfId="25720"/>
    <cellStyle name="Normal 34 3 2 2 3" xfId="25721"/>
    <cellStyle name="Normal 34 3 2 3" xfId="25722"/>
    <cellStyle name="Normal 34 3 2 3 2" xfId="25723"/>
    <cellStyle name="Normal 34 3 2 4" xfId="25724"/>
    <cellStyle name="Normal 34 3 2 5" xfId="25717"/>
    <cellStyle name="Normal 34 3 3" xfId="8120"/>
    <cellStyle name="Normal 34 3 3 2" xfId="25726"/>
    <cellStyle name="Normal 34 3 3 2 2" xfId="25727"/>
    <cellStyle name="Normal 34 3 3 3" xfId="25728"/>
    <cellStyle name="Normal 34 3 3 4" xfId="25725"/>
    <cellStyle name="Normal 34 3 4" xfId="25729"/>
    <cellStyle name="Normal 34 3 4 2" xfId="25730"/>
    <cellStyle name="Normal 34 3 4 2 2" xfId="25731"/>
    <cellStyle name="Normal 34 3 4 3" xfId="25732"/>
    <cellStyle name="Normal 34 3 5" xfId="25733"/>
    <cellStyle name="Normal 34 3 5 2" xfId="25734"/>
    <cellStyle name="Normal 34 3 6" xfId="25735"/>
    <cellStyle name="Normal 34 3 7" xfId="25736"/>
    <cellStyle name="Normal 34 3 8" xfId="25716"/>
    <cellStyle name="Normal 34 4" xfId="3162"/>
    <cellStyle name="Normal 34 4 2" xfId="7877"/>
    <cellStyle name="Normal 34 4 2 2" xfId="25739"/>
    <cellStyle name="Normal 34 4 2 2 2" xfId="25740"/>
    <cellStyle name="Normal 34 4 2 3" xfId="25741"/>
    <cellStyle name="Normal 34 4 2 4" xfId="25738"/>
    <cellStyle name="Normal 34 4 3" xfId="25742"/>
    <cellStyle name="Normal 34 4 3 2" xfId="25743"/>
    <cellStyle name="Normal 34 4 4" xfId="25744"/>
    <cellStyle name="Normal 34 4 5" xfId="25745"/>
    <cellStyle name="Normal 34 4 6" xfId="25737"/>
    <cellStyle name="Normal 34 5" xfId="5945"/>
    <cellStyle name="Normal 34 5 2" xfId="25747"/>
    <cellStyle name="Normal 34 5 2 2" xfId="25748"/>
    <cellStyle name="Normal 34 5 3" xfId="25749"/>
    <cellStyle name="Normal 34 5 4" xfId="25750"/>
    <cellStyle name="Normal 34 5 5" xfId="25751"/>
    <cellStyle name="Normal 34 5 6" xfId="25746"/>
    <cellStyle name="Normal 34 6" xfId="25752"/>
    <cellStyle name="Normal 34 6 2" xfId="25753"/>
    <cellStyle name="Normal 34 6 2 2" xfId="25754"/>
    <cellStyle name="Normal 34 6 3" xfId="25755"/>
    <cellStyle name="Normal 34 7" xfId="25756"/>
    <cellStyle name="Normal 34 7 2" xfId="25757"/>
    <cellStyle name="Normal 34 8" xfId="25758"/>
    <cellStyle name="Normal 34 8 2" xfId="25759"/>
    <cellStyle name="Normal 34 9" xfId="25760"/>
    <cellStyle name="Normal 35" xfId="1692"/>
    <cellStyle name="Normal 35 2" xfId="1693"/>
    <cellStyle name="Normal 35 2 2" xfId="5948"/>
    <cellStyle name="Normal 35 2 3" xfId="8121"/>
    <cellStyle name="Normal 35 3" xfId="1694"/>
    <cellStyle name="Normal 35 3 2" xfId="5949"/>
    <cellStyle name="Normal 35 3 3" xfId="8122"/>
    <cellStyle name="Normal 35 4" xfId="1695"/>
    <cellStyle name="Normal 35 4 2" xfId="5950"/>
    <cellStyle name="Normal 35 5" xfId="5951"/>
    <cellStyle name="Normal 35 6" xfId="7878"/>
    <cellStyle name="Normal 35 7" xfId="5947"/>
    <cellStyle name="Normal 36" xfId="1696"/>
    <cellStyle name="Normal 36 2" xfId="1697"/>
    <cellStyle name="Normal 36 2 2" xfId="5953"/>
    <cellStyle name="Normal 36 2 2 2" xfId="25763"/>
    <cellStyle name="Normal 36 2 2 3" xfId="25762"/>
    <cellStyle name="Normal 36 2 3" xfId="25764"/>
    <cellStyle name="Normal 36 2 4" xfId="25765"/>
    <cellStyle name="Normal 36 2 5" xfId="25766"/>
    <cellStyle name="Normal 36 2 6" xfId="25761"/>
    <cellStyle name="Normal 36 3" xfId="1698"/>
    <cellStyle name="Normal 36 3 2" xfId="8124"/>
    <cellStyle name="Normal 36 4" xfId="5952"/>
    <cellStyle name="Normal 36 5" xfId="8123"/>
    <cellStyle name="Normal 37" xfId="1699"/>
    <cellStyle name="Normal 37 2" xfId="1700"/>
    <cellStyle name="Normal 37 2 2" xfId="5955"/>
    <cellStyle name="Normal 37 2 2 2" xfId="25770"/>
    <cellStyle name="Normal 37 2 2 3" xfId="25769"/>
    <cellStyle name="Normal 37 2 3" xfId="8126"/>
    <cellStyle name="Normal 37 2 4" xfId="25768"/>
    <cellStyle name="Normal 37 3" xfId="1701"/>
    <cellStyle name="Normal 37 3 2" xfId="25772"/>
    <cellStyle name="Normal 37 3 2 2" xfId="25773"/>
    <cellStyle name="Normal 37 3 2 2 2" xfId="25774"/>
    <cellStyle name="Normal 37 3 2 2 2 2" xfId="25775"/>
    <cellStyle name="Normal 37 3 2 2 3" xfId="25776"/>
    <cellStyle name="Normal 37 3 2 3" xfId="25777"/>
    <cellStyle name="Normal 37 3 2 3 2" xfId="25778"/>
    <cellStyle name="Normal 37 3 2 4" xfId="25779"/>
    <cellStyle name="Normal 37 3 3" xfId="25780"/>
    <cellStyle name="Normal 37 3 3 2" xfId="25781"/>
    <cellStyle name="Normal 37 3 3 2 2" xfId="25782"/>
    <cellStyle name="Normal 37 3 3 3" xfId="25783"/>
    <cellStyle name="Normal 37 3 4" xfId="25784"/>
    <cellStyle name="Normal 37 3 4 2" xfId="25785"/>
    <cellStyle name="Normal 37 3 5" xfId="25786"/>
    <cellStyle name="Normal 37 3 6" xfId="25787"/>
    <cellStyle name="Normal 37 3 7" xfId="25771"/>
    <cellStyle name="Normal 37 4" xfId="2991"/>
    <cellStyle name="Normal 37 4 2" xfId="25788"/>
    <cellStyle name="Normal 37 5" xfId="5954"/>
    <cellStyle name="Normal 37 5 2" xfId="25790"/>
    <cellStyle name="Normal 37 5 3" xfId="25789"/>
    <cellStyle name="Normal 37 6" xfId="8125"/>
    <cellStyle name="Normal 37 6 2" xfId="25791"/>
    <cellStyle name="Normal 37 7" xfId="25792"/>
    <cellStyle name="Normal 37 8" xfId="25767"/>
    <cellStyle name="Normal 38" xfId="1702"/>
    <cellStyle name="Normal 38 2" xfId="1703"/>
    <cellStyle name="Normal 38 2 2" xfId="5957"/>
    <cellStyle name="Normal 38 2 2 2" xfId="25795"/>
    <cellStyle name="Normal 38 2 2 3" xfId="25794"/>
    <cellStyle name="Normal 38 2 3" xfId="25796"/>
    <cellStyle name="Normal 38 2 4" xfId="25793"/>
    <cellStyle name="Normal 38 3" xfId="1704"/>
    <cellStyle name="Normal 38 3 2" xfId="5958"/>
    <cellStyle name="Normal 38 4" xfId="2787"/>
    <cellStyle name="Normal 38 4 2" xfId="5959"/>
    <cellStyle name="Normal 38 5" xfId="5960"/>
    <cellStyle name="Normal 38 6" xfId="5956"/>
    <cellStyle name="Normal 39" xfId="1705"/>
    <cellStyle name="Normal 39 2" xfId="1706"/>
    <cellStyle name="Normal 39 2 2" xfId="3644"/>
    <cellStyle name="Normal 39 2 3" xfId="25798"/>
    <cellStyle name="Normal 39 3" xfId="1707"/>
    <cellStyle name="Normal 39 3 2" xfId="8128"/>
    <cellStyle name="Normal 39 3 3" xfId="25799"/>
    <cellStyle name="Normal 39 4" xfId="1708"/>
    <cellStyle name="Normal 39 5" xfId="3170"/>
    <cellStyle name="Normal 39 6" xfId="5961"/>
    <cellStyle name="Normal 39 7" xfId="8127"/>
    <cellStyle name="Normal 39 8" xfId="25797"/>
    <cellStyle name="Normal 4" xfId="25"/>
    <cellStyle name="Normal 4 10" xfId="2461"/>
    <cellStyle name="Normal 4 11" xfId="2462"/>
    <cellStyle name="Normal 4 12" xfId="2463"/>
    <cellStyle name="Normal 4 13" xfId="2464"/>
    <cellStyle name="Normal 4 14" xfId="2465"/>
    <cellStyle name="Normal 4 15" xfId="2466"/>
    <cellStyle name="Normal 4 16" xfId="2467"/>
    <cellStyle name="Normal 4 17" xfId="2468"/>
    <cellStyle name="Normal 4 18" xfId="2469"/>
    <cellStyle name="Normal 4 19" xfId="2470"/>
    <cellStyle name="Normal 4 2" xfId="1710"/>
    <cellStyle name="Normal 4 2 2" xfId="1711"/>
    <cellStyle name="Normal 4 2 2 10" xfId="25801"/>
    <cellStyle name="Normal 4 2 2 11" xfId="25802"/>
    <cellStyle name="Normal 4 2 2 12" xfId="25800"/>
    <cellStyle name="Normal 4 2 2 2" xfId="1712"/>
    <cellStyle name="Normal 4 2 2 2 10" xfId="40409"/>
    <cellStyle name="Normal 4 2 2 2 2" xfId="25804"/>
    <cellStyle name="Normal 4 2 2 2 2 2" xfId="25805"/>
    <cellStyle name="Normal 4 2 2 2 2 2 2" xfId="25806"/>
    <cellStyle name="Normal 4 2 2 2 2 2 2 2" xfId="25807"/>
    <cellStyle name="Normal 4 2 2 2 2 2 3" xfId="25808"/>
    <cellStyle name="Normal 4 2 2 2 2 3" xfId="25809"/>
    <cellStyle name="Normal 4 2 2 2 2 3 2" xfId="25810"/>
    <cellStyle name="Normal 4 2 2 2 2 4" xfId="25811"/>
    <cellStyle name="Normal 4 2 2 2 2 5" xfId="25812"/>
    <cellStyle name="Normal 4 2 2 2 3" xfId="25813"/>
    <cellStyle name="Normal 4 2 2 2 3 2" xfId="25814"/>
    <cellStyle name="Normal 4 2 2 2 3 2 2" xfId="25815"/>
    <cellStyle name="Normal 4 2 2 2 3 2 2 2" xfId="25816"/>
    <cellStyle name="Normal 4 2 2 2 3 2 3" xfId="25817"/>
    <cellStyle name="Normal 4 2 2 2 3 3" xfId="25818"/>
    <cellStyle name="Normal 4 2 2 2 3 3 2" xfId="25819"/>
    <cellStyle name="Normal 4 2 2 2 3 4" xfId="25820"/>
    <cellStyle name="Normal 4 2 2 2 4" xfId="25821"/>
    <cellStyle name="Normal 4 2 2 2 4 2" xfId="25822"/>
    <cellStyle name="Normal 4 2 2 2 4 2 2" xfId="25823"/>
    <cellStyle name="Normal 4 2 2 2 4 3" xfId="25824"/>
    <cellStyle name="Normal 4 2 2 2 5" xfId="25825"/>
    <cellStyle name="Normal 4 2 2 2 5 2" xfId="25826"/>
    <cellStyle name="Normal 4 2 2 2 5 2 2" xfId="25827"/>
    <cellStyle name="Normal 4 2 2 2 5 3" xfId="25828"/>
    <cellStyle name="Normal 4 2 2 2 6" xfId="25829"/>
    <cellStyle name="Normal 4 2 2 2 6 2" xfId="25830"/>
    <cellStyle name="Normal 4 2 2 2 7" xfId="25831"/>
    <cellStyle name="Normal 4 2 2 2 7 2" xfId="25832"/>
    <cellStyle name="Normal 4 2 2 2 8" xfId="25833"/>
    <cellStyle name="Normal 4 2 2 2 9" xfId="25803"/>
    <cellStyle name="Normal 4 2 2 3" xfId="2999"/>
    <cellStyle name="Normal 4 2 2 3 2" xfId="25835"/>
    <cellStyle name="Normal 4 2 2 3 2 2" xfId="25836"/>
    <cellStyle name="Normal 4 2 2 3 2 2 2" xfId="25837"/>
    <cellStyle name="Normal 4 2 2 3 2 2 2 2" xfId="25838"/>
    <cellStyle name="Normal 4 2 2 3 2 2 3" xfId="25839"/>
    <cellStyle name="Normal 4 2 2 3 2 3" xfId="25840"/>
    <cellStyle name="Normal 4 2 2 3 2 3 2" xfId="25841"/>
    <cellStyle name="Normal 4 2 2 3 2 4" xfId="25842"/>
    <cellStyle name="Normal 4 2 2 3 2 5" xfId="25843"/>
    <cellStyle name="Normal 4 2 2 3 3" xfId="25844"/>
    <cellStyle name="Normal 4 2 2 3 3 2" xfId="25845"/>
    <cellStyle name="Normal 4 2 2 3 3 2 2" xfId="25846"/>
    <cellStyle name="Normal 4 2 2 3 3 2 2 2" xfId="25847"/>
    <cellStyle name="Normal 4 2 2 3 3 2 3" xfId="25848"/>
    <cellStyle name="Normal 4 2 2 3 3 3" xfId="25849"/>
    <cellStyle name="Normal 4 2 2 3 3 3 2" xfId="25850"/>
    <cellStyle name="Normal 4 2 2 3 3 4" xfId="25851"/>
    <cellStyle name="Normal 4 2 2 3 4" xfId="25852"/>
    <cellStyle name="Normal 4 2 2 3 4 2" xfId="25853"/>
    <cellStyle name="Normal 4 2 2 3 4 2 2" xfId="25854"/>
    <cellStyle name="Normal 4 2 2 3 4 3" xfId="25855"/>
    <cellStyle name="Normal 4 2 2 3 5" xfId="25856"/>
    <cellStyle name="Normal 4 2 2 3 5 2" xfId="25857"/>
    <cellStyle name="Normal 4 2 2 3 5 2 2" xfId="25858"/>
    <cellStyle name="Normal 4 2 2 3 5 3" xfId="25859"/>
    <cellStyle name="Normal 4 2 2 3 6" xfId="25860"/>
    <cellStyle name="Normal 4 2 2 3 6 2" xfId="25861"/>
    <cellStyle name="Normal 4 2 2 3 7" xfId="25862"/>
    <cellStyle name="Normal 4 2 2 3 8" xfId="25863"/>
    <cellStyle name="Normal 4 2 2 3 9" xfId="25834"/>
    <cellStyle name="Normal 4 2 2 4" xfId="25864"/>
    <cellStyle name="Normal 4 2 2 4 2" xfId="25865"/>
    <cellStyle name="Normal 4 2 2 4 2 2" xfId="25866"/>
    <cellStyle name="Normal 4 2 2 4 2 2 2" xfId="25867"/>
    <cellStyle name="Normal 4 2 2 4 2 2 2 2" xfId="25868"/>
    <cellStyle name="Normal 4 2 2 4 2 2 3" xfId="25869"/>
    <cellStyle name="Normal 4 2 2 4 2 3" xfId="25870"/>
    <cellStyle name="Normal 4 2 2 4 2 3 2" xfId="25871"/>
    <cellStyle name="Normal 4 2 2 4 2 4" xfId="25872"/>
    <cellStyle name="Normal 4 2 2 4 2 5" xfId="25873"/>
    <cellStyle name="Normal 4 2 2 4 3" xfId="25874"/>
    <cellStyle name="Normal 4 2 2 4 3 2" xfId="25875"/>
    <cellStyle name="Normal 4 2 2 4 3 2 2" xfId="25876"/>
    <cellStyle name="Normal 4 2 2 4 3 2 2 2" xfId="25877"/>
    <cellStyle name="Normal 4 2 2 4 3 2 3" xfId="25878"/>
    <cellStyle name="Normal 4 2 2 4 3 3" xfId="25879"/>
    <cellStyle name="Normal 4 2 2 4 3 3 2" xfId="25880"/>
    <cellStyle name="Normal 4 2 2 4 3 4" xfId="25881"/>
    <cellStyle name="Normal 4 2 2 4 4" xfId="25882"/>
    <cellStyle name="Normal 4 2 2 4 4 2" xfId="25883"/>
    <cellStyle name="Normal 4 2 2 4 4 2 2" xfId="25884"/>
    <cellStyle name="Normal 4 2 2 4 4 3" xfId="25885"/>
    <cellStyle name="Normal 4 2 2 4 5" xfId="25886"/>
    <cellStyle name="Normal 4 2 2 4 5 2" xfId="25887"/>
    <cellStyle name="Normal 4 2 2 4 5 2 2" xfId="25888"/>
    <cellStyle name="Normal 4 2 2 4 5 3" xfId="25889"/>
    <cellStyle name="Normal 4 2 2 4 6" xfId="25890"/>
    <cellStyle name="Normal 4 2 2 4 6 2" xfId="25891"/>
    <cellStyle name="Normal 4 2 2 4 7" xfId="25892"/>
    <cellStyle name="Normal 4 2 2 4 8" xfId="25893"/>
    <cellStyle name="Normal 4 2 2 5" xfId="25894"/>
    <cellStyle name="Normal 4 2 2 5 2" xfId="25895"/>
    <cellStyle name="Normal 4 2 2 5 2 2" xfId="25896"/>
    <cellStyle name="Normal 4 2 2 5 2 2 2" xfId="25897"/>
    <cellStyle name="Normal 4 2 2 5 2 2 2 2" xfId="25898"/>
    <cellStyle name="Normal 4 2 2 5 2 2 3" xfId="25899"/>
    <cellStyle name="Normal 4 2 2 5 2 3" xfId="25900"/>
    <cellStyle name="Normal 4 2 2 5 2 3 2" xfId="25901"/>
    <cellStyle name="Normal 4 2 2 5 2 4" xfId="25902"/>
    <cellStyle name="Normal 4 2 2 5 3" xfId="25903"/>
    <cellStyle name="Normal 4 2 2 5 3 2" xfId="25904"/>
    <cellStyle name="Normal 4 2 2 5 3 2 2" xfId="25905"/>
    <cellStyle name="Normal 4 2 2 5 3 3" xfId="25906"/>
    <cellStyle name="Normal 4 2 2 5 4" xfId="25907"/>
    <cellStyle name="Normal 4 2 2 5 4 2" xfId="25908"/>
    <cellStyle name="Normal 4 2 2 5 4 2 2" xfId="25909"/>
    <cellStyle name="Normal 4 2 2 5 4 3" xfId="25910"/>
    <cellStyle name="Normal 4 2 2 5 5" xfId="25911"/>
    <cellStyle name="Normal 4 2 2 5 5 2" xfId="25912"/>
    <cellStyle name="Normal 4 2 2 5 6" xfId="25913"/>
    <cellStyle name="Normal 4 2 2 5 7" xfId="25914"/>
    <cellStyle name="Normal 4 2 2 6" xfId="25915"/>
    <cellStyle name="Normal 4 2 2 6 2" xfId="25916"/>
    <cellStyle name="Normal 4 2 2 6 2 2" xfId="25917"/>
    <cellStyle name="Normal 4 2 2 6 2 2 2" xfId="25918"/>
    <cellStyle name="Normal 4 2 2 6 2 3" xfId="25919"/>
    <cellStyle name="Normal 4 2 2 6 3" xfId="25920"/>
    <cellStyle name="Normal 4 2 2 6 3 2" xfId="25921"/>
    <cellStyle name="Normal 4 2 2 6 4" xfId="25922"/>
    <cellStyle name="Normal 4 2 2 6 5" xfId="25923"/>
    <cellStyle name="Normal 4 2 2 7" xfId="25924"/>
    <cellStyle name="Normal 4 2 2 7 2" xfId="25925"/>
    <cellStyle name="Normal 4 2 2 7 2 2" xfId="25926"/>
    <cellStyle name="Normal 4 2 2 7 3" xfId="25927"/>
    <cellStyle name="Normal 4 2 2 8" xfId="25928"/>
    <cellStyle name="Normal 4 2 2 8 2" xfId="25929"/>
    <cellStyle name="Normal 4 2 2 8 2 2" xfId="25930"/>
    <cellStyle name="Normal 4 2 2 8 3" xfId="25931"/>
    <cellStyle name="Normal 4 2 2 9" xfId="25932"/>
    <cellStyle name="Normal 4 2 2 9 2" xfId="25933"/>
    <cellStyle name="Normal 4 2 3" xfId="3000"/>
    <cellStyle name="Normal 4 2 3 2" xfId="25935"/>
    <cellStyle name="Normal 4 2 3 3" xfId="25934"/>
    <cellStyle name="Normal 4 2 4" xfId="3001"/>
    <cellStyle name="Normal 4 2 5" xfId="3002"/>
    <cellStyle name="Normal 4 2 6" xfId="2998"/>
    <cellStyle name="Normal 4 2 6 2" xfId="25936"/>
    <cellStyle name="Normal 4 2 7" xfId="8511"/>
    <cellStyle name="Normal 4 2_5.2" xfId="5963"/>
    <cellStyle name="Normal 4 20" xfId="2471"/>
    <cellStyle name="Normal 4 20 2" xfId="5964"/>
    <cellStyle name="Normal 4 21" xfId="2472"/>
    <cellStyle name="Normal 4 21 2" xfId="5965"/>
    <cellStyle name="Normal 4 22" xfId="2460"/>
    <cellStyle name="Normal 4 22 2" xfId="5966"/>
    <cellStyle name="Normal 4 22 3" xfId="8312"/>
    <cellStyle name="Normal 4 22 4" xfId="25937"/>
    <cellStyle name="Normal 4 23" xfId="1709"/>
    <cellStyle name="Normal 4 23 2" xfId="5967"/>
    <cellStyle name="Normal 4 23 2 2" xfId="25940"/>
    <cellStyle name="Normal 4 23 2 2 2" xfId="25941"/>
    <cellStyle name="Normal 4 23 2 2 2 2" xfId="25942"/>
    <cellStyle name="Normal 4 23 2 2 3" xfId="25943"/>
    <cellStyle name="Normal 4 23 2 3" xfId="25944"/>
    <cellStyle name="Normal 4 23 2 3 2" xfId="25945"/>
    <cellStyle name="Normal 4 23 2 4" xfId="25946"/>
    <cellStyle name="Normal 4 23 2 5" xfId="25947"/>
    <cellStyle name="Normal 4 23 2 6" xfId="25939"/>
    <cellStyle name="Normal 4 23 3" xfId="25948"/>
    <cellStyle name="Normal 4 23 3 2" xfId="25949"/>
    <cellStyle name="Normal 4 23 3 2 2" xfId="25950"/>
    <cellStyle name="Normal 4 23 3 2 2 2" xfId="25951"/>
    <cellStyle name="Normal 4 23 3 2 3" xfId="25952"/>
    <cellStyle name="Normal 4 23 3 3" xfId="25953"/>
    <cellStyle name="Normal 4 23 3 3 2" xfId="25954"/>
    <cellStyle name="Normal 4 23 3 4" xfId="25955"/>
    <cellStyle name="Normal 4 23 4" xfId="25956"/>
    <cellStyle name="Normal 4 23 4 2" xfId="25957"/>
    <cellStyle name="Normal 4 23 4 2 2" xfId="25958"/>
    <cellStyle name="Normal 4 23 4 3" xfId="25959"/>
    <cellStyle name="Normal 4 23 5" xfId="25960"/>
    <cellStyle name="Normal 4 23 5 2" xfId="25961"/>
    <cellStyle name="Normal 4 23 5 2 2" xfId="25962"/>
    <cellStyle name="Normal 4 23 5 3" xfId="25963"/>
    <cellStyle name="Normal 4 23 6" xfId="25964"/>
    <cellStyle name="Normal 4 23 6 2" xfId="25965"/>
    <cellStyle name="Normal 4 23 7" xfId="25966"/>
    <cellStyle name="Normal 4 23 8" xfId="25938"/>
    <cellStyle name="Normal 4 24" xfId="5968"/>
    <cellStyle name="Normal 4 24 2" xfId="25968"/>
    <cellStyle name="Normal 4 24 2 2" xfId="25969"/>
    <cellStyle name="Normal 4 24 2 2 2" xfId="25970"/>
    <cellStyle name="Normal 4 24 2 2 2 2" xfId="25971"/>
    <cellStyle name="Normal 4 24 2 2 3" xfId="25972"/>
    <cellStyle name="Normal 4 24 2 3" xfId="25973"/>
    <cellStyle name="Normal 4 24 2 3 2" xfId="25974"/>
    <cellStyle name="Normal 4 24 2 4" xfId="25975"/>
    <cellStyle name="Normal 4 24 2 5" xfId="25976"/>
    <cellStyle name="Normal 4 24 3" xfId="25977"/>
    <cellStyle name="Normal 4 24 3 2" xfId="25978"/>
    <cellStyle name="Normal 4 24 3 2 2" xfId="25979"/>
    <cellStyle name="Normal 4 24 3 2 2 2" xfId="25980"/>
    <cellStyle name="Normal 4 24 3 2 3" xfId="25981"/>
    <cellStyle name="Normal 4 24 3 3" xfId="25982"/>
    <cellStyle name="Normal 4 24 3 3 2" xfId="25983"/>
    <cellStyle name="Normal 4 24 3 4" xfId="25984"/>
    <cellStyle name="Normal 4 24 4" xfId="25985"/>
    <cellStyle name="Normal 4 24 4 2" xfId="25986"/>
    <cellStyle name="Normal 4 24 4 2 2" xfId="25987"/>
    <cellStyle name="Normal 4 24 4 3" xfId="25988"/>
    <cellStyle name="Normal 4 24 5" xfId="25989"/>
    <cellStyle name="Normal 4 24 5 2" xfId="25990"/>
    <cellStyle name="Normal 4 24 5 2 2" xfId="25991"/>
    <cellStyle name="Normal 4 24 5 3" xfId="25992"/>
    <cellStyle name="Normal 4 24 6" xfId="25993"/>
    <cellStyle name="Normal 4 24 6 2" xfId="25994"/>
    <cellStyle name="Normal 4 24 7" xfId="25995"/>
    <cellStyle name="Normal 4 24 8" xfId="25996"/>
    <cellStyle name="Normal 4 24 9" xfId="25967"/>
    <cellStyle name="Normal 4 25" xfId="5969"/>
    <cellStyle name="Normal 4 25 2" xfId="25998"/>
    <cellStyle name="Normal 4 25 2 2" xfId="25999"/>
    <cellStyle name="Normal 4 25 2 2 2" xfId="26000"/>
    <cellStyle name="Normal 4 25 2 3" xfId="26001"/>
    <cellStyle name="Normal 4 25 3" xfId="26002"/>
    <cellStyle name="Normal 4 25 3 2" xfId="26003"/>
    <cellStyle name="Normal 4 25 3 2 2" xfId="26004"/>
    <cellStyle name="Normal 4 25 3 3" xfId="26005"/>
    <cellStyle name="Normal 4 25 4" xfId="26006"/>
    <cellStyle name="Normal 4 25 4 2" xfId="26007"/>
    <cellStyle name="Normal 4 25 5" xfId="26008"/>
    <cellStyle name="Normal 4 25 6" xfId="26009"/>
    <cellStyle name="Normal 4 25 7" xfId="25997"/>
    <cellStyle name="Normal 4 26" xfId="5970"/>
    <cellStyle name="Normal 4 26 2" xfId="26010"/>
    <cellStyle name="Normal 4 27" xfId="1713"/>
    <cellStyle name="Normal 4 27 2" xfId="5971"/>
    <cellStyle name="Normal 4 27 3" xfId="26011"/>
    <cellStyle name="Normal 4 28" xfId="5972"/>
    <cellStyle name="Normal 4 29" xfId="5973"/>
    <cellStyle name="Normal 4 3" xfId="1714"/>
    <cellStyle name="Normal 4 3 2" xfId="1715"/>
    <cellStyle name="Normal 4 3 2 2" xfId="5974"/>
    <cellStyle name="Normal 4 3 3" xfId="1716"/>
    <cellStyle name="Normal 4 3 4" xfId="1717"/>
    <cellStyle name="Normal 4 3 5" xfId="1718"/>
    <cellStyle name="Normal 4 30" xfId="7837"/>
    <cellStyle name="Normal 4 31" xfId="5962"/>
    <cellStyle name="Normal 4 32" xfId="8509"/>
    <cellStyle name="Normal 4 33" xfId="40407"/>
    <cellStyle name="Normal 4 4" xfId="1719"/>
    <cellStyle name="Normal 4 4 2" xfId="1720"/>
    <cellStyle name="Normal 4 4 3" xfId="2473"/>
    <cellStyle name="Normal 4 5" xfId="1721"/>
    <cellStyle name="Normal 4 5 2" xfId="2474"/>
    <cellStyle name="Normal 4 6" xfId="1722"/>
    <cellStyle name="Normal 4 6 2" xfId="2475"/>
    <cellStyle name="Normal 4 6 3" xfId="8129"/>
    <cellStyle name="Normal 4 7" xfId="2476"/>
    <cellStyle name="Normal 4 8" xfId="2477"/>
    <cellStyle name="Normal 4 9" xfId="2478"/>
    <cellStyle name="Normal 4_1. AISF Accounts - Dec 2013" xfId="5975"/>
    <cellStyle name="Normal 40" xfId="1723"/>
    <cellStyle name="Normal 40 2" xfId="1724"/>
    <cellStyle name="Normal 40 2 2" xfId="26012"/>
    <cellStyle name="Normal 40 3" xfId="1725"/>
    <cellStyle name="Normal 40 3 2" xfId="8131"/>
    <cellStyle name="Normal 40 3 2 2" xfId="26014"/>
    <cellStyle name="Normal 40 3 3" xfId="26015"/>
    <cellStyle name="Normal 40 3 4" xfId="26013"/>
    <cellStyle name="Normal 40 4" xfId="3024"/>
    <cellStyle name="Normal 40 4 2" xfId="26017"/>
    <cellStyle name="Normal 40 4 3" xfId="26016"/>
    <cellStyle name="Normal 40 5" xfId="5976"/>
    <cellStyle name="Normal 40 5 2" xfId="26018"/>
    <cellStyle name="Normal 40 6" xfId="8130"/>
    <cellStyle name="Normal 40 6 2" xfId="8515"/>
    <cellStyle name="Normal 41" xfId="1726"/>
    <cellStyle name="Normal 41 2" xfId="1727"/>
    <cellStyle name="Normal 41 2 2" xfId="5978"/>
    <cellStyle name="Normal 41 2 3" xfId="26020"/>
    <cellStyle name="Normal 41 3" xfId="1728"/>
    <cellStyle name="Normal 41 3 2" xfId="8133"/>
    <cellStyle name="Normal 41 3 3" xfId="26021"/>
    <cellStyle name="Normal 41 4" xfId="3168"/>
    <cellStyle name="Normal 41 5" xfId="5977"/>
    <cellStyle name="Normal 41 6" xfId="8132"/>
    <cellStyle name="Normal 41 7" xfId="26019"/>
    <cellStyle name="Normal 42" xfId="1729"/>
    <cellStyle name="Normal 42 2" xfId="3165"/>
    <cellStyle name="Normal 42 2 2" xfId="26023"/>
    <cellStyle name="Normal 42 3" xfId="5979"/>
    <cellStyle name="Normal 42 4" xfId="26022"/>
    <cellStyle name="Normal 43" xfId="1730"/>
    <cellStyle name="Normal 43 2" xfId="1731"/>
    <cellStyle name="Normal 43 2 2" xfId="8135"/>
    <cellStyle name="Normal 43 2 3" xfId="26025"/>
    <cellStyle name="Normal 43 3" xfId="3177"/>
    <cellStyle name="Normal 43 4" xfId="5980"/>
    <cellStyle name="Normal 43 5" xfId="8134"/>
    <cellStyle name="Normal 43 6" xfId="26024"/>
    <cellStyle name="Normal 44" xfId="1732"/>
    <cellStyle name="Normal 44 2" xfId="1733"/>
    <cellStyle name="Normal 44 2 2" xfId="8137"/>
    <cellStyle name="Normal 44 2 3" xfId="26027"/>
    <cellStyle name="Normal 44 3" xfId="3181"/>
    <cellStyle name="Normal 44 4" xfId="5981"/>
    <cellStyle name="Normal 44 5" xfId="8136"/>
    <cellStyle name="Normal 44 6" xfId="26026"/>
    <cellStyle name="Normal 45" xfId="1734"/>
    <cellStyle name="Normal 45 2" xfId="1735"/>
    <cellStyle name="Normal 45 2 2" xfId="5983"/>
    <cellStyle name="Normal 45 2 3" xfId="8139"/>
    <cellStyle name="Normal 45 3" xfId="2788"/>
    <cellStyle name="Normal 45 3 2" xfId="5984"/>
    <cellStyle name="Normal 45 4" xfId="5985"/>
    <cellStyle name="Normal 45 5" xfId="5982"/>
    <cellStyle name="Normal 45 6" xfId="8138"/>
    <cellStyle name="Normal 46" xfId="1736"/>
    <cellStyle name="Normal 46 2" xfId="1737"/>
    <cellStyle name="Normal 46 2 2" xfId="5987"/>
    <cellStyle name="Normal 46 2 2 2" xfId="26030"/>
    <cellStyle name="Normal 46 2 2 3" xfId="26029"/>
    <cellStyle name="Normal 46 2 3" xfId="8141"/>
    <cellStyle name="Normal 46 2 3 2" xfId="26031"/>
    <cellStyle name="Normal 46 2 4" xfId="26028"/>
    <cellStyle name="Normal 46 3" xfId="1738"/>
    <cellStyle name="Normal 46 3 2" xfId="5988"/>
    <cellStyle name="Normal 46 4" xfId="2789"/>
    <cellStyle name="Normal 46 4 2" xfId="5989"/>
    <cellStyle name="Normal 46 5" xfId="5986"/>
    <cellStyle name="Normal 46 6" xfId="8140"/>
    <cellStyle name="Normal 47" xfId="1739"/>
    <cellStyle name="Normal 47 2" xfId="1740"/>
    <cellStyle name="Normal 47 2 2" xfId="5991"/>
    <cellStyle name="Normal 47 2 3" xfId="8143"/>
    <cellStyle name="Normal 47 2 4" xfId="26032"/>
    <cellStyle name="Normal 47 3" xfId="1741"/>
    <cellStyle name="Normal 47 4" xfId="5990"/>
    <cellStyle name="Normal 47 5" xfId="8142"/>
    <cellStyle name="Normal 48" xfId="1742"/>
    <cellStyle name="Normal 48 2" xfId="1743"/>
    <cellStyle name="Normal 48 2 2" xfId="5993"/>
    <cellStyle name="Normal 48 2 3" xfId="8145"/>
    <cellStyle name="Normal 48 2 4" xfId="26034"/>
    <cellStyle name="Normal 48 3" xfId="1744"/>
    <cellStyle name="Normal 48 3 2" xfId="26035"/>
    <cellStyle name="Normal 48 4" xfId="5992"/>
    <cellStyle name="Normal 48 5" xfId="8144"/>
    <cellStyle name="Normal 48 6" xfId="26033"/>
    <cellStyle name="Normal 49" xfId="1745"/>
    <cellStyle name="Normal 49 2" xfId="1746"/>
    <cellStyle name="Normal 49 2 2" xfId="5995"/>
    <cellStyle name="Normal 49 2 3" xfId="8147"/>
    <cellStyle name="Normal 49 3" xfId="5994"/>
    <cellStyle name="Normal 49 4" xfId="8146"/>
    <cellStyle name="Normal 49 5" xfId="26036"/>
    <cellStyle name="Normal 5" xfId="1747"/>
    <cellStyle name="Normal 5 10" xfId="1748"/>
    <cellStyle name="Normal 5 10 2" xfId="5997"/>
    <cellStyle name="Normal 5 11" xfId="3003"/>
    <cellStyle name="Normal 5 11 2" xfId="26038"/>
    <cellStyle name="Normal 5 11 3" xfId="26037"/>
    <cellStyle name="Normal 5 12" xfId="5996"/>
    <cellStyle name="Normal 5 12 2" xfId="26039"/>
    <cellStyle name="Normal 5 13" xfId="26040"/>
    <cellStyle name="Normal 5 2" xfId="1749"/>
    <cellStyle name="Normal 5 2 2" xfId="1750"/>
    <cellStyle name="Normal 5 2 2 2" xfId="3005"/>
    <cellStyle name="Normal 5 2 2 2 2" xfId="5999"/>
    <cellStyle name="Normal 5 2 2 2 2 2" xfId="6000"/>
    <cellStyle name="Normal 5 2 2 2 2 2 2" xfId="6001"/>
    <cellStyle name="Normal 5 2 2 2 2 3" xfId="6002"/>
    <cellStyle name="Normal 5 2 2 2 2 4" xfId="6003"/>
    <cellStyle name="Normal 5 2 2 2 2 5" xfId="26042"/>
    <cellStyle name="Normal 5 2 2 2 3" xfId="6004"/>
    <cellStyle name="Normal 5 2 2 2 3 2" xfId="6005"/>
    <cellStyle name="Normal 5 2 2 2 3 3" xfId="26043"/>
    <cellStyle name="Normal 5 2 2 2 4" xfId="6006"/>
    <cellStyle name="Normal 5 2 2 2 5" xfId="6007"/>
    <cellStyle name="Normal 5 2 2 2 6" xfId="5998"/>
    <cellStyle name="Normal 5 2 2 3" xfId="26044"/>
    <cellStyle name="Normal 5 2 2 4" xfId="26041"/>
    <cellStyle name="Normal 5 2 3" xfId="3006"/>
    <cellStyle name="Normal 5 2 3 2" xfId="26046"/>
    <cellStyle name="Normal 5 2 3 2 2" xfId="26047"/>
    <cellStyle name="Normal 5 2 3 3" xfId="26048"/>
    <cellStyle name="Normal 5 2 3 4" xfId="26045"/>
    <cellStyle name="Normal 5 2 4" xfId="3007"/>
    <cellStyle name="Normal 5 2 4 2" xfId="26050"/>
    <cellStyle name="Normal 5 2 4 3" xfId="26049"/>
    <cellStyle name="Normal 5 2 5" xfId="3008"/>
    <cellStyle name="Normal 5 2 6" xfId="3004"/>
    <cellStyle name="Normal 5 2 6 2" xfId="26051"/>
    <cellStyle name="Normal 5 2 7" xfId="2790"/>
    <cellStyle name="Normal 5 2_5.2" xfId="6008"/>
    <cellStyle name="Normal 5 3" xfId="1751"/>
    <cellStyle name="Normal 5 3 2" xfId="1752"/>
    <cellStyle name="Normal 5 3 2 2" xfId="6010"/>
    <cellStyle name="Normal 5 3 3" xfId="1753"/>
    <cellStyle name="Normal 5 3 3 2" xfId="6012"/>
    <cellStyle name="Normal 5 3 3 2 2" xfId="6013"/>
    <cellStyle name="Normal 5 3 3 3" xfId="6014"/>
    <cellStyle name="Normal 5 3 3 4" xfId="6015"/>
    <cellStyle name="Normal 5 3 3 5" xfId="6011"/>
    <cellStyle name="Normal 5 3 3 6" xfId="26052"/>
    <cellStyle name="Normal 5 3 4" xfId="3009"/>
    <cellStyle name="Normal 5 3 4 2" xfId="6017"/>
    <cellStyle name="Normal 5 3 4 3" xfId="6016"/>
    <cellStyle name="Normal 5 3 5" xfId="6018"/>
    <cellStyle name="Normal 5 3 6" xfId="6019"/>
    <cellStyle name="Normal 5 3 7" xfId="6009"/>
    <cellStyle name="Normal 5 31" xfId="1754"/>
    <cellStyle name="Normal 5 4" xfId="1755"/>
    <cellStyle name="Normal 5 4 10" xfId="26053"/>
    <cellStyle name="Normal 5 4 2" xfId="1756"/>
    <cellStyle name="Normal 5 4 2 2" xfId="26055"/>
    <cellStyle name="Normal 5 4 2 2 2" xfId="26056"/>
    <cellStyle name="Normal 5 4 2 2 2 2" xfId="26057"/>
    <cellStyle name="Normal 5 4 2 2 2 2 2" xfId="26058"/>
    <cellStyle name="Normal 5 4 2 2 2 3" xfId="26059"/>
    <cellStyle name="Normal 5 4 2 2 3" xfId="26060"/>
    <cellStyle name="Normal 5 4 2 2 3 2" xfId="26061"/>
    <cellStyle name="Normal 5 4 2 2 4" xfId="26062"/>
    <cellStyle name="Normal 5 4 2 2 5" xfId="26063"/>
    <cellStyle name="Normal 5 4 2 3" xfId="26064"/>
    <cellStyle name="Normal 5 4 2 3 2" xfId="26065"/>
    <cellStyle name="Normal 5 4 2 3 2 2" xfId="26066"/>
    <cellStyle name="Normal 5 4 2 3 2 2 2" xfId="26067"/>
    <cellStyle name="Normal 5 4 2 3 2 3" xfId="26068"/>
    <cellStyle name="Normal 5 4 2 3 3" xfId="26069"/>
    <cellStyle name="Normal 5 4 2 3 3 2" xfId="26070"/>
    <cellStyle name="Normal 5 4 2 3 4" xfId="26071"/>
    <cellStyle name="Normal 5 4 2 4" xfId="26072"/>
    <cellStyle name="Normal 5 4 2 4 2" xfId="26073"/>
    <cellStyle name="Normal 5 4 2 4 2 2" xfId="26074"/>
    <cellStyle name="Normal 5 4 2 4 3" xfId="26075"/>
    <cellStyle name="Normal 5 4 2 5" xfId="26076"/>
    <cellStyle name="Normal 5 4 2 5 2" xfId="26077"/>
    <cellStyle name="Normal 5 4 2 5 2 2" xfId="26078"/>
    <cellStyle name="Normal 5 4 2 5 3" xfId="26079"/>
    <cellStyle name="Normal 5 4 2 6" xfId="26080"/>
    <cellStyle name="Normal 5 4 2 6 2" xfId="26081"/>
    <cellStyle name="Normal 5 4 2 7" xfId="26082"/>
    <cellStyle name="Normal 5 4 2 8" xfId="26083"/>
    <cellStyle name="Normal 5 4 2 9" xfId="26054"/>
    <cellStyle name="Normal 5 4 3" xfId="6020"/>
    <cellStyle name="Normal 5 4 3 2" xfId="26085"/>
    <cellStyle name="Normal 5 4 3 2 2" xfId="26086"/>
    <cellStyle name="Normal 5 4 3 2 2 2" xfId="26087"/>
    <cellStyle name="Normal 5 4 3 2 2 2 2" xfId="26088"/>
    <cellStyle name="Normal 5 4 3 2 2 3" xfId="26089"/>
    <cellStyle name="Normal 5 4 3 2 3" xfId="26090"/>
    <cellStyle name="Normal 5 4 3 2 3 2" xfId="26091"/>
    <cellStyle name="Normal 5 4 3 2 4" xfId="26092"/>
    <cellStyle name="Normal 5 4 3 2 5" xfId="26093"/>
    <cellStyle name="Normal 5 4 3 3" xfId="26094"/>
    <cellStyle name="Normal 5 4 3 3 2" xfId="26095"/>
    <cellStyle name="Normal 5 4 3 3 2 2" xfId="26096"/>
    <cellStyle name="Normal 5 4 3 3 2 2 2" xfId="26097"/>
    <cellStyle name="Normal 5 4 3 3 2 3" xfId="26098"/>
    <cellStyle name="Normal 5 4 3 3 3" xfId="26099"/>
    <cellStyle name="Normal 5 4 3 3 3 2" xfId="26100"/>
    <cellStyle name="Normal 5 4 3 3 4" xfId="26101"/>
    <cellStyle name="Normal 5 4 3 4" xfId="26102"/>
    <cellStyle name="Normal 5 4 3 4 2" xfId="26103"/>
    <cellStyle name="Normal 5 4 3 4 2 2" xfId="26104"/>
    <cellStyle name="Normal 5 4 3 4 3" xfId="26105"/>
    <cellStyle name="Normal 5 4 3 5" xfId="26106"/>
    <cellStyle name="Normal 5 4 3 5 2" xfId="26107"/>
    <cellStyle name="Normal 5 4 3 5 2 2" xfId="26108"/>
    <cellStyle name="Normal 5 4 3 5 3" xfId="26109"/>
    <cellStyle name="Normal 5 4 3 6" xfId="26110"/>
    <cellStyle name="Normal 5 4 3 6 2" xfId="26111"/>
    <cellStyle name="Normal 5 4 3 7" xfId="26112"/>
    <cellStyle name="Normal 5 4 3 8" xfId="26113"/>
    <cellStyle name="Normal 5 4 3 9" xfId="26084"/>
    <cellStyle name="Normal 5 4 4" xfId="26114"/>
    <cellStyle name="Normal 5 4 4 2" xfId="26115"/>
    <cellStyle name="Normal 5 4 4 2 2" xfId="26116"/>
    <cellStyle name="Normal 5 4 4 2 2 2" xfId="26117"/>
    <cellStyle name="Normal 5 4 4 2 2 2 2" xfId="26118"/>
    <cellStyle name="Normal 5 4 4 2 2 3" xfId="26119"/>
    <cellStyle name="Normal 5 4 4 2 3" xfId="26120"/>
    <cellStyle name="Normal 5 4 4 2 3 2" xfId="26121"/>
    <cellStyle name="Normal 5 4 4 2 4" xfId="26122"/>
    <cellStyle name="Normal 5 4 4 3" xfId="26123"/>
    <cellStyle name="Normal 5 4 4 3 2" xfId="26124"/>
    <cellStyle name="Normal 5 4 4 3 2 2" xfId="26125"/>
    <cellStyle name="Normal 5 4 4 3 3" xfId="26126"/>
    <cellStyle name="Normal 5 4 4 4" xfId="26127"/>
    <cellStyle name="Normal 5 4 4 4 2" xfId="26128"/>
    <cellStyle name="Normal 5 4 4 4 2 2" xfId="26129"/>
    <cellStyle name="Normal 5 4 4 4 3" xfId="26130"/>
    <cellStyle name="Normal 5 4 4 5" xfId="26131"/>
    <cellStyle name="Normal 5 4 4 5 2" xfId="26132"/>
    <cellStyle name="Normal 5 4 4 6" xfId="26133"/>
    <cellStyle name="Normal 5 4 4 7" xfId="26134"/>
    <cellStyle name="Normal 5 4 5" xfId="26135"/>
    <cellStyle name="Normal 5 4 5 2" xfId="26136"/>
    <cellStyle name="Normal 5 4 5 2 2" xfId="26137"/>
    <cellStyle name="Normal 5 4 5 2 2 2" xfId="26138"/>
    <cellStyle name="Normal 5 4 5 2 3" xfId="26139"/>
    <cellStyle name="Normal 5 4 5 3" xfId="26140"/>
    <cellStyle name="Normal 5 4 5 3 2" xfId="26141"/>
    <cellStyle name="Normal 5 4 5 4" xfId="26142"/>
    <cellStyle name="Normal 5 4 5 5" xfId="26143"/>
    <cellStyle name="Normal 5 4 6" xfId="26144"/>
    <cellStyle name="Normal 5 4 6 2" xfId="26145"/>
    <cellStyle name="Normal 5 4 6 2 2" xfId="26146"/>
    <cellStyle name="Normal 5 4 6 3" xfId="26147"/>
    <cellStyle name="Normal 5 4 7" xfId="26148"/>
    <cellStyle name="Normal 5 4 7 2" xfId="26149"/>
    <cellStyle name="Normal 5 4 7 2 2" xfId="26150"/>
    <cellStyle name="Normal 5 4 7 3" xfId="26151"/>
    <cellStyle name="Normal 5 4 8" xfId="26152"/>
    <cellStyle name="Normal 5 4 8 2" xfId="26153"/>
    <cellStyle name="Normal 5 4 9" xfId="26154"/>
    <cellStyle name="Normal 5 5" xfId="1757"/>
    <cellStyle name="Normal 5 5 2" xfId="3010"/>
    <cellStyle name="Normal 5 5 3" xfId="26155"/>
    <cellStyle name="Normal 5 6" xfId="1758"/>
    <cellStyle name="Normal 5 6 2" xfId="3135"/>
    <cellStyle name="Normal 5 7" xfId="3136"/>
    <cellStyle name="Normal 5 7 2" xfId="6021"/>
    <cellStyle name="Normal 5 8" xfId="3137"/>
    <cellStyle name="Normal 5 8 2" xfId="6022"/>
    <cellStyle name="Normal 5 9" xfId="3138"/>
    <cellStyle name="Normal 5 9 2" xfId="6024"/>
    <cellStyle name="Normal 5 9 3" xfId="6023"/>
    <cellStyle name="Normal 5_31 Dec Accounts 2009-NIUT" xfId="1759"/>
    <cellStyle name="Normal 50" xfId="1760"/>
    <cellStyle name="Normal 50 2" xfId="1761"/>
    <cellStyle name="Normal 50 2 2" xfId="6026"/>
    <cellStyle name="Normal 50 2 3" xfId="8149"/>
    <cellStyle name="Normal 50 2 4" xfId="26156"/>
    <cellStyle name="Normal 50 3" xfId="1762"/>
    <cellStyle name="Normal 50 4" xfId="6025"/>
    <cellStyle name="Normal 50 5" xfId="8148"/>
    <cellStyle name="Normal 51" xfId="1763"/>
    <cellStyle name="Normal 51 2" xfId="1764"/>
    <cellStyle name="Normal 51 2 2" xfId="6028"/>
    <cellStyle name="Normal 51 2 3" xfId="8151"/>
    <cellStyle name="Normal 51 2 4" xfId="26157"/>
    <cellStyle name="Normal 51 3" xfId="1765"/>
    <cellStyle name="Normal 51 4" xfId="6027"/>
    <cellStyle name="Normal 51 5" xfId="8150"/>
    <cellStyle name="Normal 52" xfId="1766"/>
    <cellStyle name="Normal 52 2" xfId="1767"/>
    <cellStyle name="Normal 52 2 2" xfId="7862"/>
    <cellStyle name="Normal 52 2 3" xfId="8153"/>
    <cellStyle name="Normal 52 2 4" xfId="26158"/>
    <cellStyle name="Normal 52 3" xfId="1768"/>
    <cellStyle name="Normal 52 4" xfId="6029"/>
    <cellStyle name="Normal 52 5" xfId="8152"/>
    <cellStyle name="Normal 53" xfId="1769"/>
    <cellStyle name="Normal 53 2" xfId="1770"/>
    <cellStyle name="Normal 53 2 2" xfId="7858"/>
    <cellStyle name="Normal 53 2 2 2" xfId="26161"/>
    <cellStyle name="Normal 53 2 2 3" xfId="26160"/>
    <cellStyle name="Normal 53 2 3" xfId="8155"/>
    <cellStyle name="Normal 53 2 3 2" xfId="26162"/>
    <cellStyle name="Normal 53 2 4" xfId="26159"/>
    <cellStyle name="Normal 53 3" xfId="1771"/>
    <cellStyle name="Normal 53 4" xfId="6030"/>
    <cellStyle name="Normal 53 5" xfId="8154"/>
    <cellStyle name="Normal 54" xfId="1772"/>
    <cellStyle name="Normal 54 2" xfId="1773"/>
    <cellStyle name="Normal 54 2 2" xfId="7859"/>
    <cellStyle name="Normal 54 2 3" xfId="8157"/>
    <cellStyle name="Normal 54 3" xfId="1774"/>
    <cellStyle name="Normal 54 4" xfId="6031"/>
    <cellStyle name="Normal 54 5" xfId="8156"/>
    <cellStyle name="Normal 55" xfId="1775"/>
    <cellStyle name="Normal 55 2" xfId="1776"/>
    <cellStyle name="Normal 55 2 2" xfId="6033"/>
    <cellStyle name="Normal 55 2 3" xfId="8159"/>
    <cellStyle name="Normal 55 3" xfId="3188"/>
    <cellStyle name="Normal 55 4" xfId="6032"/>
    <cellStyle name="Normal 55 5" xfId="8158"/>
    <cellStyle name="Normal 55 6" xfId="26163"/>
    <cellStyle name="Normal 56" xfId="1777"/>
    <cellStyle name="Normal 56 2" xfId="1778"/>
    <cellStyle name="Normal 56 2 2" xfId="6035"/>
    <cellStyle name="Normal 56 2 3" xfId="8161"/>
    <cellStyle name="Normal 56 3" xfId="1779"/>
    <cellStyle name="Normal 56 4" xfId="6034"/>
    <cellStyle name="Normal 56 5" xfId="8160"/>
    <cellStyle name="Normal 57" xfId="1780"/>
    <cellStyle name="Normal 57 2" xfId="1781"/>
    <cellStyle name="Normal 57 2 2" xfId="6037"/>
    <cellStyle name="Normal 57 2 3" xfId="8163"/>
    <cellStyle name="Normal 57 3" xfId="1782"/>
    <cellStyle name="Normal 57 4" xfId="6036"/>
    <cellStyle name="Normal 57 5" xfId="8162"/>
    <cellStyle name="Normal 58" xfId="1783"/>
    <cellStyle name="Normal 58 2" xfId="1784"/>
    <cellStyle name="Normal 58 2 2" xfId="6039"/>
    <cellStyle name="Normal 58 2 3" xfId="8165"/>
    <cellStyle name="Normal 58 3" xfId="6038"/>
    <cellStyle name="Normal 58 4" xfId="8164"/>
    <cellStyle name="Normal 58 5" xfId="26164"/>
    <cellStyle name="Normal 59" xfId="1785"/>
    <cellStyle name="Normal 59 2" xfId="1786"/>
    <cellStyle name="Normal 59 2 2" xfId="6041"/>
    <cellStyle name="Normal 59 3" xfId="6040"/>
    <cellStyle name="Normal 6" xfId="1787"/>
    <cellStyle name="Normal 6 10" xfId="3139"/>
    <cellStyle name="Normal 6 10 2" xfId="8486"/>
    <cellStyle name="Normal 6 10 2 2" xfId="26168"/>
    <cellStyle name="Normal 6 10 2 2 2" xfId="26169"/>
    <cellStyle name="Normal 6 10 2 2 2 2" xfId="26170"/>
    <cellStyle name="Normal 6 10 2 2 3" xfId="26171"/>
    <cellStyle name="Normal 6 10 2 2 4" xfId="26172"/>
    <cellStyle name="Normal 6 10 2 3" xfId="26173"/>
    <cellStyle name="Normal 6 10 2 3 2" xfId="26174"/>
    <cellStyle name="Normal 6 10 2 4" xfId="26175"/>
    <cellStyle name="Normal 6 10 2 5" xfId="26176"/>
    <cellStyle name="Normal 6 10 2 6" xfId="26167"/>
    <cellStyle name="Normal 6 10 3" xfId="26177"/>
    <cellStyle name="Normal 6 10 3 2" xfId="26178"/>
    <cellStyle name="Normal 6 10 3 2 2" xfId="26179"/>
    <cellStyle name="Normal 6 10 3 3" xfId="26180"/>
    <cellStyle name="Normal 6 10 3 4" xfId="26181"/>
    <cellStyle name="Normal 6 10 4" xfId="26182"/>
    <cellStyle name="Normal 6 10 4 2" xfId="26183"/>
    <cellStyle name="Normal 6 10 4 2 2" xfId="26184"/>
    <cellStyle name="Normal 6 10 4 3" xfId="26185"/>
    <cellStyle name="Normal 6 10 4 4" xfId="26186"/>
    <cellStyle name="Normal 6 10 5" xfId="26187"/>
    <cellStyle name="Normal 6 10 5 2" xfId="26188"/>
    <cellStyle name="Normal 6 10 6" xfId="26189"/>
    <cellStyle name="Normal 6 10 7" xfId="26190"/>
    <cellStyle name="Normal 6 10 8" xfId="26166"/>
    <cellStyle name="Normal 6 11" xfId="3011"/>
    <cellStyle name="Normal 6 12" xfId="26191"/>
    <cellStyle name="Normal 6 13" xfId="26192"/>
    <cellStyle name="Normal 6 14" xfId="26193"/>
    <cellStyle name="Normal 6 15" xfId="26165"/>
    <cellStyle name="Normal 6 2" xfId="75"/>
    <cellStyle name="Normal 6 2 2" xfId="1789"/>
    <cellStyle name="Normal 6 2 2 2" xfId="1790"/>
    <cellStyle name="Normal 6 2 2 2 2" xfId="26196"/>
    <cellStyle name="Normal 6 2 2 2 3" xfId="26197"/>
    <cellStyle name="Normal 6 2 2 2 4" xfId="26195"/>
    <cellStyle name="Normal 6 2 2 3" xfId="3012"/>
    <cellStyle name="Normal 6 2 2 3 2" xfId="26199"/>
    <cellStyle name="Normal 6 2 2 3 3" xfId="26200"/>
    <cellStyle name="Normal 6 2 2 3 4" xfId="26201"/>
    <cellStyle name="Normal 6 2 2 3 5" xfId="26198"/>
    <cellStyle name="Normal 6 2 2 4" xfId="26202"/>
    <cellStyle name="Normal 6 2 2 5" xfId="26194"/>
    <cellStyle name="Normal 6 2 3" xfId="1791"/>
    <cellStyle name="Normal 6 2 3 2" xfId="6043"/>
    <cellStyle name="Normal 6 2 3 2 2" xfId="6044"/>
    <cellStyle name="Normal 6 2 3 2 2 2" xfId="6045"/>
    <cellStyle name="Normal 6 2 3 2 3" xfId="6046"/>
    <cellStyle name="Normal 6 2 3 2 4" xfId="6047"/>
    <cellStyle name="Normal 6 2 3 2 5" xfId="26204"/>
    <cellStyle name="Normal 6 2 3 3" xfId="6048"/>
    <cellStyle name="Normal 6 2 3 3 2" xfId="6049"/>
    <cellStyle name="Normal 6 2 3 3 3" xfId="26205"/>
    <cellStyle name="Normal 6 2 3 4" xfId="6050"/>
    <cellStyle name="Normal 6 2 3 4 2" xfId="26206"/>
    <cellStyle name="Normal 6 2 3 5" xfId="6051"/>
    <cellStyle name="Normal 6 2 3 6" xfId="6042"/>
    <cellStyle name="Normal 6 2 3 7" xfId="26203"/>
    <cellStyle name="Normal 6 2 4" xfId="1792"/>
    <cellStyle name="Normal 6 2 4 2" xfId="6052"/>
    <cellStyle name="Normal 6 2 4 2 2" xfId="26207"/>
    <cellStyle name="Normal 6 2 5" xfId="1793"/>
    <cellStyle name="Normal 6 2 5 2" xfId="26208"/>
    <cellStyle name="Normal 6 2 6" xfId="1794"/>
    <cellStyle name="Normal 6 2 6 2" xfId="26209"/>
    <cellStyle name="Normal 6 2 7" xfId="1795"/>
    <cellStyle name="Normal 6 2_Accounts 2010 after RAJ" xfId="2479"/>
    <cellStyle name="Normal 6 3" xfId="1796"/>
    <cellStyle name="Normal 6 3 2" xfId="1797"/>
    <cellStyle name="Normal 6 3 2 2" xfId="1798"/>
    <cellStyle name="Normal 6 3 2 3" xfId="26212"/>
    <cellStyle name="Normal 6 3 2 4" xfId="26213"/>
    <cellStyle name="Normal 6 3 2 5" xfId="26211"/>
    <cellStyle name="Normal 6 3 3" xfId="1799"/>
    <cellStyle name="Normal 6 3 3 2" xfId="26214"/>
    <cellStyle name="Normal 6 3 3 3" xfId="26215"/>
    <cellStyle name="Normal 6 3 3 3 2" xfId="26216"/>
    <cellStyle name="Normal 6 3 3 3 2 2" xfId="26217"/>
    <cellStyle name="Normal 6 3 3 3 2 2 2" xfId="26218"/>
    <cellStyle name="Normal 6 3 3 3 2 2 2 2" xfId="26219"/>
    <cellStyle name="Normal 6 3 3 3 2 2 3" xfId="26220"/>
    <cellStyle name="Normal 6 3 3 3 2 3" xfId="26221"/>
    <cellStyle name="Normal 6 3 3 3 2 3 2" xfId="26222"/>
    <cellStyle name="Normal 6 3 3 3 2 4" xfId="26223"/>
    <cellStyle name="Normal 6 3 3 3 2 5" xfId="26224"/>
    <cellStyle name="Normal 6 3 3 3 3" xfId="26225"/>
    <cellStyle name="Normal 6 3 3 3 3 2" xfId="26226"/>
    <cellStyle name="Normal 6 3 3 3 3 2 2" xfId="26227"/>
    <cellStyle name="Normal 6 3 3 3 3 2 2 2" xfId="26228"/>
    <cellStyle name="Normal 6 3 3 3 3 2 3" xfId="26229"/>
    <cellStyle name="Normal 6 3 3 3 3 3" xfId="26230"/>
    <cellStyle name="Normal 6 3 3 3 3 3 2" xfId="26231"/>
    <cellStyle name="Normal 6 3 3 3 3 4" xfId="26232"/>
    <cellStyle name="Normal 6 3 3 3 4" xfId="26233"/>
    <cellStyle name="Normal 6 3 3 3 4 2" xfId="26234"/>
    <cellStyle name="Normal 6 3 3 3 4 2 2" xfId="26235"/>
    <cellStyle name="Normal 6 3 3 3 4 3" xfId="26236"/>
    <cellStyle name="Normal 6 3 3 3 5" xfId="26237"/>
    <cellStyle name="Normal 6 3 3 3 5 2" xfId="26238"/>
    <cellStyle name="Normal 6 3 3 3 5 2 2" xfId="26239"/>
    <cellStyle name="Normal 6 3 3 3 5 3" xfId="26240"/>
    <cellStyle name="Normal 6 3 3 3 6" xfId="26241"/>
    <cellStyle name="Normal 6 3 3 3 6 2" xfId="26242"/>
    <cellStyle name="Normal 6 3 3 3 7" xfId="26243"/>
    <cellStyle name="Normal 6 3 3 3 8" xfId="26244"/>
    <cellStyle name="Normal 6 3 4" xfId="1800"/>
    <cellStyle name="Normal 6 3 4 2" xfId="26246"/>
    <cellStyle name="Normal 6 3 4 2 2" xfId="26247"/>
    <cellStyle name="Normal 6 3 4 2 2 2" xfId="26248"/>
    <cellStyle name="Normal 6 3 4 2 2 2 2" xfId="26249"/>
    <cellStyle name="Normal 6 3 4 2 2 3" xfId="26250"/>
    <cellStyle name="Normal 6 3 4 2 3" xfId="26251"/>
    <cellStyle name="Normal 6 3 4 2 3 2" xfId="26252"/>
    <cellStyle name="Normal 6 3 4 2 4" xfId="26253"/>
    <cellStyle name="Normal 6 3 4 2 5" xfId="26254"/>
    <cellStyle name="Normal 6 3 4 3" xfId="26255"/>
    <cellStyle name="Normal 6 3 4 3 2" xfId="26256"/>
    <cellStyle name="Normal 6 3 4 3 2 2" xfId="26257"/>
    <cellStyle name="Normal 6 3 4 3 2 2 2" xfId="26258"/>
    <cellStyle name="Normal 6 3 4 3 2 3" xfId="26259"/>
    <cellStyle name="Normal 6 3 4 3 3" xfId="26260"/>
    <cellStyle name="Normal 6 3 4 3 3 2" xfId="26261"/>
    <cellStyle name="Normal 6 3 4 3 4" xfId="26262"/>
    <cellStyle name="Normal 6 3 4 4" xfId="26263"/>
    <cellStyle name="Normal 6 3 4 4 2" xfId="26264"/>
    <cellStyle name="Normal 6 3 4 4 2 2" xfId="26265"/>
    <cellStyle name="Normal 6 3 4 4 3" xfId="26266"/>
    <cellStyle name="Normal 6 3 4 5" xfId="26267"/>
    <cellStyle name="Normal 6 3 4 5 2" xfId="26268"/>
    <cellStyle name="Normal 6 3 4 5 2 2" xfId="26269"/>
    <cellStyle name="Normal 6 3 4 5 3" xfId="26270"/>
    <cellStyle name="Normal 6 3 4 6" xfId="26271"/>
    <cellStyle name="Normal 6 3 4 6 2" xfId="26272"/>
    <cellStyle name="Normal 6 3 4 7" xfId="26273"/>
    <cellStyle name="Normal 6 3 4 8" xfId="26274"/>
    <cellStyle name="Normal 6 3 4 9" xfId="26245"/>
    <cellStyle name="Normal 6 3 5" xfId="26275"/>
    <cellStyle name="Normal 6 3 5 2" xfId="26276"/>
    <cellStyle name="Normal 6 3 5 2 2" xfId="26277"/>
    <cellStyle name="Normal 6 3 5 2 2 2" xfId="26278"/>
    <cellStyle name="Normal 6 3 5 2 2 2 2" xfId="26279"/>
    <cellStyle name="Normal 6 3 5 2 2 3" xfId="26280"/>
    <cellStyle name="Normal 6 3 5 2 3" xfId="26281"/>
    <cellStyle name="Normal 6 3 5 2 3 2" xfId="26282"/>
    <cellStyle name="Normal 6 3 5 2 4" xfId="26283"/>
    <cellStyle name="Normal 6 3 5 2 5" xfId="26284"/>
    <cellStyle name="Normal 6 3 5 3" xfId="26285"/>
    <cellStyle name="Normal 6 3 5 3 2" xfId="26286"/>
    <cellStyle name="Normal 6 3 5 3 2 2" xfId="26287"/>
    <cellStyle name="Normal 6 3 5 3 2 2 2" xfId="26288"/>
    <cellStyle name="Normal 6 3 5 3 2 3" xfId="26289"/>
    <cellStyle name="Normal 6 3 5 3 3" xfId="26290"/>
    <cellStyle name="Normal 6 3 5 3 3 2" xfId="26291"/>
    <cellStyle name="Normal 6 3 5 3 4" xfId="26292"/>
    <cellStyle name="Normal 6 3 5 4" xfId="26293"/>
    <cellStyle name="Normal 6 3 5 4 2" xfId="26294"/>
    <cellStyle name="Normal 6 3 5 4 2 2" xfId="26295"/>
    <cellStyle name="Normal 6 3 5 4 3" xfId="26296"/>
    <cellStyle name="Normal 6 3 5 5" xfId="26297"/>
    <cellStyle name="Normal 6 3 5 5 2" xfId="26298"/>
    <cellStyle name="Normal 6 3 5 5 2 2" xfId="26299"/>
    <cellStyle name="Normal 6 3 5 5 3" xfId="26300"/>
    <cellStyle name="Normal 6 3 5 6" xfId="26301"/>
    <cellStyle name="Normal 6 3 5 6 2" xfId="26302"/>
    <cellStyle name="Normal 6 3 5 7" xfId="26303"/>
    <cellStyle name="Normal 6 3 5 8" xfId="26304"/>
    <cellStyle name="Normal 6 3 6" xfId="26305"/>
    <cellStyle name="Normal 6 3 6 2" xfId="26306"/>
    <cellStyle name="Normal 6 3 6 2 2" xfId="26307"/>
    <cellStyle name="Normal 6 3 6 2 2 2" xfId="26308"/>
    <cellStyle name="Normal 6 3 6 2 3" xfId="26309"/>
    <cellStyle name="Normal 6 3 6 3" xfId="26310"/>
    <cellStyle name="Normal 6 3 6 3 2" xfId="26311"/>
    <cellStyle name="Normal 6 3 6 3 2 2" xfId="26312"/>
    <cellStyle name="Normal 6 3 6 3 3" xfId="26313"/>
    <cellStyle name="Normal 6 3 6 4" xfId="26314"/>
    <cellStyle name="Normal 6 3 6 4 2" xfId="26315"/>
    <cellStyle name="Normal 6 3 6 5" xfId="26316"/>
    <cellStyle name="Normal 6 3 6 6" xfId="26317"/>
    <cellStyle name="Normal 6 3 7" xfId="26318"/>
    <cellStyle name="Normal 6 3 8" xfId="26319"/>
    <cellStyle name="Normal 6 3 9" xfId="26210"/>
    <cellStyle name="Normal 6 4" xfId="1801"/>
    <cellStyle name="Normal 6 4 10" xfId="26321"/>
    <cellStyle name="Normal 6 4 11" xfId="26322"/>
    <cellStyle name="Normal 6 4 12" xfId="26320"/>
    <cellStyle name="Normal 6 4 2" xfId="1802"/>
    <cellStyle name="Normal 6 4 2 2" xfId="6054"/>
    <cellStyle name="Normal 6 4 2 2 2" xfId="26325"/>
    <cellStyle name="Normal 6 4 2 2 2 2" xfId="26326"/>
    <cellStyle name="Normal 6 4 2 2 2 2 2" xfId="26327"/>
    <cellStyle name="Normal 6 4 2 2 2 3" xfId="26328"/>
    <cellStyle name="Normal 6 4 2 2 2 4" xfId="26329"/>
    <cellStyle name="Normal 6 4 2 2 3" xfId="26330"/>
    <cellStyle name="Normal 6 4 2 2 3 2" xfId="26331"/>
    <cellStyle name="Normal 6 4 2 2 4" xfId="26332"/>
    <cellStyle name="Normal 6 4 2 2 5" xfId="26333"/>
    <cellStyle name="Normal 6 4 2 2 6" xfId="26324"/>
    <cellStyle name="Normal 6 4 2 3" xfId="26334"/>
    <cellStyle name="Normal 6 4 2 3 2" xfId="26335"/>
    <cellStyle name="Normal 6 4 2 3 2 2" xfId="26336"/>
    <cellStyle name="Normal 6 4 2 3 2 2 2" xfId="26337"/>
    <cellStyle name="Normal 6 4 2 3 2 3" xfId="26338"/>
    <cellStyle name="Normal 6 4 2 3 3" xfId="26339"/>
    <cellStyle name="Normal 6 4 2 3 3 2" xfId="26340"/>
    <cellStyle name="Normal 6 4 2 3 4" xfId="26341"/>
    <cellStyle name="Normal 6 4 2 3 5" xfId="26342"/>
    <cellStyle name="Normal 6 4 2 4" xfId="26343"/>
    <cellStyle name="Normal 6 4 2 4 2" xfId="26344"/>
    <cellStyle name="Normal 6 4 2 4 2 2" xfId="26345"/>
    <cellStyle name="Normal 6 4 2 4 3" xfId="26346"/>
    <cellStyle name="Normal 6 4 2 4 4" xfId="26347"/>
    <cellStyle name="Normal 6 4 2 5" xfId="26348"/>
    <cellStyle name="Normal 6 4 2 5 2" xfId="26349"/>
    <cellStyle name="Normal 6 4 2 5 2 2" xfId="26350"/>
    <cellStyle name="Normal 6 4 2 5 3" xfId="26351"/>
    <cellStyle name="Normal 6 4 2 6" xfId="26352"/>
    <cellStyle name="Normal 6 4 2 6 2" xfId="26353"/>
    <cellStyle name="Normal 6 4 2 7" xfId="26354"/>
    <cellStyle name="Normal 6 4 2 8" xfId="26355"/>
    <cellStyle name="Normal 6 4 2 9" xfId="26323"/>
    <cellStyle name="Normal 6 4 3" xfId="6053"/>
    <cellStyle name="Normal 6 4 3 2" xfId="26357"/>
    <cellStyle name="Normal 6 4 3 2 2" xfId="26358"/>
    <cellStyle name="Normal 6 4 3 2 2 2" xfId="26359"/>
    <cellStyle name="Normal 6 4 3 2 2 2 2" xfId="26360"/>
    <cellStyle name="Normal 6 4 3 2 2 3" xfId="26361"/>
    <cellStyle name="Normal 6 4 3 2 3" xfId="26362"/>
    <cellStyle name="Normal 6 4 3 2 3 2" xfId="26363"/>
    <cellStyle name="Normal 6 4 3 2 4" xfId="26364"/>
    <cellStyle name="Normal 6 4 3 2 5" xfId="26365"/>
    <cellStyle name="Normal 6 4 3 3" xfId="26366"/>
    <cellStyle name="Normal 6 4 3 3 2" xfId="26367"/>
    <cellStyle name="Normal 6 4 3 3 2 2" xfId="26368"/>
    <cellStyle name="Normal 6 4 3 3 2 2 2" xfId="26369"/>
    <cellStyle name="Normal 6 4 3 3 2 3" xfId="26370"/>
    <cellStyle name="Normal 6 4 3 3 3" xfId="26371"/>
    <cellStyle name="Normal 6 4 3 3 3 2" xfId="26372"/>
    <cellStyle name="Normal 6 4 3 3 4" xfId="26373"/>
    <cellStyle name="Normal 6 4 3 4" xfId="26374"/>
    <cellStyle name="Normal 6 4 3 4 2" xfId="26375"/>
    <cellStyle name="Normal 6 4 3 4 2 2" xfId="26376"/>
    <cellStyle name="Normal 6 4 3 4 3" xfId="26377"/>
    <cellStyle name="Normal 6 4 3 5" xfId="26378"/>
    <cellStyle name="Normal 6 4 3 5 2" xfId="26379"/>
    <cellStyle name="Normal 6 4 3 5 2 2" xfId="26380"/>
    <cellStyle name="Normal 6 4 3 5 3" xfId="26381"/>
    <cellStyle name="Normal 6 4 3 6" xfId="26382"/>
    <cellStyle name="Normal 6 4 3 6 2" xfId="26383"/>
    <cellStyle name="Normal 6 4 3 7" xfId="26384"/>
    <cellStyle name="Normal 6 4 3 8" xfId="26385"/>
    <cellStyle name="Normal 6 4 3 9" xfId="26356"/>
    <cellStyle name="Normal 6 4 4" xfId="26386"/>
    <cellStyle name="Normal 6 4 4 2" xfId="26387"/>
    <cellStyle name="Normal 6 4 4 2 2" xfId="26388"/>
    <cellStyle name="Normal 6 4 4 2 2 2" xfId="26389"/>
    <cellStyle name="Normal 6 4 4 2 2 2 2" xfId="26390"/>
    <cellStyle name="Normal 6 4 4 2 2 3" xfId="26391"/>
    <cellStyle name="Normal 6 4 4 2 3" xfId="26392"/>
    <cellStyle name="Normal 6 4 4 2 3 2" xfId="26393"/>
    <cellStyle name="Normal 6 4 4 2 4" xfId="26394"/>
    <cellStyle name="Normal 6 4 4 2 5" xfId="26395"/>
    <cellStyle name="Normal 6 4 4 3" xfId="26396"/>
    <cellStyle name="Normal 6 4 4 3 2" xfId="26397"/>
    <cellStyle name="Normal 6 4 4 3 2 2" xfId="26398"/>
    <cellStyle name="Normal 6 4 4 3 2 2 2" xfId="26399"/>
    <cellStyle name="Normal 6 4 4 3 2 3" xfId="26400"/>
    <cellStyle name="Normal 6 4 4 3 3" xfId="26401"/>
    <cellStyle name="Normal 6 4 4 3 3 2" xfId="26402"/>
    <cellStyle name="Normal 6 4 4 3 4" xfId="26403"/>
    <cellStyle name="Normal 6 4 4 4" xfId="26404"/>
    <cellStyle name="Normal 6 4 4 4 2" xfId="26405"/>
    <cellStyle name="Normal 6 4 4 4 2 2" xfId="26406"/>
    <cellStyle name="Normal 6 4 4 4 3" xfId="26407"/>
    <cellStyle name="Normal 6 4 4 5" xfId="26408"/>
    <cellStyle name="Normal 6 4 4 5 2" xfId="26409"/>
    <cellStyle name="Normal 6 4 4 5 2 2" xfId="26410"/>
    <cellStyle name="Normal 6 4 4 5 3" xfId="26411"/>
    <cellStyle name="Normal 6 4 4 6" xfId="26412"/>
    <cellStyle name="Normal 6 4 4 6 2" xfId="26413"/>
    <cellStyle name="Normal 6 4 4 7" xfId="26414"/>
    <cellStyle name="Normal 6 4 4 8" xfId="26415"/>
    <cellStyle name="Normal 6 4 5" xfId="26416"/>
    <cellStyle name="Normal 6 4 5 2" xfId="26417"/>
    <cellStyle name="Normal 6 4 5 2 2" xfId="26418"/>
    <cellStyle name="Normal 6 4 5 2 2 2" xfId="26419"/>
    <cellStyle name="Normal 6 4 5 2 2 2 2" xfId="26420"/>
    <cellStyle name="Normal 6 4 5 2 2 3" xfId="26421"/>
    <cellStyle name="Normal 6 4 5 2 3" xfId="26422"/>
    <cellStyle name="Normal 6 4 5 2 3 2" xfId="26423"/>
    <cellStyle name="Normal 6 4 5 2 4" xfId="26424"/>
    <cellStyle name="Normal 6 4 5 3" xfId="26425"/>
    <cellStyle name="Normal 6 4 5 3 2" xfId="26426"/>
    <cellStyle name="Normal 6 4 5 3 2 2" xfId="26427"/>
    <cellStyle name="Normal 6 4 5 3 3" xfId="26428"/>
    <cellStyle name="Normal 6 4 5 4" xfId="26429"/>
    <cellStyle name="Normal 6 4 5 4 2" xfId="26430"/>
    <cellStyle name="Normal 6 4 5 4 2 2" xfId="26431"/>
    <cellStyle name="Normal 6 4 5 4 3" xfId="26432"/>
    <cellStyle name="Normal 6 4 5 5" xfId="26433"/>
    <cellStyle name="Normal 6 4 5 5 2" xfId="26434"/>
    <cellStyle name="Normal 6 4 5 6" xfId="26435"/>
    <cellStyle name="Normal 6 4 5 7" xfId="26436"/>
    <cellStyle name="Normal 6 4 6" xfId="26437"/>
    <cellStyle name="Normal 6 4 6 2" xfId="26438"/>
    <cellStyle name="Normal 6 4 6 2 2" xfId="26439"/>
    <cellStyle name="Normal 6 4 6 2 2 2" xfId="26440"/>
    <cellStyle name="Normal 6 4 6 2 3" xfId="26441"/>
    <cellStyle name="Normal 6 4 6 3" xfId="26442"/>
    <cellStyle name="Normal 6 4 6 3 2" xfId="26443"/>
    <cellStyle name="Normal 6 4 6 4" xfId="26444"/>
    <cellStyle name="Normal 6 4 6 5" xfId="26445"/>
    <cellStyle name="Normal 6 4 7" xfId="26446"/>
    <cellStyle name="Normal 6 4 7 2" xfId="26447"/>
    <cellStyle name="Normal 6 4 7 2 2" xfId="26448"/>
    <cellStyle name="Normal 6 4 7 3" xfId="26449"/>
    <cellStyle name="Normal 6 4 8" xfId="26450"/>
    <cellStyle name="Normal 6 4 8 2" xfId="26451"/>
    <cellStyle name="Normal 6 4 8 2 2" xfId="26452"/>
    <cellStyle name="Normal 6 4 8 3" xfId="26453"/>
    <cellStyle name="Normal 6 4 9" xfId="26454"/>
    <cellStyle name="Normal 6 4 9 2" xfId="26455"/>
    <cellStyle name="Normal 6 5" xfId="1803"/>
    <cellStyle name="Normal 6 5 2" xfId="3013"/>
    <cellStyle name="Normal 6 5 2 2" xfId="26458"/>
    <cellStyle name="Normal 6 5 2 2 2" xfId="26459"/>
    <cellStyle name="Normal 6 5 2 2 2 2" xfId="26460"/>
    <cellStyle name="Normal 6 5 2 2 2 2 2" xfId="26461"/>
    <cellStyle name="Normal 6 5 2 2 2 3" xfId="26462"/>
    <cellStyle name="Normal 6 5 2 2 3" xfId="26463"/>
    <cellStyle name="Normal 6 5 2 2 3 2" xfId="26464"/>
    <cellStyle name="Normal 6 5 2 2 4" xfId="26465"/>
    <cellStyle name="Normal 6 5 2 2 5" xfId="26466"/>
    <cellStyle name="Normal 6 5 2 3" xfId="26467"/>
    <cellStyle name="Normal 6 5 2 3 2" xfId="26468"/>
    <cellStyle name="Normal 6 5 2 3 2 2" xfId="26469"/>
    <cellStyle name="Normal 6 5 2 3 2 2 2" xfId="26470"/>
    <cellStyle name="Normal 6 5 2 3 2 3" xfId="26471"/>
    <cellStyle name="Normal 6 5 2 3 3" xfId="26472"/>
    <cellStyle name="Normal 6 5 2 3 3 2" xfId="26473"/>
    <cellStyle name="Normal 6 5 2 3 4" xfId="26474"/>
    <cellStyle name="Normal 6 5 2 4" xfId="26475"/>
    <cellStyle name="Normal 6 5 2 4 2" xfId="26476"/>
    <cellStyle name="Normal 6 5 2 4 2 2" xfId="26477"/>
    <cellStyle name="Normal 6 5 2 4 3" xfId="26478"/>
    <cellStyle name="Normal 6 5 2 5" xfId="26479"/>
    <cellStyle name="Normal 6 5 2 5 2" xfId="26480"/>
    <cellStyle name="Normal 6 5 2 5 2 2" xfId="26481"/>
    <cellStyle name="Normal 6 5 2 5 3" xfId="26482"/>
    <cellStyle name="Normal 6 5 2 6" xfId="26483"/>
    <cellStyle name="Normal 6 5 2 6 2" xfId="26484"/>
    <cellStyle name="Normal 6 5 2 7" xfId="26485"/>
    <cellStyle name="Normal 6 5 2 8" xfId="26486"/>
    <cellStyle name="Normal 6 5 2 9" xfId="26457"/>
    <cellStyle name="Normal 6 5 3" xfId="6055"/>
    <cellStyle name="Normal 6 5 3 2" xfId="26487"/>
    <cellStyle name="Normal 6 5 4" xfId="26456"/>
    <cellStyle name="Normal 6 6" xfId="1804"/>
    <cellStyle name="Normal 6 6 2" xfId="3140"/>
    <cellStyle name="Normal 6 6 2 2" xfId="8487"/>
    <cellStyle name="Normal 6 6 2 2 2" xfId="26491"/>
    <cellStyle name="Normal 6 6 2 2 2 2" xfId="26492"/>
    <cellStyle name="Normal 6 6 2 2 3" xfId="26493"/>
    <cellStyle name="Normal 6 6 2 2 4" xfId="26494"/>
    <cellStyle name="Normal 6 6 2 2 5" xfId="26490"/>
    <cellStyle name="Normal 6 6 2 3" xfId="26495"/>
    <cellStyle name="Normal 6 6 2 3 2" xfId="26496"/>
    <cellStyle name="Normal 6 6 2 4" xfId="26497"/>
    <cellStyle name="Normal 6 6 2 5" xfId="26498"/>
    <cellStyle name="Normal 6 6 2 6" xfId="26489"/>
    <cellStyle name="Normal 6 6 3" xfId="6056"/>
    <cellStyle name="Normal 6 6 3 2" xfId="26500"/>
    <cellStyle name="Normal 6 6 3 2 2" xfId="26501"/>
    <cellStyle name="Normal 6 6 3 3" xfId="26502"/>
    <cellStyle name="Normal 6 6 3 4" xfId="26503"/>
    <cellStyle name="Normal 6 6 3 5" xfId="26499"/>
    <cellStyle name="Normal 6 6 4" xfId="8166"/>
    <cellStyle name="Normal 6 6 4 2" xfId="26505"/>
    <cellStyle name="Normal 6 6 4 2 2" xfId="26506"/>
    <cellStyle name="Normal 6 6 4 3" xfId="26507"/>
    <cellStyle name="Normal 6 6 4 4" xfId="26508"/>
    <cellStyle name="Normal 6 6 4 5" xfId="26504"/>
    <cellStyle name="Normal 6 6 5" xfId="26509"/>
    <cellStyle name="Normal 6 6 6" xfId="26488"/>
    <cellStyle name="Normal 6 7" xfId="1805"/>
    <cellStyle name="Normal 6 7 2" xfId="3141"/>
    <cellStyle name="Normal 6 7 2 2" xfId="8488"/>
    <cellStyle name="Normal 6 7 2 2 2" xfId="26512"/>
    <cellStyle name="Normal 6 7 2 2 2 2" xfId="26513"/>
    <cellStyle name="Normal 6 7 2 2 3" xfId="26514"/>
    <cellStyle name="Normal 6 7 2 2 4" xfId="26515"/>
    <cellStyle name="Normal 6 7 2 2 5" xfId="26511"/>
    <cellStyle name="Normal 6 7 2 3" xfId="26516"/>
    <cellStyle name="Normal 6 7 2 3 2" xfId="26517"/>
    <cellStyle name="Normal 6 7 2 4" xfId="26518"/>
    <cellStyle name="Normal 6 7 2 5" xfId="26519"/>
    <cellStyle name="Normal 6 7 2 6" xfId="26510"/>
    <cellStyle name="Normal 6 7 3" xfId="6057"/>
    <cellStyle name="Normal 6 7 3 2" xfId="26521"/>
    <cellStyle name="Normal 6 7 3 2 2" xfId="26522"/>
    <cellStyle name="Normal 6 7 3 3" xfId="26523"/>
    <cellStyle name="Normal 6 7 3 4" xfId="26524"/>
    <cellStyle name="Normal 6 7 3 5" xfId="26520"/>
    <cellStyle name="Normal 6 7 4" xfId="26525"/>
    <cellStyle name="Normal 6 7 4 2" xfId="26526"/>
    <cellStyle name="Normal 6 7 4 2 2" xfId="26527"/>
    <cellStyle name="Normal 6 7 4 3" xfId="26528"/>
    <cellStyle name="Normal 6 7 4 4" xfId="26529"/>
    <cellStyle name="Normal 6 7 5" xfId="26530"/>
    <cellStyle name="Normal 6 8" xfId="1806"/>
    <cellStyle name="Normal 6 8 2" xfId="3142"/>
    <cellStyle name="Normal 6 8 2 2" xfId="8489"/>
    <cellStyle name="Normal 6 8 2 2 2" xfId="26534"/>
    <cellStyle name="Normal 6 8 2 2 2 2" xfId="26535"/>
    <cellStyle name="Normal 6 8 2 2 3" xfId="26536"/>
    <cellStyle name="Normal 6 8 2 2 4" xfId="26537"/>
    <cellStyle name="Normal 6 8 2 2 5" xfId="26533"/>
    <cellStyle name="Normal 6 8 2 3" xfId="26538"/>
    <cellStyle name="Normal 6 8 2 3 2" xfId="26539"/>
    <cellStyle name="Normal 6 8 2 4" xfId="26540"/>
    <cellStyle name="Normal 6 8 2 5" xfId="26541"/>
    <cellStyle name="Normal 6 8 2 6" xfId="26532"/>
    <cellStyle name="Normal 6 8 3" xfId="26542"/>
    <cellStyle name="Normal 6 8 3 2" xfId="26543"/>
    <cellStyle name="Normal 6 8 3 2 2" xfId="26544"/>
    <cellStyle name="Normal 6 8 3 3" xfId="26545"/>
    <cellStyle name="Normal 6 8 3 4" xfId="26546"/>
    <cellStyle name="Normal 6 8 4" xfId="26547"/>
    <cellStyle name="Normal 6 8 4 2" xfId="26548"/>
    <cellStyle name="Normal 6 8 4 3" xfId="26549"/>
    <cellStyle name="Normal 6 8 5" xfId="26550"/>
    <cellStyle name="Normal 6 8 5 2" xfId="26551"/>
    <cellStyle name="Normal 6 8 6" xfId="26552"/>
    <cellStyle name="Normal 6 8 7" xfId="26553"/>
    <cellStyle name="Normal 6 8 8" xfId="26531"/>
    <cellStyle name="Normal 6 9" xfId="1807"/>
    <cellStyle name="Normal 6 9 2" xfId="3143"/>
    <cellStyle name="Normal 6 9 2 2" xfId="8490"/>
    <cellStyle name="Normal 6 9 2 2 2" xfId="26557"/>
    <cellStyle name="Normal 6 9 2 2 2 2" xfId="26558"/>
    <cellStyle name="Normal 6 9 2 2 3" xfId="26559"/>
    <cellStyle name="Normal 6 9 2 2 4" xfId="26560"/>
    <cellStyle name="Normal 6 9 2 2 5" xfId="26556"/>
    <cellStyle name="Normal 6 9 2 3" xfId="26561"/>
    <cellStyle name="Normal 6 9 2 3 2" xfId="26562"/>
    <cellStyle name="Normal 6 9 2 4" xfId="26563"/>
    <cellStyle name="Normal 6 9 2 5" xfId="26564"/>
    <cellStyle name="Normal 6 9 2 6" xfId="26555"/>
    <cellStyle name="Normal 6 9 3" xfId="26565"/>
    <cellStyle name="Normal 6 9 3 2" xfId="26566"/>
    <cellStyle name="Normal 6 9 3 2 2" xfId="26567"/>
    <cellStyle name="Normal 6 9 3 3" xfId="26568"/>
    <cellStyle name="Normal 6 9 3 4" xfId="26569"/>
    <cellStyle name="Normal 6 9 4" xfId="26570"/>
    <cellStyle name="Normal 6 9 4 2" xfId="26571"/>
    <cellStyle name="Normal 6 9 4 2 2" xfId="26572"/>
    <cellStyle name="Normal 6 9 4 3" xfId="26573"/>
    <cellStyle name="Normal 6 9 4 4" xfId="26574"/>
    <cellStyle name="Normal 6 9 5" xfId="26575"/>
    <cellStyle name="Normal 6 9 5 2" xfId="26576"/>
    <cellStyle name="Normal 6 9 6" xfId="26577"/>
    <cellStyle name="Normal 6 9 7" xfId="26578"/>
    <cellStyle name="Normal 6 9 8" xfId="26554"/>
    <cellStyle name="Normal 6_5.2" xfId="6058"/>
    <cellStyle name="Normal 60" xfId="1808"/>
    <cellStyle name="Normal 60 2" xfId="1809"/>
    <cellStyle name="Normal 60 2 2" xfId="6060"/>
    <cellStyle name="Normal 60 3" xfId="6059"/>
    <cellStyle name="Normal 61" xfId="1810"/>
    <cellStyle name="Normal 61 2" xfId="6062"/>
    <cellStyle name="Normal 61 3" xfId="6061"/>
    <cellStyle name="Normal 61 4" xfId="26579"/>
    <cellStyle name="Normal 62" xfId="1811"/>
    <cellStyle name="Normal 62 2" xfId="6063"/>
    <cellStyle name="Normal 62 3" xfId="26580"/>
    <cellStyle name="Normal 63" xfId="1812"/>
    <cellStyle name="Normal 63 2" xfId="6064"/>
    <cellStyle name="Normal 63 3" xfId="26581"/>
    <cellStyle name="Normal 64" xfId="1813"/>
    <cellStyle name="Normal 64 2" xfId="6065"/>
    <cellStyle name="Normal 64 2 2" xfId="26584"/>
    <cellStyle name="Normal 64 2 3" xfId="26583"/>
    <cellStyle name="Normal 64 3" xfId="26585"/>
    <cellStyle name="Normal 64 4" xfId="26582"/>
    <cellStyle name="Normal 65" xfId="1814"/>
    <cellStyle name="Normal 65 2" xfId="6066"/>
    <cellStyle name="Normal 65 2 2" xfId="26588"/>
    <cellStyle name="Normal 65 2 3" xfId="26587"/>
    <cellStyle name="Normal 65 3" xfId="26589"/>
    <cellStyle name="Normal 65 4" xfId="26586"/>
    <cellStyle name="Normal 66" xfId="1815"/>
    <cellStyle name="Normal 66 2" xfId="6067"/>
    <cellStyle name="Normal 66 2 2" xfId="26592"/>
    <cellStyle name="Normal 66 2 3" xfId="26591"/>
    <cellStyle name="Normal 66 3" xfId="26593"/>
    <cellStyle name="Normal 66 4" xfId="26590"/>
    <cellStyle name="Normal 67" xfId="1816"/>
    <cellStyle name="Normal 67 2" xfId="6068"/>
    <cellStyle name="Normal 67 3" xfId="26594"/>
    <cellStyle name="Normal 68" xfId="1817"/>
    <cellStyle name="Normal 68 2" xfId="6069"/>
    <cellStyle name="Normal 68 3" xfId="26595"/>
    <cellStyle name="Normal 69" xfId="1818"/>
    <cellStyle name="Normal 69 2" xfId="6070"/>
    <cellStyle name="Normal 69 3" xfId="26596"/>
    <cellStyle name="Normal 7" xfId="1819"/>
    <cellStyle name="Normal 7 2" xfId="1820"/>
    <cellStyle name="Normal 7 2 2" xfId="1821"/>
    <cellStyle name="Normal 7 2 2 2" xfId="3637"/>
    <cellStyle name="Normal 7 2 2 2 2" xfId="26598"/>
    <cellStyle name="Normal 7 2 2 2 2 2" xfId="26599"/>
    <cellStyle name="Normal 7 2 2 2 2 2 2" xfId="26600"/>
    <cellStyle name="Normal 7 2 2 2 2 2 2 2" xfId="26601"/>
    <cellStyle name="Normal 7 2 2 2 2 2 3" xfId="26602"/>
    <cellStyle name="Normal 7 2 2 2 2 2 4" xfId="26603"/>
    <cellStyle name="Normal 7 2 2 2 2 3" xfId="26604"/>
    <cellStyle name="Normal 7 2 2 2 2 3 2" xfId="26605"/>
    <cellStyle name="Normal 7 2 2 2 2 4" xfId="26606"/>
    <cellStyle name="Normal 7 2 2 2 2 5" xfId="26607"/>
    <cellStyle name="Normal 7 2 2 2 3" xfId="26608"/>
    <cellStyle name="Normal 7 2 2 2 3 2" xfId="26609"/>
    <cellStyle name="Normal 7 2 2 2 3 2 2" xfId="26610"/>
    <cellStyle name="Normal 7 2 2 2 3 2 2 2" xfId="26611"/>
    <cellStyle name="Normal 7 2 2 2 3 2 3" xfId="26612"/>
    <cellStyle name="Normal 7 2 2 2 3 3" xfId="26613"/>
    <cellStyle name="Normal 7 2 2 2 3 3 2" xfId="26614"/>
    <cellStyle name="Normal 7 2 2 2 3 4" xfId="26615"/>
    <cellStyle name="Normal 7 2 2 2 4" xfId="26616"/>
    <cellStyle name="Normal 7 2 2 2 4 2" xfId="26617"/>
    <cellStyle name="Normal 7 2 2 2 4 2 2" xfId="26618"/>
    <cellStyle name="Normal 7 2 2 2 4 3" xfId="26619"/>
    <cellStyle name="Normal 7 2 2 2 5" xfId="26620"/>
    <cellStyle name="Normal 7 2 2 2 5 2" xfId="26621"/>
    <cellStyle name="Normal 7 2 2 2 5 2 2" xfId="26622"/>
    <cellStyle name="Normal 7 2 2 2 5 3" xfId="26623"/>
    <cellStyle name="Normal 7 2 2 2 6" xfId="26624"/>
    <cellStyle name="Normal 7 2 2 2 6 2" xfId="26625"/>
    <cellStyle name="Normal 7 2 2 2 7" xfId="26626"/>
    <cellStyle name="Normal 7 2 2 2 8" xfId="26627"/>
    <cellStyle name="Normal 7 2 2 2 9" xfId="26597"/>
    <cellStyle name="Normal 7 2 2 3" xfId="8167"/>
    <cellStyle name="Normal 7 2 3" xfId="1822"/>
    <cellStyle name="Normal 7 2 3 2" xfId="6073"/>
    <cellStyle name="Normal 7 2 3 2 2" xfId="26630"/>
    <cellStyle name="Normal 7 2 3 2 2 2" xfId="26631"/>
    <cellStyle name="Normal 7 2 3 2 2 2 2" xfId="26632"/>
    <cellStyle name="Normal 7 2 3 2 2 3" xfId="26633"/>
    <cellStyle name="Normal 7 2 3 2 3" xfId="26634"/>
    <cellStyle name="Normal 7 2 3 2 3 2" xfId="26635"/>
    <cellStyle name="Normal 7 2 3 2 4" xfId="26636"/>
    <cellStyle name="Normal 7 2 3 2 5" xfId="26637"/>
    <cellStyle name="Normal 7 2 3 2 6" xfId="26629"/>
    <cellStyle name="Normal 7 2 3 3" xfId="8168"/>
    <cellStyle name="Normal 7 2 3 3 2" xfId="26639"/>
    <cellStyle name="Normal 7 2 3 3 2 2" xfId="26640"/>
    <cellStyle name="Normal 7 2 3 3 2 2 2" xfId="26641"/>
    <cellStyle name="Normal 7 2 3 3 2 3" xfId="26642"/>
    <cellStyle name="Normal 7 2 3 3 3" xfId="26643"/>
    <cellStyle name="Normal 7 2 3 3 3 2" xfId="26644"/>
    <cellStyle name="Normal 7 2 3 3 4" xfId="26645"/>
    <cellStyle name="Normal 7 2 3 3 5" xfId="26638"/>
    <cellStyle name="Normal 7 2 3 4" xfId="26646"/>
    <cellStyle name="Normal 7 2 3 4 2" xfId="26647"/>
    <cellStyle name="Normal 7 2 3 4 2 2" xfId="26648"/>
    <cellStyle name="Normal 7 2 3 4 3" xfId="26649"/>
    <cellStyle name="Normal 7 2 3 5" xfId="26650"/>
    <cellStyle name="Normal 7 2 3 5 2" xfId="26651"/>
    <cellStyle name="Normal 7 2 3 5 2 2" xfId="26652"/>
    <cellStyle name="Normal 7 2 3 5 3" xfId="26653"/>
    <cellStyle name="Normal 7 2 3 6" xfId="26654"/>
    <cellStyle name="Normal 7 2 3 6 2" xfId="26655"/>
    <cellStyle name="Normal 7 2 3 7" xfId="26656"/>
    <cellStyle name="Normal 7 2 3 8" xfId="26657"/>
    <cellStyle name="Normal 7 2 3 9" xfId="26628"/>
    <cellStyle name="Normal 7 2 4" xfId="1823"/>
    <cellStyle name="Normal 7 2 5" xfId="3015"/>
    <cellStyle name="Normal 7 2 6" xfId="6072"/>
    <cellStyle name="Normal 7 3" xfId="1824"/>
    <cellStyle name="Normal 7 3 2" xfId="1825"/>
    <cellStyle name="Normal 7 3 2 2" xfId="6075"/>
    <cellStyle name="Normal 7 3 2 2 2" xfId="6076"/>
    <cellStyle name="Normal 7 3 2 2 2 2" xfId="6077"/>
    <cellStyle name="Normal 7 3 2 2 3" xfId="6078"/>
    <cellStyle name="Normal 7 3 2 2 4" xfId="6079"/>
    <cellStyle name="Normal 7 3 2 3" xfId="6080"/>
    <cellStyle name="Normal 7 3 2 3 2" xfId="6081"/>
    <cellStyle name="Normal 7 3 2 4" xfId="6082"/>
    <cellStyle name="Normal 7 3 2 5" xfId="6083"/>
    <cellStyle name="Normal 7 3 2 6" xfId="6074"/>
    <cellStyle name="Normal 7 3 2 7" xfId="8169"/>
    <cellStyle name="Normal 7 3 3" xfId="3016"/>
    <cellStyle name="Normal 7 3 3 2" xfId="6085"/>
    <cellStyle name="Normal 7 3 3 2 2" xfId="6086"/>
    <cellStyle name="Normal 7 3 3 3" xfId="6087"/>
    <cellStyle name="Normal 7 3 3 4" xfId="6088"/>
    <cellStyle name="Normal 7 3 3 5" xfId="6084"/>
    <cellStyle name="Normal 7 4" xfId="1826"/>
    <cellStyle name="Normal 7 4 2" xfId="3017"/>
    <cellStyle name="Normal 7 4 2 2" xfId="6090"/>
    <cellStyle name="Normal 7 4 3" xfId="6089"/>
    <cellStyle name="Normal 7 4 4" xfId="8170"/>
    <cellStyle name="Normal 7 5" xfId="1827"/>
    <cellStyle name="Normal 7 5 2" xfId="3018"/>
    <cellStyle name="Normal 7 5 2 2" xfId="26659"/>
    <cellStyle name="Normal 7 5 3" xfId="6091"/>
    <cellStyle name="Normal 7 5 3 2" xfId="26660"/>
    <cellStyle name="Normal 7 5 4" xfId="26658"/>
    <cellStyle name="Normal 7 6" xfId="1828"/>
    <cellStyle name="Normal 7 6 2" xfId="3014"/>
    <cellStyle name="Normal 7 6 3" xfId="26661"/>
    <cellStyle name="Normal 7 7" xfId="1829"/>
    <cellStyle name="Normal 7 7 2" xfId="6093"/>
    <cellStyle name="Normal 7 7 3" xfId="6092"/>
    <cellStyle name="Normal 7 8" xfId="1830"/>
    <cellStyle name="Normal 7 8 2" xfId="7838"/>
    <cellStyle name="Normal 7 9" xfId="6071"/>
    <cellStyle name="Normal 7_5.2" xfId="6094"/>
    <cellStyle name="Normal 70" xfId="1831"/>
    <cellStyle name="Normal 70 2" xfId="6095"/>
    <cellStyle name="Normal 70 3" xfId="26662"/>
    <cellStyle name="Normal 71" xfId="1832"/>
    <cellStyle name="Normal 71 2" xfId="6096"/>
    <cellStyle name="Normal 71 3" xfId="26663"/>
    <cellStyle name="Normal 72" xfId="1833"/>
    <cellStyle name="Normal 72 2" xfId="6097"/>
    <cellStyle name="Normal 72 3" xfId="26664"/>
    <cellStyle name="Normal 73" xfId="43"/>
    <cellStyle name="Normal 73 2" xfId="6098"/>
    <cellStyle name="Normal 73 3" xfId="26665"/>
    <cellStyle name="Normal 74" xfId="1835"/>
    <cellStyle name="Normal 74 2" xfId="6099"/>
    <cellStyle name="Normal 74 3" xfId="26666"/>
    <cellStyle name="Normal 75" xfId="1836"/>
    <cellStyle name="Normal 75 2" xfId="6100"/>
    <cellStyle name="Normal 75 3" xfId="26667"/>
    <cellStyle name="Normal 76" xfId="1837"/>
    <cellStyle name="Normal 76 2" xfId="6101"/>
    <cellStyle name="Normal 76 3" xfId="26668"/>
    <cellStyle name="Normal 77" xfId="2394"/>
    <cellStyle name="Normal 77 2" xfId="6102"/>
    <cellStyle name="Normal 77 3" xfId="26669"/>
    <cellStyle name="Normal 78" xfId="131"/>
    <cellStyle name="Normal 78 2" xfId="6103"/>
    <cellStyle name="Normal 78 3" xfId="26670"/>
    <cellStyle name="Normal 79" xfId="2258"/>
    <cellStyle name="Normal 79 2" xfId="6104"/>
    <cellStyle name="Normal 79 3" xfId="26671"/>
    <cellStyle name="Normal 8" xfId="1838"/>
    <cellStyle name="Normal 8 10" xfId="26672"/>
    <cellStyle name="Normal 8 2" xfId="1839"/>
    <cellStyle name="Normal 8 2 2" xfId="1840"/>
    <cellStyle name="Normal 8 2 2 10" xfId="26673"/>
    <cellStyle name="Normal 8 2 2 2" xfId="6106"/>
    <cellStyle name="Normal 8 2 2 2 2" xfId="26674"/>
    <cellStyle name="Normal 8 2 2 3" xfId="26675"/>
    <cellStyle name="Normal 8 2 2 3 2" xfId="26676"/>
    <cellStyle name="Normal 8 2 2 3 2 2" xfId="26677"/>
    <cellStyle name="Normal 8 2 2 3 2 2 2" xfId="26678"/>
    <cellStyle name="Normal 8 2 2 3 2 2 2 2" xfId="26679"/>
    <cellStyle name="Normal 8 2 2 3 2 2 3" xfId="26680"/>
    <cellStyle name="Normal 8 2 2 3 2 3" xfId="26681"/>
    <cellStyle name="Normal 8 2 2 3 2 3 2" xfId="26682"/>
    <cellStyle name="Normal 8 2 2 3 2 4" xfId="26683"/>
    <cellStyle name="Normal 8 2 2 3 3" xfId="26684"/>
    <cellStyle name="Normal 8 2 2 3 3 2" xfId="26685"/>
    <cellStyle name="Normal 8 2 2 3 3 2 2" xfId="26686"/>
    <cellStyle name="Normal 8 2 2 3 3 3" xfId="26687"/>
    <cellStyle name="Normal 8 2 2 3 4" xfId="26688"/>
    <cellStyle name="Normal 8 2 2 3 4 2" xfId="26689"/>
    <cellStyle name="Normal 8 2 2 3 4 2 2" xfId="26690"/>
    <cellStyle name="Normal 8 2 2 3 4 3" xfId="26691"/>
    <cellStyle name="Normal 8 2 2 3 5" xfId="26692"/>
    <cellStyle name="Normal 8 2 2 3 5 2" xfId="26693"/>
    <cellStyle name="Normal 8 2 2 3 6" xfId="26694"/>
    <cellStyle name="Normal 8 2 2 3 7" xfId="26695"/>
    <cellStyle name="Normal 8 2 2 4" xfId="26696"/>
    <cellStyle name="Normal 8 2 2 4 2" xfId="26697"/>
    <cellStyle name="Normal 8 2 2 4 2 2" xfId="26698"/>
    <cellStyle name="Normal 8 2 2 4 2 2 2" xfId="26699"/>
    <cellStyle name="Normal 8 2 2 4 2 3" xfId="26700"/>
    <cellStyle name="Normal 8 2 2 4 3" xfId="26701"/>
    <cellStyle name="Normal 8 2 2 4 3 2" xfId="26702"/>
    <cellStyle name="Normal 8 2 2 4 4" xfId="26703"/>
    <cellStyle name="Normal 8 2 2 4 5" xfId="26704"/>
    <cellStyle name="Normal 8 2 2 5" xfId="26705"/>
    <cellStyle name="Normal 8 2 2 5 2" xfId="26706"/>
    <cellStyle name="Normal 8 2 2 5 2 2" xfId="26707"/>
    <cellStyle name="Normal 8 2 2 5 3" xfId="26708"/>
    <cellStyle name="Normal 8 2 2 6" xfId="26709"/>
    <cellStyle name="Normal 8 2 2 6 2" xfId="26710"/>
    <cellStyle name="Normal 8 2 2 6 2 2" xfId="26711"/>
    <cellStyle name="Normal 8 2 2 6 3" xfId="26712"/>
    <cellStyle name="Normal 8 2 2 7" xfId="26713"/>
    <cellStyle name="Normal 8 2 2 7 2" xfId="26714"/>
    <cellStyle name="Normal 8 2 2 8" xfId="26715"/>
    <cellStyle name="Normal 8 2 2 9" xfId="26716"/>
    <cellStyle name="Normal 8 2 3" xfId="6107"/>
    <cellStyle name="Normal 8 2 3 2" xfId="6108"/>
    <cellStyle name="Normal 8 2 3 2 2" xfId="6109"/>
    <cellStyle name="Normal 8 2 3 3" xfId="6110"/>
    <cellStyle name="Normal 8 2 3 4" xfId="6111"/>
    <cellStyle name="Normal 8 2 3 5" xfId="26717"/>
    <cellStyle name="Normal 8 2 4" xfId="6112"/>
    <cellStyle name="Normal 8 2 4 2" xfId="6113"/>
    <cellStyle name="Normal 8 2 4 2 2" xfId="6114"/>
    <cellStyle name="Normal 8 2 4 2 3" xfId="26719"/>
    <cellStyle name="Normal 8 2 4 3" xfId="6115"/>
    <cellStyle name="Normal 8 2 4 3 2" xfId="26720"/>
    <cellStyle name="Normal 8 2 4 4" xfId="6116"/>
    <cellStyle name="Normal 8 2 4 5" xfId="26718"/>
    <cellStyle name="Normal 8 2 5" xfId="6117"/>
    <cellStyle name="Normal 8 2 6" xfId="6118"/>
    <cellStyle name="Normal 8 2 7" xfId="6119"/>
    <cellStyle name="Normal 8 24" xfId="6120"/>
    <cellStyle name="Normal 8 24 2" xfId="6121"/>
    <cellStyle name="Normal 8 24 2 2" xfId="6122"/>
    <cellStyle name="Normal 8 24 2 2 2" xfId="6123"/>
    <cellStyle name="Normal 8 24 2 3" xfId="6124"/>
    <cellStyle name="Normal 8 24 2 4" xfId="6125"/>
    <cellStyle name="Normal 8 24 3" xfId="6126"/>
    <cellStyle name="Normal 8 24 3 2" xfId="6127"/>
    <cellStyle name="Normal 8 24 4" xfId="6128"/>
    <cellStyle name="Normal 8 24 5" xfId="6129"/>
    <cellStyle name="Normal 8 3" xfId="1841"/>
    <cellStyle name="Normal 8 3 2" xfId="1842"/>
    <cellStyle name="Normal 8 3 2 2" xfId="26722"/>
    <cellStyle name="Normal 8 3 3" xfId="3020"/>
    <cellStyle name="Normal 8 3 3 2" xfId="26724"/>
    <cellStyle name="Normal 8 3 3 2 2" xfId="26725"/>
    <cellStyle name="Normal 8 3 3 2 2 2" xfId="26726"/>
    <cellStyle name="Normal 8 3 3 2 2 2 2" xfId="26727"/>
    <cellStyle name="Normal 8 3 3 2 2 3" xfId="26728"/>
    <cellStyle name="Normal 8 3 3 2 3" xfId="26729"/>
    <cellStyle name="Normal 8 3 3 2 3 2" xfId="26730"/>
    <cellStyle name="Normal 8 3 3 2 4" xfId="26731"/>
    <cellStyle name="Normal 8 3 3 2 5" xfId="26732"/>
    <cellStyle name="Normal 8 3 3 3" xfId="26733"/>
    <cellStyle name="Normal 8 3 3 3 2" xfId="26734"/>
    <cellStyle name="Normal 8 3 3 3 2 2" xfId="26735"/>
    <cellStyle name="Normal 8 3 3 3 2 2 2" xfId="26736"/>
    <cellStyle name="Normal 8 3 3 3 2 3" xfId="26737"/>
    <cellStyle name="Normal 8 3 3 3 3" xfId="26738"/>
    <cellStyle name="Normal 8 3 3 3 3 2" xfId="26739"/>
    <cellStyle name="Normal 8 3 3 3 4" xfId="26740"/>
    <cellStyle name="Normal 8 3 3 4" xfId="26741"/>
    <cellStyle name="Normal 8 3 3 4 2" xfId="26742"/>
    <cellStyle name="Normal 8 3 3 4 2 2" xfId="26743"/>
    <cellStyle name="Normal 8 3 3 4 3" xfId="26744"/>
    <cellStyle name="Normal 8 3 3 5" xfId="26745"/>
    <cellStyle name="Normal 8 3 3 5 2" xfId="26746"/>
    <cellStyle name="Normal 8 3 3 5 2 2" xfId="26747"/>
    <cellStyle name="Normal 8 3 3 5 3" xfId="26748"/>
    <cellStyle name="Normal 8 3 3 6" xfId="26749"/>
    <cellStyle name="Normal 8 3 3 6 2" xfId="26750"/>
    <cellStyle name="Normal 8 3 3 7" xfId="26751"/>
    <cellStyle name="Normal 8 3 3 8" xfId="26752"/>
    <cellStyle name="Normal 8 3 3 9" xfId="26723"/>
    <cellStyle name="Normal 8 3 4" xfId="8171"/>
    <cellStyle name="Normal 8 3 4 2" xfId="26754"/>
    <cellStyle name="Normal 8 3 4 3" xfId="26753"/>
    <cellStyle name="Normal 8 3 5" xfId="26721"/>
    <cellStyle name="Normal 8 4" xfId="1843"/>
    <cellStyle name="Normal 8 4 2" xfId="6130"/>
    <cellStyle name="Normal 8 4 2 2" xfId="26756"/>
    <cellStyle name="Normal 8 4 2 2 2" xfId="26757"/>
    <cellStyle name="Normal 8 4 2 2 2 2" xfId="26758"/>
    <cellStyle name="Normal 8 4 2 2 3" xfId="26759"/>
    <cellStyle name="Normal 8 4 2 3" xfId="26760"/>
    <cellStyle name="Normal 8 4 2 3 2" xfId="26761"/>
    <cellStyle name="Normal 8 4 2 4" xfId="26762"/>
    <cellStyle name="Normal 8 4 2 5" xfId="26763"/>
    <cellStyle name="Normal 8 4 2 6" xfId="26755"/>
    <cellStyle name="Normal 8 4 3" xfId="26764"/>
    <cellStyle name="Normal 8 4 3 2" xfId="26765"/>
    <cellStyle name="Normal 8 4 3 2 2" xfId="26766"/>
    <cellStyle name="Normal 8 4 3 2 2 2" xfId="26767"/>
    <cellStyle name="Normal 8 4 3 2 3" xfId="26768"/>
    <cellStyle name="Normal 8 4 3 3" xfId="26769"/>
    <cellStyle name="Normal 8 4 3 3 2" xfId="26770"/>
    <cellStyle name="Normal 8 4 3 4" xfId="26771"/>
    <cellStyle name="Normal 8 4 4" xfId="26772"/>
    <cellStyle name="Normal 8 4 4 2" xfId="26773"/>
    <cellStyle name="Normal 8 4 4 2 2" xfId="26774"/>
    <cellStyle name="Normal 8 4 4 3" xfId="26775"/>
    <cellStyle name="Normal 8 4 5" xfId="26776"/>
    <cellStyle name="Normal 8 4 5 2" xfId="26777"/>
    <cellStyle name="Normal 8 4 5 2 2" xfId="26778"/>
    <cellStyle name="Normal 8 4 5 3" xfId="26779"/>
    <cellStyle name="Normal 8 4 6" xfId="26780"/>
    <cellStyle name="Normal 8 4 6 2" xfId="26781"/>
    <cellStyle name="Normal 8 4 7" xfId="26782"/>
    <cellStyle name="Normal 8 4 7 2" xfId="26783"/>
    <cellStyle name="Normal 8 5" xfId="3021"/>
    <cellStyle name="Normal 8 5 2" xfId="6131"/>
    <cellStyle name="Normal 8 5 2 2" xfId="26786"/>
    <cellStyle name="Normal 8 5 2 2 2" xfId="26787"/>
    <cellStyle name="Normal 8 5 2 2 2 2" xfId="26788"/>
    <cellStyle name="Normal 8 5 2 2 3" xfId="26789"/>
    <cellStyle name="Normal 8 5 2 3" xfId="26790"/>
    <cellStyle name="Normal 8 5 2 3 2" xfId="26791"/>
    <cellStyle name="Normal 8 5 2 4" xfId="26792"/>
    <cellStyle name="Normal 8 5 2 5" xfId="26793"/>
    <cellStyle name="Normal 8 5 2 6" xfId="26785"/>
    <cellStyle name="Normal 8 5 3" xfId="26794"/>
    <cellStyle name="Normal 8 5 3 2" xfId="26795"/>
    <cellStyle name="Normal 8 5 3 2 2" xfId="26796"/>
    <cellStyle name="Normal 8 5 3 2 2 2" xfId="26797"/>
    <cellStyle name="Normal 8 5 3 2 3" xfId="26798"/>
    <cellStyle name="Normal 8 5 3 3" xfId="26799"/>
    <cellStyle name="Normal 8 5 3 3 2" xfId="26800"/>
    <cellStyle name="Normal 8 5 3 4" xfId="26801"/>
    <cellStyle name="Normal 8 5 4" xfId="26802"/>
    <cellStyle name="Normal 8 5 4 2" xfId="26803"/>
    <cellStyle name="Normal 8 5 4 2 2" xfId="26804"/>
    <cellStyle name="Normal 8 5 4 3" xfId="26805"/>
    <cellStyle name="Normal 8 5 5" xfId="26806"/>
    <cellStyle name="Normal 8 5 5 2" xfId="26807"/>
    <cellStyle name="Normal 8 5 5 2 2" xfId="26808"/>
    <cellStyle name="Normal 8 5 5 3" xfId="26809"/>
    <cellStyle name="Normal 8 5 6" xfId="26810"/>
    <cellStyle name="Normal 8 5 6 2" xfId="26811"/>
    <cellStyle name="Normal 8 5 7" xfId="26812"/>
    <cellStyle name="Normal 8 5 7 2" xfId="26813"/>
    <cellStyle name="Normal 8 5 8" xfId="26814"/>
    <cellStyle name="Normal 8 5 9" xfId="26784"/>
    <cellStyle name="Normal 8 6" xfId="6132"/>
    <cellStyle name="Normal 8 6 2" xfId="6133"/>
    <cellStyle name="Normal 8 6 2 2" xfId="6134"/>
    <cellStyle name="Normal 8 6 2 2 2" xfId="6135"/>
    <cellStyle name="Normal 8 6 2 3" xfId="6136"/>
    <cellStyle name="Normal 8 6 2 4" xfId="6137"/>
    <cellStyle name="Normal 8 6 3" xfId="6138"/>
    <cellStyle name="Normal 8 6 3 2" xfId="6139"/>
    <cellStyle name="Normal 8 6 4" xfId="6140"/>
    <cellStyle name="Normal 8 6 5" xfId="6141"/>
    <cellStyle name="Normal 8 6 6" xfId="26815"/>
    <cellStyle name="Normal 8 7" xfId="6105"/>
    <cellStyle name="Normal 8 7 2" xfId="26817"/>
    <cellStyle name="Normal 8 7 2 2" xfId="26818"/>
    <cellStyle name="Normal 8 7 2 2 2" xfId="26819"/>
    <cellStyle name="Normal 8 7 2 3" xfId="26820"/>
    <cellStyle name="Normal 8 7 3" xfId="26821"/>
    <cellStyle name="Normal 8 7 3 2" xfId="26822"/>
    <cellStyle name="Normal 8 7 3 2 2" xfId="26823"/>
    <cellStyle name="Normal 8 7 3 3" xfId="26824"/>
    <cellStyle name="Normal 8 7 4" xfId="26825"/>
    <cellStyle name="Normal 8 7 5" xfId="26816"/>
    <cellStyle name="Normal 8 8" xfId="26826"/>
    <cellStyle name="Normal 8 9" xfId="26827"/>
    <cellStyle name="Normal 8_5.2" xfId="6142"/>
    <cellStyle name="Normal 80" xfId="4850"/>
    <cellStyle name="Normal 80 2" xfId="6143"/>
    <cellStyle name="Normal 80 2 2" xfId="26830"/>
    <cellStyle name="Normal 80 2 3" xfId="26829"/>
    <cellStyle name="Normal 80 3" xfId="26831"/>
    <cellStyle name="Normal 80 4" xfId="26828"/>
    <cellStyle name="Normal 81" xfId="6144"/>
    <cellStyle name="Normal 81 2" xfId="26833"/>
    <cellStyle name="Normal 81 2 2" xfId="26834"/>
    <cellStyle name="Normal 81 3" xfId="26835"/>
    <cellStyle name="Normal 81 4" xfId="26832"/>
    <cellStyle name="Normal 82" xfId="6145"/>
    <cellStyle name="Normal 82 2" xfId="8516"/>
    <cellStyle name="Normal 82 3" xfId="26836"/>
    <cellStyle name="Normal 83" xfId="3186"/>
    <cellStyle name="Normal 83 2" xfId="6146"/>
    <cellStyle name="Normal 83 3" xfId="26837"/>
    <cellStyle name="Normal 84" xfId="6147"/>
    <cellStyle name="Normal 84 2" xfId="26838"/>
    <cellStyle name="Normal 85" xfId="6148"/>
    <cellStyle name="Normal 85 2" xfId="26839"/>
    <cellStyle name="Normal 86" xfId="6149"/>
    <cellStyle name="Normal 86 2" xfId="26840"/>
    <cellStyle name="Normal 87" xfId="6150"/>
    <cellStyle name="Normal 87 2" xfId="40379"/>
    <cellStyle name="Normal 88" xfId="6151"/>
    <cellStyle name="Normal 88 2" xfId="40385"/>
    <cellStyle name="Normal 89" xfId="6152"/>
    <cellStyle name="Normal 89 2" xfId="40387"/>
    <cellStyle name="Normal 9" xfId="65"/>
    <cellStyle name="Normal 9 10" xfId="7839"/>
    <cellStyle name="Normal 9 11" xfId="8172"/>
    <cellStyle name="Normal 9 12" xfId="8505"/>
    <cellStyle name="Normal 9 13" xfId="40418"/>
    <cellStyle name="Normal 9 2" xfId="82"/>
    <cellStyle name="Normal 9 2 2" xfId="1846"/>
    <cellStyle name="Normal 9 2 2 10" xfId="26841"/>
    <cellStyle name="Normal 9 2 2 2" xfId="6154"/>
    <cellStyle name="Normal 9 2 2 2 2" xfId="26843"/>
    <cellStyle name="Normal 9 2 2 2 2 2" xfId="26844"/>
    <cellStyle name="Normal 9 2 2 2 2 2 2" xfId="26845"/>
    <cellStyle name="Normal 9 2 2 2 2 2 2 2" xfId="26846"/>
    <cellStyle name="Normal 9 2 2 2 2 2 3" xfId="26847"/>
    <cellStyle name="Normal 9 2 2 2 2 3" xfId="26848"/>
    <cellStyle name="Normal 9 2 2 2 2 3 2" xfId="26849"/>
    <cellStyle name="Normal 9 2 2 2 2 4" xfId="26850"/>
    <cellStyle name="Normal 9 2 2 2 2 5" xfId="26851"/>
    <cellStyle name="Normal 9 2 2 2 3" xfId="26852"/>
    <cellStyle name="Normal 9 2 2 2 3 2" xfId="26853"/>
    <cellStyle name="Normal 9 2 2 2 3 2 2" xfId="26854"/>
    <cellStyle name="Normal 9 2 2 2 3 2 2 2" xfId="26855"/>
    <cellStyle name="Normal 9 2 2 2 3 2 3" xfId="26856"/>
    <cellStyle name="Normal 9 2 2 2 3 3" xfId="26857"/>
    <cellStyle name="Normal 9 2 2 2 3 3 2" xfId="26858"/>
    <cellStyle name="Normal 9 2 2 2 3 4" xfId="26859"/>
    <cellStyle name="Normal 9 2 2 2 4" xfId="26860"/>
    <cellStyle name="Normal 9 2 2 2 4 2" xfId="26861"/>
    <cellStyle name="Normal 9 2 2 2 4 2 2" xfId="26862"/>
    <cellStyle name="Normal 9 2 2 2 4 3" xfId="26863"/>
    <cellStyle name="Normal 9 2 2 2 5" xfId="26864"/>
    <cellStyle name="Normal 9 2 2 2 5 2" xfId="26865"/>
    <cellStyle name="Normal 9 2 2 2 5 2 2" xfId="26866"/>
    <cellStyle name="Normal 9 2 2 2 5 3" xfId="26867"/>
    <cellStyle name="Normal 9 2 2 2 6" xfId="26868"/>
    <cellStyle name="Normal 9 2 2 2 6 2" xfId="26869"/>
    <cellStyle name="Normal 9 2 2 2 7" xfId="26870"/>
    <cellStyle name="Normal 9 2 2 2 8" xfId="26871"/>
    <cellStyle name="Normal 9 2 2 2 9" xfId="26842"/>
    <cellStyle name="Normal 9 2 2 3" xfId="8173"/>
    <cellStyle name="Normal 9 2 2 3 2" xfId="26873"/>
    <cellStyle name="Normal 9 2 2 3 2 2" xfId="26874"/>
    <cellStyle name="Normal 9 2 2 3 2 2 2" xfId="26875"/>
    <cellStyle name="Normal 9 2 2 3 2 2 2 2" xfId="26876"/>
    <cellStyle name="Normal 9 2 2 3 2 2 3" xfId="26877"/>
    <cellStyle name="Normal 9 2 2 3 2 3" xfId="26878"/>
    <cellStyle name="Normal 9 2 2 3 2 3 2" xfId="26879"/>
    <cellStyle name="Normal 9 2 2 3 2 4" xfId="26880"/>
    <cellStyle name="Normal 9 2 2 3 2 5" xfId="26881"/>
    <cellStyle name="Normal 9 2 2 3 3" xfId="26882"/>
    <cellStyle name="Normal 9 2 2 3 3 2" xfId="26883"/>
    <cellStyle name="Normal 9 2 2 3 3 2 2" xfId="26884"/>
    <cellStyle name="Normal 9 2 2 3 3 2 2 2" xfId="26885"/>
    <cellStyle name="Normal 9 2 2 3 3 2 3" xfId="26886"/>
    <cellStyle name="Normal 9 2 2 3 3 3" xfId="26887"/>
    <cellStyle name="Normal 9 2 2 3 3 3 2" xfId="26888"/>
    <cellStyle name="Normal 9 2 2 3 3 4" xfId="26889"/>
    <cellStyle name="Normal 9 2 2 3 4" xfId="26890"/>
    <cellStyle name="Normal 9 2 2 3 4 2" xfId="26891"/>
    <cellStyle name="Normal 9 2 2 3 4 2 2" xfId="26892"/>
    <cellStyle name="Normal 9 2 2 3 4 3" xfId="26893"/>
    <cellStyle name="Normal 9 2 2 3 5" xfId="26894"/>
    <cellStyle name="Normal 9 2 2 3 5 2" xfId="26895"/>
    <cellStyle name="Normal 9 2 2 3 5 2 2" xfId="26896"/>
    <cellStyle name="Normal 9 2 2 3 5 3" xfId="26897"/>
    <cellStyle name="Normal 9 2 2 3 6" xfId="26898"/>
    <cellStyle name="Normal 9 2 2 3 6 2" xfId="26899"/>
    <cellStyle name="Normal 9 2 2 3 7" xfId="26900"/>
    <cellStyle name="Normal 9 2 2 3 8" xfId="26901"/>
    <cellStyle name="Normal 9 2 2 3 9" xfId="26872"/>
    <cellStyle name="Normal 9 2 2 4" xfId="26902"/>
    <cellStyle name="Normal 9 2 2 4 2" xfId="26903"/>
    <cellStyle name="Normal 9 2 2 4 2 2" xfId="26904"/>
    <cellStyle name="Normal 9 2 2 4 2 2 2" xfId="26905"/>
    <cellStyle name="Normal 9 2 2 4 2 2 2 2" xfId="26906"/>
    <cellStyle name="Normal 9 2 2 4 2 2 3" xfId="26907"/>
    <cellStyle name="Normal 9 2 2 4 2 3" xfId="26908"/>
    <cellStyle name="Normal 9 2 2 4 2 3 2" xfId="26909"/>
    <cellStyle name="Normal 9 2 2 4 2 4" xfId="26910"/>
    <cellStyle name="Normal 9 2 2 4 3" xfId="26911"/>
    <cellStyle name="Normal 9 2 2 4 3 2" xfId="26912"/>
    <cellStyle name="Normal 9 2 2 4 3 2 2" xfId="26913"/>
    <cellStyle name="Normal 9 2 2 4 3 3" xfId="26914"/>
    <cellStyle name="Normal 9 2 2 4 4" xfId="26915"/>
    <cellStyle name="Normal 9 2 2 4 4 2" xfId="26916"/>
    <cellStyle name="Normal 9 2 2 4 4 2 2" xfId="26917"/>
    <cellStyle name="Normal 9 2 2 4 4 3" xfId="26918"/>
    <cellStyle name="Normal 9 2 2 4 5" xfId="26919"/>
    <cellStyle name="Normal 9 2 2 4 5 2" xfId="26920"/>
    <cellStyle name="Normal 9 2 2 4 6" xfId="26921"/>
    <cellStyle name="Normal 9 2 2 4 7" xfId="26922"/>
    <cellStyle name="Normal 9 2 2 5" xfId="26923"/>
    <cellStyle name="Normal 9 2 2 5 2" xfId="26924"/>
    <cellStyle name="Normal 9 2 2 5 2 2" xfId="26925"/>
    <cellStyle name="Normal 9 2 2 5 2 2 2" xfId="26926"/>
    <cellStyle name="Normal 9 2 2 5 2 3" xfId="26927"/>
    <cellStyle name="Normal 9 2 2 5 3" xfId="26928"/>
    <cellStyle name="Normal 9 2 2 5 3 2" xfId="26929"/>
    <cellStyle name="Normal 9 2 2 5 4" xfId="26930"/>
    <cellStyle name="Normal 9 2 2 5 5" xfId="26931"/>
    <cellStyle name="Normal 9 2 2 6" xfId="26932"/>
    <cellStyle name="Normal 9 2 2 6 2" xfId="26933"/>
    <cellStyle name="Normal 9 2 2 6 2 2" xfId="26934"/>
    <cellStyle name="Normal 9 2 2 6 3" xfId="26935"/>
    <cellStyle name="Normal 9 2 2 7" xfId="26936"/>
    <cellStyle name="Normal 9 2 2 7 2" xfId="26937"/>
    <cellStyle name="Normal 9 2 2 7 2 2" xfId="26938"/>
    <cellStyle name="Normal 9 2 2 7 3" xfId="26939"/>
    <cellStyle name="Normal 9 2 2 8" xfId="26940"/>
    <cellStyle name="Normal 9 2 2 8 2" xfId="26941"/>
    <cellStyle name="Normal 9 2 2 9" xfId="26942"/>
    <cellStyle name="Normal 9 2 2 9 2" xfId="26943"/>
    <cellStyle name="Normal 9 2 3" xfId="1847"/>
    <cellStyle name="Normal 9 2 3 2" xfId="8174"/>
    <cellStyle name="Normal 9 2 3 2 2" xfId="26945"/>
    <cellStyle name="Normal 9 2 3 3" xfId="26946"/>
    <cellStyle name="Normal 9 2 3 4" xfId="26947"/>
    <cellStyle name="Normal 9 2 3 5" xfId="26944"/>
    <cellStyle name="Normal 9 2 4" xfId="1848"/>
    <cellStyle name="Normal 9 2 4 2" xfId="8175"/>
    <cellStyle name="Normal 9 2 5" xfId="3022"/>
    <cellStyle name="Normal 9 2 6" xfId="1845"/>
    <cellStyle name="Normal 9 2 7" xfId="6153"/>
    <cellStyle name="Normal 9 3" xfId="90"/>
    <cellStyle name="Normal 9 3 2" xfId="1850"/>
    <cellStyle name="Normal 9 3 2 2" xfId="8177"/>
    <cellStyle name="Normal 9 3 3" xfId="1849"/>
    <cellStyle name="Normal 9 3 4" xfId="6155"/>
    <cellStyle name="Normal 9 3 5" xfId="8176"/>
    <cellStyle name="Normal 9 3 6" xfId="26948"/>
    <cellStyle name="Normal 9 4" xfId="123"/>
    <cellStyle name="Normal 9 4 2" xfId="6156"/>
    <cellStyle name="Normal 9 4 2 2" xfId="26951"/>
    <cellStyle name="Normal 9 4 2 3" xfId="26950"/>
    <cellStyle name="Normal 9 4 3" xfId="8178"/>
    <cellStyle name="Normal 9 4 4" xfId="26949"/>
    <cellStyle name="Normal 9 5" xfId="1852"/>
    <cellStyle name="Normal 9 5 2" xfId="6157"/>
    <cellStyle name="Normal 9 5 2 2" xfId="26953"/>
    <cellStyle name="Normal 9 5 3" xfId="26954"/>
    <cellStyle name="Normal 9 5 4" xfId="26952"/>
    <cellStyle name="Normal 9 6" xfId="1853"/>
    <cellStyle name="Normal 9 6 2" xfId="6158"/>
    <cellStyle name="Normal 9 6 2 2" xfId="6159"/>
    <cellStyle name="Normal 9 6 2 3" xfId="26956"/>
    <cellStyle name="Normal 9 6 3" xfId="6160"/>
    <cellStyle name="Normal 9 6 3 2" xfId="26957"/>
    <cellStyle name="Normal 9 6 4" xfId="6161"/>
    <cellStyle name="Normal 9 6 5" xfId="8179"/>
    <cellStyle name="Normal 9 6 6" xfId="26955"/>
    <cellStyle name="Normal 9 7" xfId="1854"/>
    <cellStyle name="Normal 9 7 2" xfId="6163"/>
    <cellStyle name="Normal 9 7 2 2" xfId="26959"/>
    <cellStyle name="Normal 9 7 3" xfId="6162"/>
    <cellStyle name="Normal 9 7 3 2" xfId="26960"/>
    <cellStyle name="Normal 9 7 4" xfId="26958"/>
    <cellStyle name="Normal 9 8" xfId="6164"/>
    <cellStyle name="Normal 9 8 2" xfId="26962"/>
    <cellStyle name="Normal 9 8 3" xfId="26963"/>
    <cellStyle name="Normal 9 8 4" xfId="26964"/>
    <cellStyle name="Normal 9 8 5" xfId="26961"/>
    <cellStyle name="Normal 9 9" xfId="6165"/>
    <cellStyle name="Normal 9 9 2" xfId="26965"/>
    <cellStyle name="Normal 90" xfId="6166"/>
    <cellStyle name="Normal 91" xfId="6167"/>
    <cellStyle name="Normal 92" xfId="6168"/>
    <cellStyle name="Normal 93" xfId="6169"/>
    <cellStyle name="Normal 94" xfId="6170"/>
    <cellStyle name="Normal 95" xfId="6171"/>
    <cellStyle name="Normal 96" xfId="6172"/>
    <cellStyle name="Normal 97" xfId="6173"/>
    <cellStyle name="Normal 98" xfId="6174"/>
    <cellStyle name="Normal 99" xfId="6175"/>
    <cellStyle name="Normal_AGIF-Re-INITIALLED" xfId="40390"/>
    <cellStyle name="Normal_Annual Accounts June 2010(client provided)" xfId="40412"/>
    <cellStyle name="Normal_as at June 29, 2010" xfId="32"/>
    <cellStyle name="Normal_DSF Dec 2007 (11.1.08)" xfId="33"/>
    <cellStyle name="Normal_DSF Dec 2007 (11.1.08) 2" xfId="40426"/>
    <cellStyle name="Normal_FBGF financials June 2010" xfId="40408"/>
    <cellStyle name="Normal_FIGF Accounts Dec 31, 09 3" xfId="40406"/>
    <cellStyle name="Normal_Final Accounts 2009" xfId="40410"/>
    <cellStyle name="Normal_IGI IIF interim 2009 Accounts (Final)" xfId="40394"/>
    <cellStyle name="Normal_NIT-EMOF SEP Accounts 2009" xfId="40420"/>
    <cellStyle name="Normal_Portfolio 2" xfId="40411"/>
    <cellStyle name="Normal_Worksheet in   PGF 2005 final" xfId="21"/>
    <cellStyle name="Normal_Worksheet in   PGF 2005 final 2" xfId="40403"/>
    <cellStyle name="Normal1" xfId="1858"/>
    <cellStyle name="Note 10" xfId="2791"/>
    <cellStyle name="Note 10 10" xfId="6176"/>
    <cellStyle name="Note 10 10 2" xfId="26966"/>
    <cellStyle name="Note 10 11" xfId="8376"/>
    <cellStyle name="Note 10 2" xfId="6177"/>
    <cellStyle name="Note 10 2 2" xfId="6178"/>
    <cellStyle name="Note 10 2 2 10" xfId="26968"/>
    <cellStyle name="Note 10 2 2 2" xfId="26969"/>
    <cellStyle name="Note 10 2 2 2 2" xfId="26970"/>
    <cellStyle name="Note 10 2 2 2 3" xfId="26971"/>
    <cellStyle name="Note 10 2 2 3" xfId="26972"/>
    <cellStyle name="Note 10 2 2 3 2" xfId="26973"/>
    <cellStyle name="Note 10 2 2 4" xfId="26974"/>
    <cellStyle name="Note 10 2 2 4 2" xfId="26975"/>
    <cellStyle name="Note 10 2 2 5" xfId="26976"/>
    <cellStyle name="Note 10 2 2 6" xfId="26977"/>
    <cellStyle name="Note 10 2 2 7" xfId="26978"/>
    <cellStyle name="Note 10 2 2 8" xfId="26979"/>
    <cellStyle name="Note 10 2 2 9" xfId="26980"/>
    <cellStyle name="Note 10 2 3" xfId="6179"/>
    <cellStyle name="Note 10 2 3 2" xfId="26982"/>
    <cellStyle name="Note 10 2 3 2 2" xfId="26983"/>
    <cellStyle name="Note 10 2 3 2 3" xfId="26984"/>
    <cellStyle name="Note 10 2 3 3" xfId="26985"/>
    <cellStyle name="Note 10 2 3 3 2" xfId="26986"/>
    <cellStyle name="Note 10 2 3 4" xfId="26987"/>
    <cellStyle name="Note 10 2 3 5" xfId="26988"/>
    <cellStyle name="Note 10 2 3 6" xfId="26989"/>
    <cellStyle name="Note 10 2 3 7" xfId="26981"/>
    <cellStyle name="Note 10 2 4" xfId="6180"/>
    <cellStyle name="Note 10 2 4 2" xfId="6181"/>
    <cellStyle name="Note 10 2 4 2 2" xfId="26991"/>
    <cellStyle name="Note 10 2 4 3" xfId="26992"/>
    <cellStyle name="Note 10 2 4 4" xfId="26990"/>
    <cellStyle name="Note 10 2 5" xfId="6182"/>
    <cellStyle name="Note 10 2 5 2" xfId="6183"/>
    <cellStyle name="Note 10 2 5 3" xfId="26993"/>
    <cellStyle name="Note 10 2 6" xfId="6184"/>
    <cellStyle name="Note 10 2 6 2" xfId="26994"/>
    <cellStyle name="Note 10 2 7" xfId="6185"/>
    <cellStyle name="Note 10 2 7 2" xfId="26995"/>
    <cellStyle name="Note 10 2 8" xfId="26967"/>
    <cellStyle name="Note 10 3" xfId="6186"/>
    <cellStyle name="Note 10 3 2" xfId="6187"/>
    <cellStyle name="Note 10 3 2 10" xfId="26997"/>
    <cellStyle name="Note 10 3 2 2" xfId="26998"/>
    <cellStyle name="Note 10 3 2 2 2" xfId="26999"/>
    <cellStyle name="Note 10 3 2 3" xfId="27000"/>
    <cellStyle name="Note 10 3 2 3 2" xfId="27001"/>
    <cellStyle name="Note 10 3 2 4" xfId="27002"/>
    <cellStyle name="Note 10 3 2 4 2" xfId="27003"/>
    <cellStyle name="Note 10 3 2 5" xfId="27004"/>
    <cellStyle name="Note 10 3 2 6" xfId="27005"/>
    <cellStyle name="Note 10 3 2 7" xfId="27006"/>
    <cellStyle name="Note 10 3 2 8" xfId="27007"/>
    <cellStyle name="Note 10 3 2 9" xfId="27008"/>
    <cellStyle name="Note 10 3 3" xfId="27009"/>
    <cellStyle name="Note 10 3 3 2" xfId="27010"/>
    <cellStyle name="Note 10 3 3 2 2" xfId="27011"/>
    <cellStyle name="Note 10 3 3 3" xfId="27012"/>
    <cellStyle name="Note 10 3 3 3 2" xfId="27013"/>
    <cellStyle name="Note 10 3 3 4" xfId="27014"/>
    <cellStyle name="Note 10 3 3 5" xfId="27015"/>
    <cellStyle name="Note 10 3 3 6" xfId="27016"/>
    <cellStyle name="Note 10 3 4" xfId="27017"/>
    <cellStyle name="Note 10 3 4 2" xfId="27018"/>
    <cellStyle name="Note 10 3 5" xfId="27019"/>
    <cellStyle name="Note 10 3 6" xfId="27020"/>
    <cellStyle name="Note 10 3 7" xfId="27021"/>
    <cellStyle name="Note 10 3 8" xfId="26996"/>
    <cellStyle name="Note 10 4" xfId="6188"/>
    <cellStyle name="Note 10 4 10" xfId="27022"/>
    <cellStyle name="Note 10 4 2" xfId="27023"/>
    <cellStyle name="Note 10 4 2 2" xfId="27024"/>
    <cellStyle name="Note 10 4 2 3" xfId="27025"/>
    <cellStyle name="Note 10 4 3" xfId="27026"/>
    <cellStyle name="Note 10 4 3 2" xfId="27027"/>
    <cellStyle name="Note 10 4 4" xfId="27028"/>
    <cellStyle name="Note 10 4 4 2" xfId="27029"/>
    <cellStyle name="Note 10 4 5" xfId="27030"/>
    <cellStyle name="Note 10 4 6" xfId="27031"/>
    <cellStyle name="Note 10 4 7" xfId="27032"/>
    <cellStyle name="Note 10 4 8" xfId="27033"/>
    <cellStyle name="Note 10 4 9" xfId="27034"/>
    <cellStyle name="Note 10 5" xfId="6189"/>
    <cellStyle name="Note 10 5 10" xfId="27035"/>
    <cellStyle name="Note 10 5 2" xfId="27036"/>
    <cellStyle name="Note 10 5 2 2" xfId="27037"/>
    <cellStyle name="Note 10 5 2 3" xfId="27038"/>
    <cellStyle name="Note 10 5 3" xfId="27039"/>
    <cellStyle name="Note 10 5 3 2" xfId="27040"/>
    <cellStyle name="Note 10 5 4" xfId="27041"/>
    <cellStyle name="Note 10 5 4 2" xfId="27042"/>
    <cellStyle name="Note 10 5 5" xfId="27043"/>
    <cellStyle name="Note 10 5 6" xfId="27044"/>
    <cellStyle name="Note 10 5 7" xfId="27045"/>
    <cellStyle name="Note 10 5 8" xfId="27046"/>
    <cellStyle name="Note 10 5 9" xfId="27047"/>
    <cellStyle name="Note 10 6" xfId="6190"/>
    <cellStyle name="Note 10 6 2" xfId="6191"/>
    <cellStyle name="Note 10 6 2 2" xfId="27050"/>
    <cellStyle name="Note 10 6 2 3" xfId="27049"/>
    <cellStyle name="Note 10 6 3" xfId="27051"/>
    <cellStyle name="Note 10 6 3 2" xfId="27052"/>
    <cellStyle name="Note 10 6 4" xfId="27053"/>
    <cellStyle name="Note 10 6 5" xfId="27054"/>
    <cellStyle name="Note 10 6 6" xfId="27055"/>
    <cellStyle name="Note 10 6 7" xfId="27048"/>
    <cellStyle name="Note 10 7" xfId="6192"/>
    <cellStyle name="Note 10 7 2" xfId="6193"/>
    <cellStyle name="Note 10 7 2 2" xfId="27057"/>
    <cellStyle name="Note 10 7 3" xfId="27056"/>
    <cellStyle name="Note 10 8" xfId="6194"/>
    <cellStyle name="Note 10 8 2" xfId="27058"/>
    <cellStyle name="Note 10 9" xfId="6195"/>
    <cellStyle name="Note 10 9 2" xfId="27059"/>
    <cellStyle name="Note 11" xfId="2792"/>
    <cellStyle name="Note 11 10" xfId="6196"/>
    <cellStyle name="Note 11 10 2" xfId="27060"/>
    <cellStyle name="Note 11 11" xfId="8377"/>
    <cellStyle name="Note 11 2" xfId="6197"/>
    <cellStyle name="Note 11 2 2" xfId="6198"/>
    <cellStyle name="Note 11 2 2 10" xfId="27062"/>
    <cellStyle name="Note 11 2 2 2" xfId="27063"/>
    <cellStyle name="Note 11 2 2 2 2" xfId="27064"/>
    <cellStyle name="Note 11 2 2 2 3" xfId="27065"/>
    <cellStyle name="Note 11 2 2 3" xfId="27066"/>
    <cellStyle name="Note 11 2 2 3 2" xfId="27067"/>
    <cellStyle name="Note 11 2 2 4" xfId="27068"/>
    <cellStyle name="Note 11 2 2 4 2" xfId="27069"/>
    <cellStyle name="Note 11 2 2 5" xfId="27070"/>
    <cellStyle name="Note 11 2 2 6" xfId="27071"/>
    <cellStyle name="Note 11 2 2 7" xfId="27072"/>
    <cellStyle name="Note 11 2 2 8" xfId="27073"/>
    <cellStyle name="Note 11 2 2 9" xfId="27074"/>
    <cellStyle name="Note 11 2 3" xfId="6199"/>
    <cellStyle name="Note 11 2 3 2" xfId="27076"/>
    <cellStyle name="Note 11 2 3 2 2" xfId="27077"/>
    <cellStyle name="Note 11 2 3 2 3" xfId="27078"/>
    <cellStyle name="Note 11 2 3 3" xfId="27079"/>
    <cellStyle name="Note 11 2 3 3 2" xfId="27080"/>
    <cellStyle name="Note 11 2 3 4" xfId="27081"/>
    <cellStyle name="Note 11 2 3 5" xfId="27082"/>
    <cellStyle name="Note 11 2 3 6" xfId="27083"/>
    <cellStyle name="Note 11 2 3 7" xfId="27075"/>
    <cellStyle name="Note 11 2 4" xfId="6200"/>
    <cellStyle name="Note 11 2 4 2" xfId="6201"/>
    <cellStyle name="Note 11 2 4 2 2" xfId="27085"/>
    <cellStyle name="Note 11 2 4 3" xfId="27086"/>
    <cellStyle name="Note 11 2 4 4" xfId="27084"/>
    <cellStyle name="Note 11 2 5" xfId="6202"/>
    <cellStyle name="Note 11 2 5 2" xfId="6203"/>
    <cellStyle name="Note 11 2 5 3" xfId="27087"/>
    <cellStyle name="Note 11 2 6" xfId="6204"/>
    <cellStyle name="Note 11 2 6 2" xfId="27088"/>
    <cellStyle name="Note 11 2 7" xfId="6205"/>
    <cellStyle name="Note 11 2 7 2" xfId="27089"/>
    <cellStyle name="Note 11 2 8" xfId="27061"/>
    <cellStyle name="Note 11 3" xfId="6206"/>
    <cellStyle name="Note 11 3 2" xfId="6207"/>
    <cellStyle name="Note 11 3 2 10" xfId="27091"/>
    <cellStyle name="Note 11 3 2 2" xfId="27092"/>
    <cellStyle name="Note 11 3 2 2 2" xfId="27093"/>
    <cellStyle name="Note 11 3 2 3" xfId="27094"/>
    <cellStyle name="Note 11 3 2 3 2" xfId="27095"/>
    <cellStyle name="Note 11 3 2 4" xfId="27096"/>
    <cellStyle name="Note 11 3 2 4 2" xfId="27097"/>
    <cellStyle name="Note 11 3 2 5" xfId="27098"/>
    <cellStyle name="Note 11 3 2 6" xfId="27099"/>
    <cellStyle name="Note 11 3 2 7" xfId="27100"/>
    <cellStyle name="Note 11 3 2 8" xfId="27101"/>
    <cellStyle name="Note 11 3 2 9" xfId="27102"/>
    <cellStyle name="Note 11 3 3" xfId="27103"/>
    <cellStyle name="Note 11 3 3 2" xfId="27104"/>
    <cellStyle name="Note 11 3 3 2 2" xfId="27105"/>
    <cellStyle name="Note 11 3 3 3" xfId="27106"/>
    <cellStyle name="Note 11 3 3 3 2" xfId="27107"/>
    <cellStyle name="Note 11 3 3 4" xfId="27108"/>
    <cellStyle name="Note 11 3 3 5" xfId="27109"/>
    <cellStyle name="Note 11 3 3 6" xfId="27110"/>
    <cellStyle name="Note 11 3 4" xfId="27111"/>
    <cellStyle name="Note 11 3 4 2" xfId="27112"/>
    <cellStyle name="Note 11 3 5" xfId="27113"/>
    <cellStyle name="Note 11 3 6" xfId="27114"/>
    <cellStyle name="Note 11 3 7" xfId="27115"/>
    <cellStyle name="Note 11 3 8" xfId="27090"/>
    <cellStyle name="Note 11 4" xfId="6208"/>
    <cellStyle name="Note 11 4 10" xfId="27116"/>
    <cellStyle name="Note 11 4 2" xfId="27117"/>
    <cellStyle name="Note 11 4 2 2" xfId="27118"/>
    <cellStyle name="Note 11 4 2 3" xfId="27119"/>
    <cellStyle name="Note 11 4 3" xfId="27120"/>
    <cellStyle name="Note 11 4 3 2" xfId="27121"/>
    <cellStyle name="Note 11 4 4" xfId="27122"/>
    <cellStyle name="Note 11 4 4 2" xfId="27123"/>
    <cellStyle name="Note 11 4 5" xfId="27124"/>
    <cellStyle name="Note 11 4 6" xfId="27125"/>
    <cellStyle name="Note 11 4 7" xfId="27126"/>
    <cellStyle name="Note 11 4 8" xfId="27127"/>
    <cellStyle name="Note 11 4 9" xfId="27128"/>
    <cellStyle name="Note 11 5" xfId="6209"/>
    <cellStyle name="Note 11 5 10" xfId="27129"/>
    <cellStyle name="Note 11 5 2" xfId="27130"/>
    <cellStyle name="Note 11 5 2 2" xfId="27131"/>
    <cellStyle name="Note 11 5 2 3" xfId="27132"/>
    <cellStyle name="Note 11 5 3" xfId="27133"/>
    <cellStyle name="Note 11 5 3 2" xfId="27134"/>
    <cellStyle name="Note 11 5 4" xfId="27135"/>
    <cellStyle name="Note 11 5 4 2" xfId="27136"/>
    <cellStyle name="Note 11 5 5" xfId="27137"/>
    <cellStyle name="Note 11 5 6" xfId="27138"/>
    <cellStyle name="Note 11 5 7" xfId="27139"/>
    <cellStyle name="Note 11 5 8" xfId="27140"/>
    <cellStyle name="Note 11 5 9" xfId="27141"/>
    <cellStyle name="Note 11 6" xfId="6210"/>
    <cellStyle name="Note 11 6 2" xfId="6211"/>
    <cellStyle name="Note 11 6 2 2" xfId="27144"/>
    <cellStyle name="Note 11 6 2 3" xfId="27143"/>
    <cellStyle name="Note 11 6 3" xfId="27145"/>
    <cellStyle name="Note 11 6 3 2" xfId="27146"/>
    <cellStyle name="Note 11 6 4" xfId="27147"/>
    <cellStyle name="Note 11 6 5" xfId="27148"/>
    <cellStyle name="Note 11 6 6" xfId="27149"/>
    <cellStyle name="Note 11 6 7" xfId="27142"/>
    <cellStyle name="Note 11 7" xfId="6212"/>
    <cellStyle name="Note 11 7 2" xfId="6213"/>
    <cellStyle name="Note 11 7 2 2" xfId="27151"/>
    <cellStyle name="Note 11 7 3" xfId="27150"/>
    <cellStyle name="Note 11 8" xfId="6214"/>
    <cellStyle name="Note 11 8 2" xfId="27152"/>
    <cellStyle name="Note 11 9" xfId="6215"/>
    <cellStyle name="Note 11 9 2" xfId="27153"/>
    <cellStyle name="Note 12" xfId="2793"/>
    <cellStyle name="Note 12 10" xfId="6216"/>
    <cellStyle name="Note 12 10 2" xfId="27154"/>
    <cellStyle name="Note 12 11" xfId="8378"/>
    <cellStyle name="Note 12 2" xfId="6217"/>
    <cellStyle name="Note 12 2 2" xfId="6218"/>
    <cellStyle name="Note 12 2 2 10" xfId="27156"/>
    <cellStyle name="Note 12 2 2 2" xfId="27157"/>
    <cellStyle name="Note 12 2 2 2 2" xfId="27158"/>
    <cellStyle name="Note 12 2 2 2 3" xfId="27159"/>
    <cellStyle name="Note 12 2 2 3" xfId="27160"/>
    <cellStyle name="Note 12 2 2 3 2" xfId="27161"/>
    <cellStyle name="Note 12 2 2 4" xfId="27162"/>
    <cellStyle name="Note 12 2 2 4 2" xfId="27163"/>
    <cellStyle name="Note 12 2 2 5" xfId="27164"/>
    <cellStyle name="Note 12 2 2 6" xfId="27165"/>
    <cellStyle name="Note 12 2 2 7" xfId="27166"/>
    <cellStyle name="Note 12 2 2 8" xfId="27167"/>
    <cellStyle name="Note 12 2 2 9" xfId="27168"/>
    <cellStyle name="Note 12 2 3" xfId="6219"/>
    <cellStyle name="Note 12 2 3 2" xfId="27170"/>
    <cellStyle name="Note 12 2 3 2 2" xfId="27171"/>
    <cellStyle name="Note 12 2 3 2 3" xfId="27172"/>
    <cellStyle name="Note 12 2 3 3" xfId="27173"/>
    <cellStyle name="Note 12 2 3 3 2" xfId="27174"/>
    <cellStyle name="Note 12 2 3 4" xfId="27175"/>
    <cellStyle name="Note 12 2 3 5" xfId="27176"/>
    <cellStyle name="Note 12 2 3 6" xfId="27177"/>
    <cellStyle name="Note 12 2 3 7" xfId="27169"/>
    <cellStyle name="Note 12 2 4" xfId="6220"/>
    <cellStyle name="Note 12 2 4 2" xfId="6221"/>
    <cellStyle name="Note 12 2 4 2 2" xfId="27179"/>
    <cellStyle name="Note 12 2 4 3" xfId="27180"/>
    <cellStyle name="Note 12 2 4 4" xfId="27178"/>
    <cellStyle name="Note 12 2 5" xfId="6222"/>
    <cellStyle name="Note 12 2 5 2" xfId="6223"/>
    <cellStyle name="Note 12 2 5 3" xfId="27181"/>
    <cellStyle name="Note 12 2 6" xfId="6224"/>
    <cellStyle name="Note 12 2 6 2" xfId="27182"/>
    <cellStyle name="Note 12 2 7" xfId="6225"/>
    <cellStyle name="Note 12 2 7 2" xfId="27183"/>
    <cellStyle name="Note 12 2 8" xfId="27155"/>
    <cellStyle name="Note 12 3" xfId="6226"/>
    <cellStyle name="Note 12 3 2" xfId="6227"/>
    <cellStyle name="Note 12 3 2 10" xfId="27185"/>
    <cellStyle name="Note 12 3 2 2" xfId="27186"/>
    <cellStyle name="Note 12 3 2 2 2" xfId="27187"/>
    <cellStyle name="Note 12 3 2 3" xfId="27188"/>
    <cellStyle name="Note 12 3 2 3 2" xfId="27189"/>
    <cellStyle name="Note 12 3 2 4" xfId="27190"/>
    <cellStyle name="Note 12 3 2 4 2" xfId="27191"/>
    <cellStyle name="Note 12 3 2 5" xfId="27192"/>
    <cellStyle name="Note 12 3 2 6" xfId="27193"/>
    <cellStyle name="Note 12 3 2 7" xfId="27194"/>
    <cellStyle name="Note 12 3 2 8" xfId="27195"/>
    <cellStyle name="Note 12 3 2 9" xfId="27196"/>
    <cellStyle name="Note 12 3 3" xfId="27197"/>
    <cellStyle name="Note 12 3 3 2" xfId="27198"/>
    <cellStyle name="Note 12 3 3 2 2" xfId="27199"/>
    <cellStyle name="Note 12 3 3 3" xfId="27200"/>
    <cellStyle name="Note 12 3 3 3 2" xfId="27201"/>
    <cellStyle name="Note 12 3 3 4" xfId="27202"/>
    <cellStyle name="Note 12 3 3 5" xfId="27203"/>
    <cellStyle name="Note 12 3 3 6" xfId="27204"/>
    <cellStyle name="Note 12 3 4" xfId="27205"/>
    <cellStyle name="Note 12 3 4 2" xfId="27206"/>
    <cellStyle name="Note 12 3 5" xfId="27207"/>
    <cellStyle name="Note 12 3 6" xfId="27208"/>
    <cellStyle name="Note 12 3 7" xfId="27209"/>
    <cellStyle name="Note 12 3 8" xfId="27184"/>
    <cellStyle name="Note 12 4" xfId="6228"/>
    <cellStyle name="Note 12 4 10" xfId="27210"/>
    <cellStyle name="Note 12 4 2" xfId="27211"/>
    <cellStyle name="Note 12 4 2 2" xfId="27212"/>
    <cellStyle name="Note 12 4 2 3" xfId="27213"/>
    <cellStyle name="Note 12 4 3" xfId="27214"/>
    <cellStyle name="Note 12 4 3 2" xfId="27215"/>
    <cellStyle name="Note 12 4 4" xfId="27216"/>
    <cellStyle name="Note 12 4 4 2" xfId="27217"/>
    <cellStyle name="Note 12 4 5" xfId="27218"/>
    <cellStyle name="Note 12 4 6" xfId="27219"/>
    <cellStyle name="Note 12 4 7" xfId="27220"/>
    <cellStyle name="Note 12 4 8" xfId="27221"/>
    <cellStyle name="Note 12 4 9" xfId="27222"/>
    <cellStyle name="Note 12 5" xfId="6229"/>
    <cellStyle name="Note 12 5 10" xfId="27223"/>
    <cellStyle name="Note 12 5 2" xfId="27224"/>
    <cellStyle name="Note 12 5 2 2" xfId="27225"/>
    <cellStyle name="Note 12 5 2 3" xfId="27226"/>
    <cellStyle name="Note 12 5 3" xfId="27227"/>
    <cellStyle name="Note 12 5 3 2" xfId="27228"/>
    <cellStyle name="Note 12 5 4" xfId="27229"/>
    <cellStyle name="Note 12 5 4 2" xfId="27230"/>
    <cellStyle name="Note 12 5 5" xfId="27231"/>
    <cellStyle name="Note 12 5 6" xfId="27232"/>
    <cellStyle name="Note 12 5 7" xfId="27233"/>
    <cellStyle name="Note 12 5 8" xfId="27234"/>
    <cellStyle name="Note 12 5 9" xfId="27235"/>
    <cellStyle name="Note 12 6" xfId="6230"/>
    <cellStyle name="Note 12 6 2" xfId="6231"/>
    <cellStyle name="Note 12 6 2 2" xfId="27238"/>
    <cellStyle name="Note 12 6 2 3" xfId="27237"/>
    <cellStyle name="Note 12 6 3" xfId="27239"/>
    <cellStyle name="Note 12 6 3 2" xfId="27240"/>
    <cellStyle name="Note 12 6 4" xfId="27241"/>
    <cellStyle name="Note 12 6 5" xfId="27242"/>
    <cellStyle name="Note 12 6 6" xfId="27243"/>
    <cellStyle name="Note 12 6 7" xfId="27236"/>
    <cellStyle name="Note 12 7" xfId="6232"/>
    <cellStyle name="Note 12 7 2" xfId="6233"/>
    <cellStyle name="Note 12 7 2 2" xfId="27245"/>
    <cellStyle name="Note 12 7 3" xfId="27244"/>
    <cellStyle name="Note 12 8" xfId="6234"/>
    <cellStyle name="Note 12 8 2" xfId="27246"/>
    <cellStyle name="Note 12 9" xfId="6235"/>
    <cellStyle name="Note 12 9 2" xfId="27247"/>
    <cellStyle name="Note 13" xfId="2794"/>
    <cellStyle name="Note 13 10" xfId="6236"/>
    <cellStyle name="Note 13 10 2" xfId="27248"/>
    <cellStyle name="Note 13 11" xfId="8379"/>
    <cellStyle name="Note 13 2" xfId="6237"/>
    <cellStyle name="Note 13 2 2" xfId="6238"/>
    <cellStyle name="Note 13 2 2 10" xfId="27250"/>
    <cellStyle name="Note 13 2 2 2" xfId="27251"/>
    <cellStyle name="Note 13 2 2 2 2" xfId="27252"/>
    <cellStyle name="Note 13 2 2 2 3" xfId="27253"/>
    <cellStyle name="Note 13 2 2 3" xfId="27254"/>
    <cellStyle name="Note 13 2 2 3 2" xfId="27255"/>
    <cellStyle name="Note 13 2 2 4" xfId="27256"/>
    <cellStyle name="Note 13 2 2 4 2" xfId="27257"/>
    <cellStyle name="Note 13 2 2 5" xfId="27258"/>
    <cellStyle name="Note 13 2 2 6" xfId="27259"/>
    <cellStyle name="Note 13 2 2 7" xfId="27260"/>
    <cellStyle name="Note 13 2 2 8" xfId="27261"/>
    <cellStyle name="Note 13 2 2 9" xfId="27262"/>
    <cellStyle name="Note 13 2 3" xfId="6239"/>
    <cellStyle name="Note 13 2 3 2" xfId="27264"/>
    <cellStyle name="Note 13 2 3 2 2" xfId="27265"/>
    <cellStyle name="Note 13 2 3 2 3" xfId="27266"/>
    <cellStyle name="Note 13 2 3 3" xfId="27267"/>
    <cellStyle name="Note 13 2 3 3 2" xfId="27268"/>
    <cellStyle name="Note 13 2 3 4" xfId="27269"/>
    <cellStyle name="Note 13 2 3 5" xfId="27270"/>
    <cellStyle name="Note 13 2 3 6" xfId="27271"/>
    <cellStyle name="Note 13 2 3 7" xfId="27263"/>
    <cellStyle name="Note 13 2 4" xfId="6240"/>
    <cellStyle name="Note 13 2 4 2" xfId="6241"/>
    <cellStyle name="Note 13 2 4 2 2" xfId="27273"/>
    <cellStyle name="Note 13 2 4 3" xfId="27274"/>
    <cellStyle name="Note 13 2 4 4" xfId="27272"/>
    <cellStyle name="Note 13 2 5" xfId="6242"/>
    <cellStyle name="Note 13 2 5 2" xfId="6243"/>
    <cellStyle name="Note 13 2 5 3" xfId="27275"/>
    <cellStyle name="Note 13 2 6" xfId="6244"/>
    <cellStyle name="Note 13 2 6 2" xfId="27276"/>
    <cellStyle name="Note 13 2 7" xfId="6245"/>
    <cellStyle name="Note 13 2 7 2" xfId="27277"/>
    <cellStyle name="Note 13 2 8" xfId="27249"/>
    <cellStyle name="Note 13 3" xfId="6246"/>
    <cellStyle name="Note 13 3 2" xfId="6247"/>
    <cellStyle name="Note 13 3 2 10" xfId="27279"/>
    <cellStyle name="Note 13 3 2 2" xfId="27280"/>
    <cellStyle name="Note 13 3 2 2 2" xfId="27281"/>
    <cellStyle name="Note 13 3 2 3" xfId="27282"/>
    <cellStyle name="Note 13 3 2 3 2" xfId="27283"/>
    <cellStyle name="Note 13 3 2 4" xfId="27284"/>
    <cellStyle name="Note 13 3 2 4 2" xfId="27285"/>
    <cellStyle name="Note 13 3 2 5" xfId="27286"/>
    <cellStyle name="Note 13 3 2 6" xfId="27287"/>
    <cellStyle name="Note 13 3 2 7" xfId="27288"/>
    <cellStyle name="Note 13 3 2 8" xfId="27289"/>
    <cellStyle name="Note 13 3 2 9" xfId="27290"/>
    <cellStyle name="Note 13 3 3" xfId="27291"/>
    <cellStyle name="Note 13 3 3 2" xfId="27292"/>
    <cellStyle name="Note 13 3 3 2 2" xfId="27293"/>
    <cellStyle name="Note 13 3 3 3" xfId="27294"/>
    <cellStyle name="Note 13 3 3 3 2" xfId="27295"/>
    <cellStyle name="Note 13 3 3 4" xfId="27296"/>
    <cellStyle name="Note 13 3 3 5" xfId="27297"/>
    <cellStyle name="Note 13 3 3 6" xfId="27298"/>
    <cellStyle name="Note 13 3 4" xfId="27299"/>
    <cellStyle name="Note 13 3 4 2" xfId="27300"/>
    <cellStyle name="Note 13 3 5" xfId="27301"/>
    <cellStyle name="Note 13 3 6" xfId="27302"/>
    <cellStyle name="Note 13 3 7" xfId="27303"/>
    <cellStyle name="Note 13 3 8" xfId="27278"/>
    <cellStyle name="Note 13 4" xfId="6248"/>
    <cellStyle name="Note 13 4 10" xfId="27304"/>
    <cellStyle name="Note 13 4 2" xfId="27305"/>
    <cellStyle name="Note 13 4 2 2" xfId="27306"/>
    <cellStyle name="Note 13 4 2 3" xfId="27307"/>
    <cellStyle name="Note 13 4 3" xfId="27308"/>
    <cellStyle name="Note 13 4 3 2" xfId="27309"/>
    <cellStyle name="Note 13 4 4" xfId="27310"/>
    <cellStyle name="Note 13 4 4 2" xfId="27311"/>
    <cellStyle name="Note 13 4 5" xfId="27312"/>
    <cellStyle name="Note 13 4 6" xfId="27313"/>
    <cellStyle name="Note 13 4 7" xfId="27314"/>
    <cellStyle name="Note 13 4 8" xfId="27315"/>
    <cellStyle name="Note 13 4 9" xfId="27316"/>
    <cellStyle name="Note 13 5" xfId="6249"/>
    <cellStyle name="Note 13 5 10" xfId="27317"/>
    <cellStyle name="Note 13 5 2" xfId="27318"/>
    <cellStyle name="Note 13 5 2 2" xfId="27319"/>
    <cellStyle name="Note 13 5 2 3" xfId="27320"/>
    <cellStyle name="Note 13 5 3" xfId="27321"/>
    <cellStyle name="Note 13 5 3 2" xfId="27322"/>
    <cellStyle name="Note 13 5 4" xfId="27323"/>
    <cellStyle name="Note 13 5 4 2" xfId="27324"/>
    <cellStyle name="Note 13 5 5" xfId="27325"/>
    <cellStyle name="Note 13 5 6" xfId="27326"/>
    <cellStyle name="Note 13 5 7" xfId="27327"/>
    <cellStyle name="Note 13 5 8" xfId="27328"/>
    <cellStyle name="Note 13 5 9" xfId="27329"/>
    <cellStyle name="Note 13 6" xfId="6250"/>
    <cellStyle name="Note 13 6 2" xfId="6251"/>
    <cellStyle name="Note 13 6 2 2" xfId="27332"/>
    <cellStyle name="Note 13 6 2 3" xfId="27331"/>
    <cellStyle name="Note 13 6 3" xfId="27333"/>
    <cellStyle name="Note 13 6 3 2" xfId="27334"/>
    <cellStyle name="Note 13 6 4" xfId="27335"/>
    <cellStyle name="Note 13 6 5" xfId="27336"/>
    <cellStyle name="Note 13 6 6" xfId="27337"/>
    <cellStyle name="Note 13 6 7" xfId="27330"/>
    <cellStyle name="Note 13 7" xfId="6252"/>
    <cellStyle name="Note 13 7 2" xfId="6253"/>
    <cellStyle name="Note 13 7 2 2" xfId="27339"/>
    <cellStyle name="Note 13 7 3" xfId="27338"/>
    <cellStyle name="Note 13 8" xfId="6254"/>
    <cellStyle name="Note 13 8 2" xfId="27340"/>
    <cellStyle name="Note 13 9" xfId="6255"/>
    <cellStyle name="Note 13 9 2" xfId="27341"/>
    <cellStyle name="Note 14" xfId="2795"/>
    <cellStyle name="Note 14 10" xfId="6256"/>
    <cellStyle name="Note 14 10 2" xfId="27342"/>
    <cellStyle name="Note 14 11" xfId="8380"/>
    <cellStyle name="Note 14 2" xfId="6257"/>
    <cellStyle name="Note 14 2 2" xfId="6258"/>
    <cellStyle name="Note 14 2 2 10" xfId="27344"/>
    <cellStyle name="Note 14 2 2 2" xfId="27345"/>
    <cellStyle name="Note 14 2 2 2 2" xfId="27346"/>
    <cellStyle name="Note 14 2 2 2 3" xfId="27347"/>
    <cellStyle name="Note 14 2 2 3" xfId="27348"/>
    <cellStyle name="Note 14 2 2 3 2" xfId="27349"/>
    <cellStyle name="Note 14 2 2 4" xfId="27350"/>
    <cellStyle name="Note 14 2 2 4 2" xfId="27351"/>
    <cellStyle name="Note 14 2 2 5" xfId="27352"/>
    <cellStyle name="Note 14 2 2 6" xfId="27353"/>
    <cellStyle name="Note 14 2 2 7" xfId="27354"/>
    <cellStyle name="Note 14 2 2 8" xfId="27355"/>
    <cellStyle name="Note 14 2 2 9" xfId="27356"/>
    <cellStyle name="Note 14 2 3" xfId="6259"/>
    <cellStyle name="Note 14 2 3 2" xfId="27358"/>
    <cellStyle name="Note 14 2 3 2 2" xfId="27359"/>
    <cellStyle name="Note 14 2 3 2 3" xfId="27360"/>
    <cellStyle name="Note 14 2 3 3" xfId="27361"/>
    <cellStyle name="Note 14 2 3 3 2" xfId="27362"/>
    <cellStyle name="Note 14 2 3 4" xfId="27363"/>
    <cellStyle name="Note 14 2 3 5" xfId="27364"/>
    <cellStyle name="Note 14 2 3 6" xfId="27365"/>
    <cellStyle name="Note 14 2 3 7" xfId="27357"/>
    <cellStyle name="Note 14 2 4" xfId="6260"/>
    <cellStyle name="Note 14 2 4 2" xfId="6261"/>
    <cellStyle name="Note 14 2 4 2 2" xfId="27367"/>
    <cellStyle name="Note 14 2 4 3" xfId="27368"/>
    <cellStyle name="Note 14 2 4 4" xfId="27366"/>
    <cellStyle name="Note 14 2 5" xfId="6262"/>
    <cellStyle name="Note 14 2 5 2" xfId="6263"/>
    <cellStyle name="Note 14 2 5 3" xfId="27369"/>
    <cellStyle name="Note 14 2 6" xfId="6264"/>
    <cellStyle name="Note 14 2 6 2" xfId="27370"/>
    <cellStyle name="Note 14 2 7" xfId="6265"/>
    <cellStyle name="Note 14 2 7 2" xfId="27371"/>
    <cellStyle name="Note 14 2 8" xfId="27343"/>
    <cellStyle name="Note 14 3" xfId="6266"/>
    <cellStyle name="Note 14 3 2" xfId="6267"/>
    <cellStyle name="Note 14 3 2 10" xfId="27373"/>
    <cellStyle name="Note 14 3 2 2" xfId="27374"/>
    <cellStyle name="Note 14 3 2 2 2" xfId="27375"/>
    <cellStyle name="Note 14 3 2 3" xfId="27376"/>
    <cellStyle name="Note 14 3 2 3 2" xfId="27377"/>
    <cellStyle name="Note 14 3 2 4" xfId="27378"/>
    <cellStyle name="Note 14 3 2 4 2" xfId="27379"/>
    <cellStyle name="Note 14 3 2 5" xfId="27380"/>
    <cellStyle name="Note 14 3 2 6" xfId="27381"/>
    <cellStyle name="Note 14 3 2 7" xfId="27382"/>
    <cellStyle name="Note 14 3 2 8" xfId="27383"/>
    <cellStyle name="Note 14 3 2 9" xfId="27384"/>
    <cellStyle name="Note 14 3 3" xfId="27385"/>
    <cellStyle name="Note 14 3 3 2" xfId="27386"/>
    <cellStyle name="Note 14 3 3 2 2" xfId="27387"/>
    <cellStyle name="Note 14 3 3 3" xfId="27388"/>
    <cellStyle name="Note 14 3 3 3 2" xfId="27389"/>
    <cellStyle name="Note 14 3 3 4" xfId="27390"/>
    <cellStyle name="Note 14 3 3 5" xfId="27391"/>
    <cellStyle name="Note 14 3 3 6" xfId="27392"/>
    <cellStyle name="Note 14 3 4" xfId="27393"/>
    <cellStyle name="Note 14 3 4 2" xfId="27394"/>
    <cellStyle name="Note 14 3 5" xfId="27395"/>
    <cellStyle name="Note 14 3 6" xfId="27396"/>
    <cellStyle name="Note 14 3 7" xfId="27397"/>
    <cellStyle name="Note 14 3 8" xfId="27372"/>
    <cellStyle name="Note 14 4" xfId="6268"/>
    <cellStyle name="Note 14 4 10" xfId="27398"/>
    <cellStyle name="Note 14 4 2" xfId="27399"/>
    <cellStyle name="Note 14 4 2 2" xfId="27400"/>
    <cellStyle name="Note 14 4 2 3" xfId="27401"/>
    <cellStyle name="Note 14 4 3" xfId="27402"/>
    <cellStyle name="Note 14 4 3 2" xfId="27403"/>
    <cellStyle name="Note 14 4 4" xfId="27404"/>
    <cellStyle name="Note 14 4 4 2" xfId="27405"/>
    <cellStyle name="Note 14 4 5" xfId="27406"/>
    <cellStyle name="Note 14 4 6" xfId="27407"/>
    <cellStyle name="Note 14 4 7" xfId="27408"/>
    <cellStyle name="Note 14 4 8" xfId="27409"/>
    <cellStyle name="Note 14 4 9" xfId="27410"/>
    <cellStyle name="Note 14 5" xfId="6269"/>
    <cellStyle name="Note 14 5 10" xfId="27411"/>
    <cellStyle name="Note 14 5 2" xfId="27412"/>
    <cellStyle name="Note 14 5 2 2" xfId="27413"/>
    <cellStyle name="Note 14 5 2 3" xfId="27414"/>
    <cellStyle name="Note 14 5 3" xfId="27415"/>
    <cellStyle name="Note 14 5 3 2" xfId="27416"/>
    <cellStyle name="Note 14 5 4" xfId="27417"/>
    <cellStyle name="Note 14 5 4 2" xfId="27418"/>
    <cellStyle name="Note 14 5 5" xfId="27419"/>
    <cellStyle name="Note 14 5 6" xfId="27420"/>
    <cellStyle name="Note 14 5 7" xfId="27421"/>
    <cellStyle name="Note 14 5 8" xfId="27422"/>
    <cellStyle name="Note 14 5 9" xfId="27423"/>
    <cellStyle name="Note 14 6" xfId="6270"/>
    <cellStyle name="Note 14 6 2" xfId="6271"/>
    <cellStyle name="Note 14 6 2 2" xfId="27426"/>
    <cellStyle name="Note 14 6 2 3" xfId="27425"/>
    <cellStyle name="Note 14 6 3" xfId="27427"/>
    <cellStyle name="Note 14 6 3 2" xfId="27428"/>
    <cellStyle name="Note 14 6 4" xfId="27429"/>
    <cellStyle name="Note 14 6 5" xfId="27430"/>
    <cellStyle name="Note 14 6 6" xfId="27431"/>
    <cellStyle name="Note 14 6 7" xfId="27424"/>
    <cellStyle name="Note 14 7" xfId="6272"/>
    <cellStyle name="Note 14 7 2" xfId="6273"/>
    <cellStyle name="Note 14 7 2 2" xfId="27433"/>
    <cellStyle name="Note 14 7 3" xfId="27432"/>
    <cellStyle name="Note 14 8" xfId="6274"/>
    <cellStyle name="Note 14 8 2" xfId="27434"/>
    <cellStyle name="Note 14 9" xfId="6275"/>
    <cellStyle name="Note 14 9 2" xfId="27435"/>
    <cellStyle name="Note 15" xfId="2796"/>
    <cellStyle name="Note 15 10" xfId="6276"/>
    <cellStyle name="Note 15 10 2" xfId="27436"/>
    <cellStyle name="Note 15 11" xfId="8381"/>
    <cellStyle name="Note 15 2" xfId="6277"/>
    <cellStyle name="Note 15 2 2" xfId="6278"/>
    <cellStyle name="Note 15 2 2 10" xfId="27438"/>
    <cellStyle name="Note 15 2 2 2" xfId="27439"/>
    <cellStyle name="Note 15 2 2 2 2" xfId="27440"/>
    <cellStyle name="Note 15 2 2 2 3" xfId="27441"/>
    <cellStyle name="Note 15 2 2 3" xfId="27442"/>
    <cellStyle name="Note 15 2 2 3 2" xfId="27443"/>
    <cellStyle name="Note 15 2 2 4" xfId="27444"/>
    <cellStyle name="Note 15 2 2 4 2" xfId="27445"/>
    <cellStyle name="Note 15 2 2 5" xfId="27446"/>
    <cellStyle name="Note 15 2 2 6" xfId="27447"/>
    <cellStyle name="Note 15 2 2 7" xfId="27448"/>
    <cellStyle name="Note 15 2 2 8" xfId="27449"/>
    <cellStyle name="Note 15 2 2 9" xfId="27450"/>
    <cellStyle name="Note 15 2 3" xfId="6279"/>
    <cellStyle name="Note 15 2 3 2" xfId="27452"/>
    <cellStyle name="Note 15 2 3 2 2" xfId="27453"/>
    <cellStyle name="Note 15 2 3 2 3" xfId="27454"/>
    <cellStyle name="Note 15 2 3 3" xfId="27455"/>
    <cellStyle name="Note 15 2 3 3 2" xfId="27456"/>
    <cellStyle name="Note 15 2 3 4" xfId="27457"/>
    <cellStyle name="Note 15 2 3 5" xfId="27458"/>
    <cellStyle name="Note 15 2 3 6" xfId="27459"/>
    <cellStyle name="Note 15 2 3 7" xfId="27451"/>
    <cellStyle name="Note 15 2 4" xfId="6280"/>
    <cellStyle name="Note 15 2 4 2" xfId="6281"/>
    <cellStyle name="Note 15 2 4 2 2" xfId="27461"/>
    <cellStyle name="Note 15 2 4 3" xfId="27462"/>
    <cellStyle name="Note 15 2 4 4" xfId="27460"/>
    <cellStyle name="Note 15 2 5" xfId="6282"/>
    <cellStyle name="Note 15 2 5 2" xfId="6283"/>
    <cellStyle name="Note 15 2 5 3" xfId="27463"/>
    <cellStyle name="Note 15 2 6" xfId="6284"/>
    <cellStyle name="Note 15 2 6 2" xfId="27464"/>
    <cellStyle name="Note 15 2 7" xfId="6285"/>
    <cellStyle name="Note 15 2 7 2" xfId="27465"/>
    <cellStyle name="Note 15 2 8" xfId="27437"/>
    <cellStyle name="Note 15 3" xfId="6286"/>
    <cellStyle name="Note 15 3 2" xfId="6287"/>
    <cellStyle name="Note 15 3 2 10" xfId="27467"/>
    <cellStyle name="Note 15 3 2 2" xfId="27468"/>
    <cellStyle name="Note 15 3 2 2 2" xfId="27469"/>
    <cellStyle name="Note 15 3 2 3" xfId="27470"/>
    <cellStyle name="Note 15 3 2 3 2" xfId="27471"/>
    <cellStyle name="Note 15 3 2 4" xfId="27472"/>
    <cellStyle name="Note 15 3 2 4 2" xfId="27473"/>
    <cellStyle name="Note 15 3 2 5" xfId="27474"/>
    <cellStyle name="Note 15 3 2 6" xfId="27475"/>
    <cellStyle name="Note 15 3 2 7" xfId="27476"/>
    <cellStyle name="Note 15 3 2 8" xfId="27477"/>
    <cellStyle name="Note 15 3 2 9" xfId="27478"/>
    <cellStyle name="Note 15 3 3" xfId="27479"/>
    <cellStyle name="Note 15 3 3 2" xfId="27480"/>
    <cellStyle name="Note 15 3 3 2 2" xfId="27481"/>
    <cellStyle name="Note 15 3 3 3" xfId="27482"/>
    <cellStyle name="Note 15 3 3 3 2" xfId="27483"/>
    <cellStyle name="Note 15 3 3 4" xfId="27484"/>
    <cellStyle name="Note 15 3 3 5" xfId="27485"/>
    <cellStyle name="Note 15 3 3 6" xfId="27486"/>
    <cellStyle name="Note 15 3 4" xfId="27487"/>
    <cellStyle name="Note 15 3 4 2" xfId="27488"/>
    <cellStyle name="Note 15 3 5" xfId="27489"/>
    <cellStyle name="Note 15 3 6" xfId="27490"/>
    <cellStyle name="Note 15 3 7" xfId="27491"/>
    <cellStyle name="Note 15 3 8" xfId="27466"/>
    <cellStyle name="Note 15 4" xfId="6288"/>
    <cellStyle name="Note 15 4 10" xfId="27492"/>
    <cellStyle name="Note 15 4 2" xfId="27493"/>
    <cellStyle name="Note 15 4 2 2" xfId="27494"/>
    <cellStyle name="Note 15 4 2 3" xfId="27495"/>
    <cellStyle name="Note 15 4 3" xfId="27496"/>
    <cellStyle name="Note 15 4 3 2" xfId="27497"/>
    <cellStyle name="Note 15 4 4" xfId="27498"/>
    <cellStyle name="Note 15 4 4 2" xfId="27499"/>
    <cellStyle name="Note 15 4 5" xfId="27500"/>
    <cellStyle name="Note 15 4 6" xfId="27501"/>
    <cellStyle name="Note 15 4 7" xfId="27502"/>
    <cellStyle name="Note 15 4 8" xfId="27503"/>
    <cellStyle name="Note 15 4 9" xfId="27504"/>
    <cellStyle name="Note 15 5" xfId="6289"/>
    <cellStyle name="Note 15 5 10" xfId="27505"/>
    <cellStyle name="Note 15 5 2" xfId="27506"/>
    <cellStyle name="Note 15 5 2 2" xfId="27507"/>
    <cellStyle name="Note 15 5 2 3" xfId="27508"/>
    <cellStyle name="Note 15 5 3" xfId="27509"/>
    <cellStyle name="Note 15 5 3 2" xfId="27510"/>
    <cellStyle name="Note 15 5 4" xfId="27511"/>
    <cellStyle name="Note 15 5 4 2" xfId="27512"/>
    <cellStyle name="Note 15 5 5" xfId="27513"/>
    <cellStyle name="Note 15 5 6" xfId="27514"/>
    <cellStyle name="Note 15 5 7" xfId="27515"/>
    <cellStyle name="Note 15 5 8" xfId="27516"/>
    <cellStyle name="Note 15 5 9" xfId="27517"/>
    <cellStyle name="Note 15 6" xfId="6290"/>
    <cellStyle name="Note 15 6 2" xfId="6291"/>
    <cellStyle name="Note 15 6 2 2" xfId="27520"/>
    <cellStyle name="Note 15 6 2 3" xfId="27519"/>
    <cellStyle name="Note 15 6 3" xfId="27521"/>
    <cellStyle name="Note 15 6 3 2" xfId="27522"/>
    <cellStyle name="Note 15 6 4" xfId="27523"/>
    <cellStyle name="Note 15 6 5" xfId="27524"/>
    <cellStyle name="Note 15 6 6" xfId="27525"/>
    <cellStyle name="Note 15 6 7" xfId="27518"/>
    <cellStyle name="Note 15 7" xfId="6292"/>
    <cellStyle name="Note 15 7 2" xfId="6293"/>
    <cellStyle name="Note 15 7 2 2" xfId="27527"/>
    <cellStyle name="Note 15 7 3" xfId="27526"/>
    <cellStyle name="Note 15 8" xfId="6294"/>
    <cellStyle name="Note 15 8 2" xfId="27528"/>
    <cellStyle name="Note 15 9" xfId="6295"/>
    <cellStyle name="Note 15 9 2" xfId="27529"/>
    <cellStyle name="Note 16" xfId="2797"/>
    <cellStyle name="Note 16 10" xfId="6296"/>
    <cellStyle name="Note 16 10 2" xfId="27530"/>
    <cellStyle name="Note 16 11" xfId="8382"/>
    <cellStyle name="Note 16 2" xfId="6297"/>
    <cellStyle name="Note 16 2 2" xfId="6298"/>
    <cellStyle name="Note 16 2 2 10" xfId="27532"/>
    <cellStyle name="Note 16 2 2 2" xfId="27533"/>
    <cellStyle name="Note 16 2 2 2 2" xfId="27534"/>
    <cellStyle name="Note 16 2 2 2 3" xfId="27535"/>
    <cellStyle name="Note 16 2 2 3" xfId="27536"/>
    <cellStyle name="Note 16 2 2 3 2" xfId="27537"/>
    <cellStyle name="Note 16 2 2 4" xfId="27538"/>
    <cellStyle name="Note 16 2 2 4 2" xfId="27539"/>
    <cellStyle name="Note 16 2 2 5" xfId="27540"/>
    <cellStyle name="Note 16 2 2 6" xfId="27541"/>
    <cellStyle name="Note 16 2 2 7" xfId="27542"/>
    <cellStyle name="Note 16 2 2 8" xfId="27543"/>
    <cellStyle name="Note 16 2 2 9" xfId="27544"/>
    <cellStyle name="Note 16 2 3" xfId="6299"/>
    <cellStyle name="Note 16 2 3 2" xfId="27546"/>
    <cellStyle name="Note 16 2 3 2 2" xfId="27547"/>
    <cellStyle name="Note 16 2 3 2 3" xfId="27548"/>
    <cellStyle name="Note 16 2 3 3" xfId="27549"/>
    <cellStyle name="Note 16 2 3 3 2" xfId="27550"/>
    <cellStyle name="Note 16 2 3 4" xfId="27551"/>
    <cellStyle name="Note 16 2 3 5" xfId="27552"/>
    <cellStyle name="Note 16 2 3 6" xfId="27553"/>
    <cellStyle name="Note 16 2 3 7" xfId="27545"/>
    <cellStyle name="Note 16 2 4" xfId="6300"/>
    <cellStyle name="Note 16 2 4 2" xfId="6301"/>
    <cellStyle name="Note 16 2 4 2 2" xfId="27555"/>
    <cellStyle name="Note 16 2 4 3" xfId="27556"/>
    <cellStyle name="Note 16 2 4 4" xfId="27554"/>
    <cellStyle name="Note 16 2 5" xfId="6302"/>
    <cellStyle name="Note 16 2 5 2" xfId="6303"/>
    <cellStyle name="Note 16 2 5 3" xfId="27557"/>
    <cellStyle name="Note 16 2 6" xfId="6304"/>
    <cellStyle name="Note 16 2 6 2" xfId="27558"/>
    <cellStyle name="Note 16 2 7" xfId="6305"/>
    <cellStyle name="Note 16 2 7 2" xfId="27559"/>
    <cellStyle name="Note 16 2 8" xfId="27531"/>
    <cellStyle name="Note 16 3" xfId="6306"/>
    <cellStyle name="Note 16 3 2" xfId="6307"/>
    <cellStyle name="Note 16 3 2 10" xfId="27561"/>
    <cellStyle name="Note 16 3 2 2" xfId="27562"/>
    <cellStyle name="Note 16 3 2 2 2" xfId="27563"/>
    <cellStyle name="Note 16 3 2 3" xfId="27564"/>
    <cellStyle name="Note 16 3 2 3 2" xfId="27565"/>
    <cellStyle name="Note 16 3 2 4" xfId="27566"/>
    <cellStyle name="Note 16 3 2 4 2" xfId="27567"/>
    <cellStyle name="Note 16 3 2 5" xfId="27568"/>
    <cellStyle name="Note 16 3 2 6" xfId="27569"/>
    <cellStyle name="Note 16 3 2 7" xfId="27570"/>
    <cellStyle name="Note 16 3 2 8" xfId="27571"/>
    <cellStyle name="Note 16 3 2 9" xfId="27572"/>
    <cellStyle name="Note 16 3 3" xfId="27573"/>
    <cellStyle name="Note 16 3 3 2" xfId="27574"/>
    <cellStyle name="Note 16 3 3 2 2" xfId="27575"/>
    <cellStyle name="Note 16 3 3 3" xfId="27576"/>
    <cellStyle name="Note 16 3 3 3 2" xfId="27577"/>
    <cellStyle name="Note 16 3 3 4" xfId="27578"/>
    <cellStyle name="Note 16 3 3 5" xfId="27579"/>
    <cellStyle name="Note 16 3 3 6" xfId="27580"/>
    <cellStyle name="Note 16 3 4" xfId="27581"/>
    <cellStyle name="Note 16 3 4 2" xfId="27582"/>
    <cellStyle name="Note 16 3 5" xfId="27583"/>
    <cellStyle name="Note 16 3 6" xfId="27584"/>
    <cellStyle name="Note 16 3 7" xfId="27585"/>
    <cellStyle name="Note 16 3 8" xfId="27560"/>
    <cellStyle name="Note 16 4" xfId="6308"/>
    <cellStyle name="Note 16 4 10" xfId="27586"/>
    <cellStyle name="Note 16 4 2" xfId="27587"/>
    <cellStyle name="Note 16 4 2 2" xfId="27588"/>
    <cellStyle name="Note 16 4 2 3" xfId="27589"/>
    <cellStyle name="Note 16 4 3" xfId="27590"/>
    <cellStyle name="Note 16 4 3 2" xfId="27591"/>
    <cellStyle name="Note 16 4 4" xfId="27592"/>
    <cellStyle name="Note 16 4 4 2" xfId="27593"/>
    <cellStyle name="Note 16 4 5" xfId="27594"/>
    <cellStyle name="Note 16 4 6" xfId="27595"/>
    <cellStyle name="Note 16 4 7" xfId="27596"/>
    <cellStyle name="Note 16 4 8" xfId="27597"/>
    <cellStyle name="Note 16 4 9" xfId="27598"/>
    <cellStyle name="Note 16 5" xfId="6309"/>
    <cellStyle name="Note 16 5 10" xfId="27599"/>
    <cellStyle name="Note 16 5 2" xfId="27600"/>
    <cellStyle name="Note 16 5 2 2" xfId="27601"/>
    <cellStyle name="Note 16 5 2 3" xfId="27602"/>
    <cellStyle name="Note 16 5 3" xfId="27603"/>
    <cellStyle name="Note 16 5 3 2" xfId="27604"/>
    <cellStyle name="Note 16 5 4" xfId="27605"/>
    <cellStyle name="Note 16 5 4 2" xfId="27606"/>
    <cellStyle name="Note 16 5 5" xfId="27607"/>
    <cellStyle name="Note 16 5 6" xfId="27608"/>
    <cellStyle name="Note 16 5 7" xfId="27609"/>
    <cellStyle name="Note 16 5 8" xfId="27610"/>
    <cellStyle name="Note 16 5 9" xfId="27611"/>
    <cellStyle name="Note 16 6" xfId="6310"/>
    <cellStyle name="Note 16 6 2" xfId="6311"/>
    <cellStyle name="Note 16 6 2 2" xfId="27614"/>
    <cellStyle name="Note 16 6 2 3" xfId="27613"/>
    <cellStyle name="Note 16 6 3" xfId="27615"/>
    <cellStyle name="Note 16 6 3 2" xfId="27616"/>
    <cellStyle name="Note 16 6 4" xfId="27617"/>
    <cellStyle name="Note 16 6 5" xfId="27618"/>
    <cellStyle name="Note 16 6 6" xfId="27619"/>
    <cellStyle name="Note 16 6 7" xfId="27612"/>
    <cellStyle name="Note 16 7" xfId="6312"/>
    <cellStyle name="Note 16 7 2" xfId="6313"/>
    <cellStyle name="Note 16 7 2 2" xfId="27621"/>
    <cellStyle name="Note 16 7 3" xfId="27620"/>
    <cellStyle name="Note 16 8" xfId="6314"/>
    <cellStyle name="Note 16 8 2" xfId="27622"/>
    <cellStyle name="Note 16 9" xfId="6315"/>
    <cellStyle name="Note 16 9 2" xfId="27623"/>
    <cellStyle name="Note 17" xfId="2798"/>
    <cellStyle name="Note 17 10" xfId="6316"/>
    <cellStyle name="Note 17 10 2" xfId="27624"/>
    <cellStyle name="Note 17 11" xfId="8383"/>
    <cellStyle name="Note 17 2" xfId="6317"/>
    <cellStyle name="Note 17 2 2" xfId="6318"/>
    <cellStyle name="Note 17 2 2 10" xfId="27626"/>
    <cellStyle name="Note 17 2 2 2" xfId="27627"/>
    <cellStyle name="Note 17 2 2 2 2" xfId="27628"/>
    <cellStyle name="Note 17 2 2 2 3" xfId="27629"/>
    <cellStyle name="Note 17 2 2 3" xfId="27630"/>
    <cellStyle name="Note 17 2 2 3 2" xfId="27631"/>
    <cellStyle name="Note 17 2 2 4" xfId="27632"/>
    <cellStyle name="Note 17 2 2 4 2" xfId="27633"/>
    <cellStyle name="Note 17 2 2 5" xfId="27634"/>
    <cellStyle name="Note 17 2 2 6" xfId="27635"/>
    <cellStyle name="Note 17 2 2 7" xfId="27636"/>
    <cellStyle name="Note 17 2 2 8" xfId="27637"/>
    <cellStyle name="Note 17 2 2 9" xfId="27638"/>
    <cellStyle name="Note 17 2 3" xfId="6319"/>
    <cellStyle name="Note 17 2 3 2" xfId="27640"/>
    <cellStyle name="Note 17 2 3 2 2" xfId="27641"/>
    <cellStyle name="Note 17 2 3 2 3" xfId="27642"/>
    <cellStyle name="Note 17 2 3 3" xfId="27643"/>
    <cellStyle name="Note 17 2 3 3 2" xfId="27644"/>
    <cellStyle name="Note 17 2 3 4" xfId="27645"/>
    <cellStyle name="Note 17 2 3 5" xfId="27646"/>
    <cellStyle name="Note 17 2 3 6" xfId="27647"/>
    <cellStyle name="Note 17 2 3 7" xfId="27639"/>
    <cellStyle name="Note 17 2 4" xfId="6320"/>
    <cellStyle name="Note 17 2 4 2" xfId="6321"/>
    <cellStyle name="Note 17 2 4 2 2" xfId="27649"/>
    <cellStyle name="Note 17 2 4 3" xfId="27650"/>
    <cellStyle name="Note 17 2 4 4" xfId="27648"/>
    <cellStyle name="Note 17 2 5" xfId="6322"/>
    <cellStyle name="Note 17 2 5 2" xfId="6323"/>
    <cellStyle name="Note 17 2 5 3" xfId="27651"/>
    <cellStyle name="Note 17 2 6" xfId="6324"/>
    <cellStyle name="Note 17 2 6 2" xfId="27652"/>
    <cellStyle name="Note 17 2 7" xfId="6325"/>
    <cellStyle name="Note 17 2 7 2" xfId="27653"/>
    <cellStyle name="Note 17 2 8" xfId="27625"/>
    <cellStyle name="Note 17 3" xfId="6326"/>
    <cellStyle name="Note 17 3 2" xfId="6327"/>
    <cellStyle name="Note 17 3 2 10" xfId="27655"/>
    <cellStyle name="Note 17 3 2 2" xfId="27656"/>
    <cellStyle name="Note 17 3 2 2 2" xfId="27657"/>
    <cellStyle name="Note 17 3 2 3" xfId="27658"/>
    <cellStyle name="Note 17 3 2 3 2" xfId="27659"/>
    <cellStyle name="Note 17 3 2 4" xfId="27660"/>
    <cellStyle name="Note 17 3 2 4 2" xfId="27661"/>
    <cellStyle name="Note 17 3 2 5" xfId="27662"/>
    <cellStyle name="Note 17 3 2 6" xfId="27663"/>
    <cellStyle name="Note 17 3 2 7" xfId="27664"/>
    <cellStyle name="Note 17 3 2 8" xfId="27665"/>
    <cellStyle name="Note 17 3 2 9" xfId="27666"/>
    <cellStyle name="Note 17 3 3" xfId="27667"/>
    <cellStyle name="Note 17 3 3 2" xfId="27668"/>
    <cellStyle name="Note 17 3 3 2 2" xfId="27669"/>
    <cellStyle name="Note 17 3 3 3" xfId="27670"/>
    <cellStyle name="Note 17 3 3 3 2" xfId="27671"/>
    <cellStyle name="Note 17 3 3 4" xfId="27672"/>
    <cellStyle name="Note 17 3 3 5" xfId="27673"/>
    <cellStyle name="Note 17 3 3 6" xfId="27674"/>
    <cellStyle name="Note 17 3 4" xfId="27675"/>
    <cellStyle name="Note 17 3 4 2" xfId="27676"/>
    <cellStyle name="Note 17 3 5" xfId="27677"/>
    <cellStyle name="Note 17 3 6" xfId="27678"/>
    <cellStyle name="Note 17 3 7" xfId="27679"/>
    <cellStyle name="Note 17 3 8" xfId="27654"/>
    <cellStyle name="Note 17 4" xfId="6328"/>
    <cellStyle name="Note 17 4 10" xfId="27680"/>
    <cellStyle name="Note 17 4 2" xfId="27681"/>
    <cellStyle name="Note 17 4 2 2" xfId="27682"/>
    <cellStyle name="Note 17 4 2 3" xfId="27683"/>
    <cellStyle name="Note 17 4 3" xfId="27684"/>
    <cellStyle name="Note 17 4 3 2" xfId="27685"/>
    <cellStyle name="Note 17 4 4" xfId="27686"/>
    <cellStyle name="Note 17 4 4 2" xfId="27687"/>
    <cellStyle name="Note 17 4 5" xfId="27688"/>
    <cellStyle name="Note 17 4 6" xfId="27689"/>
    <cellStyle name="Note 17 4 7" xfId="27690"/>
    <cellStyle name="Note 17 4 8" xfId="27691"/>
    <cellStyle name="Note 17 4 9" xfId="27692"/>
    <cellStyle name="Note 17 5" xfId="6329"/>
    <cellStyle name="Note 17 5 10" xfId="27693"/>
    <cellStyle name="Note 17 5 2" xfId="27694"/>
    <cellStyle name="Note 17 5 2 2" xfId="27695"/>
    <cellStyle name="Note 17 5 2 3" xfId="27696"/>
    <cellStyle name="Note 17 5 3" xfId="27697"/>
    <cellStyle name="Note 17 5 3 2" xfId="27698"/>
    <cellStyle name="Note 17 5 4" xfId="27699"/>
    <cellStyle name="Note 17 5 4 2" xfId="27700"/>
    <cellStyle name="Note 17 5 5" xfId="27701"/>
    <cellStyle name="Note 17 5 6" xfId="27702"/>
    <cellStyle name="Note 17 5 7" xfId="27703"/>
    <cellStyle name="Note 17 5 8" xfId="27704"/>
    <cellStyle name="Note 17 5 9" xfId="27705"/>
    <cellStyle name="Note 17 6" xfId="6330"/>
    <cellStyle name="Note 17 6 2" xfId="6331"/>
    <cellStyle name="Note 17 6 2 2" xfId="27708"/>
    <cellStyle name="Note 17 6 2 3" xfId="27707"/>
    <cellStyle name="Note 17 6 3" xfId="27709"/>
    <cellStyle name="Note 17 6 3 2" xfId="27710"/>
    <cellStyle name="Note 17 6 4" xfId="27711"/>
    <cellStyle name="Note 17 6 5" xfId="27712"/>
    <cellStyle name="Note 17 6 6" xfId="27713"/>
    <cellStyle name="Note 17 6 7" xfId="27706"/>
    <cellStyle name="Note 17 7" xfId="6332"/>
    <cellStyle name="Note 17 7 2" xfId="6333"/>
    <cellStyle name="Note 17 7 2 2" xfId="27715"/>
    <cellStyle name="Note 17 7 3" xfId="27714"/>
    <cellStyle name="Note 17 8" xfId="6334"/>
    <cellStyle name="Note 17 8 2" xfId="27716"/>
    <cellStyle name="Note 17 9" xfId="6335"/>
    <cellStyle name="Note 17 9 2" xfId="27717"/>
    <cellStyle name="Note 18" xfId="2799"/>
    <cellStyle name="Note 18 10" xfId="27718"/>
    <cellStyle name="Note 18 2" xfId="6336"/>
    <cellStyle name="Note 18 2 2" xfId="27720"/>
    <cellStyle name="Note 18 2 2 2" xfId="27721"/>
    <cellStyle name="Note 18 2 2 2 2" xfId="27722"/>
    <cellStyle name="Note 18 2 2 2 3" xfId="27723"/>
    <cellStyle name="Note 18 2 2 3" xfId="27724"/>
    <cellStyle name="Note 18 2 2 3 2" xfId="27725"/>
    <cellStyle name="Note 18 2 2 4" xfId="27726"/>
    <cellStyle name="Note 18 2 2 4 2" xfId="27727"/>
    <cellStyle name="Note 18 2 2 5" xfId="27728"/>
    <cellStyle name="Note 18 2 2 6" xfId="27729"/>
    <cellStyle name="Note 18 2 2 7" xfId="27730"/>
    <cellStyle name="Note 18 2 2 8" xfId="27731"/>
    <cellStyle name="Note 18 2 2 9" xfId="27732"/>
    <cellStyle name="Note 18 2 3" xfId="27733"/>
    <cellStyle name="Note 18 2 3 2" xfId="27734"/>
    <cellStyle name="Note 18 2 3 2 2" xfId="27735"/>
    <cellStyle name="Note 18 2 3 2 3" xfId="27736"/>
    <cellStyle name="Note 18 2 3 3" xfId="27737"/>
    <cellStyle name="Note 18 2 3 3 2" xfId="27738"/>
    <cellStyle name="Note 18 2 3 4" xfId="27739"/>
    <cellStyle name="Note 18 2 3 5" xfId="27740"/>
    <cellStyle name="Note 18 2 3 6" xfId="27741"/>
    <cellStyle name="Note 18 2 4" xfId="27742"/>
    <cellStyle name="Note 18 2 4 2" xfId="27743"/>
    <cellStyle name="Note 18 2 4 3" xfId="27744"/>
    <cellStyle name="Note 18 2 5" xfId="27745"/>
    <cellStyle name="Note 18 2 6" xfId="27746"/>
    <cellStyle name="Note 18 2 7" xfId="27747"/>
    <cellStyle name="Note 18 2 8" xfId="27719"/>
    <cellStyle name="Note 18 3" xfId="6337"/>
    <cellStyle name="Note 18 3 2" xfId="27749"/>
    <cellStyle name="Note 18 3 2 2" xfId="27750"/>
    <cellStyle name="Note 18 3 2 2 2" xfId="27751"/>
    <cellStyle name="Note 18 3 2 3" xfId="27752"/>
    <cellStyle name="Note 18 3 2 3 2" xfId="27753"/>
    <cellStyle name="Note 18 3 2 4" xfId="27754"/>
    <cellStyle name="Note 18 3 2 4 2" xfId="27755"/>
    <cellStyle name="Note 18 3 2 5" xfId="27756"/>
    <cellStyle name="Note 18 3 2 6" xfId="27757"/>
    <cellStyle name="Note 18 3 2 7" xfId="27758"/>
    <cellStyle name="Note 18 3 2 8" xfId="27759"/>
    <cellStyle name="Note 18 3 2 9" xfId="27760"/>
    <cellStyle name="Note 18 3 3" xfId="27761"/>
    <cellStyle name="Note 18 3 3 2" xfId="27762"/>
    <cellStyle name="Note 18 3 3 2 2" xfId="27763"/>
    <cellStyle name="Note 18 3 3 3" xfId="27764"/>
    <cellStyle name="Note 18 3 3 3 2" xfId="27765"/>
    <cellStyle name="Note 18 3 3 4" xfId="27766"/>
    <cellStyle name="Note 18 3 3 5" xfId="27767"/>
    <cellStyle name="Note 18 3 3 6" xfId="27768"/>
    <cellStyle name="Note 18 3 4" xfId="27769"/>
    <cellStyle name="Note 18 3 4 2" xfId="27770"/>
    <cellStyle name="Note 18 3 5" xfId="27771"/>
    <cellStyle name="Note 18 3 6" xfId="27772"/>
    <cellStyle name="Note 18 3 7" xfId="27773"/>
    <cellStyle name="Note 18 3 8" xfId="27748"/>
    <cellStyle name="Note 18 4" xfId="6338"/>
    <cellStyle name="Note 18 4 10" xfId="27774"/>
    <cellStyle name="Note 18 4 2" xfId="6339"/>
    <cellStyle name="Note 18 4 2 2" xfId="27776"/>
    <cellStyle name="Note 18 4 2 3" xfId="27777"/>
    <cellStyle name="Note 18 4 2 4" xfId="27775"/>
    <cellStyle name="Note 18 4 3" xfId="27778"/>
    <cellStyle name="Note 18 4 3 2" xfId="27779"/>
    <cellStyle name="Note 18 4 4" xfId="27780"/>
    <cellStyle name="Note 18 4 4 2" xfId="27781"/>
    <cellStyle name="Note 18 4 5" xfId="27782"/>
    <cellStyle name="Note 18 4 6" xfId="27783"/>
    <cellStyle name="Note 18 4 7" xfId="27784"/>
    <cellStyle name="Note 18 4 8" xfId="27785"/>
    <cellStyle name="Note 18 4 9" xfId="27786"/>
    <cellStyle name="Note 18 5" xfId="6340"/>
    <cellStyle name="Note 18 5 10" xfId="27787"/>
    <cellStyle name="Note 18 5 2" xfId="6341"/>
    <cellStyle name="Note 18 5 2 2" xfId="27789"/>
    <cellStyle name="Note 18 5 2 3" xfId="27790"/>
    <cellStyle name="Note 18 5 2 4" xfId="27788"/>
    <cellStyle name="Note 18 5 3" xfId="27791"/>
    <cellStyle name="Note 18 5 3 2" xfId="27792"/>
    <cellStyle name="Note 18 5 4" xfId="27793"/>
    <cellStyle name="Note 18 5 4 2" xfId="27794"/>
    <cellStyle name="Note 18 5 5" xfId="27795"/>
    <cellStyle name="Note 18 5 6" xfId="27796"/>
    <cellStyle name="Note 18 5 7" xfId="27797"/>
    <cellStyle name="Note 18 5 8" xfId="27798"/>
    <cellStyle name="Note 18 5 9" xfId="27799"/>
    <cellStyle name="Note 18 6" xfId="6342"/>
    <cellStyle name="Note 18 6 2" xfId="27801"/>
    <cellStyle name="Note 18 6 2 2" xfId="27802"/>
    <cellStyle name="Note 18 6 3" xfId="27803"/>
    <cellStyle name="Note 18 6 3 2" xfId="27804"/>
    <cellStyle name="Note 18 6 4" xfId="27805"/>
    <cellStyle name="Note 18 6 5" xfId="27806"/>
    <cellStyle name="Note 18 6 6" xfId="27807"/>
    <cellStyle name="Note 18 6 7" xfId="27800"/>
    <cellStyle name="Note 18 7" xfId="6343"/>
    <cellStyle name="Note 18 7 2" xfId="27809"/>
    <cellStyle name="Note 18 7 3" xfId="27808"/>
    <cellStyle name="Note 18 8" xfId="8384"/>
    <cellStyle name="Note 18 9" xfId="27810"/>
    <cellStyle name="Note 19" xfId="2800"/>
    <cellStyle name="Note 19 10" xfId="27811"/>
    <cellStyle name="Note 19 2" xfId="6344"/>
    <cellStyle name="Note 19 2 2" xfId="27813"/>
    <cellStyle name="Note 19 2 2 2" xfId="27814"/>
    <cellStyle name="Note 19 2 2 2 2" xfId="27815"/>
    <cellStyle name="Note 19 2 2 2 3" xfId="27816"/>
    <cellStyle name="Note 19 2 2 3" xfId="27817"/>
    <cellStyle name="Note 19 2 2 3 2" xfId="27818"/>
    <cellStyle name="Note 19 2 2 4" xfId="27819"/>
    <cellStyle name="Note 19 2 2 4 2" xfId="27820"/>
    <cellStyle name="Note 19 2 2 5" xfId="27821"/>
    <cellStyle name="Note 19 2 2 6" xfId="27822"/>
    <cellStyle name="Note 19 2 2 7" xfId="27823"/>
    <cellStyle name="Note 19 2 2 8" xfId="27824"/>
    <cellStyle name="Note 19 2 2 9" xfId="27825"/>
    <cellStyle name="Note 19 2 3" xfId="27826"/>
    <cellStyle name="Note 19 2 3 2" xfId="27827"/>
    <cellStyle name="Note 19 2 3 2 2" xfId="27828"/>
    <cellStyle name="Note 19 2 3 2 3" xfId="27829"/>
    <cellStyle name="Note 19 2 3 3" xfId="27830"/>
    <cellStyle name="Note 19 2 3 3 2" xfId="27831"/>
    <cellStyle name="Note 19 2 3 4" xfId="27832"/>
    <cellStyle name="Note 19 2 3 5" xfId="27833"/>
    <cellStyle name="Note 19 2 3 6" xfId="27834"/>
    <cellStyle name="Note 19 2 4" xfId="27835"/>
    <cellStyle name="Note 19 2 4 2" xfId="27836"/>
    <cellStyle name="Note 19 2 4 3" xfId="27837"/>
    <cellStyle name="Note 19 2 5" xfId="27838"/>
    <cellStyle name="Note 19 2 6" xfId="27839"/>
    <cellStyle name="Note 19 2 7" xfId="27840"/>
    <cellStyle name="Note 19 2 8" xfId="27812"/>
    <cellStyle name="Note 19 3" xfId="6345"/>
    <cellStyle name="Note 19 3 2" xfId="27842"/>
    <cellStyle name="Note 19 3 2 2" xfId="27843"/>
    <cellStyle name="Note 19 3 2 2 2" xfId="27844"/>
    <cellStyle name="Note 19 3 2 3" xfId="27845"/>
    <cellStyle name="Note 19 3 2 3 2" xfId="27846"/>
    <cellStyle name="Note 19 3 2 4" xfId="27847"/>
    <cellStyle name="Note 19 3 2 4 2" xfId="27848"/>
    <cellStyle name="Note 19 3 2 5" xfId="27849"/>
    <cellStyle name="Note 19 3 2 6" xfId="27850"/>
    <cellStyle name="Note 19 3 2 7" xfId="27851"/>
    <cellStyle name="Note 19 3 2 8" xfId="27852"/>
    <cellStyle name="Note 19 3 2 9" xfId="27853"/>
    <cellStyle name="Note 19 3 3" xfId="27854"/>
    <cellStyle name="Note 19 3 3 2" xfId="27855"/>
    <cellStyle name="Note 19 3 3 2 2" xfId="27856"/>
    <cellStyle name="Note 19 3 3 3" xfId="27857"/>
    <cellStyle name="Note 19 3 3 3 2" xfId="27858"/>
    <cellStyle name="Note 19 3 3 4" xfId="27859"/>
    <cellStyle name="Note 19 3 3 5" xfId="27860"/>
    <cellStyle name="Note 19 3 3 6" xfId="27861"/>
    <cellStyle name="Note 19 3 4" xfId="27862"/>
    <cellStyle name="Note 19 3 4 2" xfId="27863"/>
    <cellStyle name="Note 19 3 5" xfId="27864"/>
    <cellStyle name="Note 19 3 6" xfId="27865"/>
    <cellStyle name="Note 19 3 7" xfId="27866"/>
    <cellStyle name="Note 19 3 8" xfId="27841"/>
    <cellStyle name="Note 19 4" xfId="6346"/>
    <cellStyle name="Note 19 4 10" xfId="27867"/>
    <cellStyle name="Note 19 4 2" xfId="6347"/>
    <cellStyle name="Note 19 4 2 2" xfId="27869"/>
    <cellStyle name="Note 19 4 2 3" xfId="27870"/>
    <cellStyle name="Note 19 4 2 4" xfId="27868"/>
    <cellStyle name="Note 19 4 3" xfId="27871"/>
    <cellStyle name="Note 19 4 3 2" xfId="27872"/>
    <cellStyle name="Note 19 4 4" xfId="27873"/>
    <cellStyle name="Note 19 4 4 2" xfId="27874"/>
    <cellStyle name="Note 19 4 5" xfId="27875"/>
    <cellStyle name="Note 19 4 6" xfId="27876"/>
    <cellStyle name="Note 19 4 7" xfId="27877"/>
    <cellStyle name="Note 19 4 8" xfId="27878"/>
    <cellStyle name="Note 19 4 9" xfId="27879"/>
    <cellStyle name="Note 19 5" xfId="6348"/>
    <cellStyle name="Note 19 5 10" xfId="27880"/>
    <cellStyle name="Note 19 5 2" xfId="6349"/>
    <cellStyle name="Note 19 5 2 2" xfId="27882"/>
    <cellStyle name="Note 19 5 2 3" xfId="27883"/>
    <cellStyle name="Note 19 5 2 4" xfId="27881"/>
    <cellStyle name="Note 19 5 3" xfId="27884"/>
    <cellStyle name="Note 19 5 3 2" xfId="27885"/>
    <cellStyle name="Note 19 5 4" xfId="27886"/>
    <cellStyle name="Note 19 5 4 2" xfId="27887"/>
    <cellStyle name="Note 19 5 5" xfId="27888"/>
    <cellStyle name="Note 19 5 6" xfId="27889"/>
    <cellStyle name="Note 19 5 7" xfId="27890"/>
    <cellStyle name="Note 19 5 8" xfId="27891"/>
    <cellStyle name="Note 19 5 9" xfId="27892"/>
    <cellStyle name="Note 19 6" xfId="6350"/>
    <cellStyle name="Note 19 6 2" xfId="27894"/>
    <cellStyle name="Note 19 6 2 2" xfId="27895"/>
    <cellStyle name="Note 19 6 3" xfId="27896"/>
    <cellStyle name="Note 19 6 3 2" xfId="27897"/>
    <cellStyle name="Note 19 6 4" xfId="27898"/>
    <cellStyle name="Note 19 6 5" xfId="27899"/>
    <cellStyle name="Note 19 6 6" xfId="27900"/>
    <cellStyle name="Note 19 6 7" xfId="27893"/>
    <cellStyle name="Note 19 7" xfId="6351"/>
    <cellStyle name="Note 19 7 2" xfId="27902"/>
    <cellStyle name="Note 19 7 3" xfId="27901"/>
    <cellStyle name="Note 19 8" xfId="8385"/>
    <cellStyle name="Note 19 9" xfId="27903"/>
    <cellStyle name="Note 2" xfId="1860"/>
    <cellStyle name="Note 2 10" xfId="27904"/>
    <cellStyle name="Note 2 11" xfId="27905"/>
    <cellStyle name="Note 2 2" xfId="1861"/>
    <cellStyle name="Note 2 2 10" xfId="27907"/>
    <cellStyle name="Note 2 2 11" xfId="27906"/>
    <cellStyle name="Note 2 2 2" xfId="1862"/>
    <cellStyle name="Note 2 2 2 2" xfId="6353"/>
    <cellStyle name="Note 2 2 2 2 10" xfId="27909"/>
    <cellStyle name="Note 2 2 2 2 2" xfId="27910"/>
    <cellStyle name="Note 2 2 2 2 2 2" xfId="27911"/>
    <cellStyle name="Note 2 2 2 2 2 3" xfId="27912"/>
    <cellStyle name="Note 2 2 2 2 2 4" xfId="27913"/>
    <cellStyle name="Note 2 2 2 2 3" xfId="27914"/>
    <cellStyle name="Note 2 2 2 2 3 2" xfId="27915"/>
    <cellStyle name="Note 2 2 2 2 4" xfId="27916"/>
    <cellStyle name="Note 2 2 2 2 4 2" xfId="27917"/>
    <cellStyle name="Note 2 2 2 2 5" xfId="27918"/>
    <cellStyle name="Note 2 2 2 2 6" xfId="27919"/>
    <cellStyle name="Note 2 2 2 2 7" xfId="27920"/>
    <cellStyle name="Note 2 2 2 2 8" xfId="27921"/>
    <cellStyle name="Note 2 2 2 2 9" xfId="27922"/>
    <cellStyle name="Note 2 2 2 2 9 2" xfId="27923"/>
    <cellStyle name="Note 2 2 2 3" xfId="8183"/>
    <cellStyle name="Note 2 2 2 3 2" xfId="27925"/>
    <cellStyle name="Note 2 2 2 3 2 2" xfId="27926"/>
    <cellStyle name="Note 2 2 2 3 3" xfId="27927"/>
    <cellStyle name="Note 2 2 2 3 3 2" xfId="27928"/>
    <cellStyle name="Note 2 2 2 3 4" xfId="27929"/>
    <cellStyle name="Note 2 2 2 3 5" xfId="27930"/>
    <cellStyle name="Note 2 2 2 3 6" xfId="27931"/>
    <cellStyle name="Note 2 2 2 3 7" xfId="27924"/>
    <cellStyle name="Note 2 2 2 4" xfId="27932"/>
    <cellStyle name="Note 2 2 2 4 2" xfId="27933"/>
    <cellStyle name="Note 2 2 2 5" xfId="27934"/>
    <cellStyle name="Note 2 2 2 6" xfId="27935"/>
    <cellStyle name="Note 2 2 2 7" xfId="27936"/>
    <cellStyle name="Note 2 2 2 7 2" xfId="27937"/>
    <cellStyle name="Note 2 2 2 8" xfId="27908"/>
    <cellStyle name="Note 2 2 3" xfId="6354"/>
    <cellStyle name="Note 2 2 3 2" xfId="27939"/>
    <cellStyle name="Note 2 2 3 2 2" xfId="27940"/>
    <cellStyle name="Note 2 2 3 2 2 2" xfId="27941"/>
    <cellStyle name="Note 2 2 3 2 3" xfId="27942"/>
    <cellStyle name="Note 2 2 3 2 3 2" xfId="27943"/>
    <cellStyle name="Note 2 2 3 2 4" xfId="27944"/>
    <cellStyle name="Note 2 2 3 2 4 2" xfId="27945"/>
    <cellStyle name="Note 2 2 3 2 5" xfId="27946"/>
    <cellStyle name="Note 2 2 3 2 6" xfId="27947"/>
    <cellStyle name="Note 2 2 3 2 7" xfId="27948"/>
    <cellStyle name="Note 2 2 3 2 8" xfId="27949"/>
    <cellStyle name="Note 2 2 3 2 9" xfId="27950"/>
    <cellStyle name="Note 2 2 3 3" xfId="27951"/>
    <cellStyle name="Note 2 2 3 3 2" xfId="27952"/>
    <cellStyle name="Note 2 2 3 3 2 2" xfId="27953"/>
    <cellStyle name="Note 2 2 3 3 3" xfId="27954"/>
    <cellStyle name="Note 2 2 3 3 3 2" xfId="27955"/>
    <cellStyle name="Note 2 2 3 3 4" xfId="27956"/>
    <cellStyle name="Note 2 2 3 3 5" xfId="27957"/>
    <cellStyle name="Note 2 2 3 3 6" xfId="27958"/>
    <cellStyle name="Note 2 2 3 4" xfId="27959"/>
    <cellStyle name="Note 2 2 3 4 2" xfId="27960"/>
    <cellStyle name="Note 2 2 3 5" xfId="27961"/>
    <cellStyle name="Note 2 2 3 6" xfId="27962"/>
    <cellStyle name="Note 2 2 3 7" xfId="27963"/>
    <cellStyle name="Note 2 2 3 7 2" xfId="27964"/>
    <cellStyle name="Note 2 2 3 8" xfId="27938"/>
    <cellStyle name="Note 2 2 4" xfId="6355"/>
    <cellStyle name="Note 2 2 4 10" xfId="27965"/>
    <cellStyle name="Note 2 2 4 2" xfId="6356"/>
    <cellStyle name="Note 2 2 4 2 2" xfId="27967"/>
    <cellStyle name="Note 2 2 4 2 3" xfId="27968"/>
    <cellStyle name="Note 2 2 4 2 4" xfId="27969"/>
    <cellStyle name="Note 2 2 4 2 5" xfId="27966"/>
    <cellStyle name="Note 2 2 4 3" xfId="27970"/>
    <cellStyle name="Note 2 2 4 3 2" xfId="27971"/>
    <cellStyle name="Note 2 2 4 4" xfId="27972"/>
    <cellStyle name="Note 2 2 4 4 2" xfId="27973"/>
    <cellStyle name="Note 2 2 4 5" xfId="27974"/>
    <cellStyle name="Note 2 2 4 6" xfId="27975"/>
    <cellStyle name="Note 2 2 4 7" xfId="27976"/>
    <cellStyle name="Note 2 2 4 8" xfId="27977"/>
    <cellStyle name="Note 2 2 4 9" xfId="27978"/>
    <cellStyle name="Note 2 2 4 9 2" xfId="27979"/>
    <cellStyle name="Note 2 2 5" xfId="6357"/>
    <cellStyle name="Note 2 2 5 10" xfId="27980"/>
    <cellStyle name="Note 2 2 5 2" xfId="6358"/>
    <cellStyle name="Note 2 2 5 2 2" xfId="27982"/>
    <cellStyle name="Note 2 2 5 2 3" xfId="27981"/>
    <cellStyle name="Note 2 2 5 3" xfId="27983"/>
    <cellStyle name="Note 2 2 5 3 2" xfId="27984"/>
    <cellStyle name="Note 2 2 5 4" xfId="27985"/>
    <cellStyle name="Note 2 2 5 4 2" xfId="27986"/>
    <cellStyle name="Note 2 2 5 5" xfId="27987"/>
    <cellStyle name="Note 2 2 5 6" xfId="27988"/>
    <cellStyle name="Note 2 2 5 7" xfId="27989"/>
    <cellStyle name="Note 2 2 5 8" xfId="27990"/>
    <cellStyle name="Note 2 2 5 9" xfId="27991"/>
    <cellStyle name="Note 2 2 6" xfId="6359"/>
    <cellStyle name="Note 2 2 6 2" xfId="27993"/>
    <cellStyle name="Note 2 2 6 2 2" xfId="27994"/>
    <cellStyle name="Note 2 2 6 3" xfId="27995"/>
    <cellStyle name="Note 2 2 6 3 2" xfId="27996"/>
    <cellStyle name="Note 2 2 6 4" xfId="27997"/>
    <cellStyle name="Note 2 2 6 5" xfId="27998"/>
    <cellStyle name="Note 2 2 6 6" xfId="27999"/>
    <cellStyle name="Note 2 2 6 7" xfId="27992"/>
    <cellStyle name="Note 2 2 7" xfId="6360"/>
    <cellStyle name="Note 2 2 7 2" xfId="28001"/>
    <cellStyle name="Note 2 2 7 3" xfId="28000"/>
    <cellStyle name="Note 2 2 8" xfId="6352"/>
    <cellStyle name="Note 2 2 8 2" xfId="28002"/>
    <cellStyle name="Note 2 2 9" xfId="8182"/>
    <cellStyle name="Note 2 2 9 2" xfId="28003"/>
    <cellStyle name="Note 2 3" xfId="1863"/>
    <cellStyle name="Note 2 3 2" xfId="1864"/>
    <cellStyle name="Note 2 3 2 2" xfId="8185"/>
    <cellStyle name="Note 2 3 2 2 2" xfId="28004"/>
    <cellStyle name="Note 2 3 2 2 3" xfId="28005"/>
    <cellStyle name="Note 2 3 2 2 4" xfId="28006"/>
    <cellStyle name="Note 2 3 2 3" xfId="28007"/>
    <cellStyle name="Note 2 3 2 3 2" xfId="28008"/>
    <cellStyle name="Note 2 3 2 4" xfId="28009"/>
    <cellStyle name="Note 2 3 2 4 2" xfId="28010"/>
    <cellStyle name="Note 2 3 2 5" xfId="28011"/>
    <cellStyle name="Note 2 3 2 6" xfId="28012"/>
    <cellStyle name="Note 2 3 2 7" xfId="28013"/>
    <cellStyle name="Note 2 3 2 8" xfId="28014"/>
    <cellStyle name="Note 2 3 2 9" xfId="28015"/>
    <cellStyle name="Note 2 3 2 9 2" xfId="28016"/>
    <cellStyle name="Note 2 3 3" xfId="8184"/>
    <cellStyle name="Note 2 3 3 2" xfId="28018"/>
    <cellStyle name="Note 2 3 3 2 2" xfId="28019"/>
    <cellStyle name="Note 2 3 3 2 3" xfId="28020"/>
    <cellStyle name="Note 2 3 3 2 4" xfId="28021"/>
    <cellStyle name="Note 2 3 3 3" xfId="28022"/>
    <cellStyle name="Note 2 3 3 3 2" xfId="28023"/>
    <cellStyle name="Note 2 3 3 4" xfId="28024"/>
    <cellStyle name="Note 2 3 3 5" xfId="28025"/>
    <cellStyle name="Note 2 3 3 6" xfId="28026"/>
    <cellStyle name="Note 2 3 3 7" xfId="28027"/>
    <cellStyle name="Note 2 3 3 8" xfId="28017"/>
    <cellStyle name="Note 2 3 4" xfId="28028"/>
    <cellStyle name="Note 2 3 4 2" xfId="28029"/>
    <cellStyle name="Note 2 3 4 3" xfId="28030"/>
    <cellStyle name="Note 2 3 4 4" xfId="28031"/>
    <cellStyle name="Note 2 3 5" xfId="28032"/>
    <cellStyle name="Note 2 3 6" xfId="28033"/>
    <cellStyle name="Note 2 3 7" xfId="28034"/>
    <cellStyle name="Note 2 3 7 2" xfId="28035"/>
    <cellStyle name="Note 2 4" xfId="1865"/>
    <cellStyle name="Note 2 4 2" xfId="1866"/>
    <cellStyle name="Note 2 4 2 2" xfId="8187"/>
    <cellStyle name="Note 2 4 2 2 2" xfId="28036"/>
    <cellStyle name="Note 2 4 2 3" xfId="28037"/>
    <cellStyle name="Note 2 4 2 3 2" xfId="28038"/>
    <cellStyle name="Note 2 4 2 4" xfId="28039"/>
    <cellStyle name="Note 2 4 2 4 2" xfId="28040"/>
    <cellStyle name="Note 2 4 2 5" xfId="28041"/>
    <cellStyle name="Note 2 4 2 6" xfId="28042"/>
    <cellStyle name="Note 2 4 2 7" xfId="28043"/>
    <cellStyle name="Note 2 4 2 8" xfId="28044"/>
    <cellStyle name="Note 2 4 2 9" xfId="28045"/>
    <cellStyle name="Note 2 4 3" xfId="8186"/>
    <cellStyle name="Note 2 4 3 2" xfId="28046"/>
    <cellStyle name="Note 2 4 3 2 2" xfId="28047"/>
    <cellStyle name="Note 2 4 3 3" xfId="28048"/>
    <cellStyle name="Note 2 4 3 3 2" xfId="28049"/>
    <cellStyle name="Note 2 4 3 4" xfId="28050"/>
    <cellStyle name="Note 2 4 3 5" xfId="28051"/>
    <cellStyle name="Note 2 4 3 6" xfId="28052"/>
    <cellStyle name="Note 2 4 4" xfId="28053"/>
    <cellStyle name="Note 2 4 4 2" xfId="28054"/>
    <cellStyle name="Note 2 4 5" xfId="28055"/>
    <cellStyle name="Note 2 4 6" xfId="28056"/>
    <cellStyle name="Note 2 4 7" xfId="28057"/>
    <cellStyle name="Note 2 4 7 2" xfId="28058"/>
    <cellStyle name="Note 2 5" xfId="1867"/>
    <cellStyle name="Note 2 5 10" xfId="28060"/>
    <cellStyle name="Note 2 5 11" xfId="28059"/>
    <cellStyle name="Note 2 5 2" xfId="1868"/>
    <cellStyle name="Note 2 5 2 2" xfId="8189"/>
    <cellStyle name="Note 2 5 2 3" xfId="28061"/>
    <cellStyle name="Note 2 5 2 4" xfId="28062"/>
    <cellStyle name="Note 2 5 3" xfId="8188"/>
    <cellStyle name="Note 2 5 3 2" xfId="28063"/>
    <cellStyle name="Note 2 5 4" xfId="28064"/>
    <cellStyle name="Note 2 5 4 2" xfId="28065"/>
    <cellStyle name="Note 2 5 5" xfId="28066"/>
    <cellStyle name="Note 2 5 6" xfId="28067"/>
    <cellStyle name="Note 2 5 7" xfId="28068"/>
    <cellStyle name="Note 2 5 8" xfId="28069"/>
    <cellStyle name="Note 2 5 9" xfId="28070"/>
    <cellStyle name="Note 2 5 9 2" xfId="28071"/>
    <cellStyle name="Note 2 6" xfId="1869"/>
    <cellStyle name="Note 2 6 10" xfId="28072"/>
    <cellStyle name="Note 2 6 2" xfId="6362"/>
    <cellStyle name="Note 2 6 2 2" xfId="28074"/>
    <cellStyle name="Note 2 6 2 3" xfId="28075"/>
    <cellStyle name="Note 2 6 2 4" xfId="28076"/>
    <cellStyle name="Note 2 6 2 5" xfId="28073"/>
    <cellStyle name="Note 2 6 3" xfId="6361"/>
    <cellStyle name="Note 2 6 3 2" xfId="28078"/>
    <cellStyle name="Note 2 6 3 3" xfId="28077"/>
    <cellStyle name="Note 2 6 4" xfId="8190"/>
    <cellStyle name="Note 2 6 4 2" xfId="28080"/>
    <cellStyle name="Note 2 6 4 3" xfId="28079"/>
    <cellStyle name="Note 2 6 5" xfId="28081"/>
    <cellStyle name="Note 2 6 6" xfId="28082"/>
    <cellStyle name="Note 2 6 7" xfId="28083"/>
    <cellStyle name="Note 2 6 8" xfId="28084"/>
    <cellStyle name="Note 2 6 9" xfId="28085"/>
    <cellStyle name="Note 2 6 9 2" xfId="28086"/>
    <cellStyle name="Note 2 7" xfId="1870"/>
    <cellStyle name="Note 2 7 2" xfId="8191"/>
    <cellStyle name="Note 2 7 2 2" xfId="28087"/>
    <cellStyle name="Note 2 7 3" xfId="28088"/>
    <cellStyle name="Note 2 7 3 2" xfId="28089"/>
    <cellStyle name="Note 2 7 4" xfId="28090"/>
    <cellStyle name="Note 2 7 5" xfId="28091"/>
    <cellStyle name="Note 2 7 6" xfId="28092"/>
    <cellStyle name="Note 2 8" xfId="1871"/>
    <cellStyle name="Note 2 8 2" xfId="6363"/>
    <cellStyle name="Note 2 8 2 2" xfId="28094"/>
    <cellStyle name="Note 2 8 3" xfId="8192"/>
    <cellStyle name="Note 2 8 4" xfId="28093"/>
    <cellStyle name="Note 2 9" xfId="8181"/>
    <cellStyle name="Note 20" xfId="2801"/>
    <cellStyle name="Note 20 10" xfId="28095"/>
    <cellStyle name="Note 20 2" xfId="6364"/>
    <cellStyle name="Note 20 2 2" xfId="28097"/>
    <cellStyle name="Note 20 2 2 2" xfId="28098"/>
    <cellStyle name="Note 20 2 2 2 2" xfId="28099"/>
    <cellStyle name="Note 20 2 2 2 3" xfId="28100"/>
    <cellStyle name="Note 20 2 2 3" xfId="28101"/>
    <cellStyle name="Note 20 2 2 3 2" xfId="28102"/>
    <cellStyle name="Note 20 2 2 4" xfId="28103"/>
    <cellStyle name="Note 20 2 2 4 2" xfId="28104"/>
    <cellStyle name="Note 20 2 2 5" xfId="28105"/>
    <cellStyle name="Note 20 2 2 6" xfId="28106"/>
    <cellStyle name="Note 20 2 2 7" xfId="28107"/>
    <cellStyle name="Note 20 2 2 8" xfId="28108"/>
    <cellStyle name="Note 20 2 2 9" xfId="28109"/>
    <cellStyle name="Note 20 2 3" xfId="28110"/>
    <cellStyle name="Note 20 2 3 2" xfId="28111"/>
    <cellStyle name="Note 20 2 3 2 2" xfId="28112"/>
    <cellStyle name="Note 20 2 3 2 3" xfId="28113"/>
    <cellStyle name="Note 20 2 3 3" xfId="28114"/>
    <cellStyle name="Note 20 2 3 3 2" xfId="28115"/>
    <cellStyle name="Note 20 2 3 4" xfId="28116"/>
    <cellStyle name="Note 20 2 3 5" xfId="28117"/>
    <cellStyle name="Note 20 2 3 6" xfId="28118"/>
    <cellStyle name="Note 20 2 4" xfId="28119"/>
    <cellStyle name="Note 20 2 4 2" xfId="28120"/>
    <cellStyle name="Note 20 2 4 3" xfId="28121"/>
    <cellStyle name="Note 20 2 5" xfId="28122"/>
    <cellStyle name="Note 20 2 6" xfId="28123"/>
    <cellStyle name="Note 20 2 7" xfId="28124"/>
    <cellStyle name="Note 20 2 8" xfId="28096"/>
    <cellStyle name="Note 20 3" xfId="6365"/>
    <cellStyle name="Note 20 3 2" xfId="28126"/>
    <cellStyle name="Note 20 3 2 2" xfId="28127"/>
    <cellStyle name="Note 20 3 2 2 2" xfId="28128"/>
    <cellStyle name="Note 20 3 2 3" xfId="28129"/>
    <cellStyle name="Note 20 3 2 3 2" xfId="28130"/>
    <cellStyle name="Note 20 3 2 4" xfId="28131"/>
    <cellStyle name="Note 20 3 2 4 2" xfId="28132"/>
    <cellStyle name="Note 20 3 2 5" xfId="28133"/>
    <cellStyle name="Note 20 3 2 6" xfId="28134"/>
    <cellStyle name="Note 20 3 2 7" xfId="28135"/>
    <cellStyle name="Note 20 3 2 8" xfId="28136"/>
    <cellStyle name="Note 20 3 2 9" xfId="28137"/>
    <cellStyle name="Note 20 3 3" xfId="28138"/>
    <cellStyle name="Note 20 3 3 2" xfId="28139"/>
    <cellStyle name="Note 20 3 3 2 2" xfId="28140"/>
    <cellStyle name="Note 20 3 3 3" xfId="28141"/>
    <cellStyle name="Note 20 3 3 3 2" xfId="28142"/>
    <cellStyle name="Note 20 3 3 4" xfId="28143"/>
    <cellStyle name="Note 20 3 3 5" xfId="28144"/>
    <cellStyle name="Note 20 3 3 6" xfId="28145"/>
    <cellStyle name="Note 20 3 4" xfId="28146"/>
    <cellStyle name="Note 20 3 4 2" xfId="28147"/>
    <cellStyle name="Note 20 3 5" xfId="28148"/>
    <cellStyle name="Note 20 3 6" xfId="28149"/>
    <cellStyle name="Note 20 3 7" xfId="28150"/>
    <cellStyle name="Note 20 3 8" xfId="28125"/>
    <cellStyle name="Note 20 4" xfId="6366"/>
    <cellStyle name="Note 20 4 10" xfId="28151"/>
    <cellStyle name="Note 20 4 2" xfId="6367"/>
    <cellStyle name="Note 20 4 2 2" xfId="28153"/>
    <cellStyle name="Note 20 4 2 3" xfId="28154"/>
    <cellStyle name="Note 20 4 2 4" xfId="28152"/>
    <cellStyle name="Note 20 4 3" xfId="28155"/>
    <cellStyle name="Note 20 4 3 2" xfId="28156"/>
    <cellStyle name="Note 20 4 4" xfId="28157"/>
    <cellStyle name="Note 20 4 4 2" xfId="28158"/>
    <cellStyle name="Note 20 4 5" xfId="28159"/>
    <cellStyle name="Note 20 4 6" xfId="28160"/>
    <cellStyle name="Note 20 4 7" xfId="28161"/>
    <cellStyle name="Note 20 4 8" xfId="28162"/>
    <cellStyle name="Note 20 4 9" xfId="28163"/>
    <cellStyle name="Note 20 5" xfId="6368"/>
    <cellStyle name="Note 20 5 10" xfId="28164"/>
    <cellStyle name="Note 20 5 2" xfId="6369"/>
    <cellStyle name="Note 20 5 2 2" xfId="28166"/>
    <cellStyle name="Note 20 5 2 3" xfId="28167"/>
    <cellStyle name="Note 20 5 2 4" xfId="28165"/>
    <cellStyle name="Note 20 5 3" xfId="28168"/>
    <cellStyle name="Note 20 5 3 2" xfId="28169"/>
    <cellStyle name="Note 20 5 4" xfId="28170"/>
    <cellStyle name="Note 20 5 4 2" xfId="28171"/>
    <cellStyle name="Note 20 5 5" xfId="28172"/>
    <cellStyle name="Note 20 5 6" xfId="28173"/>
    <cellStyle name="Note 20 5 7" xfId="28174"/>
    <cellStyle name="Note 20 5 8" xfId="28175"/>
    <cellStyle name="Note 20 5 9" xfId="28176"/>
    <cellStyle name="Note 20 6" xfId="6370"/>
    <cellStyle name="Note 20 6 2" xfId="28178"/>
    <cellStyle name="Note 20 6 2 2" xfId="28179"/>
    <cellStyle name="Note 20 6 3" xfId="28180"/>
    <cellStyle name="Note 20 6 3 2" xfId="28181"/>
    <cellStyle name="Note 20 6 4" xfId="28182"/>
    <cellStyle name="Note 20 6 5" xfId="28183"/>
    <cellStyle name="Note 20 6 6" xfId="28184"/>
    <cellStyle name="Note 20 6 7" xfId="28177"/>
    <cellStyle name="Note 20 7" xfId="6371"/>
    <cellStyle name="Note 20 7 2" xfId="28186"/>
    <cellStyle name="Note 20 7 3" xfId="28185"/>
    <cellStyle name="Note 20 8" xfId="8386"/>
    <cellStyle name="Note 20 9" xfId="28187"/>
    <cellStyle name="Note 21" xfId="2802"/>
    <cellStyle name="Note 21 10" xfId="28188"/>
    <cellStyle name="Note 21 2" xfId="6372"/>
    <cellStyle name="Note 21 2 2" xfId="28190"/>
    <cellStyle name="Note 21 2 2 2" xfId="28191"/>
    <cellStyle name="Note 21 2 2 2 2" xfId="28192"/>
    <cellStyle name="Note 21 2 2 2 3" xfId="28193"/>
    <cellStyle name="Note 21 2 2 3" xfId="28194"/>
    <cellStyle name="Note 21 2 2 3 2" xfId="28195"/>
    <cellStyle name="Note 21 2 2 4" xfId="28196"/>
    <cellStyle name="Note 21 2 2 4 2" xfId="28197"/>
    <cellStyle name="Note 21 2 2 5" xfId="28198"/>
    <cellStyle name="Note 21 2 2 6" xfId="28199"/>
    <cellStyle name="Note 21 2 2 7" xfId="28200"/>
    <cellStyle name="Note 21 2 2 8" xfId="28201"/>
    <cellStyle name="Note 21 2 2 9" xfId="28202"/>
    <cellStyle name="Note 21 2 3" xfId="28203"/>
    <cellStyle name="Note 21 2 3 2" xfId="28204"/>
    <cellStyle name="Note 21 2 3 2 2" xfId="28205"/>
    <cellStyle name="Note 21 2 3 2 3" xfId="28206"/>
    <cellStyle name="Note 21 2 3 3" xfId="28207"/>
    <cellStyle name="Note 21 2 3 3 2" xfId="28208"/>
    <cellStyle name="Note 21 2 3 4" xfId="28209"/>
    <cellStyle name="Note 21 2 3 5" xfId="28210"/>
    <cellStyle name="Note 21 2 3 6" xfId="28211"/>
    <cellStyle name="Note 21 2 4" xfId="28212"/>
    <cellStyle name="Note 21 2 4 2" xfId="28213"/>
    <cellStyle name="Note 21 2 4 3" xfId="28214"/>
    <cellStyle name="Note 21 2 5" xfId="28215"/>
    <cellStyle name="Note 21 2 6" xfId="28216"/>
    <cellStyle name="Note 21 2 7" xfId="28217"/>
    <cellStyle name="Note 21 2 8" xfId="28189"/>
    <cellStyle name="Note 21 3" xfId="6373"/>
    <cellStyle name="Note 21 3 2" xfId="28219"/>
    <cellStyle name="Note 21 3 2 2" xfId="28220"/>
    <cellStyle name="Note 21 3 2 2 2" xfId="28221"/>
    <cellStyle name="Note 21 3 2 3" xfId="28222"/>
    <cellStyle name="Note 21 3 2 3 2" xfId="28223"/>
    <cellStyle name="Note 21 3 2 4" xfId="28224"/>
    <cellStyle name="Note 21 3 2 4 2" xfId="28225"/>
    <cellStyle name="Note 21 3 2 5" xfId="28226"/>
    <cellStyle name="Note 21 3 2 6" xfId="28227"/>
    <cellStyle name="Note 21 3 2 7" xfId="28228"/>
    <cellStyle name="Note 21 3 2 8" xfId="28229"/>
    <cellStyle name="Note 21 3 2 9" xfId="28230"/>
    <cellStyle name="Note 21 3 3" xfId="28231"/>
    <cellStyle name="Note 21 3 3 2" xfId="28232"/>
    <cellStyle name="Note 21 3 3 2 2" xfId="28233"/>
    <cellStyle name="Note 21 3 3 3" xfId="28234"/>
    <cellStyle name="Note 21 3 3 3 2" xfId="28235"/>
    <cellStyle name="Note 21 3 3 4" xfId="28236"/>
    <cellStyle name="Note 21 3 3 5" xfId="28237"/>
    <cellStyle name="Note 21 3 3 6" xfId="28238"/>
    <cellStyle name="Note 21 3 4" xfId="28239"/>
    <cellStyle name="Note 21 3 4 2" xfId="28240"/>
    <cellStyle name="Note 21 3 5" xfId="28241"/>
    <cellStyle name="Note 21 3 6" xfId="28242"/>
    <cellStyle name="Note 21 3 7" xfId="28243"/>
    <cellStyle name="Note 21 3 8" xfId="28218"/>
    <cellStyle name="Note 21 4" xfId="6374"/>
    <cellStyle name="Note 21 4 10" xfId="28244"/>
    <cellStyle name="Note 21 4 2" xfId="6375"/>
    <cellStyle name="Note 21 4 2 2" xfId="28246"/>
    <cellStyle name="Note 21 4 2 3" xfId="28247"/>
    <cellStyle name="Note 21 4 2 4" xfId="28245"/>
    <cellStyle name="Note 21 4 3" xfId="28248"/>
    <cellStyle name="Note 21 4 3 2" xfId="28249"/>
    <cellStyle name="Note 21 4 4" xfId="28250"/>
    <cellStyle name="Note 21 4 4 2" xfId="28251"/>
    <cellStyle name="Note 21 4 5" xfId="28252"/>
    <cellStyle name="Note 21 4 6" xfId="28253"/>
    <cellStyle name="Note 21 4 7" xfId="28254"/>
    <cellStyle name="Note 21 4 8" xfId="28255"/>
    <cellStyle name="Note 21 4 9" xfId="28256"/>
    <cellStyle name="Note 21 5" xfId="6376"/>
    <cellStyle name="Note 21 5 10" xfId="28257"/>
    <cellStyle name="Note 21 5 2" xfId="6377"/>
    <cellStyle name="Note 21 5 2 2" xfId="28259"/>
    <cellStyle name="Note 21 5 2 3" xfId="28260"/>
    <cellStyle name="Note 21 5 2 4" xfId="28258"/>
    <cellStyle name="Note 21 5 3" xfId="28261"/>
    <cellStyle name="Note 21 5 3 2" xfId="28262"/>
    <cellStyle name="Note 21 5 4" xfId="28263"/>
    <cellStyle name="Note 21 5 4 2" xfId="28264"/>
    <cellStyle name="Note 21 5 5" xfId="28265"/>
    <cellStyle name="Note 21 5 6" xfId="28266"/>
    <cellStyle name="Note 21 5 7" xfId="28267"/>
    <cellStyle name="Note 21 5 8" xfId="28268"/>
    <cellStyle name="Note 21 5 9" xfId="28269"/>
    <cellStyle name="Note 21 6" xfId="6378"/>
    <cellStyle name="Note 21 6 2" xfId="28271"/>
    <cellStyle name="Note 21 6 2 2" xfId="28272"/>
    <cellStyle name="Note 21 6 3" xfId="28273"/>
    <cellStyle name="Note 21 6 3 2" xfId="28274"/>
    <cellStyle name="Note 21 6 4" xfId="28275"/>
    <cellStyle name="Note 21 6 5" xfId="28276"/>
    <cellStyle name="Note 21 6 6" xfId="28277"/>
    <cellStyle name="Note 21 6 7" xfId="28270"/>
    <cellStyle name="Note 21 7" xfId="6379"/>
    <cellStyle name="Note 21 7 2" xfId="28279"/>
    <cellStyle name="Note 21 7 3" xfId="28278"/>
    <cellStyle name="Note 21 8" xfId="8387"/>
    <cellStyle name="Note 21 9" xfId="28280"/>
    <cellStyle name="Note 22" xfId="2803"/>
    <cellStyle name="Note 22 10" xfId="28281"/>
    <cellStyle name="Note 22 2" xfId="6380"/>
    <cellStyle name="Note 22 2 2" xfId="28283"/>
    <cellStyle name="Note 22 2 2 2" xfId="28284"/>
    <cellStyle name="Note 22 2 2 2 2" xfId="28285"/>
    <cellStyle name="Note 22 2 2 2 3" xfId="28286"/>
    <cellStyle name="Note 22 2 2 3" xfId="28287"/>
    <cellStyle name="Note 22 2 2 3 2" xfId="28288"/>
    <cellStyle name="Note 22 2 2 4" xfId="28289"/>
    <cellStyle name="Note 22 2 2 4 2" xfId="28290"/>
    <cellStyle name="Note 22 2 2 5" xfId="28291"/>
    <cellStyle name="Note 22 2 2 6" xfId="28292"/>
    <cellStyle name="Note 22 2 2 7" xfId="28293"/>
    <cellStyle name="Note 22 2 2 8" xfId="28294"/>
    <cellStyle name="Note 22 2 2 9" xfId="28295"/>
    <cellStyle name="Note 22 2 3" xfId="28296"/>
    <cellStyle name="Note 22 2 3 2" xfId="28297"/>
    <cellStyle name="Note 22 2 3 2 2" xfId="28298"/>
    <cellStyle name="Note 22 2 3 2 3" xfId="28299"/>
    <cellStyle name="Note 22 2 3 3" xfId="28300"/>
    <cellStyle name="Note 22 2 3 3 2" xfId="28301"/>
    <cellStyle name="Note 22 2 3 4" xfId="28302"/>
    <cellStyle name="Note 22 2 3 5" xfId="28303"/>
    <cellStyle name="Note 22 2 3 6" xfId="28304"/>
    <cellStyle name="Note 22 2 4" xfId="28305"/>
    <cellStyle name="Note 22 2 4 2" xfId="28306"/>
    <cellStyle name="Note 22 2 4 3" xfId="28307"/>
    <cellStyle name="Note 22 2 5" xfId="28308"/>
    <cellStyle name="Note 22 2 6" xfId="28309"/>
    <cellStyle name="Note 22 2 7" xfId="28310"/>
    <cellStyle name="Note 22 2 8" xfId="28282"/>
    <cellStyle name="Note 22 3" xfId="6381"/>
    <cellStyle name="Note 22 3 2" xfId="28312"/>
    <cellStyle name="Note 22 3 2 2" xfId="28313"/>
    <cellStyle name="Note 22 3 2 2 2" xfId="28314"/>
    <cellStyle name="Note 22 3 2 3" xfId="28315"/>
    <cellStyle name="Note 22 3 2 3 2" xfId="28316"/>
    <cellStyle name="Note 22 3 2 4" xfId="28317"/>
    <cellStyle name="Note 22 3 2 4 2" xfId="28318"/>
    <cellStyle name="Note 22 3 2 5" xfId="28319"/>
    <cellStyle name="Note 22 3 2 6" xfId="28320"/>
    <cellStyle name="Note 22 3 2 7" xfId="28321"/>
    <cellStyle name="Note 22 3 2 8" xfId="28322"/>
    <cellStyle name="Note 22 3 2 9" xfId="28323"/>
    <cellStyle name="Note 22 3 3" xfId="28324"/>
    <cellStyle name="Note 22 3 3 2" xfId="28325"/>
    <cellStyle name="Note 22 3 3 2 2" xfId="28326"/>
    <cellStyle name="Note 22 3 3 3" xfId="28327"/>
    <cellStyle name="Note 22 3 3 3 2" xfId="28328"/>
    <cellStyle name="Note 22 3 3 4" xfId="28329"/>
    <cellStyle name="Note 22 3 3 5" xfId="28330"/>
    <cellStyle name="Note 22 3 3 6" xfId="28331"/>
    <cellStyle name="Note 22 3 4" xfId="28332"/>
    <cellStyle name="Note 22 3 4 2" xfId="28333"/>
    <cellStyle name="Note 22 3 5" xfId="28334"/>
    <cellStyle name="Note 22 3 6" xfId="28335"/>
    <cellStyle name="Note 22 3 7" xfId="28336"/>
    <cellStyle name="Note 22 3 8" xfId="28311"/>
    <cellStyle name="Note 22 4" xfId="6382"/>
    <cellStyle name="Note 22 4 10" xfId="28337"/>
    <cellStyle name="Note 22 4 2" xfId="6383"/>
    <cellStyle name="Note 22 4 2 2" xfId="28339"/>
    <cellStyle name="Note 22 4 2 3" xfId="28340"/>
    <cellStyle name="Note 22 4 2 4" xfId="28338"/>
    <cellStyle name="Note 22 4 3" xfId="28341"/>
    <cellStyle name="Note 22 4 3 2" xfId="28342"/>
    <cellStyle name="Note 22 4 4" xfId="28343"/>
    <cellStyle name="Note 22 4 4 2" xfId="28344"/>
    <cellStyle name="Note 22 4 5" xfId="28345"/>
    <cellStyle name="Note 22 4 6" xfId="28346"/>
    <cellStyle name="Note 22 4 7" xfId="28347"/>
    <cellStyle name="Note 22 4 8" xfId="28348"/>
    <cellStyle name="Note 22 4 9" xfId="28349"/>
    <cellStyle name="Note 22 5" xfId="6384"/>
    <cellStyle name="Note 22 5 10" xfId="28350"/>
    <cellStyle name="Note 22 5 2" xfId="6385"/>
    <cellStyle name="Note 22 5 2 2" xfId="28352"/>
    <cellStyle name="Note 22 5 2 3" xfId="28353"/>
    <cellStyle name="Note 22 5 2 4" xfId="28351"/>
    <cellStyle name="Note 22 5 3" xfId="28354"/>
    <cellStyle name="Note 22 5 3 2" xfId="28355"/>
    <cellStyle name="Note 22 5 4" xfId="28356"/>
    <cellStyle name="Note 22 5 4 2" xfId="28357"/>
    <cellStyle name="Note 22 5 5" xfId="28358"/>
    <cellStyle name="Note 22 5 6" xfId="28359"/>
    <cellStyle name="Note 22 5 7" xfId="28360"/>
    <cellStyle name="Note 22 5 8" xfId="28361"/>
    <cellStyle name="Note 22 5 9" xfId="28362"/>
    <cellStyle name="Note 22 6" xfId="6386"/>
    <cellStyle name="Note 22 6 2" xfId="28364"/>
    <cellStyle name="Note 22 6 2 2" xfId="28365"/>
    <cellStyle name="Note 22 6 3" xfId="28366"/>
    <cellStyle name="Note 22 6 3 2" xfId="28367"/>
    <cellStyle name="Note 22 6 4" xfId="28368"/>
    <cellStyle name="Note 22 6 5" xfId="28369"/>
    <cellStyle name="Note 22 6 6" xfId="28370"/>
    <cellStyle name="Note 22 6 7" xfId="28363"/>
    <cellStyle name="Note 22 7" xfId="6387"/>
    <cellStyle name="Note 22 7 2" xfId="28372"/>
    <cellStyle name="Note 22 7 3" xfId="28371"/>
    <cellStyle name="Note 22 8" xfId="8388"/>
    <cellStyle name="Note 22 9" xfId="28373"/>
    <cellStyle name="Note 23" xfId="2804"/>
    <cellStyle name="Note 23 10" xfId="28374"/>
    <cellStyle name="Note 23 2" xfId="6388"/>
    <cellStyle name="Note 23 2 2" xfId="28376"/>
    <cellStyle name="Note 23 2 2 2" xfId="28377"/>
    <cellStyle name="Note 23 2 2 2 2" xfId="28378"/>
    <cellStyle name="Note 23 2 2 2 3" xfId="28379"/>
    <cellStyle name="Note 23 2 2 3" xfId="28380"/>
    <cellStyle name="Note 23 2 2 3 2" xfId="28381"/>
    <cellStyle name="Note 23 2 2 4" xfId="28382"/>
    <cellStyle name="Note 23 2 2 4 2" xfId="28383"/>
    <cellStyle name="Note 23 2 2 5" xfId="28384"/>
    <cellStyle name="Note 23 2 2 6" xfId="28385"/>
    <cellStyle name="Note 23 2 2 7" xfId="28386"/>
    <cellStyle name="Note 23 2 2 8" xfId="28387"/>
    <cellStyle name="Note 23 2 2 9" xfId="28388"/>
    <cellStyle name="Note 23 2 3" xfId="28389"/>
    <cellStyle name="Note 23 2 3 2" xfId="28390"/>
    <cellStyle name="Note 23 2 3 2 2" xfId="28391"/>
    <cellStyle name="Note 23 2 3 2 3" xfId="28392"/>
    <cellStyle name="Note 23 2 3 3" xfId="28393"/>
    <cellStyle name="Note 23 2 3 3 2" xfId="28394"/>
    <cellStyle name="Note 23 2 3 4" xfId="28395"/>
    <cellStyle name="Note 23 2 3 5" xfId="28396"/>
    <cellStyle name="Note 23 2 3 6" xfId="28397"/>
    <cellStyle name="Note 23 2 4" xfId="28398"/>
    <cellStyle name="Note 23 2 4 2" xfId="28399"/>
    <cellStyle name="Note 23 2 4 3" xfId="28400"/>
    <cellStyle name="Note 23 2 5" xfId="28401"/>
    <cellStyle name="Note 23 2 6" xfId="28402"/>
    <cellStyle name="Note 23 2 7" xfId="28403"/>
    <cellStyle name="Note 23 2 8" xfId="28375"/>
    <cellStyle name="Note 23 3" xfId="6389"/>
    <cellStyle name="Note 23 3 2" xfId="28405"/>
    <cellStyle name="Note 23 3 2 2" xfId="28406"/>
    <cellStyle name="Note 23 3 2 2 2" xfId="28407"/>
    <cellStyle name="Note 23 3 2 3" xfId="28408"/>
    <cellStyle name="Note 23 3 2 3 2" xfId="28409"/>
    <cellStyle name="Note 23 3 2 4" xfId="28410"/>
    <cellStyle name="Note 23 3 2 4 2" xfId="28411"/>
    <cellStyle name="Note 23 3 2 5" xfId="28412"/>
    <cellStyle name="Note 23 3 2 6" xfId="28413"/>
    <cellStyle name="Note 23 3 2 7" xfId="28414"/>
    <cellStyle name="Note 23 3 2 8" xfId="28415"/>
    <cellStyle name="Note 23 3 2 9" xfId="28416"/>
    <cellStyle name="Note 23 3 3" xfId="28417"/>
    <cellStyle name="Note 23 3 3 2" xfId="28418"/>
    <cellStyle name="Note 23 3 3 2 2" xfId="28419"/>
    <cellStyle name="Note 23 3 3 3" xfId="28420"/>
    <cellStyle name="Note 23 3 3 3 2" xfId="28421"/>
    <cellStyle name="Note 23 3 3 4" xfId="28422"/>
    <cellStyle name="Note 23 3 3 5" xfId="28423"/>
    <cellStyle name="Note 23 3 3 6" xfId="28424"/>
    <cellStyle name="Note 23 3 4" xfId="28425"/>
    <cellStyle name="Note 23 3 4 2" xfId="28426"/>
    <cellStyle name="Note 23 3 5" xfId="28427"/>
    <cellStyle name="Note 23 3 6" xfId="28428"/>
    <cellStyle name="Note 23 3 7" xfId="28429"/>
    <cellStyle name="Note 23 3 8" xfId="28404"/>
    <cellStyle name="Note 23 4" xfId="6390"/>
    <cellStyle name="Note 23 4 10" xfId="28430"/>
    <cellStyle name="Note 23 4 2" xfId="6391"/>
    <cellStyle name="Note 23 4 2 2" xfId="28432"/>
    <cellStyle name="Note 23 4 2 3" xfId="28433"/>
    <cellStyle name="Note 23 4 2 4" xfId="28431"/>
    <cellStyle name="Note 23 4 3" xfId="28434"/>
    <cellStyle name="Note 23 4 3 2" xfId="28435"/>
    <cellStyle name="Note 23 4 4" xfId="28436"/>
    <cellStyle name="Note 23 4 4 2" xfId="28437"/>
    <cellStyle name="Note 23 4 5" xfId="28438"/>
    <cellStyle name="Note 23 4 6" xfId="28439"/>
    <cellStyle name="Note 23 4 7" xfId="28440"/>
    <cellStyle name="Note 23 4 8" xfId="28441"/>
    <cellStyle name="Note 23 4 9" xfId="28442"/>
    <cellStyle name="Note 23 5" xfId="6392"/>
    <cellStyle name="Note 23 5 10" xfId="28443"/>
    <cellStyle name="Note 23 5 2" xfId="6393"/>
    <cellStyle name="Note 23 5 2 2" xfId="28445"/>
    <cellStyle name="Note 23 5 2 3" xfId="28446"/>
    <cellStyle name="Note 23 5 2 4" xfId="28444"/>
    <cellStyle name="Note 23 5 3" xfId="28447"/>
    <cellStyle name="Note 23 5 3 2" xfId="28448"/>
    <cellStyle name="Note 23 5 4" xfId="28449"/>
    <cellStyle name="Note 23 5 4 2" xfId="28450"/>
    <cellStyle name="Note 23 5 5" xfId="28451"/>
    <cellStyle name="Note 23 5 6" xfId="28452"/>
    <cellStyle name="Note 23 5 7" xfId="28453"/>
    <cellStyle name="Note 23 5 8" xfId="28454"/>
    <cellStyle name="Note 23 5 9" xfId="28455"/>
    <cellStyle name="Note 23 6" xfId="6394"/>
    <cellStyle name="Note 23 6 2" xfId="28457"/>
    <cellStyle name="Note 23 6 2 2" xfId="28458"/>
    <cellStyle name="Note 23 6 3" xfId="28459"/>
    <cellStyle name="Note 23 6 3 2" xfId="28460"/>
    <cellStyle name="Note 23 6 4" xfId="28461"/>
    <cellStyle name="Note 23 6 5" xfId="28462"/>
    <cellStyle name="Note 23 6 6" xfId="28463"/>
    <cellStyle name="Note 23 6 7" xfId="28456"/>
    <cellStyle name="Note 23 7" xfId="6395"/>
    <cellStyle name="Note 23 7 2" xfId="28465"/>
    <cellStyle name="Note 23 7 3" xfId="28464"/>
    <cellStyle name="Note 23 8" xfId="8389"/>
    <cellStyle name="Note 23 9" xfId="28466"/>
    <cellStyle name="Note 24" xfId="2805"/>
    <cellStyle name="Note 24 10" xfId="28467"/>
    <cellStyle name="Note 24 2" xfId="6396"/>
    <cellStyle name="Note 24 2 2" xfId="28469"/>
    <cellStyle name="Note 24 2 2 2" xfId="28470"/>
    <cellStyle name="Note 24 2 2 2 2" xfId="28471"/>
    <cellStyle name="Note 24 2 2 2 3" xfId="28472"/>
    <cellStyle name="Note 24 2 2 3" xfId="28473"/>
    <cellStyle name="Note 24 2 2 3 2" xfId="28474"/>
    <cellStyle name="Note 24 2 2 4" xfId="28475"/>
    <cellStyle name="Note 24 2 2 4 2" xfId="28476"/>
    <cellStyle name="Note 24 2 2 5" xfId="28477"/>
    <cellStyle name="Note 24 2 2 6" xfId="28478"/>
    <cellStyle name="Note 24 2 2 7" xfId="28479"/>
    <cellStyle name="Note 24 2 2 8" xfId="28480"/>
    <cellStyle name="Note 24 2 2 9" xfId="28481"/>
    <cellStyle name="Note 24 2 3" xfId="28482"/>
    <cellStyle name="Note 24 2 3 2" xfId="28483"/>
    <cellStyle name="Note 24 2 3 2 2" xfId="28484"/>
    <cellStyle name="Note 24 2 3 2 3" xfId="28485"/>
    <cellStyle name="Note 24 2 3 3" xfId="28486"/>
    <cellStyle name="Note 24 2 3 3 2" xfId="28487"/>
    <cellStyle name="Note 24 2 3 4" xfId="28488"/>
    <cellStyle name="Note 24 2 3 5" xfId="28489"/>
    <cellStyle name="Note 24 2 3 6" xfId="28490"/>
    <cellStyle name="Note 24 2 4" xfId="28491"/>
    <cellStyle name="Note 24 2 4 2" xfId="28492"/>
    <cellStyle name="Note 24 2 4 3" xfId="28493"/>
    <cellStyle name="Note 24 2 5" xfId="28494"/>
    <cellStyle name="Note 24 2 6" xfId="28495"/>
    <cellStyle name="Note 24 2 7" xfId="28496"/>
    <cellStyle name="Note 24 2 8" xfId="28468"/>
    <cellStyle name="Note 24 3" xfId="6397"/>
    <cellStyle name="Note 24 3 2" xfId="28498"/>
    <cellStyle name="Note 24 3 2 2" xfId="28499"/>
    <cellStyle name="Note 24 3 2 2 2" xfId="28500"/>
    <cellStyle name="Note 24 3 2 3" xfId="28501"/>
    <cellStyle name="Note 24 3 2 3 2" xfId="28502"/>
    <cellStyle name="Note 24 3 2 4" xfId="28503"/>
    <cellStyle name="Note 24 3 2 4 2" xfId="28504"/>
    <cellStyle name="Note 24 3 2 5" xfId="28505"/>
    <cellStyle name="Note 24 3 2 6" xfId="28506"/>
    <cellStyle name="Note 24 3 2 7" xfId="28507"/>
    <cellStyle name="Note 24 3 2 8" xfId="28508"/>
    <cellStyle name="Note 24 3 2 9" xfId="28509"/>
    <cellStyle name="Note 24 3 3" xfId="28510"/>
    <cellStyle name="Note 24 3 3 2" xfId="28511"/>
    <cellStyle name="Note 24 3 3 2 2" xfId="28512"/>
    <cellStyle name="Note 24 3 3 3" xfId="28513"/>
    <cellStyle name="Note 24 3 3 3 2" xfId="28514"/>
    <cellStyle name="Note 24 3 3 4" xfId="28515"/>
    <cellStyle name="Note 24 3 3 5" xfId="28516"/>
    <cellStyle name="Note 24 3 3 6" xfId="28517"/>
    <cellStyle name="Note 24 3 4" xfId="28518"/>
    <cellStyle name="Note 24 3 4 2" xfId="28519"/>
    <cellStyle name="Note 24 3 5" xfId="28520"/>
    <cellStyle name="Note 24 3 6" xfId="28521"/>
    <cellStyle name="Note 24 3 7" xfId="28522"/>
    <cellStyle name="Note 24 3 8" xfId="28497"/>
    <cellStyle name="Note 24 4" xfId="6398"/>
    <cellStyle name="Note 24 4 10" xfId="28523"/>
    <cellStyle name="Note 24 4 2" xfId="6399"/>
    <cellStyle name="Note 24 4 2 2" xfId="28525"/>
    <cellStyle name="Note 24 4 2 3" xfId="28526"/>
    <cellStyle name="Note 24 4 2 4" xfId="28524"/>
    <cellStyle name="Note 24 4 3" xfId="28527"/>
    <cellStyle name="Note 24 4 3 2" xfId="28528"/>
    <cellStyle name="Note 24 4 4" xfId="28529"/>
    <cellStyle name="Note 24 4 4 2" xfId="28530"/>
    <cellStyle name="Note 24 4 5" xfId="28531"/>
    <cellStyle name="Note 24 4 6" xfId="28532"/>
    <cellStyle name="Note 24 4 7" xfId="28533"/>
    <cellStyle name="Note 24 4 8" xfId="28534"/>
    <cellStyle name="Note 24 4 9" xfId="28535"/>
    <cellStyle name="Note 24 5" xfId="6400"/>
    <cellStyle name="Note 24 5 10" xfId="28536"/>
    <cellStyle name="Note 24 5 2" xfId="6401"/>
    <cellStyle name="Note 24 5 2 2" xfId="28538"/>
    <cellStyle name="Note 24 5 2 3" xfId="28539"/>
    <cellStyle name="Note 24 5 2 4" xfId="28537"/>
    <cellStyle name="Note 24 5 3" xfId="28540"/>
    <cellStyle name="Note 24 5 3 2" xfId="28541"/>
    <cellStyle name="Note 24 5 4" xfId="28542"/>
    <cellStyle name="Note 24 5 4 2" xfId="28543"/>
    <cellStyle name="Note 24 5 5" xfId="28544"/>
    <cellStyle name="Note 24 5 6" xfId="28545"/>
    <cellStyle name="Note 24 5 7" xfId="28546"/>
    <cellStyle name="Note 24 5 8" xfId="28547"/>
    <cellStyle name="Note 24 5 9" xfId="28548"/>
    <cellStyle name="Note 24 6" xfId="6402"/>
    <cellStyle name="Note 24 6 2" xfId="28550"/>
    <cellStyle name="Note 24 6 2 2" xfId="28551"/>
    <cellStyle name="Note 24 6 3" xfId="28552"/>
    <cellStyle name="Note 24 6 3 2" xfId="28553"/>
    <cellStyle name="Note 24 6 4" xfId="28554"/>
    <cellStyle name="Note 24 6 5" xfId="28555"/>
    <cellStyle name="Note 24 6 6" xfId="28556"/>
    <cellStyle name="Note 24 6 7" xfId="28549"/>
    <cellStyle name="Note 24 7" xfId="6403"/>
    <cellStyle name="Note 24 7 2" xfId="28558"/>
    <cellStyle name="Note 24 7 3" xfId="28557"/>
    <cellStyle name="Note 24 8" xfId="8390"/>
    <cellStyle name="Note 24 9" xfId="28559"/>
    <cellStyle name="Note 25" xfId="2806"/>
    <cellStyle name="Note 25 10" xfId="28560"/>
    <cellStyle name="Note 25 2" xfId="6404"/>
    <cellStyle name="Note 25 2 2" xfId="28562"/>
    <cellStyle name="Note 25 2 2 2" xfId="28563"/>
    <cellStyle name="Note 25 2 2 2 2" xfId="28564"/>
    <cellStyle name="Note 25 2 2 2 3" xfId="28565"/>
    <cellStyle name="Note 25 2 2 3" xfId="28566"/>
    <cellStyle name="Note 25 2 2 3 2" xfId="28567"/>
    <cellStyle name="Note 25 2 2 4" xfId="28568"/>
    <cellStyle name="Note 25 2 2 4 2" xfId="28569"/>
    <cellStyle name="Note 25 2 2 5" xfId="28570"/>
    <cellStyle name="Note 25 2 2 6" xfId="28571"/>
    <cellStyle name="Note 25 2 2 7" xfId="28572"/>
    <cellStyle name="Note 25 2 2 8" xfId="28573"/>
    <cellStyle name="Note 25 2 2 9" xfId="28574"/>
    <cellStyle name="Note 25 2 3" xfId="28575"/>
    <cellStyle name="Note 25 2 3 2" xfId="28576"/>
    <cellStyle name="Note 25 2 3 2 2" xfId="28577"/>
    <cellStyle name="Note 25 2 3 2 3" xfId="28578"/>
    <cellStyle name="Note 25 2 3 3" xfId="28579"/>
    <cellStyle name="Note 25 2 3 3 2" xfId="28580"/>
    <cellStyle name="Note 25 2 3 4" xfId="28581"/>
    <cellStyle name="Note 25 2 3 5" xfId="28582"/>
    <cellStyle name="Note 25 2 3 6" xfId="28583"/>
    <cellStyle name="Note 25 2 4" xfId="28584"/>
    <cellStyle name="Note 25 2 4 2" xfId="28585"/>
    <cellStyle name="Note 25 2 4 3" xfId="28586"/>
    <cellStyle name="Note 25 2 5" xfId="28587"/>
    <cellStyle name="Note 25 2 6" xfId="28588"/>
    <cellStyle name="Note 25 2 7" xfId="28589"/>
    <cellStyle name="Note 25 2 8" xfId="28561"/>
    <cellStyle name="Note 25 3" xfId="6405"/>
    <cellStyle name="Note 25 3 2" xfId="28591"/>
    <cellStyle name="Note 25 3 2 2" xfId="28592"/>
    <cellStyle name="Note 25 3 2 2 2" xfId="28593"/>
    <cellStyle name="Note 25 3 2 3" xfId="28594"/>
    <cellStyle name="Note 25 3 2 3 2" xfId="28595"/>
    <cellStyle name="Note 25 3 2 4" xfId="28596"/>
    <cellStyle name="Note 25 3 2 4 2" xfId="28597"/>
    <cellStyle name="Note 25 3 2 5" xfId="28598"/>
    <cellStyle name="Note 25 3 2 6" xfId="28599"/>
    <cellStyle name="Note 25 3 2 7" xfId="28600"/>
    <cellStyle name="Note 25 3 2 8" xfId="28601"/>
    <cellStyle name="Note 25 3 2 9" xfId="28602"/>
    <cellStyle name="Note 25 3 3" xfId="28603"/>
    <cellStyle name="Note 25 3 3 2" xfId="28604"/>
    <cellStyle name="Note 25 3 3 2 2" xfId="28605"/>
    <cellStyle name="Note 25 3 3 3" xfId="28606"/>
    <cellStyle name="Note 25 3 3 3 2" xfId="28607"/>
    <cellStyle name="Note 25 3 3 4" xfId="28608"/>
    <cellStyle name="Note 25 3 3 5" xfId="28609"/>
    <cellStyle name="Note 25 3 3 6" xfId="28610"/>
    <cellStyle name="Note 25 3 4" xfId="28611"/>
    <cellStyle name="Note 25 3 4 2" xfId="28612"/>
    <cellStyle name="Note 25 3 5" xfId="28613"/>
    <cellStyle name="Note 25 3 6" xfId="28614"/>
    <cellStyle name="Note 25 3 7" xfId="28615"/>
    <cellStyle name="Note 25 3 8" xfId="28590"/>
    <cellStyle name="Note 25 4" xfId="6406"/>
    <cellStyle name="Note 25 4 10" xfId="28616"/>
    <cellStyle name="Note 25 4 2" xfId="6407"/>
    <cellStyle name="Note 25 4 2 2" xfId="28618"/>
    <cellStyle name="Note 25 4 2 3" xfId="28619"/>
    <cellStyle name="Note 25 4 2 4" xfId="28617"/>
    <cellStyle name="Note 25 4 3" xfId="28620"/>
    <cellStyle name="Note 25 4 3 2" xfId="28621"/>
    <cellStyle name="Note 25 4 4" xfId="28622"/>
    <cellStyle name="Note 25 4 4 2" xfId="28623"/>
    <cellStyle name="Note 25 4 5" xfId="28624"/>
    <cellStyle name="Note 25 4 6" xfId="28625"/>
    <cellStyle name="Note 25 4 7" xfId="28626"/>
    <cellStyle name="Note 25 4 8" xfId="28627"/>
    <cellStyle name="Note 25 4 9" xfId="28628"/>
    <cellStyle name="Note 25 5" xfId="6408"/>
    <cellStyle name="Note 25 5 10" xfId="28629"/>
    <cellStyle name="Note 25 5 2" xfId="6409"/>
    <cellStyle name="Note 25 5 2 2" xfId="28631"/>
    <cellStyle name="Note 25 5 2 3" xfId="28632"/>
    <cellStyle name="Note 25 5 2 4" xfId="28630"/>
    <cellStyle name="Note 25 5 3" xfId="28633"/>
    <cellStyle name="Note 25 5 3 2" xfId="28634"/>
    <cellStyle name="Note 25 5 4" xfId="28635"/>
    <cellStyle name="Note 25 5 4 2" xfId="28636"/>
    <cellStyle name="Note 25 5 5" xfId="28637"/>
    <cellStyle name="Note 25 5 6" xfId="28638"/>
    <cellStyle name="Note 25 5 7" xfId="28639"/>
    <cellStyle name="Note 25 5 8" xfId="28640"/>
    <cellStyle name="Note 25 5 9" xfId="28641"/>
    <cellStyle name="Note 25 6" xfId="6410"/>
    <cellStyle name="Note 25 6 2" xfId="28643"/>
    <cellStyle name="Note 25 6 2 2" xfId="28644"/>
    <cellStyle name="Note 25 6 3" xfId="28645"/>
    <cellStyle name="Note 25 6 3 2" xfId="28646"/>
    <cellStyle name="Note 25 6 4" xfId="28647"/>
    <cellStyle name="Note 25 6 5" xfId="28648"/>
    <cellStyle name="Note 25 6 6" xfId="28649"/>
    <cellStyle name="Note 25 6 7" xfId="28642"/>
    <cellStyle name="Note 25 7" xfId="6411"/>
    <cellStyle name="Note 25 7 2" xfId="28651"/>
    <cellStyle name="Note 25 7 3" xfId="28650"/>
    <cellStyle name="Note 25 8" xfId="8391"/>
    <cellStyle name="Note 25 9" xfId="28652"/>
    <cellStyle name="Note 26" xfId="2807"/>
    <cellStyle name="Note 26 10" xfId="28653"/>
    <cellStyle name="Note 26 2" xfId="6412"/>
    <cellStyle name="Note 26 2 2" xfId="28655"/>
    <cellStyle name="Note 26 2 2 2" xfId="28656"/>
    <cellStyle name="Note 26 2 2 2 2" xfId="28657"/>
    <cellStyle name="Note 26 2 2 2 3" xfId="28658"/>
    <cellStyle name="Note 26 2 2 3" xfId="28659"/>
    <cellStyle name="Note 26 2 2 3 2" xfId="28660"/>
    <cellStyle name="Note 26 2 2 4" xfId="28661"/>
    <cellStyle name="Note 26 2 2 4 2" xfId="28662"/>
    <cellStyle name="Note 26 2 2 5" xfId="28663"/>
    <cellStyle name="Note 26 2 2 6" xfId="28664"/>
    <cellStyle name="Note 26 2 2 7" xfId="28665"/>
    <cellStyle name="Note 26 2 2 8" xfId="28666"/>
    <cellStyle name="Note 26 2 2 9" xfId="28667"/>
    <cellStyle name="Note 26 2 3" xfId="28668"/>
    <cellStyle name="Note 26 2 3 2" xfId="28669"/>
    <cellStyle name="Note 26 2 3 2 2" xfId="28670"/>
    <cellStyle name="Note 26 2 3 2 3" xfId="28671"/>
    <cellStyle name="Note 26 2 3 3" xfId="28672"/>
    <cellStyle name="Note 26 2 3 3 2" xfId="28673"/>
    <cellStyle name="Note 26 2 3 4" xfId="28674"/>
    <cellStyle name="Note 26 2 3 5" xfId="28675"/>
    <cellStyle name="Note 26 2 3 6" xfId="28676"/>
    <cellStyle name="Note 26 2 4" xfId="28677"/>
    <cellStyle name="Note 26 2 4 2" xfId="28678"/>
    <cellStyle name="Note 26 2 4 3" xfId="28679"/>
    <cellStyle name="Note 26 2 5" xfId="28680"/>
    <cellStyle name="Note 26 2 6" xfId="28681"/>
    <cellStyle name="Note 26 2 7" xfId="28682"/>
    <cellStyle name="Note 26 2 8" xfId="28654"/>
    <cellStyle name="Note 26 3" xfId="6413"/>
    <cellStyle name="Note 26 3 2" xfId="28684"/>
    <cellStyle name="Note 26 3 2 2" xfId="28685"/>
    <cellStyle name="Note 26 3 2 2 2" xfId="28686"/>
    <cellStyle name="Note 26 3 2 3" xfId="28687"/>
    <cellStyle name="Note 26 3 2 3 2" xfId="28688"/>
    <cellStyle name="Note 26 3 2 4" xfId="28689"/>
    <cellStyle name="Note 26 3 2 4 2" xfId="28690"/>
    <cellStyle name="Note 26 3 2 5" xfId="28691"/>
    <cellStyle name="Note 26 3 2 6" xfId="28692"/>
    <cellStyle name="Note 26 3 2 7" xfId="28693"/>
    <cellStyle name="Note 26 3 2 8" xfId="28694"/>
    <cellStyle name="Note 26 3 2 9" xfId="28695"/>
    <cellStyle name="Note 26 3 3" xfId="28696"/>
    <cellStyle name="Note 26 3 3 2" xfId="28697"/>
    <cellStyle name="Note 26 3 3 2 2" xfId="28698"/>
    <cellStyle name="Note 26 3 3 3" xfId="28699"/>
    <cellStyle name="Note 26 3 3 3 2" xfId="28700"/>
    <cellStyle name="Note 26 3 3 4" xfId="28701"/>
    <cellStyle name="Note 26 3 3 5" xfId="28702"/>
    <cellStyle name="Note 26 3 3 6" xfId="28703"/>
    <cellStyle name="Note 26 3 4" xfId="28704"/>
    <cellStyle name="Note 26 3 4 2" xfId="28705"/>
    <cellStyle name="Note 26 3 5" xfId="28706"/>
    <cellStyle name="Note 26 3 6" xfId="28707"/>
    <cellStyle name="Note 26 3 7" xfId="28708"/>
    <cellStyle name="Note 26 3 8" xfId="28683"/>
    <cellStyle name="Note 26 4" xfId="6414"/>
    <cellStyle name="Note 26 4 10" xfId="28709"/>
    <cellStyle name="Note 26 4 2" xfId="6415"/>
    <cellStyle name="Note 26 4 2 2" xfId="28711"/>
    <cellStyle name="Note 26 4 2 3" xfId="28712"/>
    <cellStyle name="Note 26 4 2 4" xfId="28710"/>
    <cellStyle name="Note 26 4 3" xfId="28713"/>
    <cellStyle name="Note 26 4 3 2" xfId="28714"/>
    <cellStyle name="Note 26 4 4" xfId="28715"/>
    <cellStyle name="Note 26 4 4 2" xfId="28716"/>
    <cellStyle name="Note 26 4 5" xfId="28717"/>
    <cellStyle name="Note 26 4 6" xfId="28718"/>
    <cellStyle name="Note 26 4 7" xfId="28719"/>
    <cellStyle name="Note 26 4 8" xfId="28720"/>
    <cellStyle name="Note 26 4 9" xfId="28721"/>
    <cellStyle name="Note 26 5" xfId="6416"/>
    <cellStyle name="Note 26 5 10" xfId="28722"/>
    <cellStyle name="Note 26 5 2" xfId="6417"/>
    <cellStyle name="Note 26 5 2 2" xfId="28724"/>
    <cellStyle name="Note 26 5 2 3" xfId="28725"/>
    <cellStyle name="Note 26 5 2 4" xfId="28723"/>
    <cellStyle name="Note 26 5 3" xfId="28726"/>
    <cellStyle name="Note 26 5 3 2" xfId="28727"/>
    <cellStyle name="Note 26 5 4" xfId="28728"/>
    <cellStyle name="Note 26 5 4 2" xfId="28729"/>
    <cellStyle name="Note 26 5 5" xfId="28730"/>
    <cellStyle name="Note 26 5 6" xfId="28731"/>
    <cellStyle name="Note 26 5 7" xfId="28732"/>
    <cellStyle name="Note 26 5 8" xfId="28733"/>
    <cellStyle name="Note 26 5 9" xfId="28734"/>
    <cellStyle name="Note 26 6" xfId="6418"/>
    <cellStyle name="Note 26 6 2" xfId="28736"/>
    <cellStyle name="Note 26 6 2 2" xfId="28737"/>
    <cellStyle name="Note 26 6 3" xfId="28738"/>
    <cellStyle name="Note 26 6 3 2" xfId="28739"/>
    <cellStyle name="Note 26 6 4" xfId="28740"/>
    <cellStyle name="Note 26 6 5" xfId="28741"/>
    <cellStyle name="Note 26 6 6" xfId="28742"/>
    <cellStyle name="Note 26 6 7" xfId="28735"/>
    <cellStyle name="Note 26 7" xfId="6419"/>
    <cellStyle name="Note 26 7 2" xfId="28744"/>
    <cellStyle name="Note 26 7 3" xfId="28743"/>
    <cellStyle name="Note 26 8" xfId="8392"/>
    <cellStyle name="Note 26 9" xfId="28745"/>
    <cellStyle name="Note 27" xfId="2808"/>
    <cellStyle name="Note 27 10" xfId="28746"/>
    <cellStyle name="Note 27 2" xfId="6420"/>
    <cellStyle name="Note 27 2 2" xfId="28748"/>
    <cellStyle name="Note 27 2 2 2" xfId="28749"/>
    <cellStyle name="Note 27 2 2 2 2" xfId="28750"/>
    <cellStyle name="Note 27 2 2 2 3" xfId="28751"/>
    <cellStyle name="Note 27 2 2 3" xfId="28752"/>
    <cellStyle name="Note 27 2 2 3 2" xfId="28753"/>
    <cellStyle name="Note 27 2 2 4" xfId="28754"/>
    <cellStyle name="Note 27 2 2 4 2" xfId="28755"/>
    <cellStyle name="Note 27 2 2 5" xfId="28756"/>
    <cellStyle name="Note 27 2 2 6" xfId="28757"/>
    <cellStyle name="Note 27 2 2 7" xfId="28758"/>
    <cellStyle name="Note 27 2 2 8" xfId="28759"/>
    <cellStyle name="Note 27 2 2 9" xfId="28760"/>
    <cellStyle name="Note 27 2 3" xfId="28761"/>
    <cellStyle name="Note 27 2 3 2" xfId="28762"/>
    <cellStyle name="Note 27 2 3 2 2" xfId="28763"/>
    <cellStyle name="Note 27 2 3 2 3" xfId="28764"/>
    <cellStyle name="Note 27 2 3 3" xfId="28765"/>
    <cellStyle name="Note 27 2 3 3 2" xfId="28766"/>
    <cellStyle name="Note 27 2 3 4" xfId="28767"/>
    <cellStyle name="Note 27 2 3 5" xfId="28768"/>
    <cellStyle name="Note 27 2 3 6" xfId="28769"/>
    <cellStyle name="Note 27 2 4" xfId="28770"/>
    <cellStyle name="Note 27 2 4 2" xfId="28771"/>
    <cellStyle name="Note 27 2 4 3" xfId="28772"/>
    <cellStyle name="Note 27 2 5" xfId="28773"/>
    <cellStyle name="Note 27 2 6" xfId="28774"/>
    <cellStyle name="Note 27 2 7" xfId="28775"/>
    <cellStyle name="Note 27 2 8" xfId="28747"/>
    <cellStyle name="Note 27 3" xfId="6421"/>
    <cellStyle name="Note 27 3 2" xfId="28777"/>
    <cellStyle name="Note 27 3 2 2" xfId="28778"/>
    <cellStyle name="Note 27 3 2 2 2" xfId="28779"/>
    <cellStyle name="Note 27 3 2 3" xfId="28780"/>
    <cellStyle name="Note 27 3 2 3 2" xfId="28781"/>
    <cellStyle name="Note 27 3 2 4" xfId="28782"/>
    <cellStyle name="Note 27 3 2 4 2" xfId="28783"/>
    <cellStyle name="Note 27 3 2 5" xfId="28784"/>
    <cellStyle name="Note 27 3 2 6" xfId="28785"/>
    <cellStyle name="Note 27 3 2 7" xfId="28786"/>
    <cellStyle name="Note 27 3 2 8" xfId="28787"/>
    <cellStyle name="Note 27 3 2 9" xfId="28788"/>
    <cellStyle name="Note 27 3 3" xfId="28789"/>
    <cellStyle name="Note 27 3 3 2" xfId="28790"/>
    <cellStyle name="Note 27 3 3 2 2" xfId="28791"/>
    <cellStyle name="Note 27 3 3 3" xfId="28792"/>
    <cellStyle name="Note 27 3 3 3 2" xfId="28793"/>
    <cellStyle name="Note 27 3 3 4" xfId="28794"/>
    <cellStyle name="Note 27 3 3 5" xfId="28795"/>
    <cellStyle name="Note 27 3 3 6" xfId="28796"/>
    <cellStyle name="Note 27 3 4" xfId="28797"/>
    <cellStyle name="Note 27 3 4 2" xfId="28798"/>
    <cellStyle name="Note 27 3 5" xfId="28799"/>
    <cellStyle name="Note 27 3 6" xfId="28800"/>
    <cellStyle name="Note 27 3 7" xfId="28801"/>
    <cellStyle name="Note 27 3 8" xfId="28776"/>
    <cellStyle name="Note 27 4" xfId="6422"/>
    <cellStyle name="Note 27 4 10" xfId="28802"/>
    <cellStyle name="Note 27 4 2" xfId="6423"/>
    <cellStyle name="Note 27 4 2 2" xfId="28804"/>
    <cellStyle name="Note 27 4 2 3" xfId="28805"/>
    <cellStyle name="Note 27 4 2 4" xfId="28803"/>
    <cellStyle name="Note 27 4 3" xfId="28806"/>
    <cellStyle name="Note 27 4 3 2" xfId="28807"/>
    <cellStyle name="Note 27 4 4" xfId="28808"/>
    <cellStyle name="Note 27 4 4 2" xfId="28809"/>
    <cellStyle name="Note 27 4 5" xfId="28810"/>
    <cellStyle name="Note 27 4 6" xfId="28811"/>
    <cellStyle name="Note 27 4 7" xfId="28812"/>
    <cellStyle name="Note 27 4 8" xfId="28813"/>
    <cellStyle name="Note 27 4 9" xfId="28814"/>
    <cellStyle name="Note 27 5" xfId="6424"/>
    <cellStyle name="Note 27 5 10" xfId="28815"/>
    <cellStyle name="Note 27 5 2" xfId="6425"/>
    <cellStyle name="Note 27 5 2 2" xfId="28817"/>
    <cellStyle name="Note 27 5 2 3" xfId="28818"/>
    <cellStyle name="Note 27 5 2 4" xfId="28816"/>
    <cellStyle name="Note 27 5 3" xfId="28819"/>
    <cellStyle name="Note 27 5 3 2" xfId="28820"/>
    <cellStyle name="Note 27 5 4" xfId="28821"/>
    <cellStyle name="Note 27 5 4 2" xfId="28822"/>
    <cellStyle name="Note 27 5 5" xfId="28823"/>
    <cellStyle name="Note 27 5 6" xfId="28824"/>
    <cellStyle name="Note 27 5 7" xfId="28825"/>
    <cellStyle name="Note 27 5 8" xfId="28826"/>
    <cellStyle name="Note 27 5 9" xfId="28827"/>
    <cellStyle name="Note 27 6" xfId="6426"/>
    <cellStyle name="Note 27 6 2" xfId="28829"/>
    <cellStyle name="Note 27 6 2 2" xfId="28830"/>
    <cellStyle name="Note 27 6 3" xfId="28831"/>
    <cellStyle name="Note 27 6 3 2" xfId="28832"/>
    <cellStyle name="Note 27 6 4" xfId="28833"/>
    <cellStyle name="Note 27 6 5" xfId="28834"/>
    <cellStyle name="Note 27 6 6" xfId="28835"/>
    <cellStyle name="Note 27 6 7" xfId="28828"/>
    <cellStyle name="Note 27 7" xfId="6427"/>
    <cellStyle name="Note 27 7 2" xfId="28837"/>
    <cellStyle name="Note 27 7 3" xfId="28836"/>
    <cellStyle name="Note 27 8" xfId="8393"/>
    <cellStyle name="Note 27 9" xfId="28838"/>
    <cellStyle name="Note 28" xfId="2809"/>
    <cellStyle name="Note 28 10" xfId="28839"/>
    <cellStyle name="Note 28 2" xfId="6428"/>
    <cellStyle name="Note 28 2 2" xfId="28841"/>
    <cellStyle name="Note 28 2 2 2" xfId="28842"/>
    <cellStyle name="Note 28 2 2 2 2" xfId="28843"/>
    <cellStyle name="Note 28 2 2 2 3" xfId="28844"/>
    <cellStyle name="Note 28 2 2 3" xfId="28845"/>
    <cellStyle name="Note 28 2 2 3 2" xfId="28846"/>
    <cellStyle name="Note 28 2 2 4" xfId="28847"/>
    <cellStyle name="Note 28 2 2 4 2" xfId="28848"/>
    <cellStyle name="Note 28 2 2 5" xfId="28849"/>
    <cellStyle name="Note 28 2 2 6" xfId="28850"/>
    <cellStyle name="Note 28 2 2 7" xfId="28851"/>
    <cellStyle name="Note 28 2 2 8" xfId="28852"/>
    <cellStyle name="Note 28 2 2 9" xfId="28853"/>
    <cellStyle name="Note 28 2 3" xfId="28854"/>
    <cellStyle name="Note 28 2 3 2" xfId="28855"/>
    <cellStyle name="Note 28 2 3 2 2" xfId="28856"/>
    <cellStyle name="Note 28 2 3 2 3" xfId="28857"/>
    <cellStyle name="Note 28 2 3 3" xfId="28858"/>
    <cellStyle name="Note 28 2 3 3 2" xfId="28859"/>
    <cellStyle name="Note 28 2 3 4" xfId="28860"/>
    <cellStyle name="Note 28 2 3 5" xfId="28861"/>
    <cellStyle name="Note 28 2 3 6" xfId="28862"/>
    <cellStyle name="Note 28 2 4" xfId="28863"/>
    <cellStyle name="Note 28 2 4 2" xfId="28864"/>
    <cellStyle name="Note 28 2 4 3" xfId="28865"/>
    <cellStyle name="Note 28 2 5" xfId="28866"/>
    <cellStyle name="Note 28 2 6" xfId="28867"/>
    <cellStyle name="Note 28 2 7" xfId="28868"/>
    <cellStyle name="Note 28 2 8" xfId="28840"/>
    <cellStyle name="Note 28 3" xfId="6429"/>
    <cellStyle name="Note 28 3 2" xfId="28870"/>
    <cellStyle name="Note 28 3 2 2" xfId="28871"/>
    <cellStyle name="Note 28 3 2 2 2" xfId="28872"/>
    <cellStyle name="Note 28 3 2 3" xfId="28873"/>
    <cellStyle name="Note 28 3 2 3 2" xfId="28874"/>
    <cellStyle name="Note 28 3 2 4" xfId="28875"/>
    <cellStyle name="Note 28 3 2 4 2" xfId="28876"/>
    <cellStyle name="Note 28 3 2 5" xfId="28877"/>
    <cellStyle name="Note 28 3 2 6" xfId="28878"/>
    <cellStyle name="Note 28 3 2 7" xfId="28879"/>
    <cellStyle name="Note 28 3 2 8" xfId="28880"/>
    <cellStyle name="Note 28 3 2 9" xfId="28881"/>
    <cellStyle name="Note 28 3 3" xfId="28882"/>
    <cellStyle name="Note 28 3 3 2" xfId="28883"/>
    <cellStyle name="Note 28 3 3 2 2" xfId="28884"/>
    <cellStyle name="Note 28 3 3 3" xfId="28885"/>
    <cellStyle name="Note 28 3 3 3 2" xfId="28886"/>
    <cellStyle name="Note 28 3 3 4" xfId="28887"/>
    <cellStyle name="Note 28 3 3 5" xfId="28888"/>
    <cellStyle name="Note 28 3 3 6" xfId="28889"/>
    <cellStyle name="Note 28 3 4" xfId="28890"/>
    <cellStyle name="Note 28 3 4 2" xfId="28891"/>
    <cellStyle name="Note 28 3 5" xfId="28892"/>
    <cellStyle name="Note 28 3 6" xfId="28893"/>
    <cellStyle name="Note 28 3 7" xfId="28894"/>
    <cellStyle name="Note 28 3 8" xfId="28869"/>
    <cellStyle name="Note 28 4" xfId="6430"/>
    <cellStyle name="Note 28 4 10" xfId="28895"/>
    <cellStyle name="Note 28 4 2" xfId="6431"/>
    <cellStyle name="Note 28 4 2 2" xfId="28897"/>
    <cellStyle name="Note 28 4 2 3" xfId="28898"/>
    <cellStyle name="Note 28 4 2 4" xfId="28896"/>
    <cellStyle name="Note 28 4 3" xfId="28899"/>
    <cellStyle name="Note 28 4 3 2" xfId="28900"/>
    <cellStyle name="Note 28 4 4" xfId="28901"/>
    <cellStyle name="Note 28 4 4 2" xfId="28902"/>
    <cellStyle name="Note 28 4 5" xfId="28903"/>
    <cellStyle name="Note 28 4 6" xfId="28904"/>
    <cellStyle name="Note 28 4 7" xfId="28905"/>
    <cellStyle name="Note 28 4 8" xfId="28906"/>
    <cellStyle name="Note 28 4 9" xfId="28907"/>
    <cellStyle name="Note 28 5" xfId="6432"/>
    <cellStyle name="Note 28 5 10" xfId="28908"/>
    <cellStyle name="Note 28 5 2" xfId="6433"/>
    <cellStyle name="Note 28 5 2 2" xfId="28910"/>
    <cellStyle name="Note 28 5 2 3" xfId="28911"/>
    <cellStyle name="Note 28 5 2 4" xfId="28909"/>
    <cellStyle name="Note 28 5 3" xfId="28912"/>
    <cellStyle name="Note 28 5 3 2" xfId="28913"/>
    <cellStyle name="Note 28 5 4" xfId="28914"/>
    <cellStyle name="Note 28 5 4 2" xfId="28915"/>
    <cellStyle name="Note 28 5 5" xfId="28916"/>
    <cellStyle name="Note 28 5 6" xfId="28917"/>
    <cellStyle name="Note 28 5 7" xfId="28918"/>
    <cellStyle name="Note 28 5 8" xfId="28919"/>
    <cellStyle name="Note 28 5 9" xfId="28920"/>
    <cellStyle name="Note 28 6" xfId="6434"/>
    <cellStyle name="Note 28 6 2" xfId="28922"/>
    <cellStyle name="Note 28 6 2 2" xfId="28923"/>
    <cellStyle name="Note 28 6 3" xfId="28924"/>
    <cellStyle name="Note 28 6 3 2" xfId="28925"/>
    <cellStyle name="Note 28 6 4" xfId="28926"/>
    <cellStyle name="Note 28 6 5" xfId="28927"/>
    <cellStyle name="Note 28 6 6" xfId="28928"/>
    <cellStyle name="Note 28 6 7" xfId="28921"/>
    <cellStyle name="Note 28 7" xfId="6435"/>
    <cellStyle name="Note 28 7 2" xfId="28930"/>
    <cellStyle name="Note 28 7 3" xfId="28929"/>
    <cellStyle name="Note 28 8" xfId="8394"/>
    <cellStyle name="Note 28 9" xfId="28931"/>
    <cellStyle name="Note 29" xfId="2810"/>
    <cellStyle name="Note 29 10" xfId="28932"/>
    <cellStyle name="Note 29 2" xfId="6436"/>
    <cellStyle name="Note 29 2 2" xfId="28934"/>
    <cellStyle name="Note 29 2 2 2" xfId="28935"/>
    <cellStyle name="Note 29 2 2 2 2" xfId="28936"/>
    <cellStyle name="Note 29 2 2 2 3" xfId="28937"/>
    <cellStyle name="Note 29 2 2 3" xfId="28938"/>
    <cellStyle name="Note 29 2 2 3 2" xfId="28939"/>
    <cellStyle name="Note 29 2 2 4" xfId="28940"/>
    <cellStyle name="Note 29 2 2 4 2" xfId="28941"/>
    <cellStyle name="Note 29 2 2 5" xfId="28942"/>
    <cellStyle name="Note 29 2 2 6" xfId="28943"/>
    <cellStyle name="Note 29 2 2 7" xfId="28944"/>
    <cellStyle name="Note 29 2 2 8" xfId="28945"/>
    <cellStyle name="Note 29 2 2 9" xfId="28946"/>
    <cellStyle name="Note 29 2 3" xfId="28947"/>
    <cellStyle name="Note 29 2 3 2" xfId="28948"/>
    <cellStyle name="Note 29 2 3 2 2" xfId="28949"/>
    <cellStyle name="Note 29 2 3 2 3" xfId="28950"/>
    <cellStyle name="Note 29 2 3 3" xfId="28951"/>
    <cellStyle name="Note 29 2 3 3 2" xfId="28952"/>
    <cellStyle name="Note 29 2 3 4" xfId="28953"/>
    <cellStyle name="Note 29 2 3 5" xfId="28954"/>
    <cellStyle name="Note 29 2 3 6" xfId="28955"/>
    <cellStyle name="Note 29 2 4" xfId="28956"/>
    <cellStyle name="Note 29 2 4 2" xfId="28957"/>
    <cellStyle name="Note 29 2 4 3" xfId="28958"/>
    <cellStyle name="Note 29 2 5" xfId="28959"/>
    <cellStyle name="Note 29 2 6" xfId="28960"/>
    <cellStyle name="Note 29 2 7" xfId="28961"/>
    <cellStyle name="Note 29 2 8" xfId="28933"/>
    <cellStyle name="Note 29 3" xfId="6437"/>
    <cellStyle name="Note 29 3 2" xfId="28963"/>
    <cellStyle name="Note 29 3 2 2" xfId="28964"/>
    <cellStyle name="Note 29 3 2 2 2" xfId="28965"/>
    <cellStyle name="Note 29 3 2 3" xfId="28966"/>
    <cellStyle name="Note 29 3 2 3 2" xfId="28967"/>
    <cellStyle name="Note 29 3 2 4" xfId="28968"/>
    <cellStyle name="Note 29 3 2 4 2" xfId="28969"/>
    <cellStyle name="Note 29 3 2 5" xfId="28970"/>
    <cellStyle name="Note 29 3 2 6" xfId="28971"/>
    <cellStyle name="Note 29 3 2 7" xfId="28972"/>
    <cellStyle name="Note 29 3 2 8" xfId="28973"/>
    <cellStyle name="Note 29 3 2 9" xfId="28974"/>
    <cellStyle name="Note 29 3 3" xfId="28975"/>
    <cellStyle name="Note 29 3 3 2" xfId="28976"/>
    <cellStyle name="Note 29 3 3 2 2" xfId="28977"/>
    <cellStyle name="Note 29 3 3 3" xfId="28978"/>
    <cellStyle name="Note 29 3 3 3 2" xfId="28979"/>
    <cellStyle name="Note 29 3 3 4" xfId="28980"/>
    <cellStyle name="Note 29 3 3 5" xfId="28981"/>
    <cellStyle name="Note 29 3 3 6" xfId="28982"/>
    <cellStyle name="Note 29 3 4" xfId="28983"/>
    <cellStyle name="Note 29 3 4 2" xfId="28984"/>
    <cellStyle name="Note 29 3 5" xfId="28985"/>
    <cellStyle name="Note 29 3 6" xfId="28986"/>
    <cellStyle name="Note 29 3 7" xfId="28987"/>
    <cellStyle name="Note 29 3 8" xfId="28962"/>
    <cellStyle name="Note 29 4" xfId="6438"/>
    <cellStyle name="Note 29 4 10" xfId="28988"/>
    <cellStyle name="Note 29 4 2" xfId="6439"/>
    <cellStyle name="Note 29 4 2 2" xfId="28990"/>
    <cellStyle name="Note 29 4 2 3" xfId="28991"/>
    <cellStyle name="Note 29 4 2 4" xfId="28989"/>
    <cellStyle name="Note 29 4 3" xfId="28992"/>
    <cellStyle name="Note 29 4 3 2" xfId="28993"/>
    <cellStyle name="Note 29 4 4" xfId="28994"/>
    <cellStyle name="Note 29 4 4 2" xfId="28995"/>
    <cellStyle name="Note 29 4 5" xfId="28996"/>
    <cellStyle name="Note 29 4 6" xfId="28997"/>
    <cellStyle name="Note 29 4 7" xfId="28998"/>
    <cellStyle name="Note 29 4 8" xfId="28999"/>
    <cellStyle name="Note 29 4 9" xfId="29000"/>
    <cellStyle name="Note 29 5" xfId="6440"/>
    <cellStyle name="Note 29 5 10" xfId="29001"/>
    <cellStyle name="Note 29 5 2" xfId="6441"/>
    <cellStyle name="Note 29 5 2 2" xfId="29003"/>
    <cellStyle name="Note 29 5 2 3" xfId="29004"/>
    <cellStyle name="Note 29 5 2 4" xfId="29002"/>
    <cellStyle name="Note 29 5 3" xfId="29005"/>
    <cellStyle name="Note 29 5 3 2" xfId="29006"/>
    <cellStyle name="Note 29 5 4" xfId="29007"/>
    <cellStyle name="Note 29 5 4 2" xfId="29008"/>
    <cellStyle name="Note 29 5 5" xfId="29009"/>
    <cellStyle name="Note 29 5 6" xfId="29010"/>
    <cellStyle name="Note 29 5 7" xfId="29011"/>
    <cellStyle name="Note 29 5 8" xfId="29012"/>
    <cellStyle name="Note 29 5 9" xfId="29013"/>
    <cellStyle name="Note 29 6" xfId="6442"/>
    <cellStyle name="Note 29 6 2" xfId="29015"/>
    <cellStyle name="Note 29 6 2 2" xfId="29016"/>
    <cellStyle name="Note 29 6 3" xfId="29017"/>
    <cellStyle name="Note 29 6 3 2" xfId="29018"/>
    <cellStyle name="Note 29 6 4" xfId="29019"/>
    <cellStyle name="Note 29 6 5" xfId="29020"/>
    <cellStyle name="Note 29 6 6" xfId="29021"/>
    <cellStyle name="Note 29 6 7" xfId="29014"/>
    <cellStyle name="Note 29 7" xfId="6443"/>
    <cellStyle name="Note 29 7 2" xfId="29023"/>
    <cellStyle name="Note 29 7 3" xfId="29022"/>
    <cellStyle name="Note 29 8" xfId="8395"/>
    <cellStyle name="Note 29 9" xfId="29024"/>
    <cellStyle name="Note 3" xfId="1872"/>
    <cellStyle name="Note 3 10" xfId="29025"/>
    <cellStyle name="Note 3 11" xfId="29026"/>
    <cellStyle name="Note 3 2" xfId="1873"/>
    <cellStyle name="Note 3 2 10" xfId="29028"/>
    <cellStyle name="Note 3 2 11" xfId="29027"/>
    <cellStyle name="Note 3 2 2" xfId="1874"/>
    <cellStyle name="Note 3 2 2 2" xfId="6445"/>
    <cellStyle name="Note 3 2 2 2 10" xfId="29030"/>
    <cellStyle name="Note 3 2 2 2 2" xfId="29031"/>
    <cellStyle name="Note 3 2 2 2 2 2" xfId="29032"/>
    <cellStyle name="Note 3 2 2 2 3" xfId="29033"/>
    <cellStyle name="Note 3 2 2 2 3 2" xfId="29034"/>
    <cellStyle name="Note 3 2 2 2 4" xfId="29035"/>
    <cellStyle name="Note 3 2 2 2 4 2" xfId="29036"/>
    <cellStyle name="Note 3 2 2 2 5" xfId="29037"/>
    <cellStyle name="Note 3 2 2 2 6" xfId="29038"/>
    <cellStyle name="Note 3 2 2 2 7" xfId="29039"/>
    <cellStyle name="Note 3 2 2 2 8" xfId="29040"/>
    <cellStyle name="Note 3 2 2 2 9" xfId="29041"/>
    <cellStyle name="Note 3 2 2 3" xfId="8195"/>
    <cellStyle name="Note 3 2 2 3 2" xfId="29043"/>
    <cellStyle name="Note 3 2 2 3 2 2" xfId="29044"/>
    <cellStyle name="Note 3 2 2 3 3" xfId="29045"/>
    <cellStyle name="Note 3 2 2 3 3 2" xfId="29046"/>
    <cellStyle name="Note 3 2 2 3 4" xfId="29047"/>
    <cellStyle name="Note 3 2 2 3 5" xfId="29048"/>
    <cellStyle name="Note 3 2 2 3 6" xfId="29049"/>
    <cellStyle name="Note 3 2 2 3 7" xfId="29042"/>
    <cellStyle name="Note 3 2 2 4" xfId="29050"/>
    <cellStyle name="Note 3 2 2 4 2" xfId="29051"/>
    <cellStyle name="Note 3 2 2 5" xfId="29052"/>
    <cellStyle name="Note 3 2 2 6" xfId="29053"/>
    <cellStyle name="Note 3 2 2 7" xfId="29054"/>
    <cellStyle name="Note 3 2 2 7 2" xfId="29055"/>
    <cellStyle name="Note 3 2 2 8" xfId="29029"/>
    <cellStyle name="Note 3 2 3" xfId="6446"/>
    <cellStyle name="Note 3 2 3 2" xfId="29057"/>
    <cellStyle name="Note 3 2 3 2 2" xfId="29058"/>
    <cellStyle name="Note 3 2 3 2 2 2" xfId="29059"/>
    <cellStyle name="Note 3 2 3 2 3" xfId="29060"/>
    <cellStyle name="Note 3 2 3 2 3 2" xfId="29061"/>
    <cellStyle name="Note 3 2 3 2 4" xfId="29062"/>
    <cellStyle name="Note 3 2 3 2 4 2" xfId="29063"/>
    <cellStyle name="Note 3 2 3 2 5" xfId="29064"/>
    <cellStyle name="Note 3 2 3 2 6" xfId="29065"/>
    <cellStyle name="Note 3 2 3 2 7" xfId="29066"/>
    <cellStyle name="Note 3 2 3 2 8" xfId="29067"/>
    <cellStyle name="Note 3 2 3 2 9" xfId="29068"/>
    <cellStyle name="Note 3 2 3 3" xfId="29069"/>
    <cellStyle name="Note 3 2 3 3 2" xfId="29070"/>
    <cellStyle name="Note 3 2 3 3 2 2" xfId="29071"/>
    <cellStyle name="Note 3 2 3 3 3" xfId="29072"/>
    <cellStyle name="Note 3 2 3 3 3 2" xfId="29073"/>
    <cellStyle name="Note 3 2 3 3 4" xfId="29074"/>
    <cellStyle name="Note 3 2 3 3 5" xfId="29075"/>
    <cellStyle name="Note 3 2 3 3 6" xfId="29076"/>
    <cellStyle name="Note 3 2 3 4" xfId="29077"/>
    <cellStyle name="Note 3 2 3 4 2" xfId="29078"/>
    <cellStyle name="Note 3 2 3 5" xfId="29079"/>
    <cellStyle name="Note 3 2 3 6" xfId="29080"/>
    <cellStyle name="Note 3 2 3 7" xfId="29081"/>
    <cellStyle name="Note 3 2 3 7 2" xfId="29082"/>
    <cellStyle name="Note 3 2 3 8" xfId="29056"/>
    <cellStyle name="Note 3 2 4" xfId="6447"/>
    <cellStyle name="Note 3 2 4 10" xfId="29083"/>
    <cellStyle name="Note 3 2 4 2" xfId="6448"/>
    <cellStyle name="Note 3 2 4 2 2" xfId="29085"/>
    <cellStyle name="Note 3 2 4 2 3" xfId="29084"/>
    <cellStyle name="Note 3 2 4 3" xfId="29086"/>
    <cellStyle name="Note 3 2 4 3 2" xfId="29087"/>
    <cellStyle name="Note 3 2 4 4" xfId="29088"/>
    <cellStyle name="Note 3 2 4 4 2" xfId="29089"/>
    <cellStyle name="Note 3 2 4 5" xfId="29090"/>
    <cellStyle name="Note 3 2 4 6" xfId="29091"/>
    <cellStyle name="Note 3 2 4 7" xfId="29092"/>
    <cellStyle name="Note 3 2 4 8" xfId="29093"/>
    <cellStyle name="Note 3 2 4 9" xfId="29094"/>
    <cellStyle name="Note 3 2 5" xfId="6449"/>
    <cellStyle name="Note 3 2 5 10" xfId="29095"/>
    <cellStyle name="Note 3 2 5 2" xfId="6450"/>
    <cellStyle name="Note 3 2 5 2 2" xfId="29097"/>
    <cellStyle name="Note 3 2 5 2 3" xfId="29096"/>
    <cellStyle name="Note 3 2 5 3" xfId="29098"/>
    <cellStyle name="Note 3 2 5 3 2" xfId="29099"/>
    <cellStyle name="Note 3 2 5 4" xfId="29100"/>
    <cellStyle name="Note 3 2 5 4 2" xfId="29101"/>
    <cellStyle name="Note 3 2 5 5" xfId="29102"/>
    <cellStyle name="Note 3 2 5 6" xfId="29103"/>
    <cellStyle name="Note 3 2 5 7" xfId="29104"/>
    <cellStyle name="Note 3 2 5 8" xfId="29105"/>
    <cellStyle name="Note 3 2 5 9" xfId="29106"/>
    <cellStyle name="Note 3 2 6" xfId="6451"/>
    <cellStyle name="Note 3 2 6 2" xfId="29108"/>
    <cellStyle name="Note 3 2 6 2 2" xfId="29109"/>
    <cellStyle name="Note 3 2 6 3" xfId="29110"/>
    <cellStyle name="Note 3 2 6 3 2" xfId="29111"/>
    <cellStyle name="Note 3 2 6 4" xfId="29112"/>
    <cellStyle name="Note 3 2 6 5" xfId="29113"/>
    <cellStyle name="Note 3 2 6 6" xfId="29114"/>
    <cellStyle name="Note 3 2 6 7" xfId="29107"/>
    <cellStyle name="Note 3 2 7" xfId="6452"/>
    <cellStyle name="Note 3 2 7 2" xfId="29116"/>
    <cellStyle name="Note 3 2 7 3" xfId="29115"/>
    <cellStyle name="Note 3 2 8" xfId="6444"/>
    <cellStyle name="Note 3 2 8 2" xfId="29117"/>
    <cellStyle name="Note 3 2 9" xfId="8194"/>
    <cellStyle name="Note 3 2 9 2" xfId="29118"/>
    <cellStyle name="Note 3 3" xfId="1875"/>
    <cellStyle name="Note 3 3 2" xfId="1876"/>
    <cellStyle name="Note 3 3 2 2" xfId="8197"/>
    <cellStyle name="Note 3 3 2 2 2" xfId="29120"/>
    <cellStyle name="Note 3 3 2 3" xfId="29121"/>
    <cellStyle name="Note 3 3 2 3 2" xfId="29122"/>
    <cellStyle name="Note 3 3 2 4" xfId="29123"/>
    <cellStyle name="Note 3 3 2 4 2" xfId="29124"/>
    <cellStyle name="Note 3 3 2 5" xfId="29125"/>
    <cellStyle name="Note 3 3 2 6" xfId="29126"/>
    <cellStyle name="Note 3 3 2 7" xfId="29127"/>
    <cellStyle name="Note 3 3 2 8" xfId="29128"/>
    <cellStyle name="Note 3 3 2 9" xfId="29129"/>
    <cellStyle name="Note 3 3 3" xfId="8196"/>
    <cellStyle name="Note 3 3 3 2" xfId="29130"/>
    <cellStyle name="Note 3 3 3 2 2" xfId="29131"/>
    <cellStyle name="Note 3 3 3 3" xfId="29132"/>
    <cellStyle name="Note 3 3 3 3 2" xfId="29133"/>
    <cellStyle name="Note 3 3 3 4" xfId="29134"/>
    <cellStyle name="Note 3 3 3 5" xfId="29135"/>
    <cellStyle name="Note 3 3 3 6" xfId="29136"/>
    <cellStyle name="Note 3 3 4" xfId="29137"/>
    <cellStyle name="Note 3 3 4 2" xfId="29138"/>
    <cellStyle name="Note 3 3 5" xfId="29139"/>
    <cellStyle name="Note 3 3 6" xfId="29140"/>
    <cellStyle name="Note 3 3 7" xfId="29141"/>
    <cellStyle name="Note 3 3 7 2" xfId="29142"/>
    <cellStyle name="Note 3 3 8" xfId="29143"/>
    <cellStyle name="Note 3 3 9" xfId="29119"/>
    <cellStyle name="Note 3 4" xfId="1877"/>
    <cellStyle name="Note 3 4 2" xfId="1878"/>
    <cellStyle name="Note 3 4 2 2" xfId="8199"/>
    <cellStyle name="Note 3 4 2 2 2" xfId="29144"/>
    <cellStyle name="Note 3 4 2 3" xfId="29145"/>
    <cellStyle name="Note 3 4 2 3 2" xfId="29146"/>
    <cellStyle name="Note 3 4 2 4" xfId="29147"/>
    <cellStyle name="Note 3 4 2 4 2" xfId="29148"/>
    <cellStyle name="Note 3 4 2 5" xfId="29149"/>
    <cellStyle name="Note 3 4 2 6" xfId="29150"/>
    <cellStyle name="Note 3 4 2 7" xfId="29151"/>
    <cellStyle name="Note 3 4 2 8" xfId="29152"/>
    <cellStyle name="Note 3 4 2 9" xfId="29153"/>
    <cellStyle name="Note 3 4 3" xfId="8198"/>
    <cellStyle name="Note 3 4 3 2" xfId="29154"/>
    <cellStyle name="Note 3 4 3 2 2" xfId="29155"/>
    <cellStyle name="Note 3 4 3 3" xfId="29156"/>
    <cellStyle name="Note 3 4 3 3 2" xfId="29157"/>
    <cellStyle name="Note 3 4 3 4" xfId="29158"/>
    <cellStyle name="Note 3 4 3 5" xfId="29159"/>
    <cellStyle name="Note 3 4 3 6" xfId="29160"/>
    <cellStyle name="Note 3 4 4" xfId="29161"/>
    <cellStyle name="Note 3 4 4 2" xfId="29162"/>
    <cellStyle name="Note 3 4 5" xfId="29163"/>
    <cellStyle name="Note 3 4 6" xfId="29164"/>
    <cellStyle name="Note 3 4 7" xfId="29165"/>
    <cellStyle name="Note 3 5" xfId="1879"/>
    <cellStyle name="Note 3 5 10" xfId="29167"/>
    <cellStyle name="Note 3 5 11" xfId="29166"/>
    <cellStyle name="Note 3 5 2" xfId="1880"/>
    <cellStyle name="Note 3 5 2 2" xfId="8201"/>
    <cellStyle name="Note 3 5 2 3" xfId="29168"/>
    <cellStyle name="Note 3 5 3" xfId="8200"/>
    <cellStyle name="Note 3 5 3 2" xfId="29169"/>
    <cellStyle name="Note 3 5 4" xfId="29170"/>
    <cellStyle name="Note 3 5 4 2" xfId="29171"/>
    <cellStyle name="Note 3 5 5" xfId="29172"/>
    <cellStyle name="Note 3 5 6" xfId="29173"/>
    <cellStyle name="Note 3 5 7" xfId="29174"/>
    <cellStyle name="Note 3 5 8" xfId="29175"/>
    <cellStyle name="Note 3 5 9" xfId="29176"/>
    <cellStyle name="Note 3 5 9 2" xfId="29177"/>
    <cellStyle name="Note 3 6" xfId="1881"/>
    <cellStyle name="Note 3 6 10" xfId="29178"/>
    <cellStyle name="Note 3 6 2" xfId="6454"/>
    <cellStyle name="Note 3 6 2 2" xfId="29180"/>
    <cellStyle name="Note 3 6 2 3" xfId="29181"/>
    <cellStyle name="Note 3 6 2 4" xfId="29179"/>
    <cellStyle name="Note 3 6 3" xfId="6453"/>
    <cellStyle name="Note 3 6 3 2" xfId="29183"/>
    <cellStyle name="Note 3 6 3 3" xfId="29182"/>
    <cellStyle name="Note 3 6 4" xfId="8202"/>
    <cellStyle name="Note 3 6 4 2" xfId="29185"/>
    <cellStyle name="Note 3 6 4 3" xfId="29184"/>
    <cellStyle name="Note 3 6 5" xfId="29186"/>
    <cellStyle name="Note 3 6 6" xfId="29187"/>
    <cellStyle name="Note 3 6 7" xfId="29188"/>
    <cellStyle name="Note 3 6 8" xfId="29189"/>
    <cellStyle name="Note 3 6 9" xfId="29190"/>
    <cellStyle name="Note 3 7" xfId="1882"/>
    <cellStyle name="Note 3 7 2" xfId="8203"/>
    <cellStyle name="Note 3 7 2 2" xfId="29191"/>
    <cellStyle name="Note 3 7 3" xfId="29192"/>
    <cellStyle name="Note 3 7 3 2" xfId="29193"/>
    <cellStyle name="Note 3 7 4" xfId="29194"/>
    <cellStyle name="Note 3 7 5" xfId="29195"/>
    <cellStyle name="Note 3 7 6" xfId="29196"/>
    <cellStyle name="Note 3 8" xfId="1883"/>
    <cellStyle name="Note 3 8 2" xfId="6455"/>
    <cellStyle name="Note 3 8 2 2" xfId="29198"/>
    <cellStyle name="Note 3 8 3" xfId="8204"/>
    <cellStyle name="Note 3 8 4" xfId="29197"/>
    <cellStyle name="Note 3 9" xfId="8193"/>
    <cellStyle name="Note 30" xfId="2811"/>
    <cellStyle name="Note 30 10" xfId="29199"/>
    <cellStyle name="Note 30 2" xfId="6456"/>
    <cellStyle name="Note 30 2 2" xfId="29201"/>
    <cellStyle name="Note 30 2 2 2" xfId="29202"/>
    <cellStyle name="Note 30 2 2 2 2" xfId="29203"/>
    <cellStyle name="Note 30 2 2 2 3" xfId="29204"/>
    <cellStyle name="Note 30 2 2 3" xfId="29205"/>
    <cellStyle name="Note 30 2 2 3 2" xfId="29206"/>
    <cellStyle name="Note 30 2 2 4" xfId="29207"/>
    <cellStyle name="Note 30 2 2 4 2" xfId="29208"/>
    <cellStyle name="Note 30 2 2 5" xfId="29209"/>
    <cellStyle name="Note 30 2 2 6" xfId="29210"/>
    <cellStyle name="Note 30 2 2 7" xfId="29211"/>
    <cellStyle name="Note 30 2 2 8" xfId="29212"/>
    <cellStyle name="Note 30 2 2 9" xfId="29213"/>
    <cellStyle name="Note 30 2 3" xfId="29214"/>
    <cellStyle name="Note 30 2 3 2" xfId="29215"/>
    <cellStyle name="Note 30 2 3 2 2" xfId="29216"/>
    <cellStyle name="Note 30 2 3 2 3" xfId="29217"/>
    <cellStyle name="Note 30 2 3 3" xfId="29218"/>
    <cellStyle name="Note 30 2 3 3 2" xfId="29219"/>
    <cellStyle name="Note 30 2 3 4" xfId="29220"/>
    <cellStyle name="Note 30 2 3 5" xfId="29221"/>
    <cellStyle name="Note 30 2 3 6" xfId="29222"/>
    <cellStyle name="Note 30 2 4" xfId="29223"/>
    <cellStyle name="Note 30 2 4 2" xfId="29224"/>
    <cellStyle name="Note 30 2 4 3" xfId="29225"/>
    <cellStyle name="Note 30 2 5" xfId="29226"/>
    <cellStyle name="Note 30 2 6" xfId="29227"/>
    <cellStyle name="Note 30 2 7" xfId="29228"/>
    <cellStyle name="Note 30 2 8" xfId="29200"/>
    <cellStyle name="Note 30 3" xfId="6457"/>
    <cellStyle name="Note 30 3 2" xfId="29230"/>
    <cellStyle name="Note 30 3 2 2" xfId="29231"/>
    <cellStyle name="Note 30 3 2 2 2" xfId="29232"/>
    <cellStyle name="Note 30 3 2 3" xfId="29233"/>
    <cellStyle name="Note 30 3 2 3 2" xfId="29234"/>
    <cellStyle name="Note 30 3 2 4" xfId="29235"/>
    <cellStyle name="Note 30 3 2 4 2" xfId="29236"/>
    <cellStyle name="Note 30 3 2 5" xfId="29237"/>
    <cellStyle name="Note 30 3 2 6" xfId="29238"/>
    <cellStyle name="Note 30 3 2 7" xfId="29239"/>
    <cellStyle name="Note 30 3 2 8" xfId="29240"/>
    <cellStyle name="Note 30 3 2 9" xfId="29241"/>
    <cellStyle name="Note 30 3 3" xfId="29242"/>
    <cellStyle name="Note 30 3 3 2" xfId="29243"/>
    <cellStyle name="Note 30 3 3 2 2" xfId="29244"/>
    <cellStyle name="Note 30 3 3 3" xfId="29245"/>
    <cellStyle name="Note 30 3 3 3 2" xfId="29246"/>
    <cellStyle name="Note 30 3 3 4" xfId="29247"/>
    <cellStyle name="Note 30 3 3 5" xfId="29248"/>
    <cellStyle name="Note 30 3 3 6" xfId="29249"/>
    <cellStyle name="Note 30 3 4" xfId="29250"/>
    <cellStyle name="Note 30 3 4 2" xfId="29251"/>
    <cellStyle name="Note 30 3 5" xfId="29252"/>
    <cellStyle name="Note 30 3 6" xfId="29253"/>
    <cellStyle name="Note 30 3 7" xfId="29254"/>
    <cellStyle name="Note 30 3 8" xfId="29229"/>
    <cellStyle name="Note 30 4" xfId="6458"/>
    <cellStyle name="Note 30 4 10" xfId="29255"/>
    <cellStyle name="Note 30 4 2" xfId="6459"/>
    <cellStyle name="Note 30 4 2 2" xfId="29257"/>
    <cellStyle name="Note 30 4 2 3" xfId="29258"/>
    <cellStyle name="Note 30 4 2 4" xfId="29256"/>
    <cellStyle name="Note 30 4 3" xfId="29259"/>
    <cellStyle name="Note 30 4 3 2" xfId="29260"/>
    <cellStyle name="Note 30 4 4" xfId="29261"/>
    <cellStyle name="Note 30 4 4 2" xfId="29262"/>
    <cellStyle name="Note 30 4 5" xfId="29263"/>
    <cellStyle name="Note 30 4 6" xfId="29264"/>
    <cellStyle name="Note 30 4 7" xfId="29265"/>
    <cellStyle name="Note 30 4 8" xfId="29266"/>
    <cellStyle name="Note 30 4 9" xfId="29267"/>
    <cellStyle name="Note 30 5" xfId="6460"/>
    <cellStyle name="Note 30 5 10" xfId="29268"/>
    <cellStyle name="Note 30 5 2" xfId="6461"/>
    <cellStyle name="Note 30 5 2 2" xfId="29270"/>
    <cellStyle name="Note 30 5 2 3" xfId="29271"/>
    <cellStyle name="Note 30 5 2 4" xfId="29269"/>
    <cellStyle name="Note 30 5 3" xfId="29272"/>
    <cellStyle name="Note 30 5 3 2" xfId="29273"/>
    <cellStyle name="Note 30 5 4" xfId="29274"/>
    <cellStyle name="Note 30 5 4 2" xfId="29275"/>
    <cellStyle name="Note 30 5 5" xfId="29276"/>
    <cellStyle name="Note 30 5 6" xfId="29277"/>
    <cellStyle name="Note 30 5 7" xfId="29278"/>
    <cellStyle name="Note 30 5 8" xfId="29279"/>
    <cellStyle name="Note 30 5 9" xfId="29280"/>
    <cellStyle name="Note 30 6" xfId="6462"/>
    <cellStyle name="Note 30 6 2" xfId="29282"/>
    <cellStyle name="Note 30 6 2 2" xfId="29283"/>
    <cellStyle name="Note 30 6 3" xfId="29284"/>
    <cellStyle name="Note 30 6 3 2" xfId="29285"/>
    <cellStyle name="Note 30 6 4" xfId="29286"/>
    <cellStyle name="Note 30 6 5" xfId="29287"/>
    <cellStyle name="Note 30 6 6" xfId="29288"/>
    <cellStyle name="Note 30 6 7" xfId="29281"/>
    <cellStyle name="Note 30 7" xfId="6463"/>
    <cellStyle name="Note 30 7 2" xfId="29290"/>
    <cellStyle name="Note 30 7 3" xfId="29289"/>
    <cellStyle name="Note 30 8" xfId="8396"/>
    <cellStyle name="Note 30 9" xfId="29291"/>
    <cellStyle name="Note 31" xfId="2812"/>
    <cellStyle name="Note 31 10" xfId="29292"/>
    <cellStyle name="Note 31 2" xfId="6464"/>
    <cellStyle name="Note 31 2 2" xfId="29294"/>
    <cellStyle name="Note 31 2 2 2" xfId="29295"/>
    <cellStyle name="Note 31 2 2 2 2" xfId="29296"/>
    <cellStyle name="Note 31 2 2 2 3" xfId="29297"/>
    <cellStyle name="Note 31 2 2 3" xfId="29298"/>
    <cellStyle name="Note 31 2 2 3 2" xfId="29299"/>
    <cellStyle name="Note 31 2 2 4" xfId="29300"/>
    <cellStyle name="Note 31 2 2 4 2" xfId="29301"/>
    <cellStyle name="Note 31 2 2 5" xfId="29302"/>
    <cellStyle name="Note 31 2 2 6" xfId="29303"/>
    <cellStyle name="Note 31 2 2 7" xfId="29304"/>
    <cellStyle name="Note 31 2 2 8" xfId="29305"/>
    <cellStyle name="Note 31 2 2 9" xfId="29306"/>
    <cellStyle name="Note 31 2 3" xfId="29307"/>
    <cellStyle name="Note 31 2 3 2" xfId="29308"/>
    <cellStyle name="Note 31 2 3 2 2" xfId="29309"/>
    <cellStyle name="Note 31 2 3 2 3" xfId="29310"/>
    <cellStyle name="Note 31 2 3 3" xfId="29311"/>
    <cellStyle name="Note 31 2 3 3 2" xfId="29312"/>
    <cellStyle name="Note 31 2 3 4" xfId="29313"/>
    <cellStyle name="Note 31 2 3 5" xfId="29314"/>
    <cellStyle name="Note 31 2 3 6" xfId="29315"/>
    <cellStyle name="Note 31 2 4" xfId="29316"/>
    <cellStyle name="Note 31 2 4 2" xfId="29317"/>
    <cellStyle name="Note 31 2 4 3" xfId="29318"/>
    <cellStyle name="Note 31 2 5" xfId="29319"/>
    <cellStyle name="Note 31 2 6" xfId="29320"/>
    <cellStyle name="Note 31 2 7" xfId="29321"/>
    <cellStyle name="Note 31 2 8" xfId="29293"/>
    <cellStyle name="Note 31 3" xfId="6465"/>
    <cellStyle name="Note 31 3 2" xfId="29323"/>
    <cellStyle name="Note 31 3 2 2" xfId="29324"/>
    <cellStyle name="Note 31 3 2 2 2" xfId="29325"/>
    <cellStyle name="Note 31 3 2 3" xfId="29326"/>
    <cellStyle name="Note 31 3 2 3 2" xfId="29327"/>
    <cellStyle name="Note 31 3 2 4" xfId="29328"/>
    <cellStyle name="Note 31 3 2 4 2" xfId="29329"/>
    <cellStyle name="Note 31 3 2 5" xfId="29330"/>
    <cellStyle name="Note 31 3 2 6" xfId="29331"/>
    <cellStyle name="Note 31 3 2 7" xfId="29332"/>
    <cellStyle name="Note 31 3 2 8" xfId="29333"/>
    <cellStyle name="Note 31 3 2 9" xfId="29334"/>
    <cellStyle name="Note 31 3 3" xfId="29335"/>
    <cellStyle name="Note 31 3 3 2" xfId="29336"/>
    <cellStyle name="Note 31 3 3 2 2" xfId="29337"/>
    <cellStyle name="Note 31 3 3 3" xfId="29338"/>
    <cellStyle name="Note 31 3 3 3 2" xfId="29339"/>
    <cellStyle name="Note 31 3 3 4" xfId="29340"/>
    <cellStyle name="Note 31 3 3 5" xfId="29341"/>
    <cellStyle name="Note 31 3 3 6" xfId="29342"/>
    <cellStyle name="Note 31 3 4" xfId="29343"/>
    <cellStyle name="Note 31 3 4 2" xfId="29344"/>
    <cellStyle name="Note 31 3 5" xfId="29345"/>
    <cellStyle name="Note 31 3 6" xfId="29346"/>
    <cellStyle name="Note 31 3 7" xfId="29347"/>
    <cellStyle name="Note 31 3 8" xfId="29322"/>
    <cellStyle name="Note 31 4" xfId="6466"/>
    <cellStyle name="Note 31 4 10" xfId="29348"/>
    <cellStyle name="Note 31 4 2" xfId="6467"/>
    <cellStyle name="Note 31 4 2 2" xfId="29350"/>
    <cellStyle name="Note 31 4 2 3" xfId="29351"/>
    <cellStyle name="Note 31 4 2 4" xfId="29349"/>
    <cellStyle name="Note 31 4 3" xfId="29352"/>
    <cellStyle name="Note 31 4 3 2" xfId="29353"/>
    <cellStyle name="Note 31 4 4" xfId="29354"/>
    <cellStyle name="Note 31 4 4 2" xfId="29355"/>
    <cellStyle name="Note 31 4 5" xfId="29356"/>
    <cellStyle name="Note 31 4 6" xfId="29357"/>
    <cellStyle name="Note 31 4 7" xfId="29358"/>
    <cellStyle name="Note 31 4 8" xfId="29359"/>
    <cellStyle name="Note 31 4 9" xfId="29360"/>
    <cellStyle name="Note 31 5" xfId="6468"/>
    <cellStyle name="Note 31 5 10" xfId="29361"/>
    <cellStyle name="Note 31 5 2" xfId="6469"/>
    <cellStyle name="Note 31 5 2 2" xfId="29363"/>
    <cellStyle name="Note 31 5 2 3" xfId="29364"/>
    <cellStyle name="Note 31 5 2 4" xfId="29362"/>
    <cellStyle name="Note 31 5 3" xfId="29365"/>
    <cellStyle name="Note 31 5 3 2" xfId="29366"/>
    <cellStyle name="Note 31 5 4" xfId="29367"/>
    <cellStyle name="Note 31 5 4 2" xfId="29368"/>
    <cellStyle name="Note 31 5 5" xfId="29369"/>
    <cellStyle name="Note 31 5 6" xfId="29370"/>
    <cellStyle name="Note 31 5 7" xfId="29371"/>
    <cellStyle name="Note 31 5 8" xfId="29372"/>
    <cellStyle name="Note 31 5 9" xfId="29373"/>
    <cellStyle name="Note 31 6" xfId="6470"/>
    <cellStyle name="Note 31 6 2" xfId="29375"/>
    <cellStyle name="Note 31 6 2 2" xfId="29376"/>
    <cellStyle name="Note 31 6 3" xfId="29377"/>
    <cellStyle name="Note 31 6 3 2" xfId="29378"/>
    <cellStyle name="Note 31 6 4" xfId="29379"/>
    <cellStyle name="Note 31 6 5" xfId="29380"/>
    <cellStyle name="Note 31 6 6" xfId="29381"/>
    <cellStyle name="Note 31 6 7" xfId="29374"/>
    <cellStyle name="Note 31 7" xfId="6471"/>
    <cellStyle name="Note 31 7 2" xfId="29383"/>
    <cellStyle name="Note 31 7 3" xfId="29382"/>
    <cellStyle name="Note 31 8" xfId="8397"/>
    <cellStyle name="Note 31 9" xfId="29384"/>
    <cellStyle name="Note 32" xfId="2813"/>
    <cellStyle name="Note 32 10" xfId="29385"/>
    <cellStyle name="Note 32 2" xfId="6472"/>
    <cellStyle name="Note 32 2 2" xfId="29387"/>
    <cellStyle name="Note 32 2 2 2" xfId="29388"/>
    <cellStyle name="Note 32 2 2 2 2" xfId="29389"/>
    <cellStyle name="Note 32 2 2 2 3" xfId="29390"/>
    <cellStyle name="Note 32 2 2 3" xfId="29391"/>
    <cellStyle name="Note 32 2 2 3 2" xfId="29392"/>
    <cellStyle name="Note 32 2 2 4" xfId="29393"/>
    <cellStyle name="Note 32 2 2 4 2" xfId="29394"/>
    <cellStyle name="Note 32 2 2 5" xfId="29395"/>
    <cellStyle name="Note 32 2 2 6" xfId="29396"/>
    <cellStyle name="Note 32 2 2 7" xfId="29397"/>
    <cellStyle name="Note 32 2 2 8" xfId="29398"/>
    <cellStyle name="Note 32 2 2 9" xfId="29399"/>
    <cellStyle name="Note 32 2 3" xfId="29400"/>
    <cellStyle name="Note 32 2 3 2" xfId="29401"/>
    <cellStyle name="Note 32 2 3 2 2" xfId="29402"/>
    <cellStyle name="Note 32 2 3 2 3" xfId="29403"/>
    <cellStyle name="Note 32 2 3 3" xfId="29404"/>
    <cellStyle name="Note 32 2 3 3 2" xfId="29405"/>
    <cellStyle name="Note 32 2 3 4" xfId="29406"/>
    <cellStyle name="Note 32 2 3 5" xfId="29407"/>
    <cellStyle name="Note 32 2 3 6" xfId="29408"/>
    <cellStyle name="Note 32 2 4" xfId="29409"/>
    <cellStyle name="Note 32 2 4 2" xfId="29410"/>
    <cellStyle name="Note 32 2 4 3" xfId="29411"/>
    <cellStyle name="Note 32 2 5" xfId="29412"/>
    <cellStyle name="Note 32 2 6" xfId="29413"/>
    <cellStyle name="Note 32 2 7" xfId="29414"/>
    <cellStyle name="Note 32 2 8" xfId="29386"/>
    <cellStyle name="Note 32 3" xfId="6473"/>
    <cellStyle name="Note 32 3 2" xfId="29416"/>
    <cellStyle name="Note 32 3 2 2" xfId="29417"/>
    <cellStyle name="Note 32 3 2 2 2" xfId="29418"/>
    <cellStyle name="Note 32 3 2 3" xfId="29419"/>
    <cellStyle name="Note 32 3 2 3 2" xfId="29420"/>
    <cellStyle name="Note 32 3 2 4" xfId="29421"/>
    <cellStyle name="Note 32 3 2 4 2" xfId="29422"/>
    <cellStyle name="Note 32 3 2 5" xfId="29423"/>
    <cellStyle name="Note 32 3 2 6" xfId="29424"/>
    <cellStyle name="Note 32 3 2 7" xfId="29425"/>
    <cellStyle name="Note 32 3 2 8" xfId="29426"/>
    <cellStyle name="Note 32 3 2 9" xfId="29427"/>
    <cellStyle name="Note 32 3 3" xfId="29428"/>
    <cellStyle name="Note 32 3 3 2" xfId="29429"/>
    <cellStyle name="Note 32 3 3 2 2" xfId="29430"/>
    <cellStyle name="Note 32 3 3 3" xfId="29431"/>
    <cellStyle name="Note 32 3 3 3 2" xfId="29432"/>
    <cellStyle name="Note 32 3 3 4" xfId="29433"/>
    <cellStyle name="Note 32 3 3 5" xfId="29434"/>
    <cellStyle name="Note 32 3 3 6" xfId="29435"/>
    <cellStyle name="Note 32 3 4" xfId="29436"/>
    <cellStyle name="Note 32 3 4 2" xfId="29437"/>
    <cellStyle name="Note 32 3 5" xfId="29438"/>
    <cellStyle name="Note 32 3 6" xfId="29439"/>
    <cellStyle name="Note 32 3 7" xfId="29440"/>
    <cellStyle name="Note 32 3 8" xfId="29415"/>
    <cellStyle name="Note 32 4" xfId="6474"/>
    <cellStyle name="Note 32 4 10" xfId="29441"/>
    <cellStyle name="Note 32 4 2" xfId="6475"/>
    <cellStyle name="Note 32 4 2 2" xfId="29443"/>
    <cellStyle name="Note 32 4 2 3" xfId="29444"/>
    <cellStyle name="Note 32 4 2 4" xfId="29442"/>
    <cellStyle name="Note 32 4 3" xfId="29445"/>
    <cellStyle name="Note 32 4 3 2" xfId="29446"/>
    <cellStyle name="Note 32 4 4" xfId="29447"/>
    <cellStyle name="Note 32 4 4 2" xfId="29448"/>
    <cellStyle name="Note 32 4 5" xfId="29449"/>
    <cellStyle name="Note 32 4 6" xfId="29450"/>
    <cellStyle name="Note 32 4 7" xfId="29451"/>
    <cellStyle name="Note 32 4 8" xfId="29452"/>
    <cellStyle name="Note 32 4 9" xfId="29453"/>
    <cellStyle name="Note 32 5" xfId="6476"/>
    <cellStyle name="Note 32 5 10" xfId="29454"/>
    <cellStyle name="Note 32 5 2" xfId="6477"/>
    <cellStyle name="Note 32 5 2 2" xfId="29456"/>
    <cellStyle name="Note 32 5 2 3" xfId="29457"/>
    <cellStyle name="Note 32 5 2 4" xfId="29455"/>
    <cellStyle name="Note 32 5 3" xfId="29458"/>
    <cellStyle name="Note 32 5 3 2" xfId="29459"/>
    <cellStyle name="Note 32 5 4" xfId="29460"/>
    <cellStyle name="Note 32 5 4 2" xfId="29461"/>
    <cellStyle name="Note 32 5 5" xfId="29462"/>
    <cellStyle name="Note 32 5 6" xfId="29463"/>
    <cellStyle name="Note 32 5 7" xfId="29464"/>
    <cellStyle name="Note 32 5 8" xfId="29465"/>
    <cellStyle name="Note 32 5 9" xfId="29466"/>
    <cellStyle name="Note 32 6" xfId="6478"/>
    <cellStyle name="Note 32 6 2" xfId="29468"/>
    <cellStyle name="Note 32 6 2 2" xfId="29469"/>
    <cellStyle name="Note 32 6 3" xfId="29470"/>
    <cellStyle name="Note 32 6 3 2" xfId="29471"/>
    <cellStyle name="Note 32 6 4" xfId="29472"/>
    <cellStyle name="Note 32 6 5" xfId="29473"/>
    <cellStyle name="Note 32 6 6" xfId="29474"/>
    <cellStyle name="Note 32 6 7" xfId="29467"/>
    <cellStyle name="Note 32 7" xfId="6479"/>
    <cellStyle name="Note 32 7 2" xfId="29476"/>
    <cellStyle name="Note 32 7 3" xfId="29475"/>
    <cellStyle name="Note 32 8" xfId="8398"/>
    <cellStyle name="Note 32 9" xfId="29477"/>
    <cellStyle name="Note 33" xfId="2814"/>
    <cellStyle name="Note 33 10" xfId="29478"/>
    <cellStyle name="Note 33 2" xfId="6480"/>
    <cellStyle name="Note 33 2 2" xfId="29480"/>
    <cellStyle name="Note 33 2 2 2" xfId="29481"/>
    <cellStyle name="Note 33 2 2 2 2" xfId="29482"/>
    <cellStyle name="Note 33 2 2 2 3" xfId="29483"/>
    <cellStyle name="Note 33 2 2 3" xfId="29484"/>
    <cellStyle name="Note 33 2 2 3 2" xfId="29485"/>
    <cellStyle name="Note 33 2 2 4" xfId="29486"/>
    <cellStyle name="Note 33 2 2 4 2" xfId="29487"/>
    <cellStyle name="Note 33 2 2 5" xfId="29488"/>
    <cellStyle name="Note 33 2 2 6" xfId="29489"/>
    <cellStyle name="Note 33 2 2 7" xfId="29490"/>
    <cellStyle name="Note 33 2 2 8" xfId="29491"/>
    <cellStyle name="Note 33 2 2 9" xfId="29492"/>
    <cellStyle name="Note 33 2 3" xfId="29493"/>
    <cellStyle name="Note 33 2 3 2" xfId="29494"/>
    <cellStyle name="Note 33 2 3 2 2" xfId="29495"/>
    <cellStyle name="Note 33 2 3 2 3" xfId="29496"/>
    <cellStyle name="Note 33 2 3 3" xfId="29497"/>
    <cellStyle name="Note 33 2 3 3 2" xfId="29498"/>
    <cellStyle name="Note 33 2 3 4" xfId="29499"/>
    <cellStyle name="Note 33 2 3 5" xfId="29500"/>
    <cellStyle name="Note 33 2 3 6" xfId="29501"/>
    <cellStyle name="Note 33 2 4" xfId="29502"/>
    <cellStyle name="Note 33 2 4 2" xfId="29503"/>
    <cellStyle name="Note 33 2 4 3" xfId="29504"/>
    <cellStyle name="Note 33 2 5" xfId="29505"/>
    <cellStyle name="Note 33 2 6" xfId="29506"/>
    <cellStyle name="Note 33 2 7" xfId="29507"/>
    <cellStyle name="Note 33 2 8" xfId="29479"/>
    <cellStyle name="Note 33 3" xfId="6481"/>
    <cellStyle name="Note 33 3 2" xfId="29509"/>
    <cellStyle name="Note 33 3 2 2" xfId="29510"/>
    <cellStyle name="Note 33 3 2 2 2" xfId="29511"/>
    <cellStyle name="Note 33 3 2 3" xfId="29512"/>
    <cellStyle name="Note 33 3 2 3 2" xfId="29513"/>
    <cellStyle name="Note 33 3 2 4" xfId="29514"/>
    <cellStyle name="Note 33 3 2 4 2" xfId="29515"/>
    <cellStyle name="Note 33 3 2 5" xfId="29516"/>
    <cellStyle name="Note 33 3 2 6" xfId="29517"/>
    <cellStyle name="Note 33 3 2 7" xfId="29518"/>
    <cellStyle name="Note 33 3 2 8" xfId="29519"/>
    <cellStyle name="Note 33 3 2 9" xfId="29520"/>
    <cellStyle name="Note 33 3 3" xfId="29521"/>
    <cellStyle name="Note 33 3 3 2" xfId="29522"/>
    <cellStyle name="Note 33 3 3 2 2" xfId="29523"/>
    <cellStyle name="Note 33 3 3 3" xfId="29524"/>
    <cellStyle name="Note 33 3 3 3 2" xfId="29525"/>
    <cellStyle name="Note 33 3 3 4" xfId="29526"/>
    <cellStyle name="Note 33 3 3 5" xfId="29527"/>
    <cellStyle name="Note 33 3 3 6" xfId="29528"/>
    <cellStyle name="Note 33 3 4" xfId="29529"/>
    <cellStyle name="Note 33 3 4 2" xfId="29530"/>
    <cellStyle name="Note 33 3 5" xfId="29531"/>
    <cellStyle name="Note 33 3 6" xfId="29532"/>
    <cellStyle name="Note 33 3 7" xfId="29533"/>
    <cellStyle name="Note 33 3 8" xfId="29508"/>
    <cellStyle name="Note 33 4" xfId="6482"/>
    <cellStyle name="Note 33 4 10" xfId="29534"/>
    <cellStyle name="Note 33 4 2" xfId="6483"/>
    <cellStyle name="Note 33 4 2 2" xfId="29536"/>
    <cellStyle name="Note 33 4 2 3" xfId="29537"/>
    <cellStyle name="Note 33 4 2 4" xfId="29535"/>
    <cellStyle name="Note 33 4 3" xfId="29538"/>
    <cellStyle name="Note 33 4 3 2" xfId="29539"/>
    <cellStyle name="Note 33 4 4" xfId="29540"/>
    <cellStyle name="Note 33 4 4 2" xfId="29541"/>
    <cellStyle name="Note 33 4 5" xfId="29542"/>
    <cellStyle name="Note 33 4 6" xfId="29543"/>
    <cellStyle name="Note 33 4 7" xfId="29544"/>
    <cellStyle name="Note 33 4 8" xfId="29545"/>
    <cellStyle name="Note 33 4 9" xfId="29546"/>
    <cellStyle name="Note 33 5" xfId="6484"/>
    <cellStyle name="Note 33 5 10" xfId="29547"/>
    <cellStyle name="Note 33 5 2" xfId="6485"/>
    <cellStyle name="Note 33 5 2 2" xfId="29549"/>
    <cellStyle name="Note 33 5 2 3" xfId="29550"/>
    <cellStyle name="Note 33 5 2 4" xfId="29548"/>
    <cellStyle name="Note 33 5 3" xfId="29551"/>
    <cellStyle name="Note 33 5 3 2" xfId="29552"/>
    <cellStyle name="Note 33 5 4" xfId="29553"/>
    <cellStyle name="Note 33 5 4 2" xfId="29554"/>
    <cellStyle name="Note 33 5 5" xfId="29555"/>
    <cellStyle name="Note 33 5 6" xfId="29556"/>
    <cellStyle name="Note 33 5 7" xfId="29557"/>
    <cellStyle name="Note 33 5 8" xfId="29558"/>
    <cellStyle name="Note 33 5 9" xfId="29559"/>
    <cellStyle name="Note 33 6" xfId="6486"/>
    <cellStyle name="Note 33 6 2" xfId="29561"/>
    <cellStyle name="Note 33 6 2 2" xfId="29562"/>
    <cellStyle name="Note 33 6 3" xfId="29563"/>
    <cellStyle name="Note 33 6 3 2" xfId="29564"/>
    <cellStyle name="Note 33 6 4" xfId="29565"/>
    <cellStyle name="Note 33 6 5" xfId="29566"/>
    <cellStyle name="Note 33 6 6" xfId="29567"/>
    <cellStyle name="Note 33 6 7" xfId="29560"/>
    <cellStyle name="Note 33 7" xfId="6487"/>
    <cellStyle name="Note 33 7 2" xfId="29569"/>
    <cellStyle name="Note 33 7 3" xfId="29568"/>
    <cellStyle name="Note 33 8" xfId="8399"/>
    <cellStyle name="Note 33 9" xfId="29570"/>
    <cellStyle name="Note 34" xfId="2815"/>
    <cellStyle name="Note 34 10" xfId="29571"/>
    <cellStyle name="Note 34 2" xfId="6488"/>
    <cellStyle name="Note 34 2 2" xfId="29573"/>
    <cellStyle name="Note 34 2 2 2" xfId="29574"/>
    <cellStyle name="Note 34 2 2 2 2" xfId="29575"/>
    <cellStyle name="Note 34 2 2 2 3" xfId="29576"/>
    <cellStyle name="Note 34 2 2 3" xfId="29577"/>
    <cellStyle name="Note 34 2 2 3 2" xfId="29578"/>
    <cellStyle name="Note 34 2 2 4" xfId="29579"/>
    <cellStyle name="Note 34 2 2 4 2" xfId="29580"/>
    <cellStyle name="Note 34 2 2 5" xfId="29581"/>
    <cellStyle name="Note 34 2 2 6" xfId="29582"/>
    <cellStyle name="Note 34 2 2 7" xfId="29583"/>
    <cellStyle name="Note 34 2 2 8" xfId="29584"/>
    <cellStyle name="Note 34 2 2 9" xfId="29585"/>
    <cellStyle name="Note 34 2 3" xfId="29586"/>
    <cellStyle name="Note 34 2 3 2" xfId="29587"/>
    <cellStyle name="Note 34 2 3 2 2" xfId="29588"/>
    <cellStyle name="Note 34 2 3 2 3" xfId="29589"/>
    <cellStyle name="Note 34 2 3 3" xfId="29590"/>
    <cellStyle name="Note 34 2 3 3 2" xfId="29591"/>
    <cellStyle name="Note 34 2 3 4" xfId="29592"/>
    <cellStyle name="Note 34 2 3 5" xfId="29593"/>
    <cellStyle name="Note 34 2 3 6" xfId="29594"/>
    <cellStyle name="Note 34 2 4" xfId="29595"/>
    <cellStyle name="Note 34 2 4 2" xfId="29596"/>
    <cellStyle name="Note 34 2 4 3" xfId="29597"/>
    <cellStyle name="Note 34 2 5" xfId="29598"/>
    <cellStyle name="Note 34 2 6" xfId="29599"/>
    <cellStyle name="Note 34 2 7" xfId="29600"/>
    <cellStyle name="Note 34 2 8" xfId="29572"/>
    <cellStyle name="Note 34 3" xfId="6489"/>
    <cellStyle name="Note 34 3 2" xfId="29602"/>
    <cellStyle name="Note 34 3 2 2" xfId="29603"/>
    <cellStyle name="Note 34 3 2 2 2" xfId="29604"/>
    <cellStyle name="Note 34 3 2 3" xfId="29605"/>
    <cellStyle name="Note 34 3 2 3 2" xfId="29606"/>
    <cellStyle name="Note 34 3 2 4" xfId="29607"/>
    <cellStyle name="Note 34 3 2 4 2" xfId="29608"/>
    <cellStyle name="Note 34 3 2 5" xfId="29609"/>
    <cellStyle name="Note 34 3 2 6" xfId="29610"/>
    <cellStyle name="Note 34 3 2 7" xfId="29611"/>
    <cellStyle name="Note 34 3 2 8" xfId="29612"/>
    <cellStyle name="Note 34 3 2 9" xfId="29613"/>
    <cellStyle name="Note 34 3 3" xfId="29614"/>
    <cellStyle name="Note 34 3 3 2" xfId="29615"/>
    <cellStyle name="Note 34 3 3 2 2" xfId="29616"/>
    <cellStyle name="Note 34 3 3 3" xfId="29617"/>
    <cellStyle name="Note 34 3 3 3 2" xfId="29618"/>
    <cellStyle name="Note 34 3 3 4" xfId="29619"/>
    <cellStyle name="Note 34 3 3 5" xfId="29620"/>
    <cellStyle name="Note 34 3 3 6" xfId="29621"/>
    <cellStyle name="Note 34 3 4" xfId="29622"/>
    <cellStyle name="Note 34 3 4 2" xfId="29623"/>
    <cellStyle name="Note 34 3 5" xfId="29624"/>
    <cellStyle name="Note 34 3 6" xfId="29625"/>
    <cellStyle name="Note 34 3 7" xfId="29626"/>
    <cellStyle name="Note 34 3 8" xfId="29601"/>
    <cellStyle name="Note 34 4" xfId="6490"/>
    <cellStyle name="Note 34 4 10" xfId="29627"/>
    <cellStyle name="Note 34 4 2" xfId="6491"/>
    <cellStyle name="Note 34 4 2 2" xfId="29629"/>
    <cellStyle name="Note 34 4 2 3" xfId="29630"/>
    <cellStyle name="Note 34 4 2 4" xfId="29628"/>
    <cellStyle name="Note 34 4 3" xfId="29631"/>
    <cellStyle name="Note 34 4 3 2" xfId="29632"/>
    <cellStyle name="Note 34 4 4" xfId="29633"/>
    <cellStyle name="Note 34 4 4 2" xfId="29634"/>
    <cellStyle name="Note 34 4 5" xfId="29635"/>
    <cellStyle name="Note 34 4 6" xfId="29636"/>
    <cellStyle name="Note 34 4 7" xfId="29637"/>
    <cellStyle name="Note 34 4 8" xfId="29638"/>
    <cellStyle name="Note 34 4 9" xfId="29639"/>
    <cellStyle name="Note 34 5" xfId="6492"/>
    <cellStyle name="Note 34 5 10" xfId="29640"/>
    <cellStyle name="Note 34 5 2" xfId="6493"/>
    <cellStyle name="Note 34 5 2 2" xfId="29642"/>
    <cellStyle name="Note 34 5 2 3" xfId="29643"/>
    <cellStyle name="Note 34 5 2 4" xfId="29641"/>
    <cellStyle name="Note 34 5 3" xfId="29644"/>
    <cellStyle name="Note 34 5 3 2" xfId="29645"/>
    <cellStyle name="Note 34 5 4" xfId="29646"/>
    <cellStyle name="Note 34 5 4 2" xfId="29647"/>
    <cellStyle name="Note 34 5 5" xfId="29648"/>
    <cellStyle name="Note 34 5 6" xfId="29649"/>
    <cellStyle name="Note 34 5 7" xfId="29650"/>
    <cellStyle name="Note 34 5 8" xfId="29651"/>
    <cellStyle name="Note 34 5 9" xfId="29652"/>
    <cellStyle name="Note 34 6" xfId="6494"/>
    <cellStyle name="Note 34 6 2" xfId="29654"/>
    <cellStyle name="Note 34 6 2 2" xfId="29655"/>
    <cellStyle name="Note 34 6 3" xfId="29656"/>
    <cellStyle name="Note 34 6 3 2" xfId="29657"/>
    <cellStyle name="Note 34 6 4" xfId="29658"/>
    <cellStyle name="Note 34 6 5" xfId="29659"/>
    <cellStyle name="Note 34 6 6" xfId="29660"/>
    <cellStyle name="Note 34 6 7" xfId="29653"/>
    <cellStyle name="Note 34 7" xfId="6495"/>
    <cellStyle name="Note 34 7 2" xfId="29662"/>
    <cellStyle name="Note 34 7 3" xfId="29661"/>
    <cellStyle name="Note 34 8" xfId="8400"/>
    <cellStyle name="Note 34 9" xfId="29663"/>
    <cellStyle name="Note 35" xfId="2816"/>
    <cellStyle name="Note 35 10" xfId="29664"/>
    <cellStyle name="Note 35 2" xfId="6496"/>
    <cellStyle name="Note 35 2 2" xfId="29666"/>
    <cellStyle name="Note 35 2 2 2" xfId="29667"/>
    <cellStyle name="Note 35 2 2 2 2" xfId="29668"/>
    <cellStyle name="Note 35 2 2 2 3" xfId="29669"/>
    <cellStyle name="Note 35 2 2 3" xfId="29670"/>
    <cellStyle name="Note 35 2 2 3 2" xfId="29671"/>
    <cellStyle name="Note 35 2 2 4" xfId="29672"/>
    <cellStyle name="Note 35 2 2 4 2" xfId="29673"/>
    <cellStyle name="Note 35 2 2 5" xfId="29674"/>
    <cellStyle name="Note 35 2 2 6" xfId="29675"/>
    <cellStyle name="Note 35 2 2 7" xfId="29676"/>
    <cellStyle name="Note 35 2 2 8" xfId="29677"/>
    <cellStyle name="Note 35 2 2 9" xfId="29678"/>
    <cellStyle name="Note 35 2 3" xfId="29679"/>
    <cellStyle name="Note 35 2 3 2" xfId="29680"/>
    <cellStyle name="Note 35 2 3 2 2" xfId="29681"/>
    <cellStyle name="Note 35 2 3 2 3" xfId="29682"/>
    <cellStyle name="Note 35 2 3 3" xfId="29683"/>
    <cellStyle name="Note 35 2 3 3 2" xfId="29684"/>
    <cellStyle name="Note 35 2 3 4" xfId="29685"/>
    <cellStyle name="Note 35 2 3 5" xfId="29686"/>
    <cellStyle name="Note 35 2 3 6" xfId="29687"/>
    <cellStyle name="Note 35 2 4" xfId="29688"/>
    <cellStyle name="Note 35 2 4 2" xfId="29689"/>
    <cellStyle name="Note 35 2 4 3" xfId="29690"/>
    <cellStyle name="Note 35 2 5" xfId="29691"/>
    <cellStyle name="Note 35 2 6" xfId="29692"/>
    <cellStyle name="Note 35 2 7" xfId="29693"/>
    <cellStyle name="Note 35 2 8" xfId="29665"/>
    <cellStyle name="Note 35 3" xfId="6497"/>
    <cellStyle name="Note 35 3 2" xfId="29695"/>
    <cellStyle name="Note 35 3 2 2" xfId="29696"/>
    <cellStyle name="Note 35 3 2 2 2" xfId="29697"/>
    <cellStyle name="Note 35 3 2 3" xfId="29698"/>
    <cellStyle name="Note 35 3 2 3 2" xfId="29699"/>
    <cellStyle name="Note 35 3 2 4" xfId="29700"/>
    <cellStyle name="Note 35 3 2 4 2" xfId="29701"/>
    <cellStyle name="Note 35 3 2 5" xfId="29702"/>
    <cellStyle name="Note 35 3 2 6" xfId="29703"/>
    <cellStyle name="Note 35 3 2 7" xfId="29704"/>
    <cellStyle name="Note 35 3 2 8" xfId="29705"/>
    <cellStyle name="Note 35 3 2 9" xfId="29706"/>
    <cellStyle name="Note 35 3 3" xfId="29707"/>
    <cellStyle name="Note 35 3 3 2" xfId="29708"/>
    <cellStyle name="Note 35 3 3 2 2" xfId="29709"/>
    <cellStyle name="Note 35 3 3 3" xfId="29710"/>
    <cellStyle name="Note 35 3 3 3 2" xfId="29711"/>
    <cellStyle name="Note 35 3 3 4" xfId="29712"/>
    <cellStyle name="Note 35 3 3 5" xfId="29713"/>
    <cellStyle name="Note 35 3 3 6" xfId="29714"/>
    <cellStyle name="Note 35 3 4" xfId="29715"/>
    <cellStyle name="Note 35 3 4 2" xfId="29716"/>
    <cellStyle name="Note 35 3 5" xfId="29717"/>
    <cellStyle name="Note 35 3 6" xfId="29718"/>
    <cellStyle name="Note 35 3 7" xfId="29719"/>
    <cellStyle name="Note 35 3 8" xfId="29694"/>
    <cellStyle name="Note 35 4" xfId="6498"/>
    <cellStyle name="Note 35 4 10" xfId="29720"/>
    <cellStyle name="Note 35 4 2" xfId="6499"/>
    <cellStyle name="Note 35 4 2 2" xfId="29722"/>
    <cellStyle name="Note 35 4 2 3" xfId="29723"/>
    <cellStyle name="Note 35 4 2 4" xfId="29721"/>
    <cellStyle name="Note 35 4 3" xfId="29724"/>
    <cellStyle name="Note 35 4 3 2" xfId="29725"/>
    <cellStyle name="Note 35 4 4" xfId="29726"/>
    <cellStyle name="Note 35 4 4 2" xfId="29727"/>
    <cellStyle name="Note 35 4 5" xfId="29728"/>
    <cellStyle name="Note 35 4 6" xfId="29729"/>
    <cellStyle name="Note 35 4 7" xfId="29730"/>
    <cellStyle name="Note 35 4 8" xfId="29731"/>
    <cellStyle name="Note 35 4 9" xfId="29732"/>
    <cellStyle name="Note 35 5" xfId="6500"/>
    <cellStyle name="Note 35 5 10" xfId="29733"/>
    <cellStyle name="Note 35 5 2" xfId="6501"/>
    <cellStyle name="Note 35 5 2 2" xfId="29735"/>
    <cellStyle name="Note 35 5 2 3" xfId="29736"/>
    <cellStyle name="Note 35 5 2 4" xfId="29734"/>
    <cellStyle name="Note 35 5 3" xfId="29737"/>
    <cellStyle name="Note 35 5 3 2" xfId="29738"/>
    <cellStyle name="Note 35 5 4" xfId="29739"/>
    <cellStyle name="Note 35 5 4 2" xfId="29740"/>
    <cellStyle name="Note 35 5 5" xfId="29741"/>
    <cellStyle name="Note 35 5 6" xfId="29742"/>
    <cellStyle name="Note 35 5 7" xfId="29743"/>
    <cellStyle name="Note 35 5 8" xfId="29744"/>
    <cellStyle name="Note 35 5 9" xfId="29745"/>
    <cellStyle name="Note 35 6" xfId="6502"/>
    <cellStyle name="Note 35 6 2" xfId="29747"/>
    <cellStyle name="Note 35 6 2 2" xfId="29748"/>
    <cellStyle name="Note 35 6 3" xfId="29749"/>
    <cellStyle name="Note 35 6 3 2" xfId="29750"/>
    <cellStyle name="Note 35 6 4" xfId="29751"/>
    <cellStyle name="Note 35 6 5" xfId="29752"/>
    <cellStyle name="Note 35 6 6" xfId="29753"/>
    <cellStyle name="Note 35 6 7" xfId="29746"/>
    <cellStyle name="Note 35 7" xfId="6503"/>
    <cellStyle name="Note 35 7 2" xfId="29755"/>
    <cellStyle name="Note 35 7 3" xfId="29754"/>
    <cellStyle name="Note 35 8" xfId="8401"/>
    <cellStyle name="Note 35 9" xfId="29756"/>
    <cellStyle name="Note 36" xfId="2817"/>
    <cellStyle name="Note 36 10" xfId="29757"/>
    <cellStyle name="Note 36 2" xfId="6504"/>
    <cellStyle name="Note 36 2 2" xfId="29759"/>
    <cellStyle name="Note 36 2 2 2" xfId="29760"/>
    <cellStyle name="Note 36 2 2 2 2" xfId="29761"/>
    <cellStyle name="Note 36 2 2 2 3" xfId="29762"/>
    <cellStyle name="Note 36 2 2 3" xfId="29763"/>
    <cellStyle name="Note 36 2 2 3 2" xfId="29764"/>
    <cellStyle name="Note 36 2 2 4" xfId="29765"/>
    <cellStyle name="Note 36 2 2 4 2" xfId="29766"/>
    <cellStyle name="Note 36 2 2 5" xfId="29767"/>
    <cellStyle name="Note 36 2 2 6" xfId="29768"/>
    <cellStyle name="Note 36 2 2 7" xfId="29769"/>
    <cellStyle name="Note 36 2 2 8" xfId="29770"/>
    <cellStyle name="Note 36 2 2 9" xfId="29771"/>
    <cellStyle name="Note 36 2 3" xfId="29772"/>
    <cellStyle name="Note 36 2 3 2" xfId="29773"/>
    <cellStyle name="Note 36 2 3 2 2" xfId="29774"/>
    <cellStyle name="Note 36 2 3 2 3" xfId="29775"/>
    <cellStyle name="Note 36 2 3 3" xfId="29776"/>
    <cellStyle name="Note 36 2 3 3 2" xfId="29777"/>
    <cellStyle name="Note 36 2 3 4" xfId="29778"/>
    <cellStyle name="Note 36 2 3 5" xfId="29779"/>
    <cellStyle name="Note 36 2 3 6" xfId="29780"/>
    <cellStyle name="Note 36 2 4" xfId="29781"/>
    <cellStyle name="Note 36 2 4 2" xfId="29782"/>
    <cellStyle name="Note 36 2 4 3" xfId="29783"/>
    <cellStyle name="Note 36 2 5" xfId="29784"/>
    <cellStyle name="Note 36 2 6" xfId="29785"/>
    <cellStyle name="Note 36 2 7" xfId="29786"/>
    <cellStyle name="Note 36 2 8" xfId="29758"/>
    <cellStyle name="Note 36 3" xfId="6505"/>
    <cellStyle name="Note 36 3 2" xfId="29788"/>
    <cellStyle name="Note 36 3 2 2" xfId="29789"/>
    <cellStyle name="Note 36 3 2 2 2" xfId="29790"/>
    <cellStyle name="Note 36 3 2 3" xfId="29791"/>
    <cellStyle name="Note 36 3 2 3 2" xfId="29792"/>
    <cellStyle name="Note 36 3 2 4" xfId="29793"/>
    <cellStyle name="Note 36 3 2 4 2" xfId="29794"/>
    <cellStyle name="Note 36 3 2 5" xfId="29795"/>
    <cellStyle name="Note 36 3 2 6" xfId="29796"/>
    <cellStyle name="Note 36 3 2 7" xfId="29797"/>
    <cellStyle name="Note 36 3 2 8" xfId="29798"/>
    <cellStyle name="Note 36 3 2 9" xfId="29799"/>
    <cellStyle name="Note 36 3 3" xfId="29800"/>
    <cellStyle name="Note 36 3 3 2" xfId="29801"/>
    <cellStyle name="Note 36 3 3 2 2" xfId="29802"/>
    <cellStyle name="Note 36 3 3 3" xfId="29803"/>
    <cellStyle name="Note 36 3 3 3 2" xfId="29804"/>
    <cellStyle name="Note 36 3 3 4" xfId="29805"/>
    <cellStyle name="Note 36 3 3 5" xfId="29806"/>
    <cellStyle name="Note 36 3 3 6" xfId="29807"/>
    <cellStyle name="Note 36 3 4" xfId="29808"/>
    <cellStyle name="Note 36 3 4 2" xfId="29809"/>
    <cellStyle name="Note 36 3 5" xfId="29810"/>
    <cellStyle name="Note 36 3 6" xfId="29811"/>
    <cellStyle name="Note 36 3 7" xfId="29812"/>
    <cellStyle name="Note 36 3 8" xfId="29787"/>
    <cellStyle name="Note 36 4" xfId="6506"/>
    <cellStyle name="Note 36 4 10" xfId="29813"/>
    <cellStyle name="Note 36 4 2" xfId="6507"/>
    <cellStyle name="Note 36 4 2 2" xfId="29815"/>
    <cellStyle name="Note 36 4 2 3" xfId="29816"/>
    <cellStyle name="Note 36 4 2 4" xfId="29814"/>
    <cellStyle name="Note 36 4 3" xfId="29817"/>
    <cellStyle name="Note 36 4 3 2" xfId="29818"/>
    <cellStyle name="Note 36 4 4" xfId="29819"/>
    <cellStyle name="Note 36 4 4 2" xfId="29820"/>
    <cellStyle name="Note 36 4 5" xfId="29821"/>
    <cellStyle name="Note 36 4 6" xfId="29822"/>
    <cellStyle name="Note 36 4 7" xfId="29823"/>
    <cellStyle name="Note 36 4 8" xfId="29824"/>
    <cellStyle name="Note 36 4 9" xfId="29825"/>
    <cellStyle name="Note 36 5" xfId="6508"/>
    <cellStyle name="Note 36 5 10" xfId="29826"/>
    <cellStyle name="Note 36 5 2" xfId="6509"/>
    <cellStyle name="Note 36 5 2 2" xfId="29828"/>
    <cellStyle name="Note 36 5 2 3" xfId="29829"/>
    <cellStyle name="Note 36 5 2 4" xfId="29827"/>
    <cellStyle name="Note 36 5 3" xfId="29830"/>
    <cellStyle name="Note 36 5 3 2" xfId="29831"/>
    <cellStyle name="Note 36 5 4" xfId="29832"/>
    <cellStyle name="Note 36 5 4 2" xfId="29833"/>
    <cellStyle name="Note 36 5 5" xfId="29834"/>
    <cellStyle name="Note 36 5 6" xfId="29835"/>
    <cellStyle name="Note 36 5 7" xfId="29836"/>
    <cellStyle name="Note 36 5 8" xfId="29837"/>
    <cellStyle name="Note 36 5 9" xfId="29838"/>
    <cellStyle name="Note 36 6" xfId="6510"/>
    <cellStyle name="Note 36 6 2" xfId="29840"/>
    <cellStyle name="Note 36 6 2 2" xfId="29841"/>
    <cellStyle name="Note 36 6 3" xfId="29842"/>
    <cellStyle name="Note 36 6 3 2" xfId="29843"/>
    <cellStyle name="Note 36 6 4" xfId="29844"/>
    <cellStyle name="Note 36 6 5" xfId="29845"/>
    <cellStyle name="Note 36 6 6" xfId="29846"/>
    <cellStyle name="Note 36 6 7" xfId="29839"/>
    <cellStyle name="Note 36 7" xfId="6511"/>
    <cellStyle name="Note 36 7 2" xfId="29848"/>
    <cellStyle name="Note 36 7 3" xfId="29847"/>
    <cellStyle name="Note 36 8" xfId="8402"/>
    <cellStyle name="Note 36 9" xfId="29849"/>
    <cellStyle name="Note 37" xfId="2818"/>
    <cellStyle name="Note 37 10" xfId="29850"/>
    <cellStyle name="Note 37 2" xfId="6512"/>
    <cellStyle name="Note 37 2 2" xfId="29852"/>
    <cellStyle name="Note 37 2 2 2" xfId="29853"/>
    <cellStyle name="Note 37 2 2 2 2" xfId="29854"/>
    <cellStyle name="Note 37 2 2 2 3" xfId="29855"/>
    <cellStyle name="Note 37 2 2 3" xfId="29856"/>
    <cellStyle name="Note 37 2 2 3 2" xfId="29857"/>
    <cellStyle name="Note 37 2 2 4" xfId="29858"/>
    <cellStyle name="Note 37 2 2 4 2" xfId="29859"/>
    <cellStyle name="Note 37 2 2 5" xfId="29860"/>
    <cellStyle name="Note 37 2 2 6" xfId="29861"/>
    <cellStyle name="Note 37 2 2 7" xfId="29862"/>
    <cellStyle name="Note 37 2 2 8" xfId="29863"/>
    <cellStyle name="Note 37 2 2 9" xfId="29864"/>
    <cellStyle name="Note 37 2 3" xfId="29865"/>
    <cellStyle name="Note 37 2 3 2" xfId="29866"/>
    <cellStyle name="Note 37 2 3 2 2" xfId="29867"/>
    <cellStyle name="Note 37 2 3 2 3" xfId="29868"/>
    <cellStyle name="Note 37 2 3 3" xfId="29869"/>
    <cellStyle name="Note 37 2 3 3 2" xfId="29870"/>
    <cellStyle name="Note 37 2 3 4" xfId="29871"/>
    <cellStyle name="Note 37 2 3 5" xfId="29872"/>
    <cellStyle name="Note 37 2 3 6" xfId="29873"/>
    <cellStyle name="Note 37 2 4" xfId="29874"/>
    <cellStyle name="Note 37 2 4 2" xfId="29875"/>
    <cellStyle name="Note 37 2 4 3" xfId="29876"/>
    <cellStyle name="Note 37 2 5" xfId="29877"/>
    <cellStyle name="Note 37 2 6" xfId="29878"/>
    <cellStyle name="Note 37 2 7" xfId="29879"/>
    <cellStyle name="Note 37 2 8" xfId="29851"/>
    <cellStyle name="Note 37 3" xfId="6513"/>
    <cellStyle name="Note 37 3 2" xfId="29881"/>
    <cellStyle name="Note 37 3 2 2" xfId="29882"/>
    <cellStyle name="Note 37 3 2 2 2" xfId="29883"/>
    <cellStyle name="Note 37 3 2 3" xfId="29884"/>
    <cellStyle name="Note 37 3 2 3 2" xfId="29885"/>
    <cellStyle name="Note 37 3 2 4" xfId="29886"/>
    <cellStyle name="Note 37 3 2 4 2" xfId="29887"/>
    <cellStyle name="Note 37 3 2 5" xfId="29888"/>
    <cellStyle name="Note 37 3 2 6" xfId="29889"/>
    <cellStyle name="Note 37 3 2 7" xfId="29890"/>
    <cellStyle name="Note 37 3 2 8" xfId="29891"/>
    <cellStyle name="Note 37 3 2 9" xfId="29892"/>
    <cellStyle name="Note 37 3 3" xfId="29893"/>
    <cellStyle name="Note 37 3 3 2" xfId="29894"/>
    <cellStyle name="Note 37 3 3 2 2" xfId="29895"/>
    <cellStyle name="Note 37 3 3 3" xfId="29896"/>
    <cellStyle name="Note 37 3 3 3 2" xfId="29897"/>
    <cellStyle name="Note 37 3 3 4" xfId="29898"/>
    <cellStyle name="Note 37 3 3 5" xfId="29899"/>
    <cellStyle name="Note 37 3 3 6" xfId="29900"/>
    <cellStyle name="Note 37 3 4" xfId="29901"/>
    <cellStyle name="Note 37 3 4 2" xfId="29902"/>
    <cellStyle name="Note 37 3 5" xfId="29903"/>
    <cellStyle name="Note 37 3 6" xfId="29904"/>
    <cellStyle name="Note 37 3 7" xfId="29905"/>
    <cellStyle name="Note 37 3 8" xfId="29880"/>
    <cellStyle name="Note 37 4" xfId="6514"/>
    <cellStyle name="Note 37 4 10" xfId="29906"/>
    <cellStyle name="Note 37 4 2" xfId="6515"/>
    <cellStyle name="Note 37 4 2 2" xfId="29908"/>
    <cellStyle name="Note 37 4 2 3" xfId="29909"/>
    <cellStyle name="Note 37 4 2 4" xfId="29907"/>
    <cellStyle name="Note 37 4 3" xfId="29910"/>
    <cellStyle name="Note 37 4 3 2" xfId="29911"/>
    <cellStyle name="Note 37 4 4" xfId="29912"/>
    <cellStyle name="Note 37 4 4 2" xfId="29913"/>
    <cellStyle name="Note 37 4 5" xfId="29914"/>
    <cellStyle name="Note 37 4 6" xfId="29915"/>
    <cellStyle name="Note 37 4 7" xfId="29916"/>
    <cellStyle name="Note 37 4 8" xfId="29917"/>
    <cellStyle name="Note 37 4 9" xfId="29918"/>
    <cellStyle name="Note 37 5" xfId="6516"/>
    <cellStyle name="Note 37 5 10" xfId="29919"/>
    <cellStyle name="Note 37 5 2" xfId="6517"/>
    <cellStyle name="Note 37 5 2 2" xfId="29921"/>
    <cellStyle name="Note 37 5 2 3" xfId="29922"/>
    <cellStyle name="Note 37 5 2 4" xfId="29920"/>
    <cellStyle name="Note 37 5 3" xfId="29923"/>
    <cellStyle name="Note 37 5 3 2" xfId="29924"/>
    <cellStyle name="Note 37 5 4" xfId="29925"/>
    <cellStyle name="Note 37 5 4 2" xfId="29926"/>
    <cellStyle name="Note 37 5 5" xfId="29927"/>
    <cellStyle name="Note 37 5 6" xfId="29928"/>
    <cellStyle name="Note 37 5 7" xfId="29929"/>
    <cellStyle name="Note 37 5 8" xfId="29930"/>
    <cellStyle name="Note 37 5 9" xfId="29931"/>
    <cellStyle name="Note 37 6" xfId="6518"/>
    <cellStyle name="Note 37 6 2" xfId="29933"/>
    <cellStyle name="Note 37 6 2 2" xfId="29934"/>
    <cellStyle name="Note 37 6 3" xfId="29935"/>
    <cellStyle name="Note 37 6 3 2" xfId="29936"/>
    <cellStyle name="Note 37 6 4" xfId="29937"/>
    <cellStyle name="Note 37 6 5" xfId="29938"/>
    <cellStyle name="Note 37 6 6" xfId="29939"/>
    <cellStyle name="Note 37 6 7" xfId="29932"/>
    <cellStyle name="Note 37 7" xfId="6519"/>
    <cellStyle name="Note 37 7 2" xfId="29941"/>
    <cellStyle name="Note 37 7 3" xfId="29940"/>
    <cellStyle name="Note 37 8" xfId="8403"/>
    <cellStyle name="Note 37 9" xfId="29942"/>
    <cellStyle name="Note 38" xfId="1859"/>
    <cellStyle name="Note 38 10" xfId="29944"/>
    <cellStyle name="Note 38 11" xfId="29943"/>
    <cellStyle name="Note 38 2" xfId="6521"/>
    <cellStyle name="Note 38 2 10" xfId="29945"/>
    <cellStyle name="Note 38 2 2" xfId="29946"/>
    <cellStyle name="Note 38 2 2 2" xfId="29947"/>
    <cellStyle name="Note 38 2 3" xfId="29948"/>
    <cellStyle name="Note 38 2 3 2" xfId="29949"/>
    <cellStyle name="Note 38 2 4" xfId="29950"/>
    <cellStyle name="Note 38 2 4 2" xfId="29951"/>
    <cellStyle name="Note 38 2 5" xfId="29952"/>
    <cellStyle name="Note 38 2 6" xfId="29953"/>
    <cellStyle name="Note 38 2 7" xfId="29954"/>
    <cellStyle name="Note 38 2 8" xfId="29955"/>
    <cellStyle name="Note 38 2 9" xfId="29956"/>
    <cellStyle name="Note 38 3" xfId="6522"/>
    <cellStyle name="Note 38 3 10" xfId="29957"/>
    <cellStyle name="Note 38 3 2" xfId="29958"/>
    <cellStyle name="Note 38 3 2 2" xfId="29959"/>
    <cellStyle name="Note 38 3 3" xfId="29960"/>
    <cellStyle name="Note 38 3 3 2" xfId="29961"/>
    <cellStyle name="Note 38 3 4" xfId="29962"/>
    <cellStyle name="Note 38 3 4 2" xfId="29963"/>
    <cellStyle name="Note 38 3 5" xfId="29964"/>
    <cellStyle name="Note 38 3 6" xfId="29965"/>
    <cellStyle name="Note 38 3 7" xfId="29966"/>
    <cellStyle name="Note 38 3 8" xfId="29967"/>
    <cellStyle name="Note 38 3 9" xfId="29968"/>
    <cellStyle name="Note 38 4" xfId="6523"/>
    <cellStyle name="Note 38 4 10" xfId="29969"/>
    <cellStyle name="Note 38 4 2" xfId="6524"/>
    <cellStyle name="Note 38 4 2 2" xfId="29971"/>
    <cellStyle name="Note 38 4 2 3" xfId="29970"/>
    <cellStyle name="Note 38 4 3" xfId="29972"/>
    <cellStyle name="Note 38 4 3 2" xfId="29973"/>
    <cellStyle name="Note 38 4 4" xfId="29974"/>
    <cellStyle name="Note 38 4 4 2" xfId="29975"/>
    <cellStyle name="Note 38 4 5" xfId="29976"/>
    <cellStyle name="Note 38 4 6" xfId="29977"/>
    <cellStyle name="Note 38 4 7" xfId="29978"/>
    <cellStyle name="Note 38 4 8" xfId="29979"/>
    <cellStyle name="Note 38 4 9" xfId="29980"/>
    <cellStyle name="Note 38 5" xfId="6525"/>
    <cellStyle name="Note 38 5 10" xfId="29981"/>
    <cellStyle name="Note 38 5 2" xfId="6526"/>
    <cellStyle name="Note 38 5 2 2" xfId="29983"/>
    <cellStyle name="Note 38 5 2 3" xfId="29982"/>
    <cellStyle name="Note 38 5 3" xfId="29984"/>
    <cellStyle name="Note 38 5 3 2" xfId="29985"/>
    <cellStyle name="Note 38 5 4" xfId="29986"/>
    <cellStyle name="Note 38 5 4 2" xfId="29987"/>
    <cellStyle name="Note 38 5 5" xfId="29988"/>
    <cellStyle name="Note 38 5 6" xfId="29989"/>
    <cellStyle name="Note 38 5 7" xfId="29990"/>
    <cellStyle name="Note 38 5 8" xfId="29991"/>
    <cellStyle name="Note 38 5 9" xfId="29992"/>
    <cellStyle name="Note 38 6" xfId="6527"/>
    <cellStyle name="Note 38 6 2" xfId="29994"/>
    <cellStyle name="Note 38 6 2 2" xfId="29995"/>
    <cellStyle name="Note 38 6 3" xfId="29996"/>
    <cellStyle name="Note 38 6 3 2" xfId="29997"/>
    <cellStyle name="Note 38 6 4" xfId="29998"/>
    <cellStyle name="Note 38 6 5" xfId="29999"/>
    <cellStyle name="Note 38 6 6" xfId="30000"/>
    <cellStyle name="Note 38 6 7" xfId="29993"/>
    <cellStyle name="Note 38 7" xfId="6528"/>
    <cellStyle name="Note 38 7 2" xfId="30002"/>
    <cellStyle name="Note 38 7 3" xfId="30001"/>
    <cellStyle name="Note 38 8" xfId="6520"/>
    <cellStyle name="Note 38 8 2" xfId="30003"/>
    <cellStyle name="Note 38 9" xfId="30004"/>
    <cellStyle name="Note 39" xfId="7840"/>
    <cellStyle name="Note 39 2" xfId="30006"/>
    <cellStyle name="Note 39 3" xfId="30007"/>
    <cellStyle name="Note 39 4" xfId="30008"/>
    <cellStyle name="Note 39 5" xfId="30005"/>
    <cellStyle name="Note 4" xfId="1884"/>
    <cellStyle name="Note 4 10" xfId="30009"/>
    <cellStyle name="Note 4 11" xfId="30010"/>
    <cellStyle name="Note 4 2" xfId="1885"/>
    <cellStyle name="Note 4 2 10" xfId="30012"/>
    <cellStyle name="Note 4 2 11" xfId="30011"/>
    <cellStyle name="Note 4 2 2" xfId="1886"/>
    <cellStyle name="Note 4 2 2 2" xfId="6530"/>
    <cellStyle name="Note 4 2 2 2 10" xfId="30014"/>
    <cellStyle name="Note 4 2 2 2 2" xfId="30015"/>
    <cellStyle name="Note 4 2 2 2 2 2" xfId="30016"/>
    <cellStyle name="Note 4 2 2 2 3" xfId="30017"/>
    <cellStyle name="Note 4 2 2 2 3 2" xfId="30018"/>
    <cellStyle name="Note 4 2 2 2 4" xfId="30019"/>
    <cellStyle name="Note 4 2 2 2 4 2" xfId="30020"/>
    <cellStyle name="Note 4 2 2 2 5" xfId="30021"/>
    <cellStyle name="Note 4 2 2 2 6" xfId="30022"/>
    <cellStyle name="Note 4 2 2 2 7" xfId="30023"/>
    <cellStyle name="Note 4 2 2 2 8" xfId="30024"/>
    <cellStyle name="Note 4 2 2 2 9" xfId="30025"/>
    <cellStyle name="Note 4 2 2 3" xfId="8207"/>
    <cellStyle name="Note 4 2 2 3 2" xfId="30027"/>
    <cellStyle name="Note 4 2 2 3 2 2" xfId="30028"/>
    <cellStyle name="Note 4 2 2 3 3" xfId="30029"/>
    <cellStyle name="Note 4 2 2 3 3 2" xfId="30030"/>
    <cellStyle name="Note 4 2 2 3 4" xfId="30031"/>
    <cellStyle name="Note 4 2 2 3 5" xfId="30032"/>
    <cellStyle name="Note 4 2 2 3 6" xfId="30033"/>
    <cellStyle name="Note 4 2 2 3 7" xfId="30026"/>
    <cellStyle name="Note 4 2 2 4" xfId="30034"/>
    <cellStyle name="Note 4 2 2 4 2" xfId="30035"/>
    <cellStyle name="Note 4 2 2 5" xfId="30036"/>
    <cellStyle name="Note 4 2 2 6" xfId="30037"/>
    <cellStyle name="Note 4 2 2 7" xfId="30038"/>
    <cellStyle name="Note 4 2 2 7 2" xfId="30039"/>
    <cellStyle name="Note 4 2 2 8" xfId="30013"/>
    <cellStyle name="Note 4 2 3" xfId="6531"/>
    <cellStyle name="Note 4 2 3 2" xfId="30041"/>
    <cellStyle name="Note 4 2 3 2 2" xfId="30042"/>
    <cellStyle name="Note 4 2 3 2 2 2" xfId="30043"/>
    <cellStyle name="Note 4 2 3 2 3" xfId="30044"/>
    <cellStyle name="Note 4 2 3 2 3 2" xfId="30045"/>
    <cellStyle name="Note 4 2 3 2 4" xfId="30046"/>
    <cellStyle name="Note 4 2 3 2 4 2" xfId="30047"/>
    <cellStyle name="Note 4 2 3 2 5" xfId="30048"/>
    <cellStyle name="Note 4 2 3 2 6" xfId="30049"/>
    <cellStyle name="Note 4 2 3 2 7" xfId="30050"/>
    <cellStyle name="Note 4 2 3 2 8" xfId="30051"/>
    <cellStyle name="Note 4 2 3 2 9" xfId="30052"/>
    <cellStyle name="Note 4 2 3 3" xfId="30053"/>
    <cellStyle name="Note 4 2 3 3 2" xfId="30054"/>
    <cellStyle name="Note 4 2 3 3 2 2" xfId="30055"/>
    <cellStyle name="Note 4 2 3 3 3" xfId="30056"/>
    <cellStyle name="Note 4 2 3 3 3 2" xfId="30057"/>
    <cellStyle name="Note 4 2 3 3 4" xfId="30058"/>
    <cellStyle name="Note 4 2 3 3 5" xfId="30059"/>
    <cellStyle name="Note 4 2 3 3 6" xfId="30060"/>
    <cellStyle name="Note 4 2 3 4" xfId="30061"/>
    <cellStyle name="Note 4 2 3 4 2" xfId="30062"/>
    <cellStyle name="Note 4 2 3 5" xfId="30063"/>
    <cellStyle name="Note 4 2 3 6" xfId="30064"/>
    <cellStyle name="Note 4 2 3 7" xfId="30065"/>
    <cellStyle name="Note 4 2 3 7 2" xfId="30066"/>
    <cellStyle name="Note 4 2 3 8" xfId="30040"/>
    <cellStyle name="Note 4 2 4" xfId="6532"/>
    <cellStyle name="Note 4 2 4 10" xfId="30067"/>
    <cellStyle name="Note 4 2 4 2" xfId="6533"/>
    <cellStyle name="Note 4 2 4 2 2" xfId="30069"/>
    <cellStyle name="Note 4 2 4 2 3" xfId="30068"/>
    <cellStyle name="Note 4 2 4 3" xfId="30070"/>
    <cellStyle name="Note 4 2 4 3 2" xfId="30071"/>
    <cellStyle name="Note 4 2 4 4" xfId="30072"/>
    <cellStyle name="Note 4 2 4 4 2" xfId="30073"/>
    <cellStyle name="Note 4 2 4 5" xfId="30074"/>
    <cellStyle name="Note 4 2 4 6" xfId="30075"/>
    <cellStyle name="Note 4 2 4 7" xfId="30076"/>
    <cellStyle name="Note 4 2 4 8" xfId="30077"/>
    <cellStyle name="Note 4 2 4 9" xfId="30078"/>
    <cellStyle name="Note 4 2 5" xfId="6534"/>
    <cellStyle name="Note 4 2 5 10" xfId="30079"/>
    <cellStyle name="Note 4 2 5 2" xfId="6535"/>
    <cellStyle name="Note 4 2 5 2 2" xfId="30081"/>
    <cellStyle name="Note 4 2 5 2 3" xfId="30080"/>
    <cellStyle name="Note 4 2 5 3" xfId="30082"/>
    <cellStyle name="Note 4 2 5 3 2" xfId="30083"/>
    <cellStyle name="Note 4 2 5 4" xfId="30084"/>
    <cellStyle name="Note 4 2 5 4 2" xfId="30085"/>
    <cellStyle name="Note 4 2 5 5" xfId="30086"/>
    <cellStyle name="Note 4 2 5 6" xfId="30087"/>
    <cellStyle name="Note 4 2 5 7" xfId="30088"/>
    <cellStyle name="Note 4 2 5 8" xfId="30089"/>
    <cellStyle name="Note 4 2 5 9" xfId="30090"/>
    <cellStyle name="Note 4 2 6" xfId="6536"/>
    <cellStyle name="Note 4 2 6 2" xfId="30092"/>
    <cellStyle name="Note 4 2 6 2 2" xfId="30093"/>
    <cellStyle name="Note 4 2 6 3" xfId="30094"/>
    <cellStyle name="Note 4 2 6 3 2" xfId="30095"/>
    <cellStyle name="Note 4 2 6 4" xfId="30096"/>
    <cellStyle name="Note 4 2 6 5" xfId="30097"/>
    <cellStyle name="Note 4 2 6 6" xfId="30098"/>
    <cellStyle name="Note 4 2 6 7" xfId="30091"/>
    <cellStyle name="Note 4 2 7" xfId="6537"/>
    <cellStyle name="Note 4 2 7 2" xfId="30100"/>
    <cellStyle name="Note 4 2 7 3" xfId="30099"/>
    <cellStyle name="Note 4 2 8" xfId="6529"/>
    <cellStyle name="Note 4 2 8 2" xfId="30101"/>
    <cellStyle name="Note 4 2 9" xfId="8206"/>
    <cellStyle name="Note 4 2 9 2" xfId="30102"/>
    <cellStyle name="Note 4 3" xfId="1887"/>
    <cellStyle name="Note 4 3 2" xfId="1888"/>
    <cellStyle name="Note 4 3 2 2" xfId="8209"/>
    <cellStyle name="Note 4 3 2 2 2" xfId="30103"/>
    <cellStyle name="Note 4 3 2 3" xfId="30104"/>
    <cellStyle name="Note 4 3 2 3 2" xfId="30105"/>
    <cellStyle name="Note 4 3 2 4" xfId="30106"/>
    <cellStyle name="Note 4 3 2 4 2" xfId="30107"/>
    <cellStyle name="Note 4 3 2 5" xfId="30108"/>
    <cellStyle name="Note 4 3 2 6" xfId="30109"/>
    <cellStyle name="Note 4 3 2 7" xfId="30110"/>
    <cellStyle name="Note 4 3 2 8" xfId="30111"/>
    <cellStyle name="Note 4 3 2 9" xfId="30112"/>
    <cellStyle name="Note 4 3 3" xfId="8208"/>
    <cellStyle name="Note 4 3 3 2" xfId="30113"/>
    <cellStyle name="Note 4 3 3 2 2" xfId="30114"/>
    <cellStyle name="Note 4 3 3 3" xfId="30115"/>
    <cellStyle name="Note 4 3 3 3 2" xfId="30116"/>
    <cellStyle name="Note 4 3 3 4" xfId="30117"/>
    <cellStyle name="Note 4 3 3 5" xfId="30118"/>
    <cellStyle name="Note 4 3 3 6" xfId="30119"/>
    <cellStyle name="Note 4 3 4" xfId="30120"/>
    <cellStyle name="Note 4 3 4 2" xfId="30121"/>
    <cellStyle name="Note 4 3 5" xfId="30122"/>
    <cellStyle name="Note 4 3 6" xfId="30123"/>
    <cellStyle name="Note 4 3 7" xfId="30124"/>
    <cellStyle name="Note 4 4" xfId="1889"/>
    <cellStyle name="Note 4 4 2" xfId="1890"/>
    <cellStyle name="Note 4 4 2 10" xfId="30126"/>
    <cellStyle name="Note 4 4 2 2" xfId="8211"/>
    <cellStyle name="Note 4 4 2 2 2" xfId="30128"/>
    <cellStyle name="Note 4 4 2 2 3" xfId="30127"/>
    <cellStyle name="Note 4 4 2 3" xfId="30129"/>
    <cellStyle name="Note 4 4 2 3 2" xfId="30130"/>
    <cellStyle name="Note 4 4 2 4" xfId="30131"/>
    <cellStyle name="Note 4 4 2 4 2" xfId="30132"/>
    <cellStyle name="Note 4 4 2 5" xfId="30133"/>
    <cellStyle name="Note 4 4 2 6" xfId="30134"/>
    <cellStyle name="Note 4 4 2 7" xfId="30135"/>
    <cellStyle name="Note 4 4 2 8" xfId="30136"/>
    <cellStyle name="Note 4 4 2 9" xfId="30137"/>
    <cellStyle name="Note 4 4 3" xfId="6538"/>
    <cellStyle name="Note 4 4 3 2" xfId="30139"/>
    <cellStyle name="Note 4 4 3 2 2" xfId="30140"/>
    <cellStyle name="Note 4 4 3 3" xfId="30141"/>
    <cellStyle name="Note 4 4 3 3 2" xfId="30142"/>
    <cellStyle name="Note 4 4 3 4" xfId="30143"/>
    <cellStyle name="Note 4 4 3 5" xfId="30144"/>
    <cellStyle name="Note 4 4 3 6" xfId="30145"/>
    <cellStyle name="Note 4 4 3 7" xfId="30138"/>
    <cellStyle name="Note 4 4 4" xfId="8210"/>
    <cellStyle name="Note 4 4 4 2" xfId="30147"/>
    <cellStyle name="Note 4 4 4 3" xfId="30146"/>
    <cellStyle name="Note 4 4 5" xfId="30148"/>
    <cellStyle name="Note 4 4 6" xfId="30149"/>
    <cellStyle name="Note 4 4 7" xfId="30150"/>
    <cellStyle name="Note 4 4 8" xfId="30125"/>
    <cellStyle name="Note 4 5" xfId="1891"/>
    <cellStyle name="Note 4 5 10" xfId="30151"/>
    <cellStyle name="Note 4 5 2" xfId="1892"/>
    <cellStyle name="Note 4 5 2 2" xfId="6540"/>
    <cellStyle name="Note 4 5 2 2 2" xfId="30153"/>
    <cellStyle name="Note 4 5 2 3" xfId="8213"/>
    <cellStyle name="Note 4 5 2 3 2" xfId="30154"/>
    <cellStyle name="Note 4 5 2 4" xfId="30152"/>
    <cellStyle name="Note 4 5 3" xfId="6539"/>
    <cellStyle name="Note 4 5 3 2" xfId="30156"/>
    <cellStyle name="Note 4 5 3 3" xfId="30155"/>
    <cellStyle name="Note 4 5 4" xfId="8212"/>
    <cellStyle name="Note 4 5 4 2" xfId="30158"/>
    <cellStyle name="Note 4 5 4 3" xfId="30157"/>
    <cellStyle name="Note 4 5 5" xfId="30159"/>
    <cellStyle name="Note 4 5 6" xfId="30160"/>
    <cellStyle name="Note 4 5 7" xfId="30161"/>
    <cellStyle name="Note 4 5 8" xfId="30162"/>
    <cellStyle name="Note 4 5 9" xfId="30163"/>
    <cellStyle name="Note 4 5 9 2" xfId="30164"/>
    <cellStyle name="Note 4 6" xfId="1893"/>
    <cellStyle name="Note 4 6 10" xfId="30165"/>
    <cellStyle name="Note 4 6 2" xfId="1894"/>
    <cellStyle name="Note 4 6 2 2" xfId="6542"/>
    <cellStyle name="Note 4 6 2 2 2" xfId="30167"/>
    <cellStyle name="Note 4 6 2 3" xfId="8215"/>
    <cellStyle name="Note 4 6 2 3 2" xfId="30168"/>
    <cellStyle name="Note 4 6 2 4" xfId="30166"/>
    <cellStyle name="Note 4 6 3" xfId="6541"/>
    <cellStyle name="Note 4 6 3 2" xfId="30170"/>
    <cellStyle name="Note 4 6 3 3" xfId="30169"/>
    <cellStyle name="Note 4 6 4" xfId="8214"/>
    <cellStyle name="Note 4 6 4 2" xfId="30172"/>
    <cellStyle name="Note 4 6 4 3" xfId="30171"/>
    <cellStyle name="Note 4 6 5" xfId="30173"/>
    <cellStyle name="Note 4 6 6" xfId="30174"/>
    <cellStyle name="Note 4 6 7" xfId="30175"/>
    <cellStyle name="Note 4 6 8" xfId="30176"/>
    <cellStyle name="Note 4 6 9" xfId="30177"/>
    <cellStyle name="Note 4 7" xfId="1895"/>
    <cellStyle name="Note 4 7 2" xfId="6543"/>
    <cellStyle name="Note 4 7 2 2" xfId="30180"/>
    <cellStyle name="Note 4 7 2 3" xfId="30179"/>
    <cellStyle name="Note 4 7 3" xfId="8216"/>
    <cellStyle name="Note 4 7 3 2" xfId="30182"/>
    <cellStyle name="Note 4 7 3 3" xfId="30181"/>
    <cellStyle name="Note 4 7 4" xfId="30183"/>
    <cellStyle name="Note 4 7 5" xfId="30184"/>
    <cellStyle name="Note 4 7 6" xfId="30185"/>
    <cellStyle name="Note 4 7 7" xfId="30178"/>
    <cellStyle name="Note 4 8" xfId="1896"/>
    <cellStyle name="Note 4 8 2" xfId="8217"/>
    <cellStyle name="Note 4 9" xfId="8205"/>
    <cellStyle name="Note 4 9 2" xfId="30186"/>
    <cellStyle name="Note 40" xfId="8180"/>
    <cellStyle name="Note 5" xfId="1897"/>
    <cellStyle name="Note 5 10" xfId="30187"/>
    <cellStyle name="Note 5 2" xfId="1898"/>
    <cellStyle name="Note 5 2 10" xfId="30188"/>
    <cellStyle name="Note 5 2 2" xfId="6545"/>
    <cellStyle name="Note 5 2 2 10" xfId="30189"/>
    <cellStyle name="Note 5 2 2 2" xfId="30190"/>
    <cellStyle name="Note 5 2 2 2 2" xfId="30191"/>
    <cellStyle name="Note 5 2 2 2 3" xfId="30192"/>
    <cellStyle name="Note 5 2 2 3" xfId="30193"/>
    <cellStyle name="Note 5 2 2 3 2" xfId="30194"/>
    <cellStyle name="Note 5 2 2 4" xfId="30195"/>
    <cellStyle name="Note 5 2 2 4 2" xfId="30196"/>
    <cellStyle name="Note 5 2 2 5" xfId="30197"/>
    <cellStyle name="Note 5 2 2 6" xfId="30198"/>
    <cellStyle name="Note 5 2 2 7" xfId="30199"/>
    <cellStyle name="Note 5 2 2 8" xfId="30200"/>
    <cellStyle name="Note 5 2 2 9" xfId="30201"/>
    <cellStyle name="Note 5 2 3" xfId="6546"/>
    <cellStyle name="Note 5 2 3 2" xfId="30203"/>
    <cellStyle name="Note 5 2 3 2 2" xfId="30204"/>
    <cellStyle name="Note 5 2 3 2 3" xfId="30205"/>
    <cellStyle name="Note 5 2 3 3" xfId="30206"/>
    <cellStyle name="Note 5 2 3 3 2" xfId="30207"/>
    <cellStyle name="Note 5 2 3 4" xfId="30208"/>
    <cellStyle name="Note 5 2 3 5" xfId="30209"/>
    <cellStyle name="Note 5 2 3 6" xfId="30210"/>
    <cellStyle name="Note 5 2 3 7" xfId="30202"/>
    <cellStyle name="Note 5 2 4" xfId="6547"/>
    <cellStyle name="Note 5 2 4 2" xfId="6548"/>
    <cellStyle name="Note 5 2 4 2 2" xfId="30212"/>
    <cellStyle name="Note 5 2 4 3" xfId="30213"/>
    <cellStyle name="Note 5 2 4 4" xfId="30211"/>
    <cellStyle name="Note 5 2 5" xfId="6549"/>
    <cellStyle name="Note 5 2 5 2" xfId="6550"/>
    <cellStyle name="Note 5 2 5 3" xfId="30214"/>
    <cellStyle name="Note 5 2 6" xfId="6551"/>
    <cellStyle name="Note 5 2 6 2" xfId="30215"/>
    <cellStyle name="Note 5 2 7" xfId="6552"/>
    <cellStyle name="Note 5 2 7 2" xfId="30216"/>
    <cellStyle name="Note 5 2 8" xfId="6544"/>
    <cellStyle name="Note 5 2 9" xfId="8219"/>
    <cellStyle name="Note 5 3" xfId="2819"/>
    <cellStyle name="Note 5 3 2" xfId="8404"/>
    <cellStyle name="Note 5 3 2 2" xfId="30217"/>
    <cellStyle name="Note 5 3 2 2 2" xfId="30218"/>
    <cellStyle name="Note 5 3 2 3" xfId="30219"/>
    <cellStyle name="Note 5 3 2 3 2" xfId="30220"/>
    <cellStyle name="Note 5 3 2 4" xfId="30221"/>
    <cellStyle name="Note 5 3 2 4 2" xfId="30222"/>
    <cellStyle name="Note 5 3 2 5" xfId="30223"/>
    <cellStyle name="Note 5 3 2 6" xfId="30224"/>
    <cellStyle name="Note 5 3 2 7" xfId="30225"/>
    <cellStyle name="Note 5 3 2 8" xfId="30226"/>
    <cellStyle name="Note 5 3 2 9" xfId="30227"/>
    <cellStyle name="Note 5 3 3" xfId="30228"/>
    <cellStyle name="Note 5 3 3 2" xfId="30229"/>
    <cellStyle name="Note 5 3 3 2 2" xfId="30230"/>
    <cellStyle name="Note 5 3 3 3" xfId="30231"/>
    <cellStyle name="Note 5 3 3 3 2" xfId="30232"/>
    <cellStyle name="Note 5 3 3 4" xfId="30233"/>
    <cellStyle name="Note 5 3 3 5" xfId="30234"/>
    <cellStyle name="Note 5 3 3 6" xfId="30235"/>
    <cellStyle name="Note 5 3 4" xfId="30236"/>
    <cellStyle name="Note 5 3 4 2" xfId="30237"/>
    <cellStyle name="Note 5 3 5" xfId="30238"/>
    <cellStyle name="Note 5 3 6" xfId="30239"/>
    <cellStyle name="Note 5 3 7" xfId="30240"/>
    <cellStyle name="Note 5 4" xfId="6553"/>
    <cellStyle name="Note 5 4 10" xfId="30241"/>
    <cellStyle name="Note 5 4 2" xfId="30242"/>
    <cellStyle name="Note 5 4 2 2" xfId="30243"/>
    <cellStyle name="Note 5 4 2 3" xfId="30244"/>
    <cellStyle name="Note 5 4 3" xfId="30245"/>
    <cellStyle name="Note 5 4 3 2" xfId="30246"/>
    <cellStyle name="Note 5 4 4" xfId="30247"/>
    <cellStyle name="Note 5 4 4 2" xfId="30248"/>
    <cellStyle name="Note 5 4 5" xfId="30249"/>
    <cellStyle name="Note 5 4 6" xfId="30250"/>
    <cellStyle name="Note 5 4 7" xfId="30251"/>
    <cellStyle name="Note 5 4 8" xfId="30252"/>
    <cellStyle name="Note 5 4 9" xfId="30253"/>
    <cellStyle name="Note 5 5" xfId="6554"/>
    <cellStyle name="Note 5 5 10" xfId="30254"/>
    <cellStyle name="Note 5 5 2" xfId="6555"/>
    <cellStyle name="Note 5 5 2 2" xfId="30256"/>
    <cellStyle name="Note 5 5 2 3" xfId="30257"/>
    <cellStyle name="Note 5 5 2 4" xfId="30255"/>
    <cellStyle name="Note 5 5 3" xfId="30258"/>
    <cellStyle name="Note 5 5 3 2" xfId="30259"/>
    <cellStyle name="Note 5 5 4" xfId="30260"/>
    <cellStyle name="Note 5 5 4 2" xfId="30261"/>
    <cellStyle name="Note 5 5 5" xfId="30262"/>
    <cellStyle name="Note 5 5 6" xfId="30263"/>
    <cellStyle name="Note 5 5 7" xfId="30264"/>
    <cellStyle name="Note 5 5 8" xfId="30265"/>
    <cellStyle name="Note 5 5 9" xfId="30266"/>
    <cellStyle name="Note 5 6" xfId="6556"/>
    <cellStyle name="Note 5 6 2" xfId="6557"/>
    <cellStyle name="Note 5 6 2 2" xfId="30269"/>
    <cellStyle name="Note 5 6 2 3" xfId="30268"/>
    <cellStyle name="Note 5 6 3" xfId="30270"/>
    <cellStyle name="Note 5 6 3 2" xfId="30271"/>
    <cellStyle name="Note 5 6 4" xfId="30272"/>
    <cellStyle name="Note 5 6 5" xfId="30273"/>
    <cellStyle name="Note 5 6 6" xfId="30274"/>
    <cellStyle name="Note 5 6 7" xfId="30267"/>
    <cellStyle name="Note 5 7" xfId="6558"/>
    <cellStyle name="Note 5 7 2" xfId="30276"/>
    <cellStyle name="Note 5 7 3" xfId="30275"/>
    <cellStyle name="Note 5 8" xfId="6559"/>
    <cellStyle name="Note 5 8 2" xfId="30277"/>
    <cellStyle name="Note 5 9" xfId="8218"/>
    <cellStyle name="Note 5 9 2" xfId="30278"/>
    <cellStyle name="Note 6" xfId="1899"/>
    <cellStyle name="Note 6 10" xfId="6560"/>
    <cellStyle name="Note 6 10 2" xfId="30279"/>
    <cellStyle name="Note 6 2" xfId="1900"/>
    <cellStyle name="Note 6 2 2" xfId="6562"/>
    <cellStyle name="Note 6 2 2 10" xfId="30281"/>
    <cellStyle name="Note 6 2 2 2" xfId="30282"/>
    <cellStyle name="Note 6 2 2 2 2" xfId="30283"/>
    <cellStyle name="Note 6 2 2 2 3" xfId="30284"/>
    <cellStyle name="Note 6 2 2 3" xfId="30285"/>
    <cellStyle name="Note 6 2 2 3 2" xfId="30286"/>
    <cellStyle name="Note 6 2 2 4" xfId="30287"/>
    <cellStyle name="Note 6 2 2 4 2" xfId="30288"/>
    <cellStyle name="Note 6 2 2 5" xfId="30289"/>
    <cellStyle name="Note 6 2 2 6" xfId="30290"/>
    <cellStyle name="Note 6 2 2 7" xfId="30291"/>
    <cellStyle name="Note 6 2 2 8" xfId="30292"/>
    <cellStyle name="Note 6 2 2 9" xfId="30293"/>
    <cellStyle name="Note 6 2 3" xfId="6563"/>
    <cellStyle name="Note 6 2 3 2" xfId="30295"/>
    <cellStyle name="Note 6 2 3 2 2" xfId="30296"/>
    <cellStyle name="Note 6 2 3 2 3" xfId="30297"/>
    <cellStyle name="Note 6 2 3 3" xfId="30298"/>
    <cellStyle name="Note 6 2 3 3 2" xfId="30299"/>
    <cellStyle name="Note 6 2 3 4" xfId="30300"/>
    <cellStyle name="Note 6 2 3 5" xfId="30301"/>
    <cellStyle name="Note 6 2 3 6" xfId="30302"/>
    <cellStyle name="Note 6 2 3 7" xfId="30294"/>
    <cellStyle name="Note 6 2 4" xfId="6564"/>
    <cellStyle name="Note 6 2 4 2" xfId="6565"/>
    <cellStyle name="Note 6 2 4 2 2" xfId="30304"/>
    <cellStyle name="Note 6 2 4 3" xfId="30305"/>
    <cellStyle name="Note 6 2 4 4" xfId="30303"/>
    <cellStyle name="Note 6 2 5" xfId="6566"/>
    <cellStyle name="Note 6 2 5 2" xfId="6567"/>
    <cellStyle name="Note 6 2 5 3" xfId="30306"/>
    <cellStyle name="Note 6 2 6" xfId="6568"/>
    <cellStyle name="Note 6 2 6 2" xfId="30307"/>
    <cellStyle name="Note 6 2 7" xfId="6569"/>
    <cellStyle name="Note 6 2 7 2" xfId="30308"/>
    <cellStyle name="Note 6 2 8" xfId="6561"/>
    <cellStyle name="Note 6 2 9" xfId="30280"/>
    <cellStyle name="Note 6 3" xfId="1901"/>
    <cellStyle name="Note 6 3 2" xfId="6571"/>
    <cellStyle name="Note 6 3 2 10" xfId="30310"/>
    <cellStyle name="Note 6 3 2 2" xfId="30311"/>
    <cellStyle name="Note 6 3 2 2 2" xfId="30312"/>
    <cellStyle name="Note 6 3 2 3" xfId="30313"/>
    <cellStyle name="Note 6 3 2 3 2" xfId="30314"/>
    <cellStyle name="Note 6 3 2 4" xfId="30315"/>
    <cellStyle name="Note 6 3 2 4 2" xfId="30316"/>
    <cellStyle name="Note 6 3 2 5" xfId="30317"/>
    <cellStyle name="Note 6 3 2 6" xfId="30318"/>
    <cellStyle name="Note 6 3 2 7" xfId="30319"/>
    <cellStyle name="Note 6 3 2 8" xfId="30320"/>
    <cellStyle name="Note 6 3 2 9" xfId="30321"/>
    <cellStyle name="Note 6 3 3" xfId="6570"/>
    <cellStyle name="Note 6 3 3 2" xfId="30323"/>
    <cellStyle name="Note 6 3 3 2 2" xfId="30324"/>
    <cellStyle name="Note 6 3 3 3" xfId="30325"/>
    <cellStyle name="Note 6 3 3 3 2" xfId="30326"/>
    <cellStyle name="Note 6 3 3 4" xfId="30327"/>
    <cellStyle name="Note 6 3 3 5" xfId="30328"/>
    <cellStyle name="Note 6 3 3 6" xfId="30329"/>
    <cellStyle name="Note 6 3 3 7" xfId="30322"/>
    <cellStyle name="Note 6 3 4" xfId="30330"/>
    <cellStyle name="Note 6 3 4 2" xfId="30331"/>
    <cellStyle name="Note 6 3 5" xfId="30332"/>
    <cellStyle name="Note 6 3 6" xfId="30333"/>
    <cellStyle name="Note 6 3 7" xfId="30334"/>
    <cellStyle name="Note 6 3 8" xfId="30309"/>
    <cellStyle name="Note 6 4" xfId="2820"/>
    <cellStyle name="Note 6 4 2" xfId="6572"/>
    <cellStyle name="Note 6 4 2 2" xfId="30336"/>
    <cellStyle name="Note 6 4 2 3" xfId="30337"/>
    <cellStyle name="Note 6 4 2 4" xfId="30335"/>
    <cellStyle name="Note 6 4 3" xfId="8405"/>
    <cellStyle name="Note 6 4 3 2" xfId="30338"/>
    <cellStyle name="Note 6 4 4" xfId="30339"/>
    <cellStyle name="Note 6 4 4 2" xfId="30340"/>
    <cellStyle name="Note 6 4 5" xfId="30341"/>
    <cellStyle name="Note 6 4 6" xfId="30342"/>
    <cellStyle name="Note 6 4 7" xfId="30343"/>
    <cellStyle name="Note 6 4 8" xfId="30344"/>
    <cellStyle name="Note 6 4 9" xfId="30345"/>
    <cellStyle name="Note 6 5" xfId="6573"/>
    <cellStyle name="Note 6 5 10" xfId="30346"/>
    <cellStyle name="Note 6 5 2" xfId="30347"/>
    <cellStyle name="Note 6 5 2 2" xfId="30348"/>
    <cellStyle name="Note 6 5 2 3" xfId="30349"/>
    <cellStyle name="Note 6 5 3" xfId="30350"/>
    <cellStyle name="Note 6 5 3 2" xfId="30351"/>
    <cellStyle name="Note 6 5 4" xfId="30352"/>
    <cellStyle name="Note 6 5 4 2" xfId="30353"/>
    <cellStyle name="Note 6 5 5" xfId="30354"/>
    <cellStyle name="Note 6 5 6" xfId="30355"/>
    <cellStyle name="Note 6 5 7" xfId="30356"/>
    <cellStyle name="Note 6 5 8" xfId="30357"/>
    <cellStyle name="Note 6 5 9" xfId="30358"/>
    <cellStyle name="Note 6 6" xfId="6574"/>
    <cellStyle name="Note 6 6 2" xfId="6575"/>
    <cellStyle name="Note 6 6 2 2" xfId="30361"/>
    <cellStyle name="Note 6 6 2 3" xfId="30360"/>
    <cellStyle name="Note 6 6 3" xfId="30362"/>
    <cellStyle name="Note 6 6 3 2" xfId="30363"/>
    <cellStyle name="Note 6 6 4" xfId="30364"/>
    <cellStyle name="Note 6 6 5" xfId="30365"/>
    <cellStyle name="Note 6 6 6" xfId="30366"/>
    <cellStyle name="Note 6 6 7" xfId="30359"/>
    <cellStyle name="Note 6 7" xfId="6576"/>
    <cellStyle name="Note 6 7 2" xfId="6577"/>
    <cellStyle name="Note 6 7 2 2" xfId="30368"/>
    <cellStyle name="Note 6 7 3" xfId="30367"/>
    <cellStyle name="Note 6 8" xfId="6578"/>
    <cellStyle name="Note 6 8 2" xfId="30369"/>
    <cellStyle name="Note 6 9" xfId="6579"/>
    <cellStyle name="Note 6 9 2" xfId="30370"/>
    <cellStyle name="Note 7" xfId="1902"/>
    <cellStyle name="Note 7 10" xfId="6580"/>
    <cellStyle name="Note 7 10 2" xfId="30371"/>
    <cellStyle name="Note 7 2" xfId="1903"/>
    <cellStyle name="Note 7 2 2" xfId="6582"/>
    <cellStyle name="Note 7 2 2 10" xfId="30373"/>
    <cellStyle name="Note 7 2 2 2" xfId="30374"/>
    <cellStyle name="Note 7 2 2 2 2" xfId="30375"/>
    <cellStyle name="Note 7 2 2 2 3" xfId="30376"/>
    <cellStyle name="Note 7 2 2 3" xfId="30377"/>
    <cellStyle name="Note 7 2 2 3 2" xfId="30378"/>
    <cellStyle name="Note 7 2 2 4" xfId="30379"/>
    <cellStyle name="Note 7 2 2 4 2" xfId="30380"/>
    <cellStyle name="Note 7 2 2 5" xfId="30381"/>
    <cellStyle name="Note 7 2 2 6" xfId="30382"/>
    <cellStyle name="Note 7 2 2 7" xfId="30383"/>
    <cellStyle name="Note 7 2 2 8" xfId="30384"/>
    <cellStyle name="Note 7 2 2 9" xfId="30385"/>
    <cellStyle name="Note 7 2 3" xfId="6583"/>
    <cellStyle name="Note 7 2 3 2" xfId="30387"/>
    <cellStyle name="Note 7 2 3 2 2" xfId="30388"/>
    <cellStyle name="Note 7 2 3 2 3" xfId="30389"/>
    <cellStyle name="Note 7 2 3 3" xfId="30390"/>
    <cellStyle name="Note 7 2 3 3 2" xfId="30391"/>
    <cellStyle name="Note 7 2 3 4" xfId="30392"/>
    <cellStyle name="Note 7 2 3 5" xfId="30393"/>
    <cellStyle name="Note 7 2 3 6" xfId="30394"/>
    <cellStyle name="Note 7 2 3 7" xfId="30386"/>
    <cellStyle name="Note 7 2 4" xfId="6584"/>
    <cellStyle name="Note 7 2 4 2" xfId="6585"/>
    <cellStyle name="Note 7 2 4 2 2" xfId="30396"/>
    <cellStyle name="Note 7 2 4 3" xfId="30397"/>
    <cellStyle name="Note 7 2 4 4" xfId="30395"/>
    <cellStyle name="Note 7 2 5" xfId="6586"/>
    <cellStyle name="Note 7 2 5 2" xfId="6587"/>
    <cellStyle name="Note 7 2 5 3" xfId="30398"/>
    <cellStyle name="Note 7 2 6" xfId="6588"/>
    <cellStyle name="Note 7 2 6 2" xfId="30399"/>
    <cellStyle name="Note 7 2 7" xfId="6589"/>
    <cellStyle name="Note 7 2 7 2" xfId="30400"/>
    <cellStyle name="Note 7 2 8" xfId="6581"/>
    <cellStyle name="Note 7 2 9" xfId="30372"/>
    <cellStyle name="Note 7 3" xfId="2821"/>
    <cellStyle name="Note 7 3 2" xfId="6591"/>
    <cellStyle name="Note 7 3 2 10" xfId="30401"/>
    <cellStyle name="Note 7 3 2 2" xfId="30402"/>
    <cellStyle name="Note 7 3 2 2 2" xfId="30403"/>
    <cellStyle name="Note 7 3 2 3" xfId="30404"/>
    <cellStyle name="Note 7 3 2 3 2" xfId="30405"/>
    <cellStyle name="Note 7 3 2 4" xfId="30406"/>
    <cellStyle name="Note 7 3 2 4 2" xfId="30407"/>
    <cellStyle name="Note 7 3 2 5" xfId="30408"/>
    <cellStyle name="Note 7 3 2 6" xfId="30409"/>
    <cellStyle name="Note 7 3 2 7" xfId="30410"/>
    <cellStyle name="Note 7 3 2 8" xfId="30411"/>
    <cellStyle name="Note 7 3 2 9" xfId="30412"/>
    <cellStyle name="Note 7 3 3" xfId="6590"/>
    <cellStyle name="Note 7 3 3 2" xfId="30414"/>
    <cellStyle name="Note 7 3 3 2 2" xfId="30415"/>
    <cellStyle name="Note 7 3 3 3" xfId="30416"/>
    <cellStyle name="Note 7 3 3 3 2" xfId="30417"/>
    <cellStyle name="Note 7 3 3 4" xfId="30418"/>
    <cellStyle name="Note 7 3 3 5" xfId="30419"/>
    <cellStyle name="Note 7 3 3 6" xfId="30420"/>
    <cellStyle name="Note 7 3 3 7" xfId="30413"/>
    <cellStyle name="Note 7 3 4" xfId="8406"/>
    <cellStyle name="Note 7 3 4 2" xfId="30421"/>
    <cellStyle name="Note 7 3 5" xfId="30422"/>
    <cellStyle name="Note 7 3 6" xfId="30423"/>
    <cellStyle name="Note 7 3 7" xfId="30424"/>
    <cellStyle name="Note 7 4" xfId="6592"/>
    <cellStyle name="Note 7 4 10" xfId="30425"/>
    <cellStyle name="Note 7 4 2" xfId="30426"/>
    <cellStyle name="Note 7 4 2 2" xfId="30427"/>
    <cellStyle name="Note 7 4 2 3" xfId="30428"/>
    <cellStyle name="Note 7 4 3" xfId="30429"/>
    <cellStyle name="Note 7 4 3 2" xfId="30430"/>
    <cellStyle name="Note 7 4 4" xfId="30431"/>
    <cellStyle name="Note 7 4 4 2" xfId="30432"/>
    <cellStyle name="Note 7 4 5" xfId="30433"/>
    <cellStyle name="Note 7 4 6" xfId="30434"/>
    <cellStyle name="Note 7 4 7" xfId="30435"/>
    <cellStyle name="Note 7 4 8" xfId="30436"/>
    <cellStyle name="Note 7 4 9" xfId="30437"/>
    <cellStyle name="Note 7 5" xfId="6593"/>
    <cellStyle name="Note 7 5 10" xfId="30438"/>
    <cellStyle name="Note 7 5 2" xfId="30439"/>
    <cellStyle name="Note 7 5 2 2" xfId="30440"/>
    <cellStyle name="Note 7 5 2 3" xfId="30441"/>
    <cellStyle name="Note 7 5 3" xfId="30442"/>
    <cellStyle name="Note 7 5 3 2" xfId="30443"/>
    <cellStyle name="Note 7 5 4" xfId="30444"/>
    <cellStyle name="Note 7 5 4 2" xfId="30445"/>
    <cellStyle name="Note 7 5 5" xfId="30446"/>
    <cellStyle name="Note 7 5 6" xfId="30447"/>
    <cellStyle name="Note 7 5 7" xfId="30448"/>
    <cellStyle name="Note 7 5 8" xfId="30449"/>
    <cellStyle name="Note 7 5 9" xfId="30450"/>
    <cellStyle name="Note 7 6" xfId="6594"/>
    <cellStyle name="Note 7 6 2" xfId="6595"/>
    <cellStyle name="Note 7 6 2 2" xfId="30453"/>
    <cellStyle name="Note 7 6 2 3" xfId="30452"/>
    <cellStyle name="Note 7 6 3" xfId="30454"/>
    <cellStyle name="Note 7 6 3 2" xfId="30455"/>
    <cellStyle name="Note 7 6 4" xfId="30456"/>
    <cellStyle name="Note 7 6 5" xfId="30457"/>
    <cellStyle name="Note 7 6 6" xfId="30458"/>
    <cellStyle name="Note 7 6 7" xfId="30451"/>
    <cellStyle name="Note 7 7" xfId="6596"/>
    <cellStyle name="Note 7 7 2" xfId="6597"/>
    <cellStyle name="Note 7 7 2 2" xfId="30460"/>
    <cellStyle name="Note 7 7 3" xfId="30459"/>
    <cellStyle name="Note 7 8" xfId="6598"/>
    <cellStyle name="Note 7 8 2" xfId="30461"/>
    <cellStyle name="Note 7 9" xfId="6599"/>
    <cellStyle name="Note 7 9 2" xfId="30462"/>
    <cellStyle name="Note 8" xfId="1904"/>
    <cellStyle name="Note 8 10" xfId="6600"/>
    <cellStyle name="Note 8 10 2" xfId="30463"/>
    <cellStyle name="Note 8 11" xfId="8220"/>
    <cellStyle name="Note 8 2" xfId="1905"/>
    <cellStyle name="Note 8 2 10" xfId="30464"/>
    <cellStyle name="Note 8 2 2" xfId="6602"/>
    <cellStyle name="Note 8 2 2 10" xfId="30465"/>
    <cellStyle name="Note 8 2 2 2" xfId="30466"/>
    <cellStyle name="Note 8 2 2 2 2" xfId="30467"/>
    <cellStyle name="Note 8 2 2 2 3" xfId="30468"/>
    <cellStyle name="Note 8 2 2 3" xfId="30469"/>
    <cellStyle name="Note 8 2 2 3 2" xfId="30470"/>
    <cellStyle name="Note 8 2 2 4" xfId="30471"/>
    <cellStyle name="Note 8 2 2 4 2" xfId="30472"/>
    <cellStyle name="Note 8 2 2 5" xfId="30473"/>
    <cellStyle name="Note 8 2 2 6" xfId="30474"/>
    <cellStyle name="Note 8 2 2 7" xfId="30475"/>
    <cellStyle name="Note 8 2 2 8" xfId="30476"/>
    <cellStyle name="Note 8 2 2 9" xfId="30477"/>
    <cellStyle name="Note 8 2 3" xfId="6603"/>
    <cellStyle name="Note 8 2 3 2" xfId="30479"/>
    <cellStyle name="Note 8 2 3 2 2" xfId="30480"/>
    <cellStyle name="Note 8 2 3 2 3" xfId="30481"/>
    <cellStyle name="Note 8 2 3 3" xfId="30482"/>
    <cellStyle name="Note 8 2 3 3 2" xfId="30483"/>
    <cellStyle name="Note 8 2 3 4" xfId="30484"/>
    <cellStyle name="Note 8 2 3 5" xfId="30485"/>
    <cellStyle name="Note 8 2 3 6" xfId="30486"/>
    <cellStyle name="Note 8 2 3 7" xfId="30478"/>
    <cellStyle name="Note 8 2 4" xfId="6604"/>
    <cellStyle name="Note 8 2 4 2" xfId="6605"/>
    <cellStyle name="Note 8 2 4 2 2" xfId="30488"/>
    <cellStyle name="Note 8 2 4 3" xfId="30489"/>
    <cellStyle name="Note 8 2 4 4" xfId="30487"/>
    <cellStyle name="Note 8 2 5" xfId="6606"/>
    <cellStyle name="Note 8 2 5 2" xfId="6607"/>
    <cellStyle name="Note 8 2 5 3" xfId="30490"/>
    <cellStyle name="Note 8 2 6" xfId="6608"/>
    <cellStyle name="Note 8 2 6 2" xfId="30491"/>
    <cellStyle name="Note 8 2 7" xfId="6609"/>
    <cellStyle name="Note 8 2 7 2" xfId="30492"/>
    <cellStyle name="Note 8 2 8" xfId="6601"/>
    <cellStyle name="Note 8 2 9" xfId="8221"/>
    <cellStyle name="Note 8 3" xfId="2822"/>
    <cellStyle name="Note 8 3 2" xfId="6611"/>
    <cellStyle name="Note 8 3 2 10" xfId="30493"/>
    <cellStyle name="Note 8 3 2 2" xfId="30494"/>
    <cellStyle name="Note 8 3 2 2 2" xfId="30495"/>
    <cellStyle name="Note 8 3 2 3" xfId="30496"/>
    <cellStyle name="Note 8 3 2 3 2" xfId="30497"/>
    <cellStyle name="Note 8 3 2 4" xfId="30498"/>
    <cellStyle name="Note 8 3 2 4 2" xfId="30499"/>
    <cellStyle name="Note 8 3 2 5" xfId="30500"/>
    <cellStyle name="Note 8 3 2 6" xfId="30501"/>
    <cellStyle name="Note 8 3 2 7" xfId="30502"/>
    <cellStyle name="Note 8 3 2 8" xfId="30503"/>
    <cellStyle name="Note 8 3 2 9" xfId="30504"/>
    <cellStyle name="Note 8 3 3" xfId="6610"/>
    <cellStyle name="Note 8 3 3 2" xfId="30506"/>
    <cellStyle name="Note 8 3 3 2 2" xfId="30507"/>
    <cellStyle name="Note 8 3 3 3" xfId="30508"/>
    <cellStyle name="Note 8 3 3 3 2" xfId="30509"/>
    <cellStyle name="Note 8 3 3 4" xfId="30510"/>
    <cellStyle name="Note 8 3 3 5" xfId="30511"/>
    <cellStyle name="Note 8 3 3 6" xfId="30512"/>
    <cellStyle name="Note 8 3 3 7" xfId="30505"/>
    <cellStyle name="Note 8 3 4" xfId="8407"/>
    <cellStyle name="Note 8 3 4 2" xfId="30513"/>
    <cellStyle name="Note 8 3 5" xfId="30514"/>
    <cellStyle name="Note 8 3 6" xfId="30515"/>
    <cellStyle name="Note 8 3 7" xfId="30516"/>
    <cellStyle name="Note 8 4" xfId="6612"/>
    <cellStyle name="Note 8 4 10" xfId="30517"/>
    <cellStyle name="Note 8 4 2" xfId="30518"/>
    <cellStyle name="Note 8 4 2 2" xfId="30519"/>
    <cellStyle name="Note 8 4 2 3" xfId="30520"/>
    <cellStyle name="Note 8 4 3" xfId="30521"/>
    <cellStyle name="Note 8 4 3 2" xfId="30522"/>
    <cellStyle name="Note 8 4 4" xfId="30523"/>
    <cellStyle name="Note 8 4 4 2" xfId="30524"/>
    <cellStyle name="Note 8 4 5" xfId="30525"/>
    <cellStyle name="Note 8 4 6" xfId="30526"/>
    <cellStyle name="Note 8 4 7" xfId="30527"/>
    <cellStyle name="Note 8 4 8" xfId="30528"/>
    <cellStyle name="Note 8 4 9" xfId="30529"/>
    <cellStyle name="Note 8 5" xfId="6613"/>
    <cellStyle name="Note 8 5 10" xfId="30530"/>
    <cellStyle name="Note 8 5 2" xfId="30531"/>
    <cellStyle name="Note 8 5 2 2" xfId="30532"/>
    <cellStyle name="Note 8 5 2 3" xfId="30533"/>
    <cellStyle name="Note 8 5 3" xfId="30534"/>
    <cellStyle name="Note 8 5 3 2" xfId="30535"/>
    <cellStyle name="Note 8 5 4" xfId="30536"/>
    <cellStyle name="Note 8 5 4 2" xfId="30537"/>
    <cellStyle name="Note 8 5 5" xfId="30538"/>
    <cellStyle name="Note 8 5 6" xfId="30539"/>
    <cellStyle name="Note 8 5 7" xfId="30540"/>
    <cellStyle name="Note 8 5 8" xfId="30541"/>
    <cellStyle name="Note 8 5 9" xfId="30542"/>
    <cellStyle name="Note 8 6" xfId="6614"/>
    <cellStyle name="Note 8 6 2" xfId="6615"/>
    <cellStyle name="Note 8 6 2 2" xfId="30545"/>
    <cellStyle name="Note 8 6 2 3" xfId="30544"/>
    <cellStyle name="Note 8 6 3" xfId="30546"/>
    <cellStyle name="Note 8 6 3 2" xfId="30547"/>
    <cellStyle name="Note 8 6 4" xfId="30548"/>
    <cellStyle name="Note 8 6 5" xfId="30549"/>
    <cellStyle name="Note 8 6 6" xfId="30550"/>
    <cellStyle name="Note 8 6 7" xfId="30543"/>
    <cellStyle name="Note 8 7" xfId="6616"/>
    <cellStyle name="Note 8 7 2" xfId="6617"/>
    <cellStyle name="Note 8 7 2 2" xfId="30552"/>
    <cellStyle name="Note 8 7 3" xfId="30551"/>
    <cellStyle name="Note 8 8" xfId="6618"/>
    <cellStyle name="Note 8 8 2" xfId="30553"/>
    <cellStyle name="Note 8 9" xfId="6619"/>
    <cellStyle name="Note 8 9 2" xfId="30554"/>
    <cellStyle name="Note 9" xfId="1906"/>
    <cellStyle name="Note 9 10" xfId="6620"/>
    <cellStyle name="Note 9 10 2" xfId="30555"/>
    <cellStyle name="Note 9 11" xfId="8222"/>
    <cellStyle name="Note 9 2" xfId="1907"/>
    <cellStyle name="Note 9 2 10" xfId="30556"/>
    <cellStyle name="Note 9 2 2" xfId="6622"/>
    <cellStyle name="Note 9 2 2 10" xfId="30557"/>
    <cellStyle name="Note 9 2 2 2" xfId="30558"/>
    <cellStyle name="Note 9 2 2 2 2" xfId="30559"/>
    <cellStyle name="Note 9 2 2 2 3" xfId="30560"/>
    <cellStyle name="Note 9 2 2 3" xfId="30561"/>
    <cellStyle name="Note 9 2 2 3 2" xfId="30562"/>
    <cellStyle name="Note 9 2 2 4" xfId="30563"/>
    <cellStyle name="Note 9 2 2 4 2" xfId="30564"/>
    <cellStyle name="Note 9 2 2 5" xfId="30565"/>
    <cellStyle name="Note 9 2 2 6" xfId="30566"/>
    <cellStyle name="Note 9 2 2 7" xfId="30567"/>
    <cellStyle name="Note 9 2 2 8" xfId="30568"/>
    <cellStyle name="Note 9 2 2 9" xfId="30569"/>
    <cellStyle name="Note 9 2 3" xfId="6623"/>
    <cellStyle name="Note 9 2 3 2" xfId="30571"/>
    <cellStyle name="Note 9 2 3 2 2" xfId="30572"/>
    <cellStyle name="Note 9 2 3 2 3" xfId="30573"/>
    <cellStyle name="Note 9 2 3 3" xfId="30574"/>
    <cellStyle name="Note 9 2 3 3 2" xfId="30575"/>
    <cellStyle name="Note 9 2 3 4" xfId="30576"/>
    <cellStyle name="Note 9 2 3 5" xfId="30577"/>
    <cellStyle name="Note 9 2 3 6" xfId="30578"/>
    <cellStyle name="Note 9 2 3 7" xfId="30570"/>
    <cellStyle name="Note 9 2 4" xfId="6624"/>
    <cellStyle name="Note 9 2 4 2" xfId="6625"/>
    <cellStyle name="Note 9 2 4 2 2" xfId="30580"/>
    <cellStyle name="Note 9 2 4 3" xfId="30581"/>
    <cellStyle name="Note 9 2 4 4" xfId="30579"/>
    <cellStyle name="Note 9 2 5" xfId="6626"/>
    <cellStyle name="Note 9 2 5 2" xfId="6627"/>
    <cellStyle name="Note 9 2 5 3" xfId="30582"/>
    <cellStyle name="Note 9 2 6" xfId="6628"/>
    <cellStyle name="Note 9 2 6 2" xfId="30583"/>
    <cellStyle name="Note 9 2 7" xfId="6629"/>
    <cellStyle name="Note 9 2 7 2" xfId="30584"/>
    <cellStyle name="Note 9 2 8" xfId="6621"/>
    <cellStyle name="Note 9 2 9" xfId="8223"/>
    <cellStyle name="Note 9 3" xfId="2823"/>
    <cellStyle name="Note 9 3 2" xfId="6631"/>
    <cellStyle name="Note 9 3 2 10" xfId="30585"/>
    <cellStyle name="Note 9 3 2 2" xfId="30586"/>
    <cellStyle name="Note 9 3 2 2 2" xfId="30587"/>
    <cellStyle name="Note 9 3 2 3" xfId="30588"/>
    <cellStyle name="Note 9 3 2 3 2" xfId="30589"/>
    <cellStyle name="Note 9 3 2 4" xfId="30590"/>
    <cellStyle name="Note 9 3 2 4 2" xfId="30591"/>
    <cellStyle name="Note 9 3 2 5" xfId="30592"/>
    <cellStyle name="Note 9 3 2 6" xfId="30593"/>
    <cellStyle name="Note 9 3 2 7" xfId="30594"/>
    <cellStyle name="Note 9 3 2 8" xfId="30595"/>
    <cellStyle name="Note 9 3 2 9" xfId="30596"/>
    <cellStyle name="Note 9 3 3" xfId="6630"/>
    <cellStyle name="Note 9 3 3 2" xfId="30598"/>
    <cellStyle name="Note 9 3 3 2 2" xfId="30599"/>
    <cellStyle name="Note 9 3 3 3" xfId="30600"/>
    <cellStyle name="Note 9 3 3 3 2" xfId="30601"/>
    <cellStyle name="Note 9 3 3 4" xfId="30602"/>
    <cellStyle name="Note 9 3 3 5" xfId="30603"/>
    <cellStyle name="Note 9 3 3 6" xfId="30604"/>
    <cellStyle name="Note 9 3 3 7" xfId="30597"/>
    <cellStyle name="Note 9 3 4" xfId="8408"/>
    <cellStyle name="Note 9 3 4 2" xfId="30605"/>
    <cellStyle name="Note 9 3 5" xfId="30606"/>
    <cellStyle name="Note 9 3 6" xfId="30607"/>
    <cellStyle name="Note 9 3 7" xfId="30608"/>
    <cellStyle name="Note 9 4" xfId="6632"/>
    <cellStyle name="Note 9 4 10" xfId="30609"/>
    <cellStyle name="Note 9 4 2" xfId="30610"/>
    <cellStyle name="Note 9 4 2 2" xfId="30611"/>
    <cellStyle name="Note 9 4 2 3" xfId="30612"/>
    <cellStyle name="Note 9 4 3" xfId="30613"/>
    <cellStyle name="Note 9 4 3 2" xfId="30614"/>
    <cellStyle name="Note 9 4 4" xfId="30615"/>
    <cellStyle name="Note 9 4 4 2" xfId="30616"/>
    <cellStyle name="Note 9 4 5" xfId="30617"/>
    <cellStyle name="Note 9 4 6" xfId="30618"/>
    <cellStyle name="Note 9 4 7" xfId="30619"/>
    <cellStyle name="Note 9 4 8" xfId="30620"/>
    <cellStyle name="Note 9 4 9" xfId="30621"/>
    <cellStyle name="Note 9 5" xfId="6633"/>
    <cellStyle name="Note 9 5 10" xfId="30622"/>
    <cellStyle name="Note 9 5 2" xfId="30623"/>
    <cellStyle name="Note 9 5 2 2" xfId="30624"/>
    <cellStyle name="Note 9 5 2 3" xfId="30625"/>
    <cellStyle name="Note 9 5 3" xfId="30626"/>
    <cellStyle name="Note 9 5 3 2" xfId="30627"/>
    <cellStyle name="Note 9 5 4" xfId="30628"/>
    <cellStyle name="Note 9 5 4 2" xfId="30629"/>
    <cellStyle name="Note 9 5 5" xfId="30630"/>
    <cellStyle name="Note 9 5 6" xfId="30631"/>
    <cellStyle name="Note 9 5 7" xfId="30632"/>
    <cellStyle name="Note 9 5 8" xfId="30633"/>
    <cellStyle name="Note 9 5 9" xfId="30634"/>
    <cellStyle name="Note 9 6" xfId="6634"/>
    <cellStyle name="Note 9 6 2" xfId="6635"/>
    <cellStyle name="Note 9 6 2 2" xfId="30637"/>
    <cellStyle name="Note 9 6 2 3" xfId="30636"/>
    <cellStyle name="Note 9 6 3" xfId="30638"/>
    <cellStyle name="Note 9 6 3 2" xfId="30639"/>
    <cellStyle name="Note 9 6 4" xfId="30640"/>
    <cellStyle name="Note 9 6 5" xfId="30641"/>
    <cellStyle name="Note 9 6 6" xfId="30642"/>
    <cellStyle name="Note 9 6 7" xfId="30635"/>
    <cellStyle name="Note 9 7" xfId="6636"/>
    <cellStyle name="Note 9 7 2" xfId="6637"/>
    <cellStyle name="Note 9 7 2 2" xfId="30644"/>
    <cellStyle name="Note 9 7 3" xfId="30643"/>
    <cellStyle name="Note 9 8" xfId="6638"/>
    <cellStyle name="Note 9 8 2" xfId="30645"/>
    <cellStyle name="Note 9 9" xfId="6639"/>
    <cellStyle name="Note 9 9 2" xfId="30646"/>
    <cellStyle name="Option" xfId="1908"/>
    <cellStyle name="Option 2" xfId="1909"/>
    <cellStyle name="Összesen" xfId="40371"/>
    <cellStyle name="Output 10" xfId="2824"/>
    <cellStyle name="Output 10 10" xfId="6640"/>
    <cellStyle name="Output 10 10 2" xfId="30647"/>
    <cellStyle name="Output 10 11" xfId="8409"/>
    <cellStyle name="Output 10 2" xfId="6641"/>
    <cellStyle name="Output 10 2 2" xfId="6642"/>
    <cellStyle name="Output 10 2 2 10" xfId="30649"/>
    <cellStyle name="Output 10 2 2 2" xfId="30650"/>
    <cellStyle name="Output 10 2 2 2 2" xfId="30651"/>
    <cellStyle name="Output 10 2 2 2 3" xfId="30652"/>
    <cellStyle name="Output 10 2 2 3" xfId="30653"/>
    <cellStyle name="Output 10 2 2 3 2" xfId="30654"/>
    <cellStyle name="Output 10 2 2 4" xfId="30655"/>
    <cellStyle name="Output 10 2 2 4 2" xfId="30656"/>
    <cellStyle name="Output 10 2 2 5" xfId="30657"/>
    <cellStyle name="Output 10 2 2 6" xfId="30658"/>
    <cellStyle name="Output 10 2 2 7" xfId="30659"/>
    <cellStyle name="Output 10 2 2 8" xfId="30660"/>
    <cellStyle name="Output 10 2 2 9" xfId="30661"/>
    <cellStyle name="Output 10 2 3" xfId="6643"/>
    <cellStyle name="Output 10 2 3 2" xfId="30663"/>
    <cellStyle name="Output 10 2 3 2 2" xfId="30664"/>
    <cellStyle name="Output 10 2 3 2 3" xfId="30665"/>
    <cellStyle name="Output 10 2 3 3" xfId="30666"/>
    <cellStyle name="Output 10 2 3 3 2" xfId="30667"/>
    <cellStyle name="Output 10 2 3 4" xfId="30668"/>
    <cellStyle name="Output 10 2 3 5" xfId="30669"/>
    <cellStyle name="Output 10 2 3 6" xfId="30670"/>
    <cellStyle name="Output 10 2 3 7" xfId="30662"/>
    <cellStyle name="Output 10 2 4" xfId="6644"/>
    <cellStyle name="Output 10 2 4 2" xfId="6645"/>
    <cellStyle name="Output 10 2 4 2 2" xfId="30672"/>
    <cellStyle name="Output 10 2 4 3" xfId="30673"/>
    <cellStyle name="Output 10 2 4 4" xfId="30671"/>
    <cellStyle name="Output 10 2 5" xfId="6646"/>
    <cellStyle name="Output 10 2 5 2" xfId="6647"/>
    <cellStyle name="Output 10 2 5 3" xfId="30674"/>
    <cellStyle name="Output 10 2 6" xfId="6648"/>
    <cellStyle name="Output 10 2 6 2" xfId="30675"/>
    <cellStyle name="Output 10 2 7" xfId="6649"/>
    <cellStyle name="Output 10 2 7 2" xfId="30676"/>
    <cellStyle name="Output 10 2 8" xfId="30677"/>
    <cellStyle name="Output 10 2 9" xfId="30648"/>
    <cellStyle name="Output 10 3" xfId="6650"/>
    <cellStyle name="Output 10 3 2" xfId="6651"/>
    <cellStyle name="Output 10 3 2 10" xfId="30679"/>
    <cellStyle name="Output 10 3 2 2" xfId="30680"/>
    <cellStyle name="Output 10 3 2 2 2" xfId="30681"/>
    <cellStyle name="Output 10 3 2 3" xfId="30682"/>
    <cellStyle name="Output 10 3 2 3 2" xfId="30683"/>
    <cellStyle name="Output 10 3 2 4" xfId="30684"/>
    <cellStyle name="Output 10 3 2 4 2" xfId="30685"/>
    <cellStyle name="Output 10 3 2 5" xfId="30686"/>
    <cellStyle name="Output 10 3 2 6" xfId="30687"/>
    <cellStyle name="Output 10 3 2 7" xfId="30688"/>
    <cellStyle name="Output 10 3 2 8" xfId="30689"/>
    <cellStyle name="Output 10 3 2 9" xfId="30690"/>
    <cellStyle name="Output 10 3 3" xfId="30691"/>
    <cellStyle name="Output 10 3 3 2" xfId="30692"/>
    <cellStyle name="Output 10 3 3 2 2" xfId="30693"/>
    <cellStyle name="Output 10 3 3 3" xfId="30694"/>
    <cellStyle name="Output 10 3 3 3 2" xfId="30695"/>
    <cellStyle name="Output 10 3 3 4" xfId="30696"/>
    <cellStyle name="Output 10 3 3 5" xfId="30697"/>
    <cellStyle name="Output 10 3 3 6" xfId="30698"/>
    <cellStyle name="Output 10 3 4" xfId="30699"/>
    <cellStyle name="Output 10 3 4 2" xfId="30700"/>
    <cellStyle name="Output 10 3 5" xfId="30701"/>
    <cellStyle name="Output 10 3 6" xfId="30702"/>
    <cellStyle name="Output 10 3 7" xfId="30703"/>
    <cellStyle name="Output 10 3 8" xfId="30704"/>
    <cellStyle name="Output 10 3 9" xfId="30678"/>
    <cellStyle name="Output 10 4" xfId="6652"/>
    <cellStyle name="Output 10 4 10" xfId="30705"/>
    <cellStyle name="Output 10 4 2" xfId="30706"/>
    <cellStyle name="Output 10 4 2 2" xfId="30707"/>
    <cellStyle name="Output 10 4 2 3" xfId="30708"/>
    <cellStyle name="Output 10 4 3" xfId="30709"/>
    <cellStyle name="Output 10 4 3 2" xfId="30710"/>
    <cellStyle name="Output 10 4 4" xfId="30711"/>
    <cellStyle name="Output 10 4 4 2" xfId="30712"/>
    <cellStyle name="Output 10 4 5" xfId="30713"/>
    <cellStyle name="Output 10 4 6" xfId="30714"/>
    <cellStyle name="Output 10 4 7" xfId="30715"/>
    <cellStyle name="Output 10 4 8" xfId="30716"/>
    <cellStyle name="Output 10 4 9" xfId="30717"/>
    <cellStyle name="Output 10 5" xfId="6653"/>
    <cellStyle name="Output 10 5 10" xfId="30718"/>
    <cellStyle name="Output 10 5 2" xfId="30719"/>
    <cellStyle name="Output 10 5 2 2" xfId="30720"/>
    <cellStyle name="Output 10 5 2 3" xfId="30721"/>
    <cellStyle name="Output 10 5 3" xfId="30722"/>
    <cellStyle name="Output 10 5 3 2" xfId="30723"/>
    <cellStyle name="Output 10 5 4" xfId="30724"/>
    <cellStyle name="Output 10 5 4 2" xfId="30725"/>
    <cellStyle name="Output 10 5 5" xfId="30726"/>
    <cellStyle name="Output 10 5 6" xfId="30727"/>
    <cellStyle name="Output 10 5 7" xfId="30728"/>
    <cellStyle name="Output 10 5 8" xfId="30729"/>
    <cellStyle name="Output 10 5 9" xfId="30730"/>
    <cellStyle name="Output 10 6" xfId="6654"/>
    <cellStyle name="Output 10 6 2" xfId="6655"/>
    <cellStyle name="Output 10 6 2 2" xfId="30733"/>
    <cellStyle name="Output 10 6 2 3" xfId="30732"/>
    <cellStyle name="Output 10 6 3" xfId="30734"/>
    <cellStyle name="Output 10 6 3 2" xfId="30735"/>
    <cellStyle name="Output 10 6 4" xfId="30736"/>
    <cellStyle name="Output 10 6 5" xfId="30737"/>
    <cellStyle name="Output 10 6 6" xfId="30738"/>
    <cellStyle name="Output 10 6 7" xfId="30731"/>
    <cellStyle name="Output 10 7" xfId="6656"/>
    <cellStyle name="Output 10 7 2" xfId="6657"/>
    <cellStyle name="Output 10 7 2 2" xfId="30740"/>
    <cellStyle name="Output 10 7 3" xfId="30739"/>
    <cellStyle name="Output 10 8" xfId="6658"/>
    <cellStyle name="Output 10 8 2" xfId="30741"/>
    <cellStyle name="Output 10 9" xfId="6659"/>
    <cellStyle name="Output 10 9 2" xfId="30742"/>
    <cellStyle name="Output 11" xfId="2825"/>
    <cellStyle name="Output 11 10" xfId="6660"/>
    <cellStyle name="Output 11 10 2" xfId="30743"/>
    <cellStyle name="Output 11 11" xfId="8410"/>
    <cellStyle name="Output 11 2" xfId="6661"/>
    <cellStyle name="Output 11 2 2" xfId="6662"/>
    <cellStyle name="Output 11 2 2 10" xfId="30745"/>
    <cellStyle name="Output 11 2 2 2" xfId="30746"/>
    <cellStyle name="Output 11 2 2 2 2" xfId="30747"/>
    <cellStyle name="Output 11 2 2 2 3" xfId="30748"/>
    <cellStyle name="Output 11 2 2 3" xfId="30749"/>
    <cellStyle name="Output 11 2 2 3 2" xfId="30750"/>
    <cellStyle name="Output 11 2 2 4" xfId="30751"/>
    <cellStyle name="Output 11 2 2 4 2" xfId="30752"/>
    <cellStyle name="Output 11 2 2 5" xfId="30753"/>
    <cellStyle name="Output 11 2 2 6" xfId="30754"/>
    <cellStyle name="Output 11 2 2 7" xfId="30755"/>
    <cellStyle name="Output 11 2 2 8" xfId="30756"/>
    <cellStyle name="Output 11 2 2 9" xfId="30757"/>
    <cellStyle name="Output 11 2 3" xfId="6663"/>
    <cellStyle name="Output 11 2 3 2" xfId="30759"/>
    <cellStyle name="Output 11 2 3 2 2" xfId="30760"/>
    <cellStyle name="Output 11 2 3 2 3" xfId="30761"/>
    <cellStyle name="Output 11 2 3 3" xfId="30762"/>
    <cellStyle name="Output 11 2 3 3 2" xfId="30763"/>
    <cellStyle name="Output 11 2 3 4" xfId="30764"/>
    <cellStyle name="Output 11 2 3 5" xfId="30765"/>
    <cellStyle name="Output 11 2 3 6" xfId="30766"/>
    <cellStyle name="Output 11 2 3 7" xfId="30758"/>
    <cellStyle name="Output 11 2 4" xfId="6664"/>
    <cellStyle name="Output 11 2 4 2" xfId="6665"/>
    <cellStyle name="Output 11 2 4 2 2" xfId="30768"/>
    <cellStyle name="Output 11 2 4 3" xfId="30769"/>
    <cellStyle name="Output 11 2 4 4" xfId="30767"/>
    <cellStyle name="Output 11 2 5" xfId="6666"/>
    <cellStyle name="Output 11 2 5 2" xfId="6667"/>
    <cellStyle name="Output 11 2 5 3" xfId="30770"/>
    <cellStyle name="Output 11 2 6" xfId="6668"/>
    <cellStyle name="Output 11 2 6 2" xfId="30771"/>
    <cellStyle name="Output 11 2 7" xfId="6669"/>
    <cellStyle name="Output 11 2 7 2" xfId="30772"/>
    <cellStyle name="Output 11 2 8" xfId="30773"/>
    <cellStyle name="Output 11 2 9" xfId="30744"/>
    <cellStyle name="Output 11 3" xfId="6670"/>
    <cellStyle name="Output 11 3 2" xfId="6671"/>
    <cellStyle name="Output 11 3 2 10" xfId="30775"/>
    <cellStyle name="Output 11 3 2 2" xfId="30776"/>
    <cellStyle name="Output 11 3 2 2 2" xfId="30777"/>
    <cellStyle name="Output 11 3 2 3" xfId="30778"/>
    <cellStyle name="Output 11 3 2 3 2" xfId="30779"/>
    <cellStyle name="Output 11 3 2 4" xfId="30780"/>
    <cellStyle name="Output 11 3 2 4 2" xfId="30781"/>
    <cellStyle name="Output 11 3 2 5" xfId="30782"/>
    <cellStyle name="Output 11 3 2 6" xfId="30783"/>
    <cellStyle name="Output 11 3 2 7" xfId="30784"/>
    <cellStyle name="Output 11 3 2 8" xfId="30785"/>
    <cellStyle name="Output 11 3 2 9" xfId="30786"/>
    <cellStyle name="Output 11 3 3" xfId="30787"/>
    <cellStyle name="Output 11 3 3 2" xfId="30788"/>
    <cellStyle name="Output 11 3 3 2 2" xfId="30789"/>
    <cellStyle name="Output 11 3 3 3" xfId="30790"/>
    <cellStyle name="Output 11 3 3 3 2" xfId="30791"/>
    <cellStyle name="Output 11 3 3 4" xfId="30792"/>
    <cellStyle name="Output 11 3 3 5" xfId="30793"/>
    <cellStyle name="Output 11 3 3 6" xfId="30794"/>
    <cellStyle name="Output 11 3 4" xfId="30795"/>
    <cellStyle name="Output 11 3 4 2" xfId="30796"/>
    <cellStyle name="Output 11 3 5" xfId="30797"/>
    <cellStyle name="Output 11 3 6" xfId="30798"/>
    <cellStyle name="Output 11 3 7" xfId="30799"/>
    <cellStyle name="Output 11 3 8" xfId="30800"/>
    <cellStyle name="Output 11 3 9" xfId="30774"/>
    <cellStyle name="Output 11 4" xfId="6672"/>
    <cellStyle name="Output 11 4 10" xfId="30801"/>
    <cellStyle name="Output 11 4 2" xfId="30802"/>
    <cellStyle name="Output 11 4 2 2" xfId="30803"/>
    <cellStyle name="Output 11 4 2 3" xfId="30804"/>
    <cellStyle name="Output 11 4 3" xfId="30805"/>
    <cellStyle name="Output 11 4 3 2" xfId="30806"/>
    <cellStyle name="Output 11 4 4" xfId="30807"/>
    <cellStyle name="Output 11 4 4 2" xfId="30808"/>
    <cellStyle name="Output 11 4 5" xfId="30809"/>
    <cellStyle name="Output 11 4 6" xfId="30810"/>
    <cellStyle name="Output 11 4 7" xfId="30811"/>
    <cellStyle name="Output 11 4 8" xfId="30812"/>
    <cellStyle name="Output 11 4 9" xfId="30813"/>
    <cellStyle name="Output 11 5" xfId="6673"/>
    <cellStyle name="Output 11 5 10" xfId="30814"/>
    <cellStyle name="Output 11 5 2" xfId="30815"/>
    <cellStyle name="Output 11 5 2 2" xfId="30816"/>
    <cellStyle name="Output 11 5 2 3" xfId="30817"/>
    <cellStyle name="Output 11 5 3" xfId="30818"/>
    <cellStyle name="Output 11 5 3 2" xfId="30819"/>
    <cellStyle name="Output 11 5 4" xfId="30820"/>
    <cellStyle name="Output 11 5 4 2" xfId="30821"/>
    <cellStyle name="Output 11 5 5" xfId="30822"/>
    <cellStyle name="Output 11 5 6" xfId="30823"/>
    <cellStyle name="Output 11 5 7" xfId="30824"/>
    <cellStyle name="Output 11 5 8" xfId="30825"/>
    <cellStyle name="Output 11 5 9" xfId="30826"/>
    <cellStyle name="Output 11 6" xfId="6674"/>
    <cellStyle name="Output 11 6 2" xfId="6675"/>
    <cellStyle name="Output 11 6 2 2" xfId="30829"/>
    <cellStyle name="Output 11 6 2 3" xfId="30828"/>
    <cellStyle name="Output 11 6 3" xfId="30830"/>
    <cellStyle name="Output 11 6 3 2" xfId="30831"/>
    <cellStyle name="Output 11 6 4" xfId="30832"/>
    <cellStyle name="Output 11 6 5" xfId="30833"/>
    <cellStyle name="Output 11 6 6" xfId="30834"/>
    <cellStyle name="Output 11 6 7" xfId="30827"/>
    <cellStyle name="Output 11 7" xfId="6676"/>
    <cellStyle name="Output 11 7 2" xfId="6677"/>
    <cellStyle name="Output 11 7 2 2" xfId="30836"/>
    <cellStyle name="Output 11 7 3" xfId="30835"/>
    <cellStyle name="Output 11 8" xfId="6678"/>
    <cellStyle name="Output 11 8 2" xfId="30837"/>
    <cellStyle name="Output 11 9" xfId="6679"/>
    <cellStyle name="Output 11 9 2" xfId="30838"/>
    <cellStyle name="Output 12" xfId="2826"/>
    <cellStyle name="Output 12 10" xfId="6680"/>
    <cellStyle name="Output 12 10 2" xfId="30839"/>
    <cellStyle name="Output 12 11" xfId="8411"/>
    <cellStyle name="Output 12 2" xfId="6681"/>
    <cellStyle name="Output 12 2 2" xfId="6682"/>
    <cellStyle name="Output 12 2 2 10" xfId="30841"/>
    <cellStyle name="Output 12 2 2 2" xfId="30842"/>
    <cellStyle name="Output 12 2 2 2 2" xfId="30843"/>
    <cellStyle name="Output 12 2 2 2 3" xfId="30844"/>
    <cellStyle name="Output 12 2 2 3" xfId="30845"/>
    <cellStyle name="Output 12 2 2 3 2" xfId="30846"/>
    <cellStyle name="Output 12 2 2 4" xfId="30847"/>
    <cellStyle name="Output 12 2 2 4 2" xfId="30848"/>
    <cellStyle name="Output 12 2 2 5" xfId="30849"/>
    <cellStyle name="Output 12 2 2 6" xfId="30850"/>
    <cellStyle name="Output 12 2 2 7" xfId="30851"/>
    <cellStyle name="Output 12 2 2 8" xfId="30852"/>
    <cellStyle name="Output 12 2 2 9" xfId="30853"/>
    <cellStyle name="Output 12 2 3" xfId="6683"/>
    <cellStyle name="Output 12 2 3 2" xfId="30855"/>
    <cellStyle name="Output 12 2 3 2 2" xfId="30856"/>
    <cellStyle name="Output 12 2 3 2 3" xfId="30857"/>
    <cellStyle name="Output 12 2 3 3" xfId="30858"/>
    <cellStyle name="Output 12 2 3 3 2" xfId="30859"/>
    <cellStyle name="Output 12 2 3 4" xfId="30860"/>
    <cellStyle name="Output 12 2 3 5" xfId="30861"/>
    <cellStyle name="Output 12 2 3 6" xfId="30862"/>
    <cellStyle name="Output 12 2 3 7" xfId="30854"/>
    <cellStyle name="Output 12 2 4" xfId="6684"/>
    <cellStyle name="Output 12 2 4 2" xfId="6685"/>
    <cellStyle name="Output 12 2 4 2 2" xfId="30864"/>
    <cellStyle name="Output 12 2 4 3" xfId="30865"/>
    <cellStyle name="Output 12 2 4 4" xfId="30863"/>
    <cellStyle name="Output 12 2 5" xfId="6686"/>
    <cellStyle name="Output 12 2 5 2" xfId="6687"/>
    <cellStyle name="Output 12 2 5 3" xfId="30866"/>
    <cellStyle name="Output 12 2 6" xfId="6688"/>
    <cellStyle name="Output 12 2 6 2" xfId="30867"/>
    <cellStyle name="Output 12 2 7" xfId="6689"/>
    <cellStyle name="Output 12 2 7 2" xfId="30868"/>
    <cellStyle name="Output 12 2 8" xfId="30869"/>
    <cellStyle name="Output 12 2 9" xfId="30840"/>
    <cellStyle name="Output 12 3" xfId="6690"/>
    <cellStyle name="Output 12 3 2" xfId="6691"/>
    <cellStyle name="Output 12 3 2 10" xfId="30871"/>
    <cellStyle name="Output 12 3 2 2" xfId="30872"/>
    <cellStyle name="Output 12 3 2 2 2" xfId="30873"/>
    <cellStyle name="Output 12 3 2 3" xfId="30874"/>
    <cellStyle name="Output 12 3 2 3 2" xfId="30875"/>
    <cellStyle name="Output 12 3 2 4" xfId="30876"/>
    <cellStyle name="Output 12 3 2 4 2" xfId="30877"/>
    <cellStyle name="Output 12 3 2 5" xfId="30878"/>
    <cellStyle name="Output 12 3 2 6" xfId="30879"/>
    <cellStyle name="Output 12 3 2 7" xfId="30880"/>
    <cellStyle name="Output 12 3 2 8" xfId="30881"/>
    <cellStyle name="Output 12 3 2 9" xfId="30882"/>
    <cellStyle name="Output 12 3 3" xfId="30883"/>
    <cellStyle name="Output 12 3 3 2" xfId="30884"/>
    <cellStyle name="Output 12 3 3 2 2" xfId="30885"/>
    <cellStyle name="Output 12 3 3 3" xfId="30886"/>
    <cellStyle name="Output 12 3 3 3 2" xfId="30887"/>
    <cellStyle name="Output 12 3 3 4" xfId="30888"/>
    <cellStyle name="Output 12 3 3 5" xfId="30889"/>
    <cellStyle name="Output 12 3 3 6" xfId="30890"/>
    <cellStyle name="Output 12 3 4" xfId="30891"/>
    <cellStyle name="Output 12 3 4 2" xfId="30892"/>
    <cellStyle name="Output 12 3 5" xfId="30893"/>
    <cellStyle name="Output 12 3 6" xfId="30894"/>
    <cellStyle name="Output 12 3 7" xfId="30895"/>
    <cellStyle name="Output 12 3 8" xfId="30896"/>
    <cellStyle name="Output 12 3 9" xfId="30870"/>
    <cellStyle name="Output 12 4" xfId="6692"/>
    <cellStyle name="Output 12 4 10" xfId="30897"/>
    <cellStyle name="Output 12 4 2" xfId="30898"/>
    <cellStyle name="Output 12 4 2 2" xfId="30899"/>
    <cellStyle name="Output 12 4 2 3" xfId="30900"/>
    <cellStyle name="Output 12 4 3" xfId="30901"/>
    <cellStyle name="Output 12 4 3 2" xfId="30902"/>
    <cellStyle name="Output 12 4 4" xfId="30903"/>
    <cellStyle name="Output 12 4 4 2" xfId="30904"/>
    <cellStyle name="Output 12 4 5" xfId="30905"/>
    <cellStyle name="Output 12 4 6" xfId="30906"/>
    <cellStyle name="Output 12 4 7" xfId="30907"/>
    <cellStyle name="Output 12 4 8" xfId="30908"/>
    <cellStyle name="Output 12 4 9" xfId="30909"/>
    <cellStyle name="Output 12 5" xfId="6693"/>
    <cellStyle name="Output 12 5 10" xfId="30910"/>
    <cellStyle name="Output 12 5 2" xfId="30911"/>
    <cellStyle name="Output 12 5 2 2" xfId="30912"/>
    <cellStyle name="Output 12 5 2 3" xfId="30913"/>
    <cellStyle name="Output 12 5 3" xfId="30914"/>
    <cellStyle name="Output 12 5 3 2" xfId="30915"/>
    <cellStyle name="Output 12 5 4" xfId="30916"/>
    <cellStyle name="Output 12 5 4 2" xfId="30917"/>
    <cellStyle name="Output 12 5 5" xfId="30918"/>
    <cellStyle name="Output 12 5 6" xfId="30919"/>
    <cellStyle name="Output 12 5 7" xfId="30920"/>
    <cellStyle name="Output 12 5 8" xfId="30921"/>
    <cellStyle name="Output 12 5 9" xfId="30922"/>
    <cellStyle name="Output 12 6" xfId="6694"/>
    <cellStyle name="Output 12 6 2" xfId="6695"/>
    <cellStyle name="Output 12 6 2 2" xfId="30925"/>
    <cellStyle name="Output 12 6 2 3" xfId="30924"/>
    <cellStyle name="Output 12 6 3" xfId="30926"/>
    <cellStyle name="Output 12 6 3 2" xfId="30927"/>
    <cellStyle name="Output 12 6 4" xfId="30928"/>
    <cellStyle name="Output 12 6 5" xfId="30929"/>
    <cellStyle name="Output 12 6 6" xfId="30930"/>
    <cellStyle name="Output 12 6 7" xfId="30923"/>
    <cellStyle name="Output 12 7" xfId="6696"/>
    <cellStyle name="Output 12 7 2" xfId="6697"/>
    <cellStyle name="Output 12 7 2 2" xfId="30932"/>
    <cellStyle name="Output 12 7 3" xfId="30931"/>
    <cellStyle name="Output 12 8" xfId="6698"/>
    <cellStyle name="Output 12 8 2" xfId="30933"/>
    <cellStyle name="Output 12 9" xfId="6699"/>
    <cellStyle name="Output 12 9 2" xfId="30934"/>
    <cellStyle name="Output 13" xfId="2827"/>
    <cellStyle name="Output 13 10" xfId="6700"/>
    <cellStyle name="Output 13 10 2" xfId="30935"/>
    <cellStyle name="Output 13 11" xfId="8412"/>
    <cellStyle name="Output 13 2" xfId="6701"/>
    <cellStyle name="Output 13 2 2" xfId="6702"/>
    <cellStyle name="Output 13 2 2 10" xfId="30937"/>
    <cellStyle name="Output 13 2 2 2" xfId="30938"/>
    <cellStyle name="Output 13 2 2 2 2" xfId="30939"/>
    <cellStyle name="Output 13 2 2 2 3" xfId="30940"/>
    <cellStyle name="Output 13 2 2 3" xfId="30941"/>
    <cellStyle name="Output 13 2 2 3 2" xfId="30942"/>
    <cellStyle name="Output 13 2 2 4" xfId="30943"/>
    <cellStyle name="Output 13 2 2 4 2" xfId="30944"/>
    <cellStyle name="Output 13 2 2 5" xfId="30945"/>
    <cellStyle name="Output 13 2 2 6" xfId="30946"/>
    <cellStyle name="Output 13 2 2 7" xfId="30947"/>
    <cellStyle name="Output 13 2 2 8" xfId="30948"/>
    <cellStyle name="Output 13 2 2 9" xfId="30949"/>
    <cellStyle name="Output 13 2 3" xfId="6703"/>
    <cellStyle name="Output 13 2 3 2" xfId="30951"/>
    <cellStyle name="Output 13 2 3 2 2" xfId="30952"/>
    <cellStyle name="Output 13 2 3 2 3" xfId="30953"/>
    <cellStyle name="Output 13 2 3 3" xfId="30954"/>
    <cellStyle name="Output 13 2 3 3 2" xfId="30955"/>
    <cellStyle name="Output 13 2 3 4" xfId="30956"/>
    <cellStyle name="Output 13 2 3 5" xfId="30957"/>
    <cellStyle name="Output 13 2 3 6" xfId="30958"/>
    <cellStyle name="Output 13 2 3 7" xfId="30950"/>
    <cellStyle name="Output 13 2 4" xfId="6704"/>
    <cellStyle name="Output 13 2 4 2" xfId="6705"/>
    <cellStyle name="Output 13 2 4 2 2" xfId="30960"/>
    <cellStyle name="Output 13 2 4 3" xfId="30961"/>
    <cellStyle name="Output 13 2 4 4" xfId="30959"/>
    <cellStyle name="Output 13 2 5" xfId="6706"/>
    <cellStyle name="Output 13 2 5 2" xfId="6707"/>
    <cellStyle name="Output 13 2 5 3" xfId="30962"/>
    <cellStyle name="Output 13 2 6" xfId="6708"/>
    <cellStyle name="Output 13 2 6 2" xfId="30963"/>
    <cellStyle name="Output 13 2 7" xfId="6709"/>
    <cellStyle name="Output 13 2 7 2" xfId="30964"/>
    <cellStyle name="Output 13 2 8" xfId="30965"/>
    <cellStyle name="Output 13 2 9" xfId="30936"/>
    <cellStyle name="Output 13 3" xfId="6710"/>
    <cellStyle name="Output 13 3 2" xfId="6711"/>
    <cellStyle name="Output 13 3 2 10" xfId="30967"/>
    <cellStyle name="Output 13 3 2 2" xfId="30968"/>
    <cellStyle name="Output 13 3 2 2 2" xfId="30969"/>
    <cellStyle name="Output 13 3 2 3" xfId="30970"/>
    <cellStyle name="Output 13 3 2 3 2" xfId="30971"/>
    <cellStyle name="Output 13 3 2 4" xfId="30972"/>
    <cellStyle name="Output 13 3 2 4 2" xfId="30973"/>
    <cellStyle name="Output 13 3 2 5" xfId="30974"/>
    <cellStyle name="Output 13 3 2 6" xfId="30975"/>
    <cellStyle name="Output 13 3 2 7" xfId="30976"/>
    <cellStyle name="Output 13 3 2 8" xfId="30977"/>
    <cellStyle name="Output 13 3 2 9" xfId="30978"/>
    <cellStyle name="Output 13 3 3" xfId="30979"/>
    <cellStyle name="Output 13 3 3 2" xfId="30980"/>
    <cellStyle name="Output 13 3 3 2 2" xfId="30981"/>
    <cellStyle name="Output 13 3 3 3" xfId="30982"/>
    <cellStyle name="Output 13 3 3 3 2" xfId="30983"/>
    <cellStyle name="Output 13 3 3 4" xfId="30984"/>
    <cellStyle name="Output 13 3 3 5" xfId="30985"/>
    <cellStyle name="Output 13 3 3 6" xfId="30986"/>
    <cellStyle name="Output 13 3 4" xfId="30987"/>
    <cellStyle name="Output 13 3 4 2" xfId="30988"/>
    <cellStyle name="Output 13 3 5" xfId="30989"/>
    <cellStyle name="Output 13 3 6" xfId="30990"/>
    <cellStyle name="Output 13 3 7" xfId="30991"/>
    <cellStyle name="Output 13 3 8" xfId="30992"/>
    <cellStyle name="Output 13 3 9" xfId="30966"/>
    <cellStyle name="Output 13 4" xfId="6712"/>
    <cellStyle name="Output 13 4 10" xfId="30993"/>
    <cellStyle name="Output 13 4 2" xfId="30994"/>
    <cellStyle name="Output 13 4 2 2" xfId="30995"/>
    <cellStyle name="Output 13 4 2 3" xfId="30996"/>
    <cellStyle name="Output 13 4 3" xfId="30997"/>
    <cellStyle name="Output 13 4 3 2" xfId="30998"/>
    <cellStyle name="Output 13 4 4" xfId="30999"/>
    <cellStyle name="Output 13 4 4 2" xfId="31000"/>
    <cellStyle name="Output 13 4 5" xfId="31001"/>
    <cellStyle name="Output 13 4 6" xfId="31002"/>
    <cellStyle name="Output 13 4 7" xfId="31003"/>
    <cellStyle name="Output 13 4 8" xfId="31004"/>
    <cellStyle name="Output 13 4 9" xfId="31005"/>
    <cellStyle name="Output 13 5" xfId="6713"/>
    <cellStyle name="Output 13 5 10" xfId="31006"/>
    <cellStyle name="Output 13 5 2" xfId="31007"/>
    <cellStyle name="Output 13 5 2 2" xfId="31008"/>
    <cellStyle name="Output 13 5 2 3" xfId="31009"/>
    <cellStyle name="Output 13 5 3" xfId="31010"/>
    <cellStyle name="Output 13 5 3 2" xfId="31011"/>
    <cellStyle name="Output 13 5 4" xfId="31012"/>
    <cellStyle name="Output 13 5 4 2" xfId="31013"/>
    <cellStyle name="Output 13 5 5" xfId="31014"/>
    <cellStyle name="Output 13 5 6" xfId="31015"/>
    <cellStyle name="Output 13 5 7" xfId="31016"/>
    <cellStyle name="Output 13 5 8" xfId="31017"/>
    <cellStyle name="Output 13 5 9" xfId="31018"/>
    <cellStyle name="Output 13 6" xfId="6714"/>
    <cellStyle name="Output 13 6 2" xfId="6715"/>
    <cellStyle name="Output 13 6 2 2" xfId="31021"/>
    <cellStyle name="Output 13 6 2 3" xfId="31020"/>
    <cellStyle name="Output 13 6 3" xfId="31022"/>
    <cellStyle name="Output 13 6 3 2" xfId="31023"/>
    <cellStyle name="Output 13 6 4" xfId="31024"/>
    <cellStyle name="Output 13 6 5" xfId="31025"/>
    <cellStyle name="Output 13 6 6" xfId="31026"/>
    <cellStyle name="Output 13 6 7" xfId="31019"/>
    <cellStyle name="Output 13 7" xfId="6716"/>
    <cellStyle name="Output 13 7 2" xfId="6717"/>
    <cellStyle name="Output 13 7 2 2" xfId="31028"/>
    <cellStyle name="Output 13 7 3" xfId="31027"/>
    <cellStyle name="Output 13 8" xfId="6718"/>
    <cellStyle name="Output 13 8 2" xfId="31029"/>
    <cellStyle name="Output 13 9" xfId="6719"/>
    <cellStyle name="Output 13 9 2" xfId="31030"/>
    <cellStyle name="Output 14" xfId="2828"/>
    <cellStyle name="Output 14 10" xfId="6720"/>
    <cellStyle name="Output 14 10 2" xfId="31031"/>
    <cellStyle name="Output 14 11" xfId="8413"/>
    <cellStyle name="Output 14 2" xfId="6721"/>
    <cellStyle name="Output 14 2 2" xfId="6722"/>
    <cellStyle name="Output 14 2 2 10" xfId="31033"/>
    <cellStyle name="Output 14 2 2 2" xfId="31034"/>
    <cellStyle name="Output 14 2 2 2 2" xfId="31035"/>
    <cellStyle name="Output 14 2 2 2 3" xfId="31036"/>
    <cellStyle name="Output 14 2 2 3" xfId="31037"/>
    <cellStyle name="Output 14 2 2 3 2" xfId="31038"/>
    <cellStyle name="Output 14 2 2 4" xfId="31039"/>
    <cellStyle name="Output 14 2 2 4 2" xfId="31040"/>
    <cellStyle name="Output 14 2 2 5" xfId="31041"/>
    <cellStyle name="Output 14 2 2 6" xfId="31042"/>
    <cellStyle name="Output 14 2 2 7" xfId="31043"/>
    <cellStyle name="Output 14 2 2 8" xfId="31044"/>
    <cellStyle name="Output 14 2 2 9" xfId="31045"/>
    <cellStyle name="Output 14 2 3" xfId="6723"/>
    <cellStyle name="Output 14 2 3 2" xfId="31047"/>
    <cellStyle name="Output 14 2 3 2 2" xfId="31048"/>
    <cellStyle name="Output 14 2 3 2 3" xfId="31049"/>
    <cellStyle name="Output 14 2 3 3" xfId="31050"/>
    <cellStyle name="Output 14 2 3 3 2" xfId="31051"/>
    <cellStyle name="Output 14 2 3 4" xfId="31052"/>
    <cellStyle name="Output 14 2 3 5" xfId="31053"/>
    <cellStyle name="Output 14 2 3 6" xfId="31054"/>
    <cellStyle name="Output 14 2 3 7" xfId="31046"/>
    <cellStyle name="Output 14 2 4" xfId="6724"/>
    <cellStyle name="Output 14 2 4 2" xfId="6725"/>
    <cellStyle name="Output 14 2 4 2 2" xfId="31056"/>
    <cellStyle name="Output 14 2 4 3" xfId="31057"/>
    <cellStyle name="Output 14 2 4 4" xfId="31055"/>
    <cellStyle name="Output 14 2 5" xfId="6726"/>
    <cellStyle name="Output 14 2 5 2" xfId="6727"/>
    <cellStyle name="Output 14 2 5 3" xfId="31058"/>
    <cellStyle name="Output 14 2 6" xfId="6728"/>
    <cellStyle name="Output 14 2 6 2" xfId="31059"/>
    <cellStyle name="Output 14 2 7" xfId="6729"/>
    <cellStyle name="Output 14 2 7 2" xfId="31060"/>
    <cellStyle name="Output 14 2 8" xfId="31061"/>
    <cellStyle name="Output 14 2 9" xfId="31032"/>
    <cellStyle name="Output 14 3" xfId="6730"/>
    <cellStyle name="Output 14 3 2" xfId="6731"/>
    <cellStyle name="Output 14 3 2 10" xfId="31063"/>
    <cellStyle name="Output 14 3 2 2" xfId="31064"/>
    <cellStyle name="Output 14 3 2 2 2" xfId="31065"/>
    <cellStyle name="Output 14 3 2 3" xfId="31066"/>
    <cellStyle name="Output 14 3 2 3 2" xfId="31067"/>
    <cellStyle name="Output 14 3 2 4" xfId="31068"/>
    <cellStyle name="Output 14 3 2 4 2" xfId="31069"/>
    <cellStyle name="Output 14 3 2 5" xfId="31070"/>
    <cellStyle name="Output 14 3 2 6" xfId="31071"/>
    <cellStyle name="Output 14 3 2 7" xfId="31072"/>
    <cellStyle name="Output 14 3 2 8" xfId="31073"/>
    <cellStyle name="Output 14 3 2 9" xfId="31074"/>
    <cellStyle name="Output 14 3 3" xfId="31075"/>
    <cellStyle name="Output 14 3 3 2" xfId="31076"/>
    <cellStyle name="Output 14 3 3 2 2" xfId="31077"/>
    <cellStyle name="Output 14 3 3 3" xfId="31078"/>
    <cellStyle name="Output 14 3 3 3 2" xfId="31079"/>
    <cellStyle name="Output 14 3 3 4" xfId="31080"/>
    <cellStyle name="Output 14 3 3 5" xfId="31081"/>
    <cellStyle name="Output 14 3 3 6" xfId="31082"/>
    <cellStyle name="Output 14 3 4" xfId="31083"/>
    <cellStyle name="Output 14 3 4 2" xfId="31084"/>
    <cellStyle name="Output 14 3 5" xfId="31085"/>
    <cellStyle name="Output 14 3 6" xfId="31086"/>
    <cellStyle name="Output 14 3 7" xfId="31087"/>
    <cellStyle name="Output 14 3 8" xfId="31088"/>
    <cellStyle name="Output 14 3 9" xfId="31062"/>
    <cellStyle name="Output 14 4" xfId="6732"/>
    <cellStyle name="Output 14 4 10" xfId="31089"/>
    <cellStyle name="Output 14 4 2" xfId="31090"/>
    <cellStyle name="Output 14 4 2 2" xfId="31091"/>
    <cellStyle name="Output 14 4 2 3" xfId="31092"/>
    <cellStyle name="Output 14 4 3" xfId="31093"/>
    <cellStyle name="Output 14 4 3 2" xfId="31094"/>
    <cellStyle name="Output 14 4 4" xfId="31095"/>
    <cellStyle name="Output 14 4 4 2" xfId="31096"/>
    <cellStyle name="Output 14 4 5" xfId="31097"/>
    <cellStyle name="Output 14 4 6" xfId="31098"/>
    <cellStyle name="Output 14 4 7" xfId="31099"/>
    <cellStyle name="Output 14 4 8" xfId="31100"/>
    <cellStyle name="Output 14 4 9" xfId="31101"/>
    <cellStyle name="Output 14 5" xfId="6733"/>
    <cellStyle name="Output 14 5 10" xfId="31102"/>
    <cellStyle name="Output 14 5 2" xfId="31103"/>
    <cellStyle name="Output 14 5 2 2" xfId="31104"/>
    <cellStyle name="Output 14 5 2 3" xfId="31105"/>
    <cellStyle name="Output 14 5 3" xfId="31106"/>
    <cellStyle name="Output 14 5 3 2" xfId="31107"/>
    <cellStyle name="Output 14 5 4" xfId="31108"/>
    <cellStyle name="Output 14 5 4 2" xfId="31109"/>
    <cellStyle name="Output 14 5 5" xfId="31110"/>
    <cellStyle name="Output 14 5 6" xfId="31111"/>
    <cellStyle name="Output 14 5 7" xfId="31112"/>
    <cellStyle name="Output 14 5 8" xfId="31113"/>
    <cellStyle name="Output 14 5 9" xfId="31114"/>
    <cellStyle name="Output 14 6" xfId="6734"/>
    <cellStyle name="Output 14 6 2" xfId="6735"/>
    <cellStyle name="Output 14 6 2 2" xfId="31117"/>
    <cellStyle name="Output 14 6 2 3" xfId="31116"/>
    <cellStyle name="Output 14 6 3" xfId="31118"/>
    <cellStyle name="Output 14 6 3 2" xfId="31119"/>
    <cellStyle name="Output 14 6 4" xfId="31120"/>
    <cellStyle name="Output 14 6 5" xfId="31121"/>
    <cellStyle name="Output 14 6 6" xfId="31122"/>
    <cellStyle name="Output 14 6 7" xfId="31115"/>
    <cellStyle name="Output 14 7" xfId="6736"/>
    <cellStyle name="Output 14 7 2" xfId="6737"/>
    <cellStyle name="Output 14 7 2 2" xfId="31124"/>
    <cellStyle name="Output 14 7 3" xfId="31123"/>
    <cellStyle name="Output 14 8" xfId="6738"/>
    <cellStyle name="Output 14 8 2" xfId="31125"/>
    <cellStyle name="Output 14 9" xfId="6739"/>
    <cellStyle name="Output 14 9 2" xfId="31126"/>
    <cellStyle name="Output 15" xfId="2829"/>
    <cellStyle name="Output 15 10" xfId="6740"/>
    <cellStyle name="Output 15 10 2" xfId="31127"/>
    <cellStyle name="Output 15 11" xfId="8414"/>
    <cellStyle name="Output 15 2" xfId="6741"/>
    <cellStyle name="Output 15 2 2" xfId="6742"/>
    <cellStyle name="Output 15 2 2 10" xfId="31129"/>
    <cellStyle name="Output 15 2 2 2" xfId="31130"/>
    <cellStyle name="Output 15 2 2 2 2" xfId="31131"/>
    <cellStyle name="Output 15 2 2 2 3" xfId="31132"/>
    <cellStyle name="Output 15 2 2 3" xfId="31133"/>
    <cellStyle name="Output 15 2 2 3 2" xfId="31134"/>
    <cellStyle name="Output 15 2 2 4" xfId="31135"/>
    <cellStyle name="Output 15 2 2 4 2" xfId="31136"/>
    <cellStyle name="Output 15 2 2 5" xfId="31137"/>
    <cellStyle name="Output 15 2 2 6" xfId="31138"/>
    <cellStyle name="Output 15 2 2 7" xfId="31139"/>
    <cellStyle name="Output 15 2 2 8" xfId="31140"/>
    <cellStyle name="Output 15 2 2 9" xfId="31141"/>
    <cellStyle name="Output 15 2 3" xfId="6743"/>
    <cellStyle name="Output 15 2 3 2" xfId="31143"/>
    <cellStyle name="Output 15 2 3 2 2" xfId="31144"/>
    <cellStyle name="Output 15 2 3 2 3" xfId="31145"/>
    <cellStyle name="Output 15 2 3 3" xfId="31146"/>
    <cellStyle name="Output 15 2 3 3 2" xfId="31147"/>
    <cellStyle name="Output 15 2 3 4" xfId="31148"/>
    <cellStyle name="Output 15 2 3 5" xfId="31149"/>
    <cellStyle name="Output 15 2 3 6" xfId="31150"/>
    <cellStyle name="Output 15 2 3 7" xfId="31142"/>
    <cellStyle name="Output 15 2 4" xfId="6744"/>
    <cellStyle name="Output 15 2 4 2" xfId="6745"/>
    <cellStyle name="Output 15 2 4 2 2" xfId="31152"/>
    <cellStyle name="Output 15 2 4 3" xfId="31153"/>
    <cellStyle name="Output 15 2 4 4" xfId="31151"/>
    <cellStyle name="Output 15 2 5" xfId="6746"/>
    <cellStyle name="Output 15 2 5 2" xfId="6747"/>
    <cellStyle name="Output 15 2 5 3" xfId="31154"/>
    <cellStyle name="Output 15 2 6" xfId="6748"/>
    <cellStyle name="Output 15 2 6 2" xfId="31155"/>
    <cellStyle name="Output 15 2 7" xfId="6749"/>
    <cellStyle name="Output 15 2 7 2" xfId="31156"/>
    <cellStyle name="Output 15 2 8" xfId="31157"/>
    <cellStyle name="Output 15 2 9" xfId="31128"/>
    <cellStyle name="Output 15 3" xfId="6750"/>
    <cellStyle name="Output 15 3 2" xfId="6751"/>
    <cellStyle name="Output 15 3 2 10" xfId="31159"/>
    <cellStyle name="Output 15 3 2 2" xfId="31160"/>
    <cellStyle name="Output 15 3 2 2 2" xfId="31161"/>
    <cellStyle name="Output 15 3 2 3" xfId="31162"/>
    <cellStyle name="Output 15 3 2 3 2" xfId="31163"/>
    <cellStyle name="Output 15 3 2 4" xfId="31164"/>
    <cellStyle name="Output 15 3 2 4 2" xfId="31165"/>
    <cellStyle name="Output 15 3 2 5" xfId="31166"/>
    <cellStyle name="Output 15 3 2 6" xfId="31167"/>
    <cellStyle name="Output 15 3 2 7" xfId="31168"/>
    <cellStyle name="Output 15 3 2 8" xfId="31169"/>
    <cellStyle name="Output 15 3 2 9" xfId="31170"/>
    <cellStyle name="Output 15 3 3" xfId="31171"/>
    <cellStyle name="Output 15 3 3 2" xfId="31172"/>
    <cellStyle name="Output 15 3 3 2 2" xfId="31173"/>
    <cellStyle name="Output 15 3 3 3" xfId="31174"/>
    <cellStyle name="Output 15 3 3 3 2" xfId="31175"/>
    <cellStyle name="Output 15 3 3 4" xfId="31176"/>
    <cellStyle name="Output 15 3 3 5" xfId="31177"/>
    <cellStyle name="Output 15 3 3 6" xfId="31178"/>
    <cellStyle name="Output 15 3 4" xfId="31179"/>
    <cellStyle name="Output 15 3 4 2" xfId="31180"/>
    <cellStyle name="Output 15 3 5" xfId="31181"/>
    <cellStyle name="Output 15 3 6" xfId="31182"/>
    <cellStyle name="Output 15 3 7" xfId="31183"/>
    <cellStyle name="Output 15 3 8" xfId="31184"/>
    <cellStyle name="Output 15 3 9" xfId="31158"/>
    <cellStyle name="Output 15 4" xfId="6752"/>
    <cellStyle name="Output 15 4 10" xfId="31185"/>
    <cellStyle name="Output 15 4 2" xfId="31186"/>
    <cellStyle name="Output 15 4 2 2" xfId="31187"/>
    <cellStyle name="Output 15 4 2 3" xfId="31188"/>
    <cellStyle name="Output 15 4 3" xfId="31189"/>
    <cellStyle name="Output 15 4 3 2" xfId="31190"/>
    <cellStyle name="Output 15 4 4" xfId="31191"/>
    <cellStyle name="Output 15 4 4 2" xfId="31192"/>
    <cellStyle name="Output 15 4 5" xfId="31193"/>
    <cellStyle name="Output 15 4 6" xfId="31194"/>
    <cellStyle name="Output 15 4 7" xfId="31195"/>
    <cellStyle name="Output 15 4 8" xfId="31196"/>
    <cellStyle name="Output 15 4 9" xfId="31197"/>
    <cellStyle name="Output 15 5" xfId="6753"/>
    <cellStyle name="Output 15 5 10" xfId="31198"/>
    <cellStyle name="Output 15 5 2" xfId="31199"/>
    <cellStyle name="Output 15 5 2 2" xfId="31200"/>
    <cellStyle name="Output 15 5 2 3" xfId="31201"/>
    <cellStyle name="Output 15 5 3" xfId="31202"/>
    <cellStyle name="Output 15 5 3 2" xfId="31203"/>
    <cellStyle name="Output 15 5 4" xfId="31204"/>
    <cellStyle name="Output 15 5 4 2" xfId="31205"/>
    <cellStyle name="Output 15 5 5" xfId="31206"/>
    <cellStyle name="Output 15 5 6" xfId="31207"/>
    <cellStyle name="Output 15 5 7" xfId="31208"/>
    <cellStyle name="Output 15 5 8" xfId="31209"/>
    <cellStyle name="Output 15 5 9" xfId="31210"/>
    <cellStyle name="Output 15 6" xfId="6754"/>
    <cellStyle name="Output 15 6 2" xfId="6755"/>
    <cellStyle name="Output 15 6 2 2" xfId="31213"/>
    <cellStyle name="Output 15 6 2 3" xfId="31212"/>
    <cellStyle name="Output 15 6 3" xfId="31214"/>
    <cellStyle name="Output 15 6 3 2" xfId="31215"/>
    <cellStyle name="Output 15 6 4" xfId="31216"/>
    <cellStyle name="Output 15 6 5" xfId="31217"/>
    <cellStyle name="Output 15 6 6" xfId="31218"/>
    <cellStyle name="Output 15 6 7" xfId="31211"/>
    <cellStyle name="Output 15 7" xfId="6756"/>
    <cellStyle name="Output 15 7 2" xfId="6757"/>
    <cellStyle name="Output 15 7 2 2" xfId="31220"/>
    <cellStyle name="Output 15 7 3" xfId="31219"/>
    <cellStyle name="Output 15 8" xfId="6758"/>
    <cellStyle name="Output 15 8 2" xfId="31221"/>
    <cellStyle name="Output 15 9" xfId="6759"/>
    <cellStyle name="Output 15 9 2" xfId="31222"/>
    <cellStyle name="Output 16" xfId="2830"/>
    <cellStyle name="Output 16 10" xfId="6760"/>
    <cellStyle name="Output 16 10 2" xfId="31223"/>
    <cellStyle name="Output 16 11" xfId="8415"/>
    <cellStyle name="Output 16 2" xfId="6761"/>
    <cellStyle name="Output 16 2 2" xfId="6762"/>
    <cellStyle name="Output 16 2 2 10" xfId="31225"/>
    <cellStyle name="Output 16 2 2 2" xfId="31226"/>
    <cellStyle name="Output 16 2 2 2 2" xfId="31227"/>
    <cellStyle name="Output 16 2 2 2 3" xfId="31228"/>
    <cellStyle name="Output 16 2 2 3" xfId="31229"/>
    <cellStyle name="Output 16 2 2 3 2" xfId="31230"/>
    <cellStyle name="Output 16 2 2 4" xfId="31231"/>
    <cellStyle name="Output 16 2 2 4 2" xfId="31232"/>
    <cellStyle name="Output 16 2 2 5" xfId="31233"/>
    <cellStyle name="Output 16 2 2 6" xfId="31234"/>
    <cellStyle name="Output 16 2 2 7" xfId="31235"/>
    <cellStyle name="Output 16 2 2 8" xfId="31236"/>
    <cellStyle name="Output 16 2 2 9" xfId="31237"/>
    <cellStyle name="Output 16 2 3" xfId="6763"/>
    <cellStyle name="Output 16 2 3 2" xfId="31239"/>
    <cellStyle name="Output 16 2 3 2 2" xfId="31240"/>
    <cellStyle name="Output 16 2 3 2 3" xfId="31241"/>
    <cellStyle name="Output 16 2 3 3" xfId="31242"/>
    <cellStyle name="Output 16 2 3 3 2" xfId="31243"/>
    <cellStyle name="Output 16 2 3 4" xfId="31244"/>
    <cellStyle name="Output 16 2 3 5" xfId="31245"/>
    <cellStyle name="Output 16 2 3 6" xfId="31246"/>
    <cellStyle name="Output 16 2 3 7" xfId="31238"/>
    <cellStyle name="Output 16 2 4" xfId="6764"/>
    <cellStyle name="Output 16 2 4 2" xfId="6765"/>
    <cellStyle name="Output 16 2 4 2 2" xfId="31248"/>
    <cellStyle name="Output 16 2 4 3" xfId="31249"/>
    <cellStyle name="Output 16 2 4 4" xfId="31247"/>
    <cellStyle name="Output 16 2 5" xfId="6766"/>
    <cellStyle name="Output 16 2 5 2" xfId="6767"/>
    <cellStyle name="Output 16 2 5 3" xfId="31250"/>
    <cellStyle name="Output 16 2 6" xfId="6768"/>
    <cellStyle name="Output 16 2 6 2" xfId="31251"/>
    <cellStyle name="Output 16 2 7" xfId="6769"/>
    <cellStyle name="Output 16 2 7 2" xfId="31252"/>
    <cellStyle name="Output 16 2 8" xfId="31253"/>
    <cellStyle name="Output 16 2 9" xfId="31224"/>
    <cellStyle name="Output 16 3" xfId="6770"/>
    <cellStyle name="Output 16 3 2" xfId="6771"/>
    <cellStyle name="Output 16 3 2 10" xfId="31255"/>
    <cellStyle name="Output 16 3 2 2" xfId="31256"/>
    <cellStyle name="Output 16 3 2 2 2" xfId="31257"/>
    <cellStyle name="Output 16 3 2 3" xfId="31258"/>
    <cellStyle name="Output 16 3 2 3 2" xfId="31259"/>
    <cellStyle name="Output 16 3 2 4" xfId="31260"/>
    <cellStyle name="Output 16 3 2 4 2" xfId="31261"/>
    <cellStyle name="Output 16 3 2 5" xfId="31262"/>
    <cellStyle name="Output 16 3 2 6" xfId="31263"/>
    <cellStyle name="Output 16 3 2 7" xfId="31264"/>
    <cellStyle name="Output 16 3 2 8" xfId="31265"/>
    <cellStyle name="Output 16 3 2 9" xfId="31266"/>
    <cellStyle name="Output 16 3 3" xfId="31267"/>
    <cellStyle name="Output 16 3 3 2" xfId="31268"/>
    <cellStyle name="Output 16 3 3 2 2" xfId="31269"/>
    <cellStyle name="Output 16 3 3 3" xfId="31270"/>
    <cellStyle name="Output 16 3 3 3 2" xfId="31271"/>
    <cellStyle name="Output 16 3 3 4" xfId="31272"/>
    <cellStyle name="Output 16 3 3 5" xfId="31273"/>
    <cellStyle name="Output 16 3 3 6" xfId="31274"/>
    <cellStyle name="Output 16 3 4" xfId="31275"/>
    <cellStyle name="Output 16 3 4 2" xfId="31276"/>
    <cellStyle name="Output 16 3 5" xfId="31277"/>
    <cellStyle name="Output 16 3 6" xfId="31278"/>
    <cellStyle name="Output 16 3 7" xfId="31279"/>
    <cellStyle name="Output 16 3 8" xfId="31280"/>
    <cellStyle name="Output 16 3 9" xfId="31254"/>
    <cellStyle name="Output 16 4" xfId="6772"/>
    <cellStyle name="Output 16 4 10" xfId="31281"/>
    <cellStyle name="Output 16 4 2" xfId="31282"/>
    <cellStyle name="Output 16 4 2 2" xfId="31283"/>
    <cellStyle name="Output 16 4 2 3" xfId="31284"/>
    <cellStyle name="Output 16 4 3" xfId="31285"/>
    <cellStyle name="Output 16 4 3 2" xfId="31286"/>
    <cellStyle name="Output 16 4 4" xfId="31287"/>
    <cellStyle name="Output 16 4 4 2" xfId="31288"/>
    <cellStyle name="Output 16 4 5" xfId="31289"/>
    <cellStyle name="Output 16 4 6" xfId="31290"/>
    <cellStyle name="Output 16 4 7" xfId="31291"/>
    <cellStyle name="Output 16 4 8" xfId="31292"/>
    <cellStyle name="Output 16 4 9" xfId="31293"/>
    <cellStyle name="Output 16 5" xfId="6773"/>
    <cellStyle name="Output 16 5 10" xfId="31294"/>
    <cellStyle name="Output 16 5 2" xfId="31295"/>
    <cellStyle name="Output 16 5 2 2" xfId="31296"/>
    <cellStyle name="Output 16 5 2 3" xfId="31297"/>
    <cellStyle name="Output 16 5 3" xfId="31298"/>
    <cellStyle name="Output 16 5 3 2" xfId="31299"/>
    <cellStyle name="Output 16 5 4" xfId="31300"/>
    <cellStyle name="Output 16 5 4 2" xfId="31301"/>
    <cellStyle name="Output 16 5 5" xfId="31302"/>
    <cellStyle name="Output 16 5 6" xfId="31303"/>
    <cellStyle name="Output 16 5 7" xfId="31304"/>
    <cellStyle name="Output 16 5 8" xfId="31305"/>
    <cellStyle name="Output 16 5 9" xfId="31306"/>
    <cellStyle name="Output 16 6" xfId="6774"/>
    <cellStyle name="Output 16 6 2" xfId="6775"/>
    <cellStyle name="Output 16 6 2 2" xfId="31309"/>
    <cellStyle name="Output 16 6 2 3" xfId="31308"/>
    <cellStyle name="Output 16 6 3" xfId="31310"/>
    <cellStyle name="Output 16 6 3 2" xfId="31311"/>
    <cellStyle name="Output 16 6 4" xfId="31312"/>
    <cellStyle name="Output 16 6 5" xfId="31313"/>
    <cellStyle name="Output 16 6 6" xfId="31314"/>
    <cellStyle name="Output 16 6 7" xfId="31307"/>
    <cellStyle name="Output 16 7" xfId="6776"/>
    <cellStyle name="Output 16 7 2" xfId="6777"/>
    <cellStyle name="Output 16 7 2 2" xfId="31316"/>
    <cellStyle name="Output 16 7 3" xfId="31315"/>
    <cellStyle name="Output 16 8" xfId="6778"/>
    <cellStyle name="Output 16 8 2" xfId="31317"/>
    <cellStyle name="Output 16 9" xfId="6779"/>
    <cellStyle name="Output 16 9 2" xfId="31318"/>
    <cellStyle name="Output 17" xfId="2831"/>
    <cellStyle name="Output 17 10" xfId="6780"/>
    <cellStyle name="Output 17 10 2" xfId="31319"/>
    <cellStyle name="Output 17 11" xfId="8416"/>
    <cellStyle name="Output 17 2" xfId="6781"/>
    <cellStyle name="Output 17 2 2" xfId="6782"/>
    <cellStyle name="Output 17 2 2 10" xfId="31321"/>
    <cellStyle name="Output 17 2 2 2" xfId="31322"/>
    <cellStyle name="Output 17 2 2 2 2" xfId="31323"/>
    <cellStyle name="Output 17 2 2 2 3" xfId="31324"/>
    <cellStyle name="Output 17 2 2 3" xfId="31325"/>
    <cellStyle name="Output 17 2 2 3 2" xfId="31326"/>
    <cellStyle name="Output 17 2 2 4" xfId="31327"/>
    <cellStyle name="Output 17 2 2 4 2" xfId="31328"/>
    <cellStyle name="Output 17 2 2 5" xfId="31329"/>
    <cellStyle name="Output 17 2 2 6" xfId="31330"/>
    <cellStyle name="Output 17 2 2 7" xfId="31331"/>
    <cellStyle name="Output 17 2 2 8" xfId="31332"/>
    <cellStyle name="Output 17 2 2 9" xfId="31333"/>
    <cellStyle name="Output 17 2 3" xfId="6783"/>
    <cellStyle name="Output 17 2 3 2" xfId="31335"/>
    <cellStyle name="Output 17 2 3 2 2" xfId="31336"/>
    <cellStyle name="Output 17 2 3 2 3" xfId="31337"/>
    <cellStyle name="Output 17 2 3 3" xfId="31338"/>
    <cellStyle name="Output 17 2 3 3 2" xfId="31339"/>
    <cellStyle name="Output 17 2 3 4" xfId="31340"/>
    <cellStyle name="Output 17 2 3 5" xfId="31341"/>
    <cellStyle name="Output 17 2 3 6" xfId="31342"/>
    <cellStyle name="Output 17 2 3 7" xfId="31334"/>
    <cellStyle name="Output 17 2 4" xfId="6784"/>
    <cellStyle name="Output 17 2 4 2" xfId="6785"/>
    <cellStyle name="Output 17 2 4 2 2" xfId="31344"/>
    <cellStyle name="Output 17 2 4 3" xfId="31345"/>
    <cellStyle name="Output 17 2 4 4" xfId="31343"/>
    <cellStyle name="Output 17 2 5" xfId="6786"/>
    <cellStyle name="Output 17 2 5 2" xfId="6787"/>
    <cellStyle name="Output 17 2 5 3" xfId="31346"/>
    <cellStyle name="Output 17 2 6" xfId="6788"/>
    <cellStyle name="Output 17 2 6 2" xfId="31347"/>
    <cellStyle name="Output 17 2 7" xfId="6789"/>
    <cellStyle name="Output 17 2 7 2" xfId="31348"/>
    <cellStyle name="Output 17 2 8" xfId="31349"/>
    <cellStyle name="Output 17 2 9" xfId="31320"/>
    <cellStyle name="Output 17 3" xfId="6790"/>
    <cellStyle name="Output 17 3 2" xfId="6791"/>
    <cellStyle name="Output 17 3 2 10" xfId="31351"/>
    <cellStyle name="Output 17 3 2 2" xfId="31352"/>
    <cellStyle name="Output 17 3 2 2 2" xfId="31353"/>
    <cellStyle name="Output 17 3 2 3" xfId="31354"/>
    <cellStyle name="Output 17 3 2 3 2" xfId="31355"/>
    <cellStyle name="Output 17 3 2 4" xfId="31356"/>
    <cellStyle name="Output 17 3 2 4 2" xfId="31357"/>
    <cellStyle name="Output 17 3 2 5" xfId="31358"/>
    <cellStyle name="Output 17 3 2 6" xfId="31359"/>
    <cellStyle name="Output 17 3 2 7" xfId="31360"/>
    <cellStyle name="Output 17 3 2 8" xfId="31361"/>
    <cellStyle name="Output 17 3 2 9" xfId="31362"/>
    <cellStyle name="Output 17 3 3" xfId="31363"/>
    <cellStyle name="Output 17 3 3 2" xfId="31364"/>
    <cellStyle name="Output 17 3 3 2 2" xfId="31365"/>
    <cellStyle name="Output 17 3 3 3" xfId="31366"/>
    <cellStyle name="Output 17 3 3 3 2" xfId="31367"/>
    <cellStyle name="Output 17 3 3 4" xfId="31368"/>
    <cellStyle name="Output 17 3 3 5" xfId="31369"/>
    <cellStyle name="Output 17 3 3 6" xfId="31370"/>
    <cellStyle name="Output 17 3 4" xfId="31371"/>
    <cellStyle name="Output 17 3 4 2" xfId="31372"/>
    <cellStyle name="Output 17 3 5" xfId="31373"/>
    <cellStyle name="Output 17 3 6" xfId="31374"/>
    <cellStyle name="Output 17 3 7" xfId="31375"/>
    <cellStyle name="Output 17 3 8" xfId="31376"/>
    <cellStyle name="Output 17 3 9" xfId="31350"/>
    <cellStyle name="Output 17 4" xfId="6792"/>
    <cellStyle name="Output 17 4 10" xfId="31377"/>
    <cellStyle name="Output 17 4 2" xfId="31378"/>
    <cellStyle name="Output 17 4 2 2" xfId="31379"/>
    <cellStyle name="Output 17 4 2 3" xfId="31380"/>
    <cellStyle name="Output 17 4 3" xfId="31381"/>
    <cellStyle name="Output 17 4 3 2" xfId="31382"/>
    <cellStyle name="Output 17 4 4" xfId="31383"/>
    <cellStyle name="Output 17 4 4 2" xfId="31384"/>
    <cellStyle name="Output 17 4 5" xfId="31385"/>
    <cellStyle name="Output 17 4 6" xfId="31386"/>
    <cellStyle name="Output 17 4 7" xfId="31387"/>
    <cellStyle name="Output 17 4 8" xfId="31388"/>
    <cellStyle name="Output 17 4 9" xfId="31389"/>
    <cellStyle name="Output 17 5" xfId="6793"/>
    <cellStyle name="Output 17 5 10" xfId="31390"/>
    <cellStyle name="Output 17 5 2" xfId="31391"/>
    <cellStyle name="Output 17 5 2 2" xfId="31392"/>
    <cellStyle name="Output 17 5 2 3" xfId="31393"/>
    <cellStyle name="Output 17 5 3" xfId="31394"/>
    <cellStyle name="Output 17 5 3 2" xfId="31395"/>
    <cellStyle name="Output 17 5 4" xfId="31396"/>
    <cellStyle name="Output 17 5 4 2" xfId="31397"/>
    <cellStyle name="Output 17 5 5" xfId="31398"/>
    <cellStyle name="Output 17 5 6" xfId="31399"/>
    <cellStyle name="Output 17 5 7" xfId="31400"/>
    <cellStyle name="Output 17 5 8" xfId="31401"/>
    <cellStyle name="Output 17 5 9" xfId="31402"/>
    <cellStyle name="Output 17 6" xfId="6794"/>
    <cellStyle name="Output 17 6 2" xfId="6795"/>
    <cellStyle name="Output 17 6 2 2" xfId="31405"/>
    <cellStyle name="Output 17 6 2 3" xfId="31404"/>
    <cellStyle name="Output 17 6 3" xfId="31406"/>
    <cellStyle name="Output 17 6 3 2" xfId="31407"/>
    <cellStyle name="Output 17 6 4" xfId="31408"/>
    <cellStyle name="Output 17 6 5" xfId="31409"/>
    <cellStyle name="Output 17 6 6" xfId="31410"/>
    <cellStyle name="Output 17 6 7" xfId="31403"/>
    <cellStyle name="Output 17 7" xfId="6796"/>
    <cellStyle name="Output 17 7 2" xfId="6797"/>
    <cellStyle name="Output 17 7 2 2" xfId="31412"/>
    <cellStyle name="Output 17 7 3" xfId="31411"/>
    <cellStyle name="Output 17 8" xfId="6798"/>
    <cellStyle name="Output 17 8 2" xfId="31413"/>
    <cellStyle name="Output 17 9" xfId="6799"/>
    <cellStyle name="Output 17 9 2" xfId="31414"/>
    <cellStyle name="Output 18" xfId="2832"/>
    <cellStyle name="Output 18 10" xfId="31415"/>
    <cellStyle name="Output 18 11" xfId="31416"/>
    <cellStyle name="Output 18 2" xfId="6800"/>
    <cellStyle name="Output 18 2 2" xfId="31418"/>
    <cellStyle name="Output 18 2 2 2" xfId="31419"/>
    <cellStyle name="Output 18 2 2 2 2" xfId="31420"/>
    <cellStyle name="Output 18 2 2 2 3" xfId="31421"/>
    <cellStyle name="Output 18 2 2 3" xfId="31422"/>
    <cellStyle name="Output 18 2 2 3 2" xfId="31423"/>
    <cellStyle name="Output 18 2 2 4" xfId="31424"/>
    <cellStyle name="Output 18 2 2 4 2" xfId="31425"/>
    <cellStyle name="Output 18 2 2 5" xfId="31426"/>
    <cellStyle name="Output 18 2 2 6" xfId="31427"/>
    <cellStyle name="Output 18 2 2 7" xfId="31428"/>
    <cellStyle name="Output 18 2 2 8" xfId="31429"/>
    <cellStyle name="Output 18 2 2 9" xfId="31430"/>
    <cellStyle name="Output 18 2 3" xfId="31431"/>
    <cellStyle name="Output 18 2 3 2" xfId="31432"/>
    <cellStyle name="Output 18 2 3 2 2" xfId="31433"/>
    <cellStyle name="Output 18 2 3 2 3" xfId="31434"/>
    <cellStyle name="Output 18 2 3 3" xfId="31435"/>
    <cellStyle name="Output 18 2 3 3 2" xfId="31436"/>
    <cellStyle name="Output 18 2 3 4" xfId="31437"/>
    <cellStyle name="Output 18 2 3 5" xfId="31438"/>
    <cellStyle name="Output 18 2 3 6" xfId="31439"/>
    <cellStyle name="Output 18 2 4" xfId="31440"/>
    <cellStyle name="Output 18 2 4 2" xfId="31441"/>
    <cellStyle name="Output 18 2 4 3" xfId="31442"/>
    <cellStyle name="Output 18 2 5" xfId="31443"/>
    <cellStyle name="Output 18 2 6" xfId="31444"/>
    <cellStyle name="Output 18 2 7" xfId="31445"/>
    <cellStyle name="Output 18 2 8" xfId="31446"/>
    <cellStyle name="Output 18 2 9" xfId="31417"/>
    <cellStyle name="Output 18 3" xfId="6801"/>
    <cellStyle name="Output 18 3 2" xfId="31448"/>
    <cellStyle name="Output 18 3 2 2" xfId="31449"/>
    <cellStyle name="Output 18 3 2 2 2" xfId="31450"/>
    <cellStyle name="Output 18 3 2 3" xfId="31451"/>
    <cellStyle name="Output 18 3 2 3 2" xfId="31452"/>
    <cellStyle name="Output 18 3 2 4" xfId="31453"/>
    <cellStyle name="Output 18 3 2 4 2" xfId="31454"/>
    <cellStyle name="Output 18 3 2 5" xfId="31455"/>
    <cellStyle name="Output 18 3 2 6" xfId="31456"/>
    <cellStyle name="Output 18 3 2 7" xfId="31457"/>
    <cellStyle name="Output 18 3 2 8" xfId="31458"/>
    <cellStyle name="Output 18 3 2 9" xfId="31459"/>
    <cellStyle name="Output 18 3 3" xfId="31460"/>
    <cellStyle name="Output 18 3 3 2" xfId="31461"/>
    <cellStyle name="Output 18 3 3 2 2" xfId="31462"/>
    <cellStyle name="Output 18 3 3 3" xfId="31463"/>
    <cellStyle name="Output 18 3 3 3 2" xfId="31464"/>
    <cellStyle name="Output 18 3 3 4" xfId="31465"/>
    <cellStyle name="Output 18 3 3 5" xfId="31466"/>
    <cellStyle name="Output 18 3 3 6" xfId="31467"/>
    <cellStyle name="Output 18 3 4" xfId="31468"/>
    <cellStyle name="Output 18 3 4 2" xfId="31469"/>
    <cellStyle name="Output 18 3 5" xfId="31470"/>
    <cellStyle name="Output 18 3 6" xfId="31471"/>
    <cellStyle name="Output 18 3 7" xfId="31472"/>
    <cellStyle name="Output 18 3 8" xfId="31473"/>
    <cellStyle name="Output 18 3 9" xfId="31447"/>
    <cellStyle name="Output 18 4" xfId="6802"/>
    <cellStyle name="Output 18 4 10" xfId="31474"/>
    <cellStyle name="Output 18 4 2" xfId="6803"/>
    <cellStyle name="Output 18 4 2 2" xfId="31476"/>
    <cellStyle name="Output 18 4 2 3" xfId="31477"/>
    <cellStyle name="Output 18 4 2 4" xfId="31475"/>
    <cellStyle name="Output 18 4 3" xfId="31478"/>
    <cellStyle name="Output 18 4 3 2" xfId="31479"/>
    <cellStyle name="Output 18 4 4" xfId="31480"/>
    <cellStyle name="Output 18 4 4 2" xfId="31481"/>
    <cellStyle name="Output 18 4 5" xfId="31482"/>
    <cellStyle name="Output 18 4 6" xfId="31483"/>
    <cellStyle name="Output 18 4 7" xfId="31484"/>
    <cellStyle name="Output 18 4 8" xfId="31485"/>
    <cellStyle name="Output 18 4 9" xfId="31486"/>
    <cellStyle name="Output 18 5" xfId="6804"/>
    <cellStyle name="Output 18 5 10" xfId="31487"/>
    <cellStyle name="Output 18 5 2" xfId="6805"/>
    <cellStyle name="Output 18 5 2 2" xfId="31489"/>
    <cellStyle name="Output 18 5 2 3" xfId="31490"/>
    <cellStyle name="Output 18 5 2 4" xfId="31488"/>
    <cellStyle name="Output 18 5 3" xfId="31491"/>
    <cellStyle name="Output 18 5 3 2" xfId="31492"/>
    <cellStyle name="Output 18 5 4" xfId="31493"/>
    <cellStyle name="Output 18 5 4 2" xfId="31494"/>
    <cellStyle name="Output 18 5 5" xfId="31495"/>
    <cellStyle name="Output 18 5 6" xfId="31496"/>
    <cellStyle name="Output 18 5 7" xfId="31497"/>
    <cellStyle name="Output 18 5 8" xfId="31498"/>
    <cellStyle name="Output 18 5 9" xfId="31499"/>
    <cellStyle name="Output 18 6" xfId="6806"/>
    <cellStyle name="Output 18 6 2" xfId="31501"/>
    <cellStyle name="Output 18 6 2 2" xfId="31502"/>
    <cellStyle name="Output 18 6 3" xfId="31503"/>
    <cellStyle name="Output 18 6 3 2" xfId="31504"/>
    <cellStyle name="Output 18 6 4" xfId="31505"/>
    <cellStyle name="Output 18 6 5" xfId="31506"/>
    <cellStyle name="Output 18 6 6" xfId="31507"/>
    <cellStyle name="Output 18 6 7" xfId="31500"/>
    <cellStyle name="Output 18 7" xfId="6807"/>
    <cellStyle name="Output 18 7 2" xfId="31509"/>
    <cellStyle name="Output 18 7 3" xfId="31508"/>
    <cellStyle name="Output 18 8" xfId="8417"/>
    <cellStyle name="Output 18 9" xfId="31510"/>
    <cellStyle name="Output 19" xfId="2833"/>
    <cellStyle name="Output 19 10" xfId="31511"/>
    <cellStyle name="Output 19 11" xfId="31512"/>
    <cellStyle name="Output 19 2" xfId="6808"/>
    <cellStyle name="Output 19 2 2" xfId="31514"/>
    <cellStyle name="Output 19 2 2 2" xfId="31515"/>
    <cellStyle name="Output 19 2 2 2 2" xfId="31516"/>
    <cellStyle name="Output 19 2 2 2 3" xfId="31517"/>
    <cellStyle name="Output 19 2 2 3" xfId="31518"/>
    <cellStyle name="Output 19 2 2 3 2" xfId="31519"/>
    <cellStyle name="Output 19 2 2 4" xfId="31520"/>
    <cellStyle name="Output 19 2 2 4 2" xfId="31521"/>
    <cellStyle name="Output 19 2 2 5" xfId="31522"/>
    <cellStyle name="Output 19 2 2 6" xfId="31523"/>
    <cellStyle name="Output 19 2 2 7" xfId="31524"/>
    <cellStyle name="Output 19 2 2 8" xfId="31525"/>
    <cellStyle name="Output 19 2 2 9" xfId="31526"/>
    <cellStyle name="Output 19 2 3" xfId="31527"/>
    <cellStyle name="Output 19 2 3 2" xfId="31528"/>
    <cellStyle name="Output 19 2 3 2 2" xfId="31529"/>
    <cellStyle name="Output 19 2 3 2 3" xfId="31530"/>
    <cellStyle name="Output 19 2 3 3" xfId="31531"/>
    <cellStyle name="Output 19 2 3 3 2" xfId="31532"/>
    <cellStyle name="Output 19 2 3 4" xfId="31533"/>
    <cellStyle name="Output 19 2 3 5" xfId="31534"/>
    <cellStyle name="Output 19 2 3 6" xfId="31535"/>
    <cellStyle name="Output 19 2 4" xfId="31536"/>
    <cellStyle name="Output 19 2 4 2" xfId="31537"/>
    <cellStyle name="Output 19 2 4 3" xfId="31538"/>
    <cellStyle name="Output 19 2 5" xfId="31539"/>
    <cellStyle name="Output 19 2 6" xfId="31540"/>
    <cellStyle name="Output 19 2 7" xfId="31541"/>
    <cellStyle name="Output 19 2 8" xfId="31542"/>
    <cellStyle name="Output 19 2 9" xfId="31513"/>
    <cellStyle name="Output 19 3" xfId="6809"/>
    <cellStyle name="Output 19 3 2" xfId="31544"/>
    <cellStyle name="Output 19 3 2 2" xfId="31545"/>
    <cellStyle name="Output 19 3 2 2 2" xfId="31546"/>
    <cellStyle name="Output 19 3 2 3" xfId="31547"/>
    <cellStyle name="Output 19 3 2 3 2" xfId="31548"/>
    <cellStyle name="Output 19 3 2 4" xfId="31549"/>
    <cellStyle name="Output 19 3 2 4 2" xfId="31550"/>
    <cellStyle name="Output 19 3 2 5" xfId="31551"/>
    <cellStyle name="Output 19 3 2 6" xfId="31552"/>
    <cellStyle name="Output 19 3 2 7" xfId="31553"/>
    <cellStyle name="Output 19 3 2 8" xfId="31554"/>
    <cellStyle name="Output 19 3 2 9" xfId="31555"/>
    <cellStyle name="Output 19 3 3" xfId="31556"/>
    <cellStyle name="Output 19 3 3 2" xfId="31557"/>
    <cellStyle name="Output 19 3 3 2 2" xfId="31558"/>
    <cellStyle name="Output 19 3 3 3" xfId="31559"/>
    <cellStyle name="Output 19 3 3 3 2" xfId="31560"/>
    <cellStyle name="Output 19 3 3 4" xfId="31561"/>
    <cellStyle name="Output 19 3 3 5" xfId="31562"/>
    <cellStyle name="Output 19 3 3 6" xfId="31563"/>
    <cellStyle name="Output 19 3 4" xfId="31564"/>
    <cellStyle name="Output 19 3 4 2" xfId="31565"/>
    <cellStyle name="Output 19 3 5" xfId="31566"/>
    <cellStyle name="Output 19 3 6" xfId="31567"/>
    <cellStyle name="Output 19 3 7" xfId="31568"/>
    <cellStyle name="Output 19 3 8" xfId="31569"/>
    <cellStyle name="Output 19 3 9" xfId="31543"/>
    <cellStyle name="Output 19 4" xfId="6810"/>
    <cellStyle name="Output 19 4 10" xfId="31570"/>
    <cellStyle name="Output 19 4 2" xfId="6811"/>
    <cellStyle name="Output 19 4 2 2" xfId="31572"/>
    <cellStyle name="Output 19 4 2 3" xfId="31573"/>
    <cellStyle name="Output 19 4 2 4" xfId="31571"/>
    <cellStyle name="Output 19 4 3" xfId="31574"/>
    <cellStyle name="Output 19 4 3 2" xfId="31575"/>
    <cellStyle name="Output 19 4 4" xfId="31576"/>
    <cellStyle name="Output 19 4 4 2" xfId="31577"/>
    <cellStyle name="Output 19 4 5" xfId="31578"/>
    <cellStyle name="Output 19 4 6" xfId="31579"/>
    <cellStyle name="Output 19 4 7" xfId="31580"/>
    <cellStyle name="Output 19 4 8" xfId="31581"/>
    <cellStyle name="Output 19 4 9" xfId="31582"/>
    <cellStyle name="Output 19 5" xfId="6812"/>
    <cellStyle name="Output 19 5 10" xfId="31583"/>
    <cellStyle name="Output 19 5 2" xfId="6813"/>
    <cellStyle name="Output 19 5 2 2" xfId="31585"/>
    <cellStyle name="Output 19 5 2 3" xfId="31586"/>
    <cellStyle name="Output 19 5 2 4" xfId="31584"/>
    <cellStyle name="Output 19 5 3" xfId="31587"/>
    <cellStyle name="Output 19 5 3 2" xfId="31588"/>
    <cellStyle name="Output 19 5 4" xfId="31589"/>
    <cellStyle name="Output 19 5 4 2" xfId="31590"/>
    <cellStyle name="Output 19 5 5" xfId="31591"/>
    <cellStyle name="Output 19 5 6" xfId="31592"/>
    <cellStyle name="Output 19 5 7" xfId="31593"/>
    <cellStyle name="Output 19 5 8" xfId="31594"/>
    <cellStyle name="Output 19 5 9" xfId="31595"/>
    <cellStyle name="Output 19 6" xfId="6814"/>
    <cellStyle name="Output 19 6 2" xfId="31597"/>
    <cellStyle name="Output 19 6 2 2" xfId="31598"/>
    <cellStyle name="Output 19 6 3" xfId="31599"/>
    <cellStyle name="Output 19 6 3 2" xfId="31600"/>
    <cellStyle name="Output 19 6 4" xfId="31601"/>
    <cellStyle name="Output 19 6 5" xfId="31602"/>
    <cellStyle name="Output 19 6 6" xfId="31603"/>
    <cellStyle name="Output 19 6 7" xfId="31596"/>
    <cellStyle name="Output 19 7" xfId="6815"/>
    <cellStyle name="Output 19 7 2" xfId="31605"/>
    <cellStyle name="Output 19 7 3" xfId="31604"/>
    <cellStyle name="Output 19 8" xfId="8418"/>
    <cellStyle name="Output 19 9" xfId="31606"/>
    <cellStyle name="Output 2" xfId="1911"/>
    <cellStyle name="Output 2 10" xfId="31607"/>
    <cellStyle name="Output 2 11" xfId="31608"/>
    <cellStyle name="Output 2 2" xfId="1912"/>
    <cellStyle name="Output 2 2 2" xfId="1913"/>
    <cellStyle name="Output 2 2 2 2" xfId="8227"/>
    <cellStyle name="Output 2 2 2 2 2" xfId="31610"/>
    <cellStyle name="Output 2 2 2 2 2 2" xfId="31611"/>
    <cellStyle name="Output 2 2 2 2 3" xfId="31612"/>
    <cellStyle name="Output 2 2 2 3" xfId="31613"/>
    <cellStyle name="Output 2 2 2 3 2" xfId="31614"/>
    <cellStyle name="Output 2 2 2 3 3" xfId="31615"/>
    <cellStyle name="Output 2 2 2 4" xfId="31616"/>
    <cellStyle name="Output 2 2 2 4 2" xfId="31617"/>
    <cellStyle name="Output 2 2 2 5" xfId="31618"/>
    <cellStyle name="Output 2 2 2 6" xfId="31619"/>
    <cellStyle name="Output 2 2 2 7" xfId="31620"/>
    <cellStyle name="Output 2 2 2 8" xfId="31621"/>
    <cellStyle name="Output 2 2 2 9" xfId="31622"/>
    <cellStyle name="Output 2 2 3" xfId="6816"/>
    <cellStyle name="Output 2 2 3 10" xfId="31623"/>
    <cellStyle name="Output 2 2 3 2" xfId="31624"/>
    <cellStyle name="Output 2 2 3 2 2" xfId="31625"/>
    <cellStyle name="Output 2 2 3 2 3" xfId="31626"/>
    <cellStyle name="Output 2 2 3 3" xfId="31627"/>
    <cellStyle name="Output 2 2 3 3 2" xfId="31628"/>
    <cellStyle name="Output 2 2 3 4" xfId="31629"/>
    <cellStyle name="Output 2 2 3 4 2" xfId="31630"/>
    <cellStyle name="Output 2 2 3 5" xfId="31631"/>
    <cellStyle name="Output 2 2 3 6" xfId="31632"/>
    <cellStyle name="Output 2 2 3 7" xfId="31633"/>
    <cellStyle name="Output 2 2 3 8" xfId="31634"/>
    <cellStyle name="Output 2 2 3 9" xfId="31635"/>
    <cellStyle name="Output 2 2 4" xfId="6817"/>
    <cellStyle name="Output 2 2 4 2" xfId="6818"/>
    <cellStyle name="Output 2 2 4 2 2" xfId="31637"/>
    <cellStyle name="Output 2 2 4 3" xfId="31638"/>
    <cellStyle name="Output 2 2 4 4" xfId="31639"/>
    <cellStyle name="Output 2 2 4 5" xfId="31636"/>
    <cellStyle name="Output 2 2 5" xfId="6819"/>
    <cellStyle name="Output 2 2 5 2" xfId="6820"/>
    <cellStyle name="Output 2 2 5 3" xfId="31640"/>
    <cellStyle name="Output 2 2 6" xfId="6821"/>
    <cellStyle name="Output 2 2 7" xfId="6822"/>
    <cellStyle name="Output 2 2 8" xfId="8226"/>
    <cellStyle name="Output 2 2 9" xfId="31609"/>
    <cellStyle name="Output 2 3" xfId="1914"/>
    <cellStyle name="Output 2 3 2" xfId="1915"/>
    <cellStyle name="Output 2 3 2 2" xfId="8229"/>
    <cellStyle name="Output 2 3 2 2 2" xfId="31641"/>
    <cellStyle name="Output 2 3 2 2 3" xfId="31642"/>
    <cellStyle name="Output 2 3 2 3" xfId="31643"/>
    <cellStyle name="Output 2 3 2 3 2" xfId="31644"/>
    <cellStyle name="Output 2 3 2 4" xfId="31645"/>
    <cellStyle name="Output 2 3 2 4 2" xfId="31646"/>
    <cellStyle name="Output 2 3 2 5" xfId="31647"/>
    <cellStyle name="Output 2 3 2 6" xfId="31648"/>
    <cellStyle name="Output 2 3 2 7" xfId="31649"/>
    <cellStyle name="Output 2 3 2 8" xfId="31650"/>
    <cellStyle name="Output 2 3 2 9" xfId="31651"/>
    <cellStyle name="Output 2 3 3" xfId="8228"/>
    <cellStyle name="Output 2 3 3 2" xfId="31652"/>
    <cellStyle name="Output 2 3 3 2 2" xfId="31653"/>
    <cellStyle name="Output 2 3 3 2 3" xfId="31654"/>
    <cellStyle name="Output 2 3 3 3" xfId="31655"/>
    <cellStyle name="Output 2 3 3 3 2" xfId="31656"/>
    <cellStyle name="Output 2 3 3 4" xfId="31657"/>
    <cellStyle name="Output 2 3 3 5" xfId="31658"/>
    <cellStyle name="Output 2 3 3 6" xfId="31659"/>
    <cellStyle name="Output 2 3 4" xfId="31660"/>
    <cellStyle name="Output 2 3 4 2" xfId="31661"/>
    <cellStyle name="Output 2 3 4 3" xfId="31662"/>
    <cellStyle name="Output 2 3 5" xfId="31663"/>
    <cellStyle name="Output 2 3 6" xfId="31664"/>
    <cellStyle name="Output 2 3 7" xfId="31665"/>
    <cellStyle name="Output 2 3 8" xfId="31666"/>
    <cellStyle name="Output 2 4" xfId="1916"/>
    <cellStyle name="Output 2 4 2" xfId="1917"/>
    <cellStyle name="Output 2 4 2 2" xfId="8231"/>
    <cellStyle name="Output 2 4 2 3" xfId="31667"/>
    <cellStyle name="Output 2 4 3" xfId="8230"/>
    <cellStyle name="Output 2 4 3 2" xfId="31668"/>
    <cellStyle name="Output 2 4 4" xfId="31669"/>
    <cellStyle name="Output 2 4 4 2" xfId="31670"/>
    <cellStyle name="Output 2 4 5" xfId="31671"/>
    <cellStyle name="Output 2 4 6" xfId="31672"/>
    <cellStyle name="Output 2 4 7" xfId="31673"/>
    <cellStyle name="Output 2 4 8" xfId="31674"/>
    <cellStyle name="Output 2 4 9" xfId="31675"/>
    <cellStyle name="Output 2 5" xfId="1918"/>
    <cellStyle name="Output 2 5 2" xfId="6823"/>
    <cellStyle name="Output 2 5 2 2" xfId="31677"/>
    <cellStyle name="Output 2 5 2 3" xfId="31678"/>
    <cellStyle name="Output 2 5 2 4" xfId="31676"/>
    <cellStyle name="Output 2 5 3" xfId="8232"/>
    <cellStyle name="Output 2 5 3 2" xfId="31679"/>
    <cellStyle name="Output 2 5 4" xfId="31680"/>
    <cellStyle name="Output 2 5 4 2" xfId="31681"/>
    <cellStyle name="Output 2 5 5" xfId="31682"/>
    <cellStyle name="Output 2 5 6" xfId="31683"/>
    <cellStyle name="Output 2 5 7" xfId="31684"/>
    <cellStyle name="Output 2 5 8" xfId="31685"/>
    <cellStyle name="Output 2 5 9" xfId="31686"/>
    <cellStyle name="Output 2 6" xfId="6824"/>
    <cellStyle name="Output 2 6 2" xfId="6825"/>
    <cellStyle name="Output 2 6 2 2" xfId="31689"/>
    <cellStyle name="Output 2 6 2 3" xfId="31688"/>
    <cellStyle name="Output 2 6 3" xfId="31690"/>
    <cellStyle name="Output 2 6 3 2" xfId="31691"/>
    <cellStyle name="Output 2 6 4" xfId="31692"/>
    <cellStyle name="Output 2 6 5" xfId="31693"/>
    <cellStyle name="Output 2 6 6" xfId="31694"/>
    <cellStyle name="Output 2 6 7" xfId="31687"/>
    <cellStyle name="Output 2 7" xfId="6826"/>
    <cellStyle name="Output 2 7 2" xfId="31696"/>
    <cellStyle name="Output 2 7 3" xfId="31695"/>
    <cellStyle name="Output 2 8" xfId="6827"/>
    <cellStyle name="Output 2 8 2" xfId="31697"/>
    <cellStyle name="Output 2 9" xfId="8225"/>
    <cellStyle name="Output 20" xfId="2834"/>
    <cellStyle name="Output 20 10" xfId="31698"/>
    <cellStyle name="Output 20 11" xfId="31699"/>
    <cellStyle name="Output 20 2" xfId="6828"/>
    <cellStyle name="Output 20 2 2" xfId="31701"/>
    <cellStyle name="Output 20 2 2 2" xfId="31702"/>
    <cellStyle name="Output 20 2 2 2 2" xfId="31703"/>
    <cellStyle name="Output 20 2 2 2 3" xfId="31704"/>
    <cellStyle name="Output 20 2 2 3" xfId="31705"/>
    <cellStyle name="Output 20 2 2 3 2" xfId="31706"/>
    <cellStyle name="Output 20 2 2 4" xfId="31707"/>
    <cellStyle name="Output 20 2 2 4 2" xfId="31708"/>
    <cellStyle name="Output 20 2 2 5" xfId="31709"/>
    <cellStyle name="Output 20 2 2 6" xfId="31710"/>
    <cellStyle name="Output 20 2 2 7" xfId="31711"/>
    <cellStyle name="Output 20 2 2 8" xfId="31712"/>
    <cellStyle name="Output 20 2 2 9" xfId="31713"/>
    <cellStyle name="Output 20 2 3" xfId="31714"/>
    <cellStyle name="Output 20 2 3 2" xfId="31715"/>
    <cellStyle name="Output 20 2 3 2 2" xfId="31716"/>
    <cellStyle name="Output 20 2 3 2 3" xfId="31717"/>
    <cellStyle name="Output 20 2 3 3" xfId="31718"/>
    <cellStyle name="Output 20 2 3 3 2" xfId="31719"/>
    <cellStyle name="Output 20 2 3 4" xfId="31720"/>
    <cellStyle name="Output 20 2 3 5" xfId="31721"/>
    <cellStyle name="Output 20 2 3 6" xfId="31722"/>
    <cellStyle name="Output 20 2 4" xfId="31723"/>
    <cellStyle name="Output 20 2 4 2" xfId="31724"/>
    <cellStyle name="Output 20 2 4 3" xfId="31725"/>
    <cellStyle name="Output 20 2 5" xfId="31726"/>
    <cellStyle name="Output 20 2 6" xfId="31727"/>
    <cellStyle name="Output 20 2 7" xfId="31728"/>
    <cellStyle name="Output 20 2 8" xfId="31729"/>
    <cellStyle name="Output 20 2 9" xfId="31700"/>
    <cellStyle name="Output 20 3" xfId="6829"/>
    <cellStyle name="Output 20 3 2" xfId="31731"/>
    <cellStyle name="Output 20 3 2 2" xfId="31732"/>
    <cellStyle name="Output 20 3 2 2 2" xfId="31733"/>
    <cellStyle name="Output 20 3 2 3" xfId="31734"/>
    <cellStyle name="Output 20 3 2 3 2" xfId="31735"/>
    <cellStyle name="Output 20 3 2 4" xfId="31736"/>
    <cellStyle name="Output 20 3 2 4 2" xfId="31737"/>
    <cellStyle name="Output 20 3 2 5" xfId="31738"/>
    <cellStyle name="Output 20 3 2 6" xfId="31739"/>
    <cellStyle name="Output 20 3 2 7" xfId="31740"/>
    <cellStyle name="Output 20 3 2 8" xfId="31741"/>
    <cellStyle name="Output 20 3 2 9" xfId="31742"/>
    <cellStyle name="Output 20 3 3" xfId="31743"/>
    <cellStyle name="Output 20 3 3 2" xfId="31744"/>
    <cellStyle name="Output 20 3 3 2 2" xfId="31745"/>
    <cellStyle name="Output 20 3 3 3" xfId="31746"/>
    <cellStyle name="Output 20 3 3 3 2" xfId="31747"/>
    <cellStyle name="Output 20 3 3 4" xfId="31748"/>
    <cellStyle name="Output 20 3 3 5" xfId="31749"/>
    <cellStyle name="Output 20 3 3 6" xfId="31750"/>
    <cellStyle name="Output 20 3 4" xfId="31751"/>
    <cellStyle name="Output 20 3 4 2" xfId="31752"/>
    <cellStyle name="Output 20 3 5" xfId="31753"/>
    <cellStyle name="Output 20 3 6" xfId="31754"/>
    <cellStyle name="Output 20 3 7" xfId="31755"/>
    <cellStyle name="Output 20 3 8" xfId="31756"/>
    <cellStyle name="Output 20 3 9" xfId="31730"/>
    <cellStyle name="Output 20 4" xfId="6830"/>
    <cellStyle name="Output 20 4 10" xfId="31757"/>
    <cellStyle name="Output 20 4 2" xfId="6831"/>
    <cellStyle name="Output 20 4 2 2" xfId="31759"/>
    <cellStyle name="Output 20 4 2 3" xfId="31760"/>
    <cellStyle name="Output 20 4 2 4" xfId="31758"/>
    <cellStyle name="Output 20 4 3" xfId="31761"/>
    <cellStyle name="Output 20 4 3 2" xfId="31762"/>
    <cellStyle name="Output 20 4 4" xfId="31763"/>
    <cellStyle name="Output 20 4 4 2" xfId="31764"/>
    <cellStyle name="Output 20 4 5" xfId="31765"/>
    <cellStyle name="Output 20 4 6" xfId="31766"/>
    <cellStyle name="Output 20 4 7" xfId="31767"/>
    <cellStyle name="Output 20 4 8" xfId="31768"/>
    <cellStyle name="Output 20 4 9" xfId="31769"/>
    <cellStyle name="Output 20 5" xfId="6832"/>
    <cellStyle name="Output 20 5 10" xfId="31770"/>
    <cellStyle name="Output 20 5 2" xfId="6833"/>
    <cellStyle name="Output 20 5 2 2" xfId="31772"/>
    <cellStyle name="Output 20 5 2 3" xfId="31773"/>
    <cellStyle name="Output 20 5 2 4" xfId="31771"/>
    <cellStyle name="Output 20 5 3" xfId="31774"/>
    <cellStyle name="Output 20 5 3 2" xfId="31775"/>
    <cellStyle name="Output 20 5 4" xfId="31776"/>
    <cellStyle name="Output 20 5 4 2" xfId="31777"/>
    <cellStyle name="Output 20 5 5" xfId="31778"/>
    <cellStyle name="Output 20 5 6" xfId="31779"/>
    <cellStyle name="Output 20 5 7" xfId="31780"/>
    <cellStyle name="Output 20 5 8" xfId="31781"/>
    <cellStyle name="Output 20 5 9" xfId="31782"/>
    <cellStyle name="Output 20 6" xfId="6834"/>
    <cellStyle name="Output 20 6 2" xfId="31784"/>
    <cellStyle name="Output 20 6 2 2" xfId="31785"/>
    <cellStyle name="Output 20 6 3" xfId="31786"/>
    <cellStyle name="Output 20 6 3 2" xfId="31787"/>
    <cellStyle name="Output 20 6 4" xfId="31788"/>
    <cellStyle name="Output 20 6 5" xfId="31789"/>
    <cellStyle name="Output 20 6 6" xfId="31790"/>
    <cellStyle name="Output 20 6 7" xfId="31783"/>
    <cellStyle name="Output 20 7" xfId="6835"/>
    <cellStyle name="Output 20 7 2" xfId="31792"/>
    <cellStyle name="Output 20 7 3" xfId="31791"/>
    <cellStyle name="Output 20 8" xfId="8419"/>
    <cellStyle name="Output 20 9" xfId="31793"/>
    <cellStyle name="Output 21" xfId="2835"/>
    <cellStyle name="Output 21 10" xfId="31794"/>
    <cellStyle name="Output 21 11" xfId="31795"/>
    <cellStyle name="Output 21 2" xfId="6836"/>
    <cellStyle name="Output 21 2 2" xfId="31797"/>
    <cellStyle name="Output 21 2 2 2" xfId="31798"/>
    <cellStyle name="Output 21 2 2 2 2" xfId="31799"/>
    <cellStyle name="Output 21 2 2 2 3" xfId="31800"/>
    <cellStyle name="Output 21 2 2 3" xfId="31801"/>
    <cellStyle name="Output 21 2 2 3 2" xfId="31802"/>
    <cellStyle name="Output 21 2 2 4" xfId="31803"/>
    <cellStyle name="Output 21 2 2 4 2" xfId="31804"/>
    <cellStyle name="Output 21 2 2 5" xfId="31805"/>
    <cellStyle name="Output 21 2 2 6" xfId="31806"/>
    <cellStyle name="Output 21 2 2 7" xfId="31807"/>
    <cellStyle name="Output 21 2 2 8" xfId="31808"/>
    <cellStyle name="Output 21 2 2 9" xfId="31809"/>
    <cellStyle name="Output 21 2 3" xfId="31810"/>
    <cellStyle name="Output 21 2 3 2" xfId="31811"/>
    <cellStyle name="Output 21 2 3 2 2" xfId="31812"/>
    <cellStyle name="Output 21 2 3 2 3" xfId="31813"/>
    <cellStyle name="Output 21 2 3 3" xfId="31814"/>
    <cellStyle name="Output 21 2 3 3 2" xfId="31815"/>
    <cellStyle name="Output 21 2 3 4" xfId="31816"/>
    <cellStyle name="Output 21 2 3 5" xfId="31817"/>
    <cellStyle name="Output 21 2 3 6" xfId="31818"/>
    <cellStyle name="Output 21 2 4" xfId="31819"/>
    <cellStyle name="Output 21 2 4 2" xfId="31820"/>
    <cellStyle name="Output 21 2 4 3" xfId="31821"/>
    <cellStyle name="Output 21 2 5" xfId="31822"/>
    <cellStyle name="Output 21 2 6" xfId="31823"/>
    <cellStyle name="Output 21 2 7" xfId="31824"/>
    <cellStyle name="Output 21 2 8" xfId="31825"/>
    <cellStyle name="Output 21 2 9" xfId="31796"/>
    <cellStyle name="Output 21 3" xfId="6837"/>
    <cellStyle name="Output 21 3 2" xfId="31827"/>
    <cellStyle name="Output 21 3 2 2" xfId="31828"/>
    <cellStyle name="Output 21 3 2 2 2" xfId="31829"/>
    <cellStyle name="Output 21 3 2 3" xfId="31830"/>
    <cellStyle name="Output 21 3 2 3 2" xfId="31831"/>
    <cellStyle name="Output 21 3 2 4" xfId="31832"/>
    <cellStyle name="Output 21 3 2 4 2" xfId="31833"/>
    <cellStyle name="Output 21 3 2 5" xfId="31834"/>
    <cellStyle name="Output 21 3 2 6" xfId="31835"/>
    <cellStyle name="Output 21 3 2 7" xfId="31836"/>
    <cellStyle name="Output 21 3 2 8" xfId="31837"/>
    <cellStyle name="Output 21 3 2 9" xfId="31838"/>
    <cellStyle name="Output 21 3 3" xfId="31839"/>
    <cellStyle name="Output 21 3 3 2" xfId="31840"/>
    <cellStyle name="Output 21 3 3 2 2" xfId="31841"/>
    <cellStyle name="Output 21 3 3 3" xfId="31842"/>
    <cellStyle name="Output 21 3 3 3 2" xfId="31843"/>
    <cellStyle name="Output 21 3 3 4" xfId="31844"/>
    <cellStyle name="Output 21 3 3 5" xfId="31845"/>
    <cellStyle name="Output 21 3 3 6" xfId="31846"/>
    <cellStyle name="Output 21 3 4" xfId="31847"/>
    <cellStyle name="Output 21 3 4 2" xfId="31848"/>
    <cellStyle name="Output 21 3 5" xfId="31849"/>
    <cellStyle name="Output 21 3 6" xfId="31850"/>
    <cellStyle name="Output 21 3 7" xfId="31851"/>
    <cellStyle name="Output 21 3 8" xfId="31852"/>
    <cellStyle name="Output 21 3 9" xfId="31826"/>
    <cellStyle name="Output 21 4" xfId="6838"/>
    <cellStyle name="Output 21 4 10" xfId="31853"/>
    <cellStyle name="Output 21 4 2" xfId="6839"/>
    <cellStyle name="Output 21 4 2 2" xfId="31855"/>
    <cellStyle name="Output 21 4 2 3" xfId="31856"/>
    <cellStyle name="Output 21 4 2 4" xfId="31854"/>
    <cellStyle name="Output 21 4 3" xfId="31857"/>
    <cellStyle name="Output 21 4 3 2" xfId="31858"/>
    <cellStyle name="Output 21 4 4" xfId="31859"/>
    <cellStyle name="Output 21 4 4 2" xfId="31860"/>
    <cellStyle name="Output 21 4 5" xfId="31861"/>
    <cellStyle name="Output 21 4 6" xfId="31862"/>
    <cellStyle name="Output 21 4 7" xfId="31863"/>
    <cellStyle name="Output 21 4 8" xfId="31864"/>
    <cellStyle name="Output 21 4 9" xfId="31865"/>
    <cellStyle name="Output 21 5" xfId="6840"/>
    <cellStyle name="Output 21 5 10" xfId="31866"/>
    <cellStyle name="Output 21 5 2" xfId="6841"/>
    <cellStyle name="Output 21 5 2 2" xfId="31868"/>
    <cellStyle name="Output 21 5 2 3" xfId="31869"/>
    <cellStyle name="Output 21 5 2 4" xfId="31867"/>
    <cellStyle name="Output 21 5 3" xfId="31870"/>
    <cellStyle name="Output 21 5 3 2" xfId="31871"/>
    <cellStyle name="Output 21 5 4" xfId="31872"/>
    <cellStyle name="Output 21 5 4 2" xfId="31873"/>
    <cellStyle name="Output 21 5 5" xfId="31874"/>
    <cellStyle name="Output 21 5 6" xfId="31875"/>
    <cellStyle name="Output 21 5 7" xfId="31876"/>
    <cellStyle name="Output 21 5 8" xfId="31877"/>
    <cellStyle name="Output 21 5 9" xfId="31878"/>
    <cellStyle name="Output 21 6" xfId="6842"/>
    <cellStyle name="Output 21 6 2" xfId="31880"/>
    <cellStyle name="Output 21 6 2 2" xfId="31881"/>
    <cellStyle name="Output 21 6 3" xfId="31882"/>
    <cellStyle name="Output 21 6 3 2" xfId="31883"/>
    <cellStyle name="Output 21 6 4" xfId="31884"/>
    <cellStyle name="Output 21 6 5" xfId="31885"/>
    <cellStyle name="Output 21 6 6" xfId="31886"/>
    <cellStyle name="Output 21 6 7" xfId="31879"/>
    <cellStyle name="Output 21 7" xfId="6843"/>
    <cellStyle name="Output 21 7 2" xfId="31888"/>
    <cellStyle name="Output 21 7 3" xfId="31887"/>
    <cellStyle name="Output 21 8" xfId="8420"/>
    <cellStyle name="Output 21 9" xfId="31889"/>
    <cellStyle name="Output 22" xfId="2836"/>
    <cellStyle name="Output 22 10" xfId="31890"/>
    <cellStyle name="Output 22 11" xfId="31891"/>
    <cellStyle name="Output 22 2" xfId="6844"/>
    <cellStyle name="Output 22 2 2" xfId="31893"/>
    <cellStyle name="Output 22 2 2 2" xfId="31894"/>
    <cellStyle name="Output 22 2 2 2 2" xfId="31895"/>
    <cellStyle name="Output 22 2 2 2 3" xfId="31896"/>
    <cellStyle name="Output 22 2 2 3" xfId="31897"/>
    <cellStyle name="Output 22 2 2 3 2" xfId="31898"/>
    <cellStyle name="Output 22 2 2 4" xfId="31899"/>
    <cellStyle name="Output 22 2 2 4 2" xfId="31900"/>
    <cellStyle name="Output 22 2 2 5" xfId="31901"/>
    <cellStyle name="Output 22 2 2 6" xfId="31902"/>
    <cellStyle name="Output 22 2 2 7" xfId="31903"/>
    <cellStyle name="Output 22 2 2 8" xfId="31904"/>
    <cellStyle name="Output 22 2 2 9" xfId="31905"/>
    <cellStyle name="Output 22 2 3" xfId="31906"/>
    <cellStyle name="Output 22 2 3 2" xfId="31907"/>
    <cellStyle name="Output 22 2 3 2 2" xfId="31908"/>
    <cellStyle name="Output 22 2 3 2 3" xfId="31909"/>
    <cellStyle name="Output 22 2 3 3" xfId="31910"/>
    <cellStyle name="Output 22 2 3 3 2" xfId="31911"/>
    <cellStyle name="Output 22 2 3 4" xfId="31912"/>
    <cellStyle name="Output 22 2 3 5" xfId="31913"/>
    <cellStyle name="Output 22 2 3 6" xfId="31914"/>
    <cellStyle name="Output 22 2 4" xfId="31915"/>
    <cellStyle name="Output 22 2 4 2" xfId="31916"/>
    <cellStyle name="Output 22 2 4 3" xfId="31917"/>
    <cellStyle name="Output 22 2 5" xfId="31918"/>
    <cellStyle name="Output 22 2 6" xfId="31919"/>
    <cellStyle name="Output 22 2 7" xfId="31920"/>
    <cellStyle name="Output 22 2 8" xfId="31921"/>
    <cellStyle name="Output 22 2 9" xfId="31892"/>
    <cellStyle name="Output 22 3" xfId="6845"/>
    <cellStyle name="Output 22 3 2" xfId="31923"/>
    <cellStyle name="Output 22 3 2 2" xfId="31924"/>
    <cellStyle name="Output 22 3 2 2 2" xfId="31925"/>
    <cellStyle name="Output 22 3 2 3" xfId="31926"/>
    <cellStyle name="Output 22 3 2 3 2" xfId="31927"/>
    <cellStyle name="Output 22 3 2 4" xfId="31928"/>
    <cellStyle name="Output 22 3 2 4 2" xfId="31929"/>
    <cellStyle name="Output 22 3 2 5" xfId="31930"/>
    <cellStyle name="Output 22 3 2 6" xfId="31931"/>
    <cellStyle name="Output 22 3 2 7" xfId="31932"/>
    <cellStyle name="Output 22 3 2 8" xfId="31933"/>
    <cellStyle name="Output 22 3 2 9" xfId="31934"/>
    <cellStyle name="Output 22 3 3" xfId="31935"/>
    <cellStyle name="Output 22 3 3 2" xfId="31936"/>
    <cellStyle name="Output 22 3 3 2 2" xfId="31937"/>
    <cellStyle name="Output 22 3 3 3" xfId="31938"/>
    <cellStyle name="Output 22 3 3 3 2" xfId="31939"/>
    <cellStyle name="Output 22 3 3 4" xfId="31940"/>
    <cellStyle name="Output 22 3 3 5" xfId="31941"/>
    <cellStyle name="Output 22 3 3 6" xfId="31942"/>
    <cellStyle name="Output 22 3 4" xfId="31943"/>
    <cellStyle name="Output 22 3 4 2" xfId="31944"/>
    <cellStyle name="Output 22 3 5" xfId="31945"/>
    <cellStyle name="Output 22 3 6" xfId="31946"/>
    <cellStyle name="Output 22 3 7" xfId="31947"/>
    <cellStyle name="Output 22 3 8" xfId="31948"/>
    <cellStyle name="Output 22 3 9" xfId="31922"/>
    <cellStyle name="Output 22 4" xfId="6846"/>
    <cellStyle name="Output 22 4 10" xfId="31949"/>
    <cellStyle name="Output 22 4 2" xfId="6847"/>
    <cellStyle name="Output 22 4 2 2" xfId="31951"/>
    <cellStyle name="Output 22 4 2 3" xfId="31952"/>
    <cellStyle name="Output 22 4 2 4" xfId="31950"/>
    <cellStyle name="Output 22 4 3" xfId="31953"/>
    <cellStyle name="Output 22 4 3 2" xfId="31954"/>
    <cellStyle name="Output 22 4 4" xfId="31955"/>
    <cellStyle name="Output 22 4 4 2" xfId="31956"/>
    <cellStyle name="Output 22 4 5" xfId="31957"/>
    <cellStyle name="Output 22 4 6" xfId="31958"/>
    <cellStyle name="Output 22 4 7" xfId="31959"/>
    <cellStyle name="Output 22 4 8" xfId="31960"/>
    <cellStyle name="Output 22 4 9" xfId="31961"/>
    <cellStyle name="Output 22 5" xfId="6848"/>
    <cellStyle name="Output 22 5 10" xfId="31962"/>
    <cellStyle name="Output 22 5 2" xfId="6849"/>
    <cellStyle name="Output 22 5 2 2" xfId="31964"/>
    <cellStyle name="Output 22 5 2 3" xfId="31965"/>
    <cellStyle name="Output 22 5 2 4" xfId="31963"/>
    <cellStyle name="Output 22 5 3" xfId="31966"/>
    <cellStyle name="Output 22 5 3 2" xfId="31967"/>
    <cellStyle name="Output 22 5 4" xfId="31968"/>
    <cellStyle name="Output 22 5 4 2" xfId="31969"/>
    <cellStyle name="Output 22 5 5" xfId="31970"/>
    <cellStyle name="Output 22 5 6" xfId="31971"/>
    <cellStyle name="Output 22 5 7" xfId="31972"/>
    <cellStyle name="Output 22 5 8" xfId="31973"/>
    <cellStyle name="Output 22 5 9" xfId="31974"/>
    <cellStyle name="Output 22 6" xfId="6850"/>
    <cellStyle name="Output 22 6 2" xfId="31976"/>
    <cellStyle name="Output 22 6 2 2" xfId="31977"/>
    <cellStyle name="Output 22 6 3" xfId="31978"/>
    <cellStyle name="Output 22 6 3 2" xfId="31979"/>
    <cellStyle name="Output 22 6 4" xfId="31980"/>
    <cellStyle name="Output 22 6 5" xfId="31981"/>
    <cellStyle name="Output 22 6 6" xfId="31982"/>
    <cellStyle name="Output 22 6 7" xfId="31975"/>
    <cellStyle name="Output 22 7" xfId="6851"/>
    <cellStyle name="Output 22 7 2" xfId="31984"/>
    <cellStyle name="Output 22 7 3" xfId="31983"/>
    <cellStyle name="Output 22 8" xfId="8421"/>
    <cellStyle name="Output 22 9" xfId="31985"/>
    <cellStyle name="Output 23" xfId="2837"/>
    <cellStyle name="Output 23 10" xfId="31986"/>
    <cellStyle name="Output 23 11" xfId="31987"/>
    <cellStyle name="Output 23 2" xfId="6852"/>
    <cellStyle name="Output 23 2 2" xfId="31989"/>
    <cellStyle name="Output 23 2 2 2" xfId="31990"/>
    <cellStyle name="Output 23 2 2 2 2" xfId="31991"/>
    <cellStyle name="Output 23 2 2 2 3" xfId="31992"/>
    <cellStyle name="Output 23 2 2 3" xfId="31993"/>
    <cellStyle name="Output 23 2 2 3 2" xfId="31994"/>
    <cellStyle name="Output 23 2 2 4" xfId="31995"/>
    <cellStyle name="Output 23 2 2 4 2" xfId="31996"/>
    <cellStyle name="Output 23 2 2 5" xfId="31997"/>
    <cellStyle name="Output 23 2 2 6" xfId="31998"/>
    <cellStyle name="Output 23 2 2 7" xfId="31999"/>
    <cellStyle name="Output 23 2 2 8" xfId="32000"/>
    <cellStyle name="Output 23 2 2 9" xfId="32001"/>
    <cellStyle name="Output 23 2 3" xfId="32002"/>
    <cellStyle name="Output 23 2 3 2" xfId="32003"/>
    <cellStyle name="Output 23 2 3 2 2" xfId="32004"/>
    <cellStyle name="Output 23 2 3 2 3" xfId="32005"/>
    <cellStyle name="Output 23 2 3 3" xfId="32006"/>
    <cellStyle name="Output 23 2 3 3 2" xfId="32007"/>
    <cellStyle name="Output 23 2 3 4" xfId="32008"/>
    <cellStyle name="Output 23 2 3 5" xfId="32009"/>
    <cellStyle name="Output 23 2 3 6" xfId="32010"/>
    <cellStyle name="Output 23 2 4" xfId="32011"/>
    <cellStyle name="Output 23 2 4 2" xfId="32012"/>
    <cellStyle name="Output 23 2 4 3" xfId="32013"/>
    <cellStyle name="Output 23 2 5" xfId="32014"/>
    <cellStyle name="Output 23 2 6" xfId="32015"/>
    <cellStyle name="Output 23 2 7" xfId="32016"/>
    <cellStyle name="Output 23 2 8" xfId="32017"/>
    <cellStyle name="Output 23 2 9" xfId="31988"/>
    <cellStyle name="Output 23 3" xfId="6853"/>
    <cellStyle name="Output 23 3 2" xfId="32019"/>
    <cellStyle name="Output 23 3 2 2" xfId="32020"/>
    <cellStyle name="Output 23 3 2 2 2" xfId="32021"/>
    <cellStyle name="Output 23 3 2 3" xfId="32022"/>
    <cellStyle name="Output 23 3 2 3 2" xfId="32023"/>
    <cellStyle name="Output 23 3 2 4" xfId="32024"/>
    <cellStyle name="Output 23 3 2 4 2" xfId="32025"/>
    <cellStyle name="Output 23 3 2 5" xfId="32026"/>
    <cellStyle name="Output 23 3 2 6" xfId="32027"/>
    <cellStyle name="Output 23 3 2 7" xfId="32028"/>
    <cellStyle name="Output 23 3 2 8" xfId="32029"/>
    <cellStyle name="Output 23 3 2 9" xfId="32030"/>
    <cellStyle name="Output 23 3 3" xfId="32031"/>
    <cellStyle name="Output 23 3 3 2" xfId="32032"/>
    <cellStyle name="Output 23 3 3 2 2" xfId="32033"/>
    <cellStyle name="Output 23 3 3 3" xfId="32034"/>
    <cellStyle name="Output 23 3 3 3 2" xfId="32035"/>
    <cellStyle name="Output 23 3 3 4" xfId="32036"/>
    <cellStyle name="Output 23 3 3 5" xfId="32037"/>
    <cellStyle name="Output 23 3 3 6" xfId="32038"/>
    <cellStyle name="Output 23 3 4" xfId="32039"/>
    <cellStyle name="Output 23 3 4 2" xfId="32040"/>
    <cellStyle name="Output 23 3 5" xfId="32041"/>
    <cellStyle name="Output 23 3 6" xfId="32042"/>
    <cellStyle name="Output 23 3 7" xfId="32043"/>
    <cellStyle name="Output 23 3 8" xfId="32044"/>
    <cellStyle name="Output 23 3 9" xfId="32018"/>
    <cellStyle name="Output 23 4" xfId="6854"/>
    <cellStyle name="Output 23 4 10" xfId="32045"/>
    <cellStyle name="Output 23 4 2" xfId="6855"/>
    <cellStyle name="Output 23 4 2 2" xfId="32047"/>
    <cellStyle name="Output 23 4 2 3" xfId="32048"/>
    <cellStyle name="Output 23 4 2 4" xfId="32046"/>
    <cellStyle name="Output 23 4 3" xfId="32049"/>
    <cellStyle name="Output 23 4 3 2" xfId="32050"/>
    <cellStyle name="Output 23 4 4" xfId="32051"/>
    <cellStyle name="Output 23 4 4 2" xfId="32052"/>
    <cellStyle name="Output 23 4 5" xfId="32053"/>
    <cellStyle name="Output 23 4 6" xfId="32054"/>
    <cellStyle name="Output 23 4 7" xfId="32055"/>
    <cellStyle name="Output 23 4 8" xfId="32056"/>
    <cellStyle name="Output 23 4 9" xfId="32057"/>
    <cellStyle name="Output 23 5" xfId="6856"/>
    <cellStyle name="Output 23 5 10" xfId="32058"/>
    <cellStyle name="Output 23 5 2" xfId="6857"/>
    <cellStyle name="Output 23 5 2 2" xfId="32060"/>
    <cellStyle name="Output 23 5 2 3" xfId="32061"/>
    <cellStyle name="Output 23 5 2 4" xfId="32059"/>
    <cellStyle name="Output 23 5 3" xfId="32062"/>
    <cellStyle name="Output 23 5 3 2" xfId="32063"/>
    <cellStyle name="Output 23 5 4" xfId="32064"/>
    <cellStyle name="Output 23 5 4 2" xfId="32065"/>
    <cellStyle name="Output 23 5 5" xfId="32066"/>
    <cellStyle name="Output 23 5 6" xfId="32067"/>
    <cellStyle name="Output 23 5 7" xfId="32068"/>
    <cellStyle name="Output 23 5 8" xfId="32069"/>
    <cellStyle name="Output 23 5 9" xfId="32070"/>
    <cellStyle name="Output 23 6" xfId="6858"/>
    <cellStyle name="Output 23 6 2" xfId="32072"/>
    <cellStyle name="Output 23 6 2 2" xfId="32073"/>
    <cellStyle name="Output 23 6 3" xfId="32074"/>
    <cellStyle name="Output 23 6 3 2" xfId="32075"/>
    <cellStyle name="Output 23 6 4" xfId="32076"/>
    <cellStyle name="Output 23 6 5" xfId="32077"/>
    <cellStyle name="Output 23 6 6" xfId="32078"/>
    <cellStyle name="Output 23 6 7" xfId="32071"/>
    <cellStyle name="Output 23 7" xfId="6859"/>
    <cellStyle name="Output 23 7 2" xfId="32080"/>
    <cellStyle name="Output 23 7 3" xfId="32079"/>
    <cellStyle name="Output 23 8" xfId="8422"/>
    <cellStyle name="Output 23 9" xfId="32081"/>
    <cellStyle name="Output 24" xfId="2838"/>
    <cellStyle name="Output 24 10" xfId="32082"/>
    <cellStyle name="Output 24 11" xfId="32083"/>
    <cellStyle name="Output 24 2" xfId="6860"/>
    <cellStyle name="Output 24 2 2" xfId="32085"/>
    <cellStyle name="Output 24 2 2 2" xfId="32086"/>
    <cellStyle name="Output 24 2 2 2 2" xfId="32087"/>
    <cellStyle name="Output 24 2 2 2 3" xfId="32088"/>
    <cellStyle name="Output 24 2 2 3" xfId="32089"/>
    <cellStyle name="Output 24 2 2 3 2" xfId="32090"/>
    <cellStyle name="Output 24 2 2 4" xfId="32091"/>
    <cellStyle name="Output 24 2 2 4 2" xfId="32092"/>
    <cellStyle name="Output 24 2 2 5" xfId="32093"/>
    <cellStyle name="Output 24 2 2 6" xfId="32094"/>
    <cellStyle name="Output 24 2 2 7" xfId="32095"/>
    <cellStyle name="Output 24 2 2 8" xfId="32096"/>
    <cellStyle name="Output 24 2 2 9" xfId="32097"/>
    <cellStyle name="Output 24 2 3" xfId="32098"/>
    <cellStyle name="Output 24 2 3 2" xfId="32099"/>
    <cellStyle name="Output 24 2 3 2 2" xfId="32100"/>
    <cellStyle name="Output 24 2 3 2 3" xfId="32101"/>
    <cellStyle name="Output 24 2 3 3" xfId="32102"/>
    <cellStyle name="Output 24 2 3 3 2" xfId="32103"/>
    <cellStyle name="Output 24 2 3 4" xfId="32104"/>
    <cellStyle name="Output 24 2 3 5" xfId="32105"/>
    <cellStyle name="Output 24 2 3 6" xfId="32106"/>
    <cellStyle name="Output 24 2 4" xfId="32107"/>
    <cellStyle name="Output 24 2 4 2" xfId="32108"/>
    <cellStyle name="Output 24 2 4 3" xfId="32109"/>
    <cellStyle name="Output 24 2 5" xfId="32110"/>
    <cellStyle name="Output 24 2 6" xfId="32111"/>
    <cellStyle name="Output 24 2 7" xfId="32112"/>
    <cellStyle name="Output 24 2 8" xfId="32113"/>
    <cellStyle name="Output 24 2 9" xfId="32084"/>
    <cellStyle name="Output 24 3" xfId="6861"/>
    <cellStyle name="Output 24 3 2" xfId="32115"/>
    <cellStyle name="Output 24 3 2 2" xfId="32116"/>
    <cellStyle name="Output 24 3 2 2 2" xfId="32117"/>
    <cellStyle name="Output 24 3 2 3" xfId="32118"/>
    <cellStyle name="Output 24 3 2 3 2" xfId="32119"/>
    <cellStyle name="Output 24 3 2 4" xfId="32120"/>
    <cellStyle name="Output 24 3 2 4 2" xfId="32121"/>
    <cellStyle name="Output 24 3 2 5" xfId="32122"/>
    <cellStyle name="Output 24 3 2 6" xfId="32123"/>
    <cellStyle name="Output 24 3 2 7" xfId="32124"/>
    <cellStyle name="Output 24 3 2 8" xfId="32125"/>
    <cellStyle name="Output 24 3 2 9" xfId="32126"/>
    <cellStyle name="Output 24 3 3" xfId="32127"/>
    <cellStyle name="Output 24 3 3 2" xfId="32128"/>
    <cellStyle name="Output 24 3 3 2 2" xfId="32129"/>
    <cellStyle name="Output 24 3 3 3" xfId="32130"/>
    <cellStyle name="Output 24 3 3 3 2" xfId="32131"/>
    <cellStyle name="Output 24 3 3 4" xfId="32132"/>
    <cellStyle name="Output 24 3 3 5" xfId="32133"/>
    <cellStyle name="Output 24 3 3 6" xfId="32134"/>
    <cellStyle name="Output 24 3 4" xfId="32135"/>
    <cellStyle name="Output 24 3 4 2" xfId="32136"/>
    <cellStyle name="Output 24 3 5" xfId="32137"/>
    <cellStyle name="Output 24 3 6" xfId="32138"/>
    <cellStyle name="Output 24 3 7" xfId="32139"/>
    <cellStyle name="Output 24 3 8" xfId="32140"/>
    <cellStyle name="Output 24 3 9" xfId="32114"/>
    <cellStyle name="Output 24 4" xfId="6862"/>
    <cellStyle name="Output 24 4 10" xfId="32141"/>
    <cellStyle name="Output 24 4 2" xfId="6863"/>
    <cellStyle name="Output 24 4 2 2" xfId="32143"/>
    <cellStyle name="Output 24 4 2 3" xfId="32144"/>
    <cellStyle name="Output 24 4 2 4" xfId="32142"/>
    <cellStyle name="Output 24 4 3" xfId="32145"/>
    <cellStyle name="Output 24 4 3 2" xfId="32146"/>
    <cellStyle name="Output 24 4 4" xfId="32147"/>
    <cellStyle name="Output 24 4 4 2" xfId="32148"/>
    <cellStyle name="Output 24 4 5" xfId="32149"/>
    <cellStyle name="Output 24 4 6" xfId="32150"/>
    <cellStyle name="Output 24 4 7" xfId="32151"/>
    <cellStyle name="Output 24 4 8" xfId="32152"/>
    <cellStyle name="Output 24 4 9" xfId="32153"/>
    <cellStyle name="Output 24 5" xfId="6864"/>
    <cellStyle name="Output 24 5 10" xfId="32154"/>
    <cellStyle name="Output 24 5 2" xfId="6865"/>
    <cellStyle name="Output 24 5 2 2" xfId="32156"/>
    <cellStyle name="Output 24 5 2 3" xfId="32157"/>
    <cellStyle name="Output 24 5 2 4" xfId="32155"/>
    <cellStyle name="Output 24 5 3" xfId="32158"/>
    <cellStyle name="Output 24 5 3 2" xfId="32159"/>
    <cellStyle name="Output 24 5 4" xfId="32160"/>
    <cellStyle name="Output 24 5 4 2" xfId="32161"/>
    <cellStyle name="Output 24 5 5" xfId="32162"/>
    <cellStyle name="Output 24 5 6" xfId="32163"/>
    <cellStyle name="Output 24 5 7" xfId="32164"/>
    <cellStyle name="Output 24 5 8" xfId="32165"/>
    <cellStyle name="Output 24 5 9" xfId="32166"/>
    <cellStyle name="Output 24 6" xfId="6866"/>
    <cellStyle name="Output 24 6 2" xfId="32168"/>
    <cellStyle name="Output 24 6 2 2" xfId="32169"/>
    <cellStyle name="Output 24 6 3" xfId="32170"/>
    <cellStyle name="Output 24 6 3 2" xfId="32171"/>
    <cellStyle name="Output 24 6 4" xfId="32172"/>
    <cellStyle name="Output 24 6 5" xfId="32173"/>
    <cellStyle name="Output 24 6 6" xfId="32174"/>
    <cellStyle name="Output 24 6 7" xfId="32167"/>
    <cellStyle name="Output 24 7" xfId="6867"/>
    <cellStyle name="Output 24 7 2" xfId="32176"/>
    <cellStyle name="Output 24 7 3" xfId="32175"/>
    <cellStyle name="Output 24 8" xfId="8423"/>
    <cellStyle name="Output 24 9" xfId="32177"/>
    <cellStyle name="Output 25" xfId="2839"/>
    <cellStyle name="Output 25 10" xfId="32178"/>
    <cellStyle name="Output 25 11" xfId="32179"/>
    <cellStyle name="Output 25 2" xfId="6868"/>
    <cellStyle name="Output 25 2 2" xfId="32181"/>
    <cellStyle name="Output 25 2 2 2" xfId="32182"/>
    <cellStyle name="Output 25 2 2 2 2" xfId="32183"/>
    <cellStyle name="Output 25 2 2 2 3" xfId="32184"/>
    <cellStyle name="Output 25 2 2 3" xfId="32185"/>
    <cellStyle name="Output 25 2 2 3 2" xfId="32186"/>
    <cellStyle name="Output 25 2 2 4" xfId="32187"/>
    <cellStyle name="Output 25 2 2 4 2" xfId="32188"/>
    <cellStyle name="Output 25 2 2 5" xfId="32189"/>
    <cellStyle name="Output 25 2 2 6" xfId="32190"/>
    <cellStyle name="Output 25 2 2 7" xfId="32191"/>
    <cellStyle name="Output 25 2 2 8" xfId="32192"/>
    <cellStyle name="Output 25 2 2 9" xfId="32193"/>
    <cellStyle name="Output 25 2 3" xfId="32194"/>
    <cellStyle name="Output 25 2 3 2" xfId="32195"/>
    <cellStyle name="Output 25 2 3 2 2" xfId="32196"/>
    <cellStyle name="Output 25 2 3 2 3" xfId="32197"/>
    <cellStyle name="Output 25 2 3 3" xfId="32198"/>
    <cellStyle name="Output 25 2 3 3 2" xfId="32199"/>
    <cellStyle name="Output 25 2 3 4" xfId="32200"/>
    <cellStyle name="Output 25 2 3 5" xfId="32201"/>
    <cellStyle name="Output 25 2 3 6" xfId="32202"/>
    <cellStyle name="Output 25 2 4" xfId="32203"/>
    <cellStyle name="Output 25 2 4 2" xfId="32204"/>
    <cellStyle name="Output 25 2 4 3" xfId="32205"/>
    <cellStyle name="Output 25 2 5" xfId="32206"/>
    <cellStyle name="Output 25 2 6" xfId="32207"/>
    <cellStyle name="Output 25 2 7" xfId="32208"/>
    <cellStyle name="Output 25 2 8" xfId="32209"/>
    <cellStyle name="Output 25 2 9" xfId="32180"/>
    <cellStyle name="Output 25 3" xfId="6869"/>
    <cellStyle name="Output 25 3 2" xfId="32211"/>
    <cellStyle name="Output 25 3 2 2" xfId="32212"/>
    <cellStyle name="Output 25 3 2 2 2" xfId="32213"/>
    <cellStyle name="Output 25 3 2 3" xfId="32214"/>
    <cellStyle name="Output 25 3 2 3 2" xfId="32215"/>
    <cellStyle name="Output 25 3 2 4" xfId="32216"/>
    <cellStyle name="Output 25 3 2 4 2" xfId="32217"/>
    <cellStyle name="Output 25 3 2 5" xfId="32218"/>
    <cellStyle name="Output 25 3 2 6" xfId="32219"/>
    <cellStyle name="Output 25 3 2 7" xfId="32220"/>
    <cellStyle name="Output 25 3 2 8" xfId="32221"/>
    <cellStyle name="Output 25 3 2 9" xfId="32222"/>
    <cellStyle name="Output 25 3 3" xfId="32223"/>
    <cellStyle name="Output 25 3 3 2" xfId="32224"/>
    <cellStyle name="Output 25 3 3 2 2" xfId="32225"/>
    <cellStyle name="Output 25 3 3 3" xfId="32226"/>
    <cellStyle name="Output 25 3 3 3 2" xfId="32227"/>
    <cellStyle name="Output 25 3 3 4" xfId="32228"/>
    <cellStyle name="Output 25 3 3 5" xfId="32229"/>
    <cellStyle name="Output 25 3 3 6" xfId="32230"/>
    <cellStyle name="Output 25 3 4" xfId="32231"/>
    <cellStyle name="Output 25 3 4 2" xfId="32232"/>
    <cellStyle name="Output 25 3 5" xfId="32233"/>
    <cellStyle name="Output 25 3 6" xfId="32234"/>
    <cellStyle name="Output 25 3 7" xfId="32235"/>
    <cellStyle name="Output 25 3 8" xfId="32236"/>
    <cellStyle name="Output 25 3 9" xfId="32210"/>
    <cellStyle name="Output 25 4" xfId="6870"/>
    <cellStyle name="Output 25 4 10" xfId="32237"/>
    <cellStyle name="Output 25 4 2" xfId="6871"/>
    <cellStyle name="Output 25 4 2 2" xfId="32239"/>
    <cellStyle name="Output 25 4 2 3" xfId="32240"/>
    <cellStyle name="Output 25 4 2 4" xfId="32238"/>
    <cellStyle name="Output 25 4 3" xfId="32241"/>
    <cellStyle name="Output 25 4 3 2" xfId="32242"/>
    <cellStyle name="Output 25 4 4" xfId="32243"/>
    <cellStyle name="Output 25 4 4 2" xfId="32244"/>
    <cellStyle name="Output 25 4 5" xfId="32245"/>
    <cellStyle name="Output 25 4 6" xfId="32246"/>
    <cellStyle name="Output 25 4 7" xfId="32247"/>
    <cellStyle name="Output 25 4 8" xfId="32248"/>
    <cellStyle name="Output 25 4 9" xfId="32249"/>
    <cellStyle name="Output 25 5" xfId="6872"/>
    <cellStyle name="Output 25 5 10" xfId="32250"/>
    <cellStyle name="Output 25 5 2" xfId="6873"/>
    <cellStyle name="Output 25 5 2 2" xfId="32252"/>
    <cellStyle name="Output 25 5 2 3" xfId="32253"/>
    <cellStyle name="Output 25 5 2 4" xfId="32251"/>
    <cellStyle name="Output 25 5 3" xfId="32254"/>
    <cellStyle name="Output 25 5 3 2" xfId="32255"/>
    <cellStyle name="Output 25 5 4" xfId="32256"/>
    <cellStyle name="Output 25 5 4 2" xfId="32257"/>
    <cellStyle name="Output 25 5 5" xfId="32258"/>
    <cellStyle name="Output 25 5 6" xfId="32259"/>
    <cellStyle name="Output 25 5 7" xfId="32260"/>
    <cellStyle name="Output 25 5 8" xfId="32261"/>
    <cellStyle name="Output 25 5 9" xfId="32262"/>
    <cellStyle name="Output 25 6" xfId="6874"/>
    <cellStyle name="Output 25 6 2" xfId="32264"/>
    <cellStyle name="Output 25 6 2 2" xfId="32265"/>
    <cellStyle name="Output 25 6 3" xfId="32266"/>
    <cellStyle name="Output 25 6 3 2" xfId="32267"/>
    <cellStyle name="Output 25 6 4" xfId="32268"/>
    <cellStyle name="Output 25 6 5" xfId="32269"/>
    <cellStyle name="Output 25 6 6" xfId="32270"/>
    <cellStyle name="Output 25 6 7" xfId="32263"/>
    <cellStyle name="Output 25 7" xfId="6875"/>
    <cellStyle name="Output 25 7 2" xfId="32272"/>
    <cellStyle name="Output 25 7 3" xfId="32271"/>
    <cellStyle name="Output 25 8" xfId="8424"/>
    <cellStyle name="Output 25 9" xfId="32273"/>
    <cellStyle name="Output 26" xfId="2840"/>
    <cellStyle name="Output 26 10" xfId="32274"/>
    <cellStyle name="Output 26 11" xfId="32275"/>
    <cellStyle name="Output 26 2" xfId="6876"/>
    <cellStyle name="Output 26 2 2" xfId="32277"/>
    <cellStyle name="Output 26 2 2 2" xfId="32278"/>
    <cellStyle name="Output 26 2 2 2 2" xfId="32279"/>
    <cellStyle name="Output 26 2 2 2 3" xfId="32280"/>
    <cellStyle name="Output 26 2 2 3" xfId="32281"/>
    <cellStyle name="Output 26 2 2 3 2" xfId="32282"/>
    <cellStyle name="Output 26 2 2 4" xfId="32283"/>
    <cellStyle name="Output 26 2 2 4 2" xfId="32284"/>
    <cellStyle name="Output 26 2 2 5" xfId="32285"/>
    <cellStyle name="Output 26 2 2 6" xfId="32286"/>
    <cellStyle name="Output 26 2 2 7" xfId="32287"/>
    <cellStyle name="Output 26 2 2 8" xfId="32288"/>
    <cellStyle name="Output 26 2 2 9" xfId="32289"/>
    <cellStyle name="Output 26 2 3" xfId="32290"/>
    <cellStyle name="Output 26 2 3 2" xfId="32291"/>
    <cellStyle name="Output 26 2 3 2 2" xfId="32292"/>
    <cellStyle name="Output 26 2 3 2 3" xfId="32293"/>
    <cellStyle name="Output 26 2 3 3" xfId="32294"/>
    <cellStyle name="Output 26 2 3 3 2" xfId="32295"/>
    <cellStyle name="Output 26 2 3 4" xfId="32296"/>
    <cellStyle name="Output 26 2 3 5" xfId="32297"/>
    <cellStyle name="Output 26 2 3 6" xfId="32298"/>
    <cellStyle name="Output 26 2 4" xfId="32299"/>
    <cellStyle name="Output 26 2 4 2" xfId="32300"/>
    <cellStyle name="Output 26 2 4 3" xfId="32301"/>
    <cellStyle name="Output 26 2 5" xfId="32302"/>
    <cellStyle name="Output 26 2 6" xfId="32303"/>
    <cellStyle name="Output 26 2 7" xfId="32304"/>
    <cellStyle name="Output 26 2 8" xfId="32305"/>
    <cellStyle name="Output 26 2 9" xfId="32276"/>
    <cellStyle name="Output 26 3" xfId="6877"/>
    <cellStyle name="Output 26 3 2" xfId="32307"/>
    <cellStyle name="Output 26 3 2 2" xfId="32308"/>
    <cellStyle name="Output 26 3 2 2 2" xfId="32309"/>
    <cellStyle name="Output 26 3 2 3" xfId="32310"/>
    <cellStyle name="Output 26 3 2 3 2" xfId="32311"/>
    <cellStyle name="Output 26 3 2 4" xfId="32312"/>
    <cellStyle name="Output 26 3 2 4 2" xfId="32313"/>
    <cellStyle name="Output 26 3 2 5" xfId="32314"/>
    <cellStyle name="Output 26 3 2 6" xfId="32315"/>
    <cellStyle name="Output 26 3 2 7" xfId="32316"/>
    <cellStyle name="Output 26 3 2 8" xfId="32317"/>
    <cellStyle name="Output 26 3 2 9" xfId="32318"/>
    <cellStyle name="Output 26 3 3" xfId="32319"/>
    <cellStyle name="Output 26 3 3 2" xfId="32320"/>
    <cellStyle name="Output 26 3 3 2 2" xfId="32321"/>
    <cellStyle name="Output 26 3 3 3" xfId="32322"/>
    <cellStyle name="Output 26 3 3 3 2" xfId="32323"/>
    <cellStyle name="Output 26 3 3 4" xfId="32324"/>
    <cellStyle name="Output 26 3 3 5" xfId="32325"/>
    <cellStyle name="Output 26 3 3 6" xfId="32326"/>
    <cellStyle name="Output 26 3 4" xfId="32327"/>
    <cellStyle name="Output 26 3 4 2" xfId="32328"/>
    <cellStyle name="Output 26 3 5" xfId="32329"/>
    <cellStyle name="Output 26 3 6" xfId="32330"/>
    <cellStyle name="Output 26 3 7" xfId="32331"/>
    <cellStyle name="Output 26 3 8" xfId="32332"/>
    <cellStyle name="Output 26 3 9" xfId="32306"/>
    <cellStyle name="Output 26 4" xfId="6878"/>
    <cellStyle name="Output 26 4 10" xfId="32333"/>
    <cellStyle name="Output 26 4 2" xfId="6879"/>
    <cellStyle name="Output 26 4 2 2" xfId="32335"/>
    <cellStyle name="Output 26 4 2 3" xfId="32336"/>
    <cellStyle name="Output 26 4 2 4" xfId="32334"/>
    <cellStyle name="Output 26 4 3" xfId="32337"/>
    <cellStyle name="Output 26 4 3 2" xfId="32338"/>
    <cellStyle name="Output 26 4 4" xfId="32339"/>
    <cellStyle name="Output 26 4 4 2" xfId="32340"/>
    <cellStyle name="Output 26 4 5" xfId="32341"/>
    <cellStyle name="Output 26 4 6" xfId="32342"/>
    <cellStyle name="Output 26 4 7" xfId="32343"/>
    <cellStyle name="Output 26 4 8" xfId="32344"/>
    <cellStyle name="Output 26 4 9" xfId="32345"/>
    <cellStyle name="Output 26 5" xfId="6880"/>
    <cellStyle name="Output 26 5 10" xfId="32346"/>
    <cellStyle name="Output 26 5 2" xfId="6881"/>
    <cellStyle name="Output 26 5 2 2" xfId="32348"/>
    <cellStyle name="Output 26 5 2 3" xfId="32349"/>
    <cellStyle name="Output 26 5 2 4" xfId="32347"/>
    <cellStyle name="Output 26 5 3" xfId="32350"/>
    <cellStyle name="Output 26 5 3 2" xfId="32351"/>
    <cellStyle name="Output 26 5 4" xfId="32352"/>
    <cellStyle name="Output 26 5 4 2" xfId="32353"/>
    <cellStyle name="Output 26 5 5" xfId="32354"/>
    <cellStyle name="Output 26 5 6" xfId="32355"/>
    <cellStyle name="Output 26 5 7" xfId="32356"/>
    <cellStyle name="Output 26 5 8" xfId="32357"/>
    <cellStyle name="Output 26 5 9" xfId="32358"/>
    <cellStyle name="Output 26 6" xfId="6882"/>
    <cellStyle name="Output 26 6 2" xfId="32360"/>
    <cellStyle name="Output 26 6 2 2" xfId="32361"/>
    <cellStyle name="Output 26 6 3" xfId="32362"/>
    <cellStyle name="Output 26 6 3 2" xfId="32363"/>
    <cellStyle name="Output 26 6 4" xfId="32364"/>
    <cellStyle name="Output 26 6 5" xfId="32365"/>
    <cellStyle name="Output 26 6 6" xfId="32366"/>
    <cellStyle name="Output 26 6 7" xfId="32359"/>
    <cellStyle name="Output 26 7" xfId="6883"/>
    <cellStyle name="Output 26 7 2" xfId="32368"/>
    <cellStyle name="Output 26 7 3" xfId="32367"/>
    <cellStyle name="Output 26 8" xfId="8425"/>
    <cellStyle name="Output 26 9" xfId="32369"/>
    <cellStyle name="Output 27" xfId="2841"/>
    <cellStyle name="Output 27 10" xfId="32370"/>
    <cellStyle name="Output 27 11" xfId="32371"/>
    <cellStyle name="Output 27 2" xfId="6884"/>
    <cellStyle name="Output 27 2 2" xfId="32373"/>
    <cellStyle name="Output 27 2 2 2" xfId="32374"/>
    <cellStyle name="Output 27 2 2 2 2" xfId="32375"/>
    <cellStyle name="Output 27 2 2 2 3" xfId="32376"/>
    <cellStyle name="Output 27 2 2 3" xfId="32377"/>
    <cellStyle name="Output 27 2 2 3 2" xfId="32378"/>
    <cellStyle name="Output 27 2 2 4" xfId="32379"/>
    <cellStyle name="Output 27 2 2 4 2" xfId="32380"/>
    <cellStyle name="Output 27 2 2 5" xfId="32381"/>
    <cellStyle name="Output 27 2 2 6" xfId="32382"/>
    <cellStyle name="Output 27 2 2 7" xfId="32383"/>
    <cellStyle name="Output 27 2 2 8" xfId="32384"/>
    <cellStyle name="Output 27 2 2 9" xfId="32385"/>
    <cellStyle name="Output 27 2 3" xfId="32386"/>
    <cellStyle name="Output 27 2 3 2" xfId="32387"/>
    <cellStyle name="Output 27 2 3 2 2" xfId="32388"/>
    <cellStyle name="Output 27 2 3 2 3" xfId="32389"/>
    <cellStyle name="Output 27 2 3 3" xfId="32390"/>
    <cellStyle name="Output 27 2 3 3 2" xfId="32391"/>
    <cellStyle name="Output 27 2 3 4" xfId="32392"/>
    <cellStyle name="Output 27 2 3 5" xfId="32393"/>
    <cellStyle name="Output 27 2 3 6" xfId="32394"/>
    <cellStyle name="Output 27 2 4" xfId="32395"/>
    <cellStyle name="Output 27 2 4 2" xfId="32396"/>
    <cellStyle name="Output 27 2 4 3" xfId="32397"/>
    <cellStyle name="Output 27 2 5" xfId="32398"/>
    <cellStyle name="Output 27 2 6" xfId="32399"/>
    <cellStyle name="Output 27 2 7" xfId="32400"/>
    <cellStyle name="Output 27 2 8" xfId="32401"/>
    <cellStyle name="Output 27 2 9" xfId="32372"/>
    <cellStyle name="Output 27 3" xfId="6885"/>
    <cellStyle name="Output 27 3 2" xfId="32403"/>
    <cellStyle name="Output 27 3 2 2" xfId="32404"/>
    <cellStyle name="Output 27 3 2 2 2" xfId="32405"/>
    <cellStyle name="Output 27 3 2 3" xfId="32406"/>
    <cellStyle name="Output 27 3 2 3 2" xfId="32407"/>
    <cellStyle name="Output 27 3 2 4" xfId="32408"/>
    <cellStyle name="Output 27 3 2 4 2" xfId="32409"/>
    <cellStyle name="Output 27 3 2 5" xfId="32410"/>
    <cellStyle name="Output 27 3 2 6" xfId="32411"/>
    <cellStyle name="Output 27 3 2 7" xfId="32412"/>
    <cellStyle name="Output 27 3 2 8" xfId="32413"/>
    <cellStyle name="Output 27 3 2 9" xfId="32414"/>
    <cellStyle name="Output 27 3 3" xfId="32415"/>
    <cellStyle name="Output 27 3 3 2" xfId="32416"/>
    <cellStyle name="Output 27 3 3 2 2" xfId="32417"/>
    <cellStyle name="Output 27 3 3 3" xfId="32418"/>
    <cellStyle name="Output 27 3 3 3 2" xfId="32419"/>
    <cellStyle name="Output 27 3 3 4" xfId="32420"/>
    <cellStyle name="Output 27 3 3 5" xfId="32421"/>
    <cellStyle name="Output 27 3 3 6" xfId="32422"/>
    <cellStyle name="Output 27 3 4" xfId="32423"/>
    <cellStyle name="Output 27 3 4 2" xfId="32424"/>
    <cellStyle name="Output 27 3 5" xfId="32425"/>
    <cellStyle name="Output 27 3 6" xfId="32426"/>
    <cellStyle name="Output 27 3 7" xfId="32427"/>
    <cellStyle name="Output 27 3 8" xfId="32428"/>
    <cellStyle name="Output 27 3 9" xfId="32402"/>
    <cellStyle name="Output 27 4" xfId="6886"/>
    <cellStyle name="Output 27 4 10" xfId="32429"/>
    <cellStyle name="Output 27 4 2" xfId="6887"/>
    <cellStyle name="Output 27 4 2 2" xfId="32431"/>
    <cellStyle name="Output 27 4 2 3" xfId="32432"/>
    <cellStyle name="Output 27 4 2 4" xfId="32430"/>
    <cellStyle name="Output 27 4 3" xfId="32433"/>
    <cellStyle name="Output 27 4 3 2" xfId="32434"/>
    <cellStyle name="Output 27 4 4" xfId="32435"/>
    <cellStyle name="Output 27 4 4 2" xfId="32436"/>
    <cellStyle name="Output 27 4 5" xfId="32437"/>
    <cellStyle name="Output 27 4 6" xfId="32438"/>
    <cellStyle name="Output 27 4 7" xfId="32439"/>
    <cellStyle name="Output 27 4 8" xfId="32440"/>
    <cellStyle name="Output 27 4 9" xfId="32441"/>
    <cellStyle name="Output 27 5" xfId="6888"/>
    <cellStyle name="Output 27 5 10" xfId="32442"/>
    <cellStyle name="Output 27 5 2" xfId="6889"/>
    <cellStyle name="Output 27 5 2 2" xfId="32444"/>
    <cellStyle name="Output 27 5 2 3" xfId="32445"/>
    <cellStyle name="Output 27 5 2 4" xfId="32443"/>
    <cellStyle name="Output 27 5 3" xfId="32446"/>
    <cellStyle name="Output 27 5 3 2" xfId="32447"/>
    <cellStyle name="Output 27 5 4" xfId="32448"/>
    <cellStyle name="Output 27 5 4 2" xfId="32449"/>
    <cellStyle name="Output 27 5 5" xfId="32450"/>
    <cellStyle name="Output 27 5 6" xfId="32451"/>
    <cellStyle name="Output 27 5 7" xfId="32452"/>
    <cellStyle name="Output 27 5 8" xfId="32453"/>
    <cellStyle name="Output 27 5 9" xfId="32454"/>
    <cellStyle name="Output 27 6" xfId="6890"/>
    <cellStyle name="Output 27 6 2" xfId="32456"/>
    <cellStyle name="Output 27 6 2 2" xfId="32457"/>
    <cellStyle name="Output 27 6 3" xfId="32458"/>
    <cellStyle name="Output 27 6 3 2" xfId="32459"/>
    <cellStyle name="Output 27 6 4" xfId="32460"/>
    <cellStyle name="Output 27 6 5" xfId="32461"/>
    <cellStyle name="Output 27 6 6" xfId="32462"/>
    <cellStyle name="Output 27 6 7" xfId="32455"/>
    <cellStyle name="Output 27 7" xfId="6891"/>
    <cellStyle name="Output 27 7 2" xfId="32464"/>
    <cellStyle name="Output 27 7 3" xfId="32463"/>
    <cellStyle name="Output 27 8" xfId="8426"/>
    <cellStyle name="Output 27 9" xfId="32465"/>
    <cellStyle name="Output 28" xfId="2842"/>
    <cellStyle name="Output 28 10" xfId="32466"/>
    <cellStyle name="Output 28 11" xfId="32467"/>
    <cellStyle name="Output 28 2" xfId="6892"/>
    <cellStyle name="Output 28 2 2" xfId="32469"/>
    <cellStyle name="Output 28 2 2 2" xfId="32470"/>
    <cellStyle name="Output 28 2 2 2 2" xfId="32471"/>
    <cellStyle name="Output 28 2 2 2 3" xfId="32472"/>
    <cellStyle name="Output 28 2 2 3" xfId="32473"/>
    <cellStyle name="Output 28 2 2 3 2" xfId="32474"/>
    <cellStyle name="Output 28 2 2 4" xfId="32475"/>
    <cellStyle name="Output 28 2 2 4 2" xfId="32476"/>
    <cellStyle name="Output 28 2 2 5" xfId="32477"/>
    <cellStyle name="Output 28 2 2 6" xfId="32478"/>
    <cellStyle name="Output 28 2 2 7" xfId="32479"/>
    <cellStyle name="Output 28 2 2 8" xfId="32480"/>
    <cellStyle name="Output 28 2 2 9" xfId="32481"/>
    <cellStyle name="Output 28 2 3" xfId="32482"/>
    <cellStyle name="Output 28 2 3 2" xfId="32483"/>
    <cellStyle name="Output 28 2 3 2 2" xfId="32484"/>
    <cellStyle name="Output 28 2 3 2 3" xfId="32485"/>
    <cellStyle name="Output 28 2 3 3" xfId="32486"/>
    <cellStyle name="Output 28 2 3 3 2" xfId="32487"/>
    <cellStyle name="Output 28 2 3 4" xfId="32488"/>
    <cellStyle name="Output 28 2 3 5" xfId="32489"/>
    <cellStyle name="Output 28 2 3 6" xfId="32490"/>
    <cellStyle name="Output 28 2 4" xfId="32491"/>
    <cellStyle name="Output 28 2 4 2" xfId="32492"/>
    <cellStyle name="Output 28 2 4 3" xfId="32493"/>
    <cellStyle name="Output 28 2 5" xfId="32494"/>
    <cellStyle name="Output 28 2 6" xfId="32495"/>
    <cellStyle name="Output 28 2 7" xfId="32496"/>
    <cellStyle name="Output 28 2 8" xfId="32497"/>
    <cellStyle name="Output 28 2 9" xfId="32468"/>
    <cellStyle name="Output 28 3" xfId="6893"/>
    <cellStyle name="Output 28 3 2" xfId="32499"/>
    <cellStyle name="Output 28 3 2 2" xfId="32500"/>
    <cellStyle name="Output 28 3 2 2 2" xfId="32501"/>
    <cellStyle name="Output 28 3 2 3" xfId="32502"/>
    <cellStyle name="Output 28 3 2 3 2" xfId="32503"/>
    <cellStyle name="Output 28 3 2 4" xfId="32504"/>
    <cellStyle name="Output 28 3 2 4 2" xfId="32505"/>
    <cellStyle name="Output 28 3 2 5" xfId="32506"/>
    <cellStyle name="Output 28 3 2 6" xfId="32507"/>
    <cellStyle name="Output 28 3 2 7" xfId="32508"/>
    <cellStyle name="Output 28 3 2 8" xfId="32509"/>
    <cellStyle name="Output 28 3 2 9" xfId="32510"/>
    <cellStyle name="Output 28 3 3" xfId="32511"/>
    <cellStyle name="Output 28 3 3 2" xfId="32512"/>
    <cellStyle name="Output 28 3 3 2 2" xfId="32513"/>
    <cellStyle name="Output 28 3 3 3" xfId="32514"/>
    <cellStyle name="Output 28 3 3 3 2" xfId="32515"/>
    <cellStyle name="Output 28 3 3 4" xfId="32516"/>
    <cellStyle name="Output 28 3 3 5" xfId="32517"/>
    <cellStyle name="Output 28 3 3 6" xfId="32518"/>
    <cellStyle name="Output 28 3 4" xfId="32519"/>
    <cellStyle name="Output 28 3 4 2" xfId="32520"/>
    <cellStyle name="Output 28 3 5" xfId="32521"/>
    <cellStyle name="Output 28 3 6" xfId="32522"/>
    <cellStyle name="Output 28 3 7" xfId="32523"/>
    <cellStyle name="Output 28 3 8" xfId="32524"/>
    <cellStyle name="Output 28 3 9" xfId="32498"/>
    <cellStyle name="Output 28 4" xfId="6894"/>
    <cellStyle name="Output 28 4 10" xfId="32525"/>
    <cellStyle name="Output 28 4 2" xfId="6895"/>
    <cellStyle name="Output 28 4 2 2" xfId="32527"/>
    <cellStyle name="Output 28 4 2 3" xfId="32528"/>
    <cellStyle name="Output 28 4 2 4" xfId="32526"/>
    <cellStyle name="Output 28 4 3" xfId="32529"/>
    <cellStyle name="Output 28 4 3 2" xfId="32530"/>
    <cellStyle name="Output 28 4 4" xfId="32531"/>
    <cellStyle name="Output 28 4 4 2" xfId="32532"/>
    <cellStyle name="Output 28 4 5" xfId="32533"/>
    <cellStyle name="Output 28 4 6" xfId="32534"/>
    <cellStyle name="Output 28 4 7" xfId="32535"/>
    <cellStyle name="Output 28 4 8" xfId="32536"/>
    <cellStyle name="Output 28 4 9" xfId="32537"/>
    <cellStyle name="Output 28 5" xfId="6896"/>
    <cellStyle name="Output 28 5 10" xfId="32538"/>
    <cellStyle name="Output 28 5 2" xfId="6897"/>
    <cellStyle name="Output 28 5 2 2" xfId="32540"/>
    <cellStyle name="Output 28 5 2 3" xfId="32541"/>
    <cellStyle name="Output 28 5 2 4" xfId="32539"/>
    <cellStyle name="Output 28 5 3" xfId="32542"/>
    <cellStyle name="Output 28 5 3 2" xfId="32543"/>
    <cellStyle name="Output 28 5 4" xfId="32544"/>
    <cellStyle name="Output 28 5 4 2" xfId="32545"/>
    <cellStyle name="Output 28 5 5" xfId="32546"/>
    <cellStyle name="Output 28 5 6" xfId="32547"/>
    <cellStyle name="Output 28 5 7" xfId="32548"/>
    <cellStyle name="Output 28 5 8" xfId="32549"/>
    <cellStyle name="Output 28 5 9" xfId="32550"/>
    <cellStyle name="Output 28 6" xfId="6898"/>
    <cellStyle name="Output 28 6 2" xfId="32552"/>
    <cellStyle name="Output 28 6 2 2" xfId="32553"/>
    <cellStyle name="Output 28 6 3" xfId="32554"/>
    <cellStyle name="Output 28 6 3 2" xfId="32555"/>
    <cellStyle name="Output 28 6 4" xfId="32556"/>
    <cellStyle name="Output 28 6 5" xfId="32557"/>
    <cellStyle name="Output 28 6 6" xfId="32558"/>
    <cellStyle name="Output 28 6 7" xfId="32551"/>
    <cellStyle name="Output 28 7" xfId="6899"/>
    <cellStyle name="Output 28 7 2" xfId="32560"/>
    <cellStyle name="Output 28 7 3" xfId="32559"/>
    <cellStyle name="Output 28 8" xfId="8427"/>
    <cellStyle name="Output 28 9" xfId="32561"/>
    <cellStyle name="Output 29" xfId="2843"/>
    <cellStyle name="Output 29 10" xfId="32562"/>
    <cellStyle name="Output 29 11" xfId="32563"/>
    <cellStyle name="Output 29 2" xfId="6900"/>
    <cellStyle name="Output 29 2 2" xfId="32565"/>
    <cellStyle name="Output 29 2 2 2" xfId="32566"/>
    <cellStyle name="Output 29 2 2 2 2" xfId="32567"/>
    <cellStyle name="Output 29 2 2 2 3" xfId="32568"/>
    <cellStyle name="Output 29 2 2 3" xfId="32569"/>
    <cellStyle name="Output 29 2 2 3 2" xfId="32570"/>
    <cellStyle name="Output 29 2 2 4" xfId="32571"/>
    <cellStyle name="Output 29 2 2 4 2" xfId="32572"/>
    <cellStyle name="Output 29 2 2 5" xfId="32573"/>
    <cellStyle name="Output 29 2 2 6" xfId="32574"/>
    <cellStyle name="Output 29 2 2 7" xfId="32575"/>
    <cellStyle name="Output 29 2 2 8" xfId="32576"/>
    <cellStyle name="Output 29 2 2 9" xfId="32577"/>
    <cellStyle name="Output 29 2 3" xfId="32578"/>
    <cellStyle name="Output 29 2 3 2" xfId="32579"/>
    <cellStyle name="Output 29 2 3 2 2" xfId="32580"/>
    <cellStyle name="Output 29 2 3 2 3" xfId="32581"/>
    <cellStyle name="Output 29 2 3 3" xfId="32582"/>
    <cellStyle name="Output 29 2 3 3 2" xfId="32583"/>
    <cellStyle name="Output 29 2 3 4" xfId="32584"/>
    <cellStyle name="Output 29 2 3 5" xfId="32585"/>
    <cellStyle name="Output 29 2 3 6" xfId="32586"/>
    <cellStyle name="Output 29 2 4" xfId="32587"/>
    <cellStyle name="Output 29 2 4 2" xfId="32588"/>
    <cellStyle name="Output 29 2 4 3" xfId="32589"/>
    <cellStyle name="Output 29 2 5" xfId="32590"/>
    <cellStyle name="Output 29 2 6" xfId="32591"/>
    <cellStyle name="Output 29 2 7" xfId="32592"/>
    <cellStyle name="Output 29 2 8" xfId="32593"/>
    <cellStyle name="Output 29 2 9" xfId="32564"/>
    <cellStyle name="Output 29 3" xfId="6901"/>
    <cellStyle name="Output 29 3 2" xfId="32595"/>
    <cellStyle name="Output 29 3 2 2" xfId="32596"/>
    <cellStyle name="Output 29 3 2 2 2" xfId="32597"/>
    <cellStyle name="Output 29 3 2 3" xfId="32598"/>
    <cellStyle name="Output 29 3 2 3 2" xfId="32599"/>
    <cellStyle name="Output 29 3 2 4" xfId="32600"/>
    <cellStyle name="Output 29 3 2 4 2" xfId="32601"/>
    <cellStyle name="Output 29 3 2 5" xfId="32602"/>
    <cellStyle name="Output 29 3 2 6" xfId="32603"/>
    <cellStyle name="Output 29 3 2 7" xfId="32604"/>
    <cellStyle name="Output 29 3 2 8" xfId="32605"/>
    <cellStyle name="Output 29 3 2 9" xfId="32606"/>
    <cellStyle name="Output 29 3 3" xfId="32607"/>
    <cellStyle name="Output 29 3 3 2" xfId="32608"/>
    <cellStyle name="Output 29 3 3 2 2" xfId="32609"/>
    <cellStyle name="Output 29 3 3 3" xfId="32610"/>
    <cellStyle name="Output 29 3 3 3 2" xfId="32611"/>
    <cellStyle name="Output 29 3 3 4" xfId="32612"/>
    <cellStyle name="Output 29 3 3 5" xfId="32613"/>
    <cellStyle name="Output 29 3 3 6" xfId="32614"/>
    <cellStyle name="Output 29 3 4" xfId="32615"/>
    <cellStyle name="Output 29 3 4 2" xfId="32616"/>
    <cellStyle name="Output 29 3 5" xfId="32617"/>
    <cellStyle name="Output 29 3 6" xfId="32618"/>
    <cellStyle name="Output 29 3 7" xfId="32619"/>
    <cellStyle name="Output 29 3 8" xfId="32620"/>
    <cellStyle name="Output 29 3 9" xfId="32594"/>
    <cellStyle name="Output 29 4" xfId="6902"/>
    <cellStyle name="Output 29 4 10" xfId="32621"/>
    <cellStyle name="Output 29 4 2" xfId="6903"/>
    <cellStyle name="Output 29 4 2 2" xfId="32623"/>
    <cellStyle name="Output 29 4 2 3" xfId="32624"/>
    <cellStyle name="Output 29 4 2 4" xfId="32622"/>
    <cellStyle name="Output 29 4 3" xfId="32625"/>
    <cellStyle name="Output 29 4 3 2" xfId="32626"/>
    <cellStyle name="Output 29 4 4" xfId="32627"/>
    <cellStyle name="Output 29 4 4 2" xfId="32628"/>
    <cellStyle name="Output 29 4 5" xfId="32629"/>
    <cellStyle name="Output 29 4 6" xfId="32630"/>
    <cellStyle name="Output 29 4 7" xfId="32631"/>
    <cellStyle name="Output 29 4 8" xfId="32632"/>
    <cellStyle name="Output 29 4 9" xfId="32633"/>
    <cellStyle name="Output 29 5" xfId="6904"/>
    <cellStyle name="Output 29 5 10" xfId="32634"/>
    <cellStyle name="Output 29 5 2" xfId="6905"/>
    <cellStyle name="Output 29 5 2 2" xfId="32636"/>
    <cellStyle name="Output 29 5 2 3" xfId="32637"/>
    <cellStyle name="Output 29 5 2 4" xfId="32635"/>
    <cellStyle name="Output 29 5 3" xfId="32638"/>
    <cellStyle name="Output 29 5 3 2" xfId="32639"/>
    <cellStyle name="Output 29 5 4" xfId="32640"/>
    <cellStyle name="Output 29 5 4 2" xfId="32641"/>
    <cellStyle name="Output 29 5 5" xfId="32642"/>
    <cellStyle name="Output 29 5 6" xfId="32643"/>
    <cellStyle name="Output 29 5 7" xfId="32644"/>
    <cellStyle name="Output 29 5 8" xfId="32645"/>
    <cellStyle name="Output 29 5 9" xfId="32646"/>
    <cellStyle name="Output 29 6" xfId="6906"/>
    <cellStyle name="Output 29 6 2" xfId="32648"/>
    <cellStyle name="Output 29 6 2 2" xfId="32649"/>
    <cellStyle name="Output 29 6 3" xfId="32650"/>
    <cellStyle name="Output 29 6 3 2" xfId="32651"/>
    <cellStyle name="Output 29 6 4" xfId="32652"/>
    <cellStyle name="Output 29 6 5" xfId="32653"/>
    <cellStyle name="Output 29 6 6" xfId="32654"/>
    <cellStyle name="Output 29 6 7" xfId="32647"/>
    <cellStyle name="Output 29 7" xfId="6907"/>
    <cellStyle name="Output 29 7 2" xfId="32656"/>
    <cellStyle name="Output 29 7 3" xfId="32655"/>
    <cellStyle name="Output 29 8" xfId="8428"/>
    <cellStyle name="Output 29 9" xfId="32657"/>
    <cellStyle name="Output 3" xfId="1919"/>
    <cellStyle name="Output 3 10" xfId="32658"/>
    <cellStyle name="Output 3 11" xfId="32659"/>
    <cellStyle name="Output 3 2" xfId="1920"/>
    <cellStyle name="Output 3 2 2" xfId="1921"/>
    <cellStyle name="Output 3 2 2 2" xfId="8235"/>
    <cellStyle name="Output 3 2 2 2 2" xfId="32660"/>
    <cellStyle name="Output 3 2 2 2 3" xfId="32661"/>
    <cellStyle name="Output 3 2 2 3" xfId="32662"/>
    <cellStyle name="Output 3 2 2 3 2" xfId="32663"/>
    <cellStyle name="Output 3 2 2 4" xfId="32664"/>
    <cellStyle name="Output 3 2 2 4 2" xfId="32665"/>
    <cellStyle name="Output 3 2 2 5" xfId="32666"/>
    <cellStyle name="Output 3 2 2 6" xfId="32667"/>
    <cellStyle name="Output 3 2 2 7" xfId="32668"/>
    <cellStyle name="Output 3 2 2 8" xfId="32669"/>
    <cellStyle name="Output 3 2 2 9" xfId="32670"/>
    <cellStyle name="Output 3 2 3" xfId="6908"/>
    <cellStyle name="Output 3 2 3 2" xfId="32672"/>
    <cellStyle name="Output 3 2 3 2 2" xfId="32673"/>
    <cellStyle name="Output 3 2 3 2 3" xfId="32674"/>
    <cellStyle name="Output 3 2 3 3" xfId="32675"/>
    <cellStyle name="Output 3 2 3 3 2" xfId="32676"/>
    <cellStyle name="Output 3 2 3 4" xfId="32677"/>
    <cellStyle name="Output 3 2 3 5" xfId="32678"/>
    <cellStyle name="Output 3 2 3 6" xfId="32679"/>
    <cellStyle name="Output 3 2 3 7" xfId="32671"/>
    <cellStyle name="Output 3 2 4" xfId="6909"/>
    <cellStyle name="Output 3 2 4 2" xfId="6910"/>
    <cellStyle name="Output 3 2 4 2 2" xfId="32681"/>
    <cellStyle name="Output 3 2 4 3" xfId="32682"/>
    <cellStyle name="Output 3 2 4 4" xfId="32680"/>
    <cellStyle name="Output 3 2 5" xfId="6911"/>
    <cellStyle name="Output 3 2 5 2" xfId="6912"/>
    <cellStyle name="Output 3 2 5 3" xfId="32683"/>
    <cellStyle name="Output 3 2 6" xfId="6913"/>
    <cellStyle name="Output 3 2 6 2" xfId="32684"/>
    <cellStyle name="Output 3 2 7" xfId="6914"/>
    <cellStyle name="Output 3 2 7 2" xfId="32685"/>
    <cellStyle name="Output 3 2 8" xfId="8234"/>
    <cellStyle name="Output 3 3" xfId="1922"/>
    <cellStyle name="Output 3 3 2" xfId="1923"/>
    <cellStyle name="Output 3 3 2 2" xfId="8237"/>
    <cellStyle name="Output 3 3 2 2 2" xfId="32686"/>
    <cellStyle name="Output 3 3 2 3" xfId="32687"/>
    <cellStyle name="Output 3 3 2 3 2" xfId="32688"/>
    <cellStyle name="Output 3 3 2 4" xfId="32689"/>
    <cellStyle name="Output 3 3 2 4 2" xfId="32690"/>
    <cellStyle name="Output 3 3 2 5" xfId="32691"/>
    <cellStyle name="Output 3 3 2 6" xfId="32692"/>
    <cellStyle name="Output 3 3 2 7" xfId="32693"/>
    <cellStyle name="Output 3 3 2 8" xfId="32694"/>
    <cellStyle name="Output 3 3 2 9" xfId="32695"/>
    <cellStyle name="Output 3 3 3" xfId="8236"/>
    <cellStyle name="Output 3 3 3 2" xfId="32696"/>
    <cellStyle name="Output 3 3 3 2 2" xfId="32697"/>
    <cellStyle name="Output 3 3 3 3" xfId="32698"/>
    <cellStyle name="Output 3 3 3 3 2" xfId="32699"/>
    <cellStyle name="Output 3 3 3 4" xfId="32700"/>
    <cellStyle name="Output 3 3 3 5" xfId="32701"/>
    <cellStyle name="Output 3 3 3 6" xfId="32702"/>
    <cellStyle name="Output 3 3 4" xfId="32703"/>
    <cellStyle name="Output 3 3 4 2" xfId="32704"/>
    <cellStyle name="Output 3 3 5" xfId="32705"/>
    <cellStyle name="Output 3 3 6" xfId="32706"/>
    <cellStyle name="Output 3 3 7" xfId="32707"/>
    <cellStyle name="Output 3 3 8" xfId="32708"/>
    <cellStyle name="Output 3 4" xfId="1924"/>
    <cellStyle name="Output 3 4 2" xfId="8238"/>
    <cellStyle name="Output 3 4 2 2" xfId="32709"/>
    <cellStyle name="Output 3 4 2 3" xfId="32710"/>
    <cellStyle name="Output 3 4 3" xfId="32711"/>
    <cellStyle name="Output 3 4 3 2" xfId="32712"/>
    <cellStyle name="Output 3 4 4" xfId="32713"/>
    <cellStyle name="Output 3 4 4 2" xfId="32714"/>
    <cellStyle name="Output 3 4 5" xfId="32715"/>
    <cellStyle name="Output 3 4 6" xfId="32716"/>
    <cellStyle name="Output 3 4 7" xfId="32717"/>
    <cellStyle name="Output 3 4 8" xfId="32718"/>
    <cellStyle name="Output 3 4 9" xfId="32719"/>
    <cellStyle name="Output 3 5" xfId="6915"/>
    <cellStyle name="Output 3 5 10" xfId="32720"/>
    <cellStyle name="Output 3 5 2" xfId="6916"/>
    <cellStyle name="Output 3 5 2 2" xfId="32722"/>
    <cellStyle name="Output 3 5 2 3" xfId="32723"/>
    <cellStyle name="Output 3 5 2 4" xfId="32721"/>
    <cellStyle name="Output 3 5 3" xfId="32724"/>
    <cellStyle name="Output 3 5 3 2" xfId="32725"/>
    <cellStyle name="Output 3 5 4" xfId="32726"/>
    <cellStyle name="Output 3 5 4 2" xfId="32727"/>
    <cellStyle name="Output 3 5 5" xfId="32728"/>
    <cellStyle name="Output 3 5 6" xfId="32729"/>
    <cellStyle name="Output 3 5 7" xfId="32730"/>
    <cellStyle name="Output 3 5 8" xfId="32731"/>
    <cellStyle name="Output 3 5 9" xfId="32732"/>
    <cellStyle name="Output 3 6" xfId="6917"/>
    <cellStyle name="Output 3 6 2" xfId="6918"/>
    <cellStyle name="Output 3 6 2 2" xfId="32735"/>
    <cellStyle name="Output 3 6 2 3" xfId="32734"/>
    <cellStyle name="Output 3 6 3" xfId="32736"/>
    <cellStyle name="Output 3 6 3 2" xfId="32737"/>
    <cellStyle name="Output 3 6 4" xfId="32738"/>
    <cellStyle name="Output 3 6 5" xfId="32739"/>
    <cellStyle name="Output 3 6 6" xfId="32740"/>
    <cellStyle name="Output 3 6 7" xfId="32733"/>
    <cellStyle name="Output 3 7" xfId="6919"/>
    <cellStyle name="Output 3 7 2" xfId="32742"/>
    <cellStyle name="Output 3 7 3" xfId="32741"/>
    <cellStyle name="Output 3 8" xfId="6920"/>
    <cellStyle name="Output 3 8 2" xfId="32743"/>
    <cellStyle name="Output 3 9" xfId="8233"/>
    <cellStyle name="Output 30" xfId="2844"/>
    <cellStyle name="Output 30 10" xfId="32744"/>
    <cellStyle name="Output 30 11" xfId="32745"/>
    <cellStyle name="Output 30 2" xfId="6921"/>
    <cellStyle name="Output 30 2 2" xfId="32747"/>
    <cellStyle name="Output 30 2 2 2" xfId="32748"/>
    <cellStyle name="Output 30 2 2 2 2" xfId="32749"/>
    <cellStyle name="Output 30 2 2 2 3" xfId="32750"/>
    <cellStyle name="Output 30 2 2 3" xfId="32751"/>
    <cellStyle name="Output 30 2 2 3 2" xfId="32752"/>
    <cellStyle name="Output 30 2 2 4" xfId="32753"/>
    <cellStyle name="Output 30 2 2 4 2" xfId="32754"/>
    <cellStyle name="Output 30 2 2 5" xfId="32755"/>
    <cellStyle name="Output 30 2 2 6" xfId="32756"/>
    <cellStyle name="Output 30 2 2 7" xfId="32757"/>
    <cellStyle name="Output 30 2 2 8" xfId="32758"/>
    <cellStyle name="Output 30 2 2 9" xfId="32759"/>
    <cellStyle name="Output 30 2 3" xfId="32760"/>
    <cellStyle name="Output 30 2 3 2" xfId="32761"/>
    <cellStyle name="Output 30 2 3 2 2" xfId="32762"/>
    <cellStyle name="Output 30 2 3 2 3" xfId="32763"/>
    <cellStyle name="Output 30 2 3 3" xfId="32764"/>
    <cellStyle name="Output 30 2 3 3 2" xfId="32765"/>
    <cellStyle name="Output 30 2 3 4" xfId="32766"/>
    <cellStyle name="Output 30 2 3 5" xfId="32767"/>
    <cellStyle name="Output 30 2 3 6" xfId="32768"/>
    <cellStyle name="Output 30 2 4" xfId="32769"/>
    <cellStyle name="Output 30 2 4 2" xfId="32770"/>
    <cellStyle name="Output 30 2 4 3" xfId="32771"/>
    <cellStyle name="Output 30 2 5" xfId="32772"/>
    <cellStyle name="Output 30 2 6" xfId="32773"/>
    <cellStyle name="Output 30 2 7" xfId="32774"/>
    <cellStyle name="Output 30 2 8" xfId="32775"/>
    <cellStyle name="Output 30 2 9" xfId="32746"/>
    <cellStyle name="Output 30 3" xfId="6922"/>
    <cellStyle name="Output 30 3 2" xfId="32777"/>
    <cellStyle name="Output 30 3 2 2" xfId="32778"/>
    <cellStyle name="Output 30 3 2 2 2" xfId="32779"/>
    <cellStyle name="Output 30 3 2 3" xfId="32780"/>
    <cellStyle name="Output 30 3 2 3 2" xfId="32781"/>
    <cellStyle name="Output 30 3 2 4" xfId="32782"/>
    <cellStyle name="Output 30 3 2 4 2" xfId="32783"/>
    <cellStyle name="Output 30 3 2 5" xfId="32784"/>
    <cellStyle name="Output 30 3 2 6" xfId="32785"/>
    <cellStyle name="Output 30 3 2 7" xfId="32786"/>
    <cellStyle name="Output 30 3 2 8" xfId="32787"/>
    <cellStyle name="Output 30 3 2 9" xfId="32788"/>
    <cellStyle name="Output 30 3 3" xfId="32789"/>
    <cellStyle name="Output 30 3 3 2" xfId="32790"/>
    <cellStyle name="Output 30 3 3 2 2" xfId="32791"/>
    <cellStyle name="Output 30 3 3 3" xfId="32792"/>
    <cellStyle name="Output 30 3 3 3 2" xfId="32793"/>
    <cellStyle name="Output 30 3 3 4" xfId="32794"/>
    <cellStyle name="Output 30 3 3 5" xfId="32795"/>
    <cellStyle name="Output 30 3 3 6" xfId="32796"/>
    <cellStyle name="Output 30 3 4" xfId="32797"/>
    <cellStyle name="Output 30 3 4 2" xfId="32798"/>
    <cellStyle name="Output 30 3 5" xfId="32799"/>
    <cellStyle name="Output 30 3 6" xfId="32800"/>
    <cellStyle name="Output 30 3 7" xfId="32801"/>
    <cellStyle name="Output 30 3 8" xfId="32802"/>
    <cellStyle name="Output 30 3 9" xfId="32776"/>
    <cellStyle name="Output 30 4" xfId="6923"/>
    <cellStyle name="Output 30 4 10" xfId="32803"/>
    <cellStyle name="Output 30 4 2" xfId="6924"/>
    <cellStyle name="Output 30 4 2 2" xfId="32805"/>
    <cellStyle name="Output 30 4 2 3" xfId="32806"/>
    <cellStyle name="Output 30 4 2 4" xfId="32804"/>
    <cellStyle name="Output 30 4 3" xfId="32807"/>
    <cellStyle name="Output 30 4 3 2" xfId="32808"/>
    <cellStyle name="Output 30 4 4" xfId="32809"/>
    <cellStyle name="Output 30 4 4 2" xfId="32810"/>
    <cellStyle name="Output 30 4 5" xfId="32811"/>
    <cellStyle name="Output 30 4 6" xfId="32812"/>
    <cellStyle name="Output 30 4 7" xfId="32813"/>
    <cellStyle name="Output 30 4 8" xfId="32814"/>
    <cellStyle name="Output 30 4 9" xfId="32815"/>
    <cellStyle name="Output 30 5" xfId="6925"/>
    <cellStyle name="Output 30 5 10" xfId="32816"/>
    <cellStyle name="Output 30 5 2" xfId="6926"/>
    <cellStyle name="Output 30 5 2 2" xfId="32818"/>
    <cellStyle name="Output 30 5 2 3" xfId="32819"/>
    <cellStyle name="Output 30 5 2 4" xfId="32817"/>
    <cellStyle name="Output 30 5 3" xfId="32820"/>
    <cellStyle name="Output 30 5 3 2" xfId="32821"/>
    <cellStyle name="Output 30 5 4" xfId="32822"/>
    <cellStyle name="Output 30 5 4 2" xfId="32823"/>
    <cellStyle name="Output 30 5 5" xfId="32824"/>
    <cellStyle name="Output 30 5 6" xfId="32825"/>
    <cellStyle name="Output 30 5 7" xfId="32826"/>
    <cellStyle name="Output 30 5 8" xfId="32827"/>
    <cellStyle name="Output 30 5 9" xfId="32828"/>
    <cellStyle name="Output 30 6" xfId="6927"/>
    <cellStyle name="Output 30 6 2" xfId="32830"/>
    <cellStyle name="Output 30 6 2 2" xfId="32831"/>
    <cellStyle name="Output 30 6 3" xfId="32832"/>
    <cellStyle name="Output 30 6 3 2" xfId="32833"/>
    <cellStyle name="Output 30 6 4" xfId="32834"/>
    <cellStyle name="Output 30 6 5" xfId="32835"/>
    <cellStyle name="Output 30 6 6" xfId="32836"/>
    <cellStyle name="Output 30 6 7" xfId="32829"/>
    <cellStyle name="Output 30 7" xfId="6928"/>
    <cellStyle name="Output 30 7 2" xfId="32838"/>
    <cellStyle name="Output 30 7 3" xfId="32837"/>
    <cellStyle name="Output 30 8" xfId="8429"/>
    <cellStyle name="Output 30 9" xfId="32839"/>
    <cellStyle name="Output 31" xfId="2845"/>
    <cellStyle name="Output 31 10" xfId="32840"/>
    <cellStyle name="Output 31 11" xfId="32841"/>
    <cellStyle name="Output 31 2" xfId="6929"/>
    <cellStyle name="Output 31 2 2" xfId="32843"/>
    <cellStyle name="Output 31 2 2 2" xfId="32844"/>
    <cellStyle name="Output 31 2 2 2 2" xfId="32845"/>
    <cellStyle name="Output 31 2 2 2 3" xfId="32846"/>
    <cellStyle name="Output 31 2 2 3" xfId="32847"/>
    <cellStyle name="Output 31 2 2 3 2" xfId="32848"/>
    <cellStyle name="Output 31 2 2 4" xfId="32849"/>
    <cellStyle name="Output 31 2 2 4 2" xfId="32850"/>
    <cellStyle name="Output 31 2 2 5" xfId="32851"/>
    <cellStyle name="Output 31 2 2 6" xfId="32852"/>
    <cellStyle name="Output 31 2 2 7" xfId="32853"/>
    <cellStyle name="Output 31 2 2 8" xfId="32854"/>
    <cellStyle name="Output 31 2 2 9" xfId="32855"/>
    <cellStyle name="Output 31 2 3" xfId="32856"/>
    <cellStyle name="Output 31 2 3 2" xfId="32857"/>
    <cellStyle name="Output 31 2 3 2 2" xfId="32858"/>
    <cellStyle name="Output 31 2 3 2 3" xfId="32859"/>
    <cellStyle name="Output 31 2 3 3" xfId="32860"/>
    <cellStyle name="Output 31 2 3 3 2" xfId="32861"/>
    <cellStyle name="Output 31 2 3 4" xfId="32862"/>
    <cellStyle name="Output 31 2 3 5" xfId="32863"/>
    <cellStyle name="Output 31 2 3 6" xfId="32864"/>
    <cellStyle name="Output 31 2 4" xfId="32865"/>
    <cellStyle name="Output 31 2 4 2" xfId="32866"/>
    <cellStyle name="Output 31 2 4 3" xfId="32867"/>
    <cellStyle name="Output 31 2 5" xfId="32868"/>
    <cellStyle name="Output 31 2 6" xfId="32869"/>
    <cellStyle name="Output 31 2 7" xfId="32870"/>
    <cellStyle name="Output 31 2 8" xfId="32871"/>
    <cellStyle name="Output 31 2 9" xfId="32842"/>
    <cellStyle name="Output 31 3" xfId="6930"/>
    <cellStyle name="Output 31 3 2" xfId="32873"/>
    <cellStyle name="Output 31 3 2 2" xfId="32874"/>
    <cellStyle name="Output 31 3 2 2 2" xfId="32875"/>
    <cellStyle name="Output 31 3 2 3" xfId="32876"/>
    <cellStyle name="Output 31 3 2 3 2" xfId="32877"/>
    <cellStyle name="Output 31 3 2 4" xfId="32878"/>
    <cellStyle name="Output 31 3 2 4 2" xfId="32879"/>
    <cellStyle name="Output 31 3 2 5" xfId="32880"/>
    <cellStyle name="Output 31 3 2 6" xfId="32881"/>
    <cellStyle name="Output 31 3 2 7" xfId="32882"/>
    <cellStyle name="Output 31 3 2 8" xfId="32883"/>
    <cellStyle name="Output 31 3 2 9" xfId="32884"/>
    <cellStyle name="Output 31 3 3" xfId="32885"/>
    <cellStyle name="Output 31 3 3 2" xfId="32886"/>
    <cellStyle name="Output 31 3 3 2 2" xfId="32887"/>
    <cellStyle name="Output 31 3 3 3" xfId="32888"/>
    <cellStyle name="Output 31 3 3 3 2" xfId="32889"/>
    <cellStyle name="Output 31 3 3 4" xfId="32890"/>
    <cellStyle name="Output 31 3 3 5" xfId="32891"/>
    <cellStyle name="Output 31 3 3 6" xfId="32892"/>
    <cellStyle name="Output 31 3 4" xfId="32893"/>
    <cellStyle name="Output 31 3 4 2" xfId="32894"/>
    <cellStyle name="Output 31 3 5" xfId="32895"/>
    <cellStyle name="Output 31 3 6" xfId="32896"/>
    <cellStyle name="Output 31 3 7" xfId="32897"/>
    <cellStyle name="Output 31 3 8" xfId="32898"/>
    <cellStyle name="Output 31 3 9" xfId="32872"/>
    <cellStyle name="Output 31 4" xfId="6931"/>
    <cellStyle name="Output 31 4 10" xfId="32899"/>
    <cellStyle name="Output 31 4 2" xfId="6932"/>
    <cellStyle name="Output 31 4 2 2" xfId="32901"/>
    <cellStyle name="Output 31 4 2 3" xfId="32902"/>
    <cellStyle name="Output 31 4 2 4" xfId="32900"/>
    <cellStyle name="Output 31 4 3" xfId="32903"/>
    <cellStyle name="Output 31 4 3 2" xfId="32904"/>
    <cellStyle name="Output 31 4 4" xfId="32905"/>
    <cellStyle name="Output 31 4 4 2" xfId="32906"/>
    <cellStyle name="Output 31 4 5" xfId="32907"/>
    <cellStyle name="Output 31 4 6" xfId="32908"/>
    <cellStyle name="Output 31 4 7" xfId="32909"/>
    <cellStyle name="Output 31 4 8" xfId="32910"/>
    <cellStyle name="Output 31 4 9" xfId="32911"/>
    <cellStyle name="Output 31 5" xfId="6933"/>
    <cellStyle name="Output 31 5 10" xfId="32912"/>
    <cellStyle name="Output 31 5 2" xfId="6934"/>
    <cellStyle name="Output 31 5 2 2" xfId="32914"/>
    <cellStyle name="Output 31 5 2 3" xfId="32915"/>
    <cellStyle name="Output 31 5 2 4" xfId="32913"/>
    <cellStyle name="Output 31 5 3" xfId="32916"/>
    <cellStyle name="Output 31 5 3 2" xfId="32917"/>
    <cellStyle name="Output 31 5 4" xfId="32918"/>
    <cellStyle name="Output 31 5 4 2" xfId="32919"/>
    <cellStyle name="Output 31 5 5" xfId="32920"/>
    <cellStyle name="Output 31 5 6" xfId="32921"/>
    <cellStyle name="Output 31 5 7" xfId="32922"/>
    <cellStyle name="Output 31 5 8" xfId="32923"/>
    <cellStyle name="Output 31 5 9" xfId="32924"/>
    <cellStyle name="Output 31 6" xfId="6935"/>
    <cellStyle name="Output 31 6 2" xfId="32926"/>
    <cellStyle name="Output 31 6 2 2" xfId="32927"/>
    <cellStyle name="Output 31 6 3" xfId="32928"/>
    <cellStyle name="Output 31 6 3 2" xfId="32929"/>
    <cellStyle name="Output 31 6 4" xfId="32930"/>
    <cellStyle name="Output 31 6 5" xfId="32931"/>
    <cellStyle name="Output 31 6 6" xfId="32932"/>
    <cellStyle name="Output 31 6 7" xfId="32925"/>
    <cellStyle name="Output 31 7" xfId="6936"/>
    <cellStyle name="Output 31 7 2" xfId="32934"/>
    <cellStyle name="Output 31 7 3" xfId="32933"/>
    <cellStyle name="Output 31 8" xfId="8430"/>
    <cellStyle name="Output 31 9" xfId="32935"/>
    <cellStyle name="Output 32" xfId="2846"/>
    <cellStyle name="Output 32 10" xfId="32936"/>
    <cellStyle name="Output 32 11" xfId="32937"/>
    <cellStyle name="Output 32 2" xfId="6937"/>
    <cellStyle name="Output 32 2 2" xfId="32939"/>
    <cellStyle name="Output 32 2 2 2" xfId="32940"/>
    <cellStyle name="Output 32 2 2 2 2" xfId="32941"/>
    <cellStyle name="Output 32 2 2 2 3" xfId="32942"/>
    <cellStyle name="Output 32 2 2 3" xfId="32943"/>
    <cellStyle name="Output 32 2 2 3 2" xfId="32944"/>
    <cellStyle name="Output 32 2 2 4" xfId="32945"/>
    <cellStyle name="Output 32 2 2 4 2" xfId="32946"/>
    <cellStyle name="Output 32 2 2 5" xfId="32947"/>
    <cellStyle name="Output 32 2 2 6" xfId="32948"/>
    <cellStyle name="Output 32 2 2 7" xfId="32949"/>
    <cellStyle name="Output 32 2 2 8" xfId="32950"/>
    <cellStyle name="Output 32 2 2 9" xfId="32951"/>
    <cellStyle name="Output 32 2 3" xfId="32952"/>
    <cellStyle name="Output 32 2 3 2" xfId="32953"/>
    <cellStyle name="Output 32 2 3 2 2" xfId="32954"/>
    <cellStyle name="Output 32 2 3 2 3" xfId="32955"/>
    <cellStyle name="Output 32 2 3 3" xfId="32956"/>
    <cellStyle name="Output 32 2 3 3 2" xfId="32957"/>
    <cellStyle name="Output 32 2 3 4" xfId="32958"/>
    <cellStyle name="Output 32 2 3 5" xfId="32959"/>
    <cellStyle name="Output 32 2 3 6" xfId="32960"/>
    <cellStyle name="Output 32 2 4" xfId="32961"/>
    <cellStyle name="Output 32 2 4 2" xfId="32962"/>
    <cellStyle name="Output 32 2 4 3" xfId="32963"/>
    <cellStyle name="Output 32 2 5" xfId="32964"/>
    <cellStyle name="Output 32 2 6" xfId="32965"/>
    <cellStyle name="Output 32 2 7" xfId="32966"/>
    <cellStyle name="Output 32 2 8" xfId="32967"/>
    <cellStyle name="Output 32 2 9" xfId="32938"/>
    <cellStyle name="Output 32 3" xfId="6938"/>
    <cellStyle name="Output 32 3 2" xfId="32969"/>
    <cellStyle name="Output 32 3 2 2" xfId="32970"/>
    <cellStyle name="Output 32 3 2 2 2" xfId="32971"/>
    <cellStyle name="Output 32 3 2 3" xfId="32972"/>
    <cellStyle name="Output 32 3 2 3 2" xfId="32973"/>
    <cellStyle name="Output 32 3 2 4" xfId="32974"/>
    <cellStyle name="Output 32 3 2 4 2" xfId="32975"/>
    <cellStyle name="Output 32 3 2 5" xfId="32976"/>
    <cellStyle name="Output 32 3 2 6" xfId="32977"/>
    <cellStyle name="Output 32 3 2 7" xfId="32978"/>
    <cellStyle name="Output 32 3 2 8" xfId="32979"/>
    <cellStyle name="Output 32 3 2 9" xfId="32980"/>
    <cellStyle name="Output 32 3 3" xfId="32981"/>
    <cellStyle name="Output 32 3 3 2" xfId="32982"/>
    <cellStyle name="Output 32 3 3 2 2" xfId="32983"/>
    <cellStyle name="Output 32 3 3 3" xfId="32984"/>
    <cellStyle name="Output 32 3 3 3 2" xfId="32985"/>
    <cellStyle name="Output 32 3 3 4" xfId="32986"/>
    <cellStyle name="Output 32 3 3 5" xfId="32987"/>
    <cellStyle name="Output 32 3 3 6" xfId="32988"/>
    <cellStyle name="Output 32 3 4" xfId="32989"/>
    <cellStyle name="Output 32 3 4 2" xfId="32990"/>
    <cellStyle name="Output 32 3 5" xfId="32991"/>
    <cellStyle name="Output 32 3 6" xfId="32992"/>
    <cellStyle name="Output 32 3 7" xfId="32993"/>
    <cellStyle name="Output 32 3 8" xfId="32994"/>
    <cellStyle name="Output 32 3 9" xfId="32968"/>
    <cellStyle name="Output 32 4" xfId="6939"/>
    <cellStyle name="Output 32 4 10" xfId="32995"/>
    <cellStyle name="Output 32 4 2" xfId="6940"/>
    <cellStyle name="Output 32 4 2 2" xfId="32997"/>
    <cellStyle name="Output 32 4 2 3" xfId="32998"/>
    <cellStyle name="Output 32 4 2 4" xfId="32996"/>
    <cellStyle name="Output 32 4 3" xfId="32999"/>
    <cellStyle name="Output 32 4 3 2" xfId="33000"/>
    <cellStyle name="Output 32 4 4" xfId="33001"/>
    <cellStyle name="Output 32 4 4 2" xfId="33002"/>
    <cellStyle name="Output 32 4 5" xfId="33003"/>
    <cellStyle name="Output 32 4 6" xfId="33004"/>
    <cellStyle name="Output 32 4 7" xfId="33005"/>
    <cellStyle name="Output 32 4 8" xfId="33006"/>
    <cellStyle name="Output 32 4 9" xfId="33007"/>
    <cellStyle name="Output 32 5" xfId="6941"/>
    <cellStyle name="Output 32 5 10" xfId="33008"/>
    <cellStyle name="Output 32 5 2" xfId="6942"/>
    <cellStyle name="Output 32 5 2 2" xfId="33010"/>
    <cellStyle name="Output 32 5 2 3" xfId="33011"/>
    <cellStyle name="Output 32 5 2 4" xfId="33009"/>
    <cellStyle name="Output 32 5 3" xfId="33012"/>
    <cellStyle name="Output 32 5 3 2" xfId="33013"/>
    <cellStyle name="Output 32 5 4" xfId="33014"/>
    <cellStyle name="Output 32 5 4 2" xfId="33015"/>
    <cellStyle name="Output 32 5 5" xfId="33016"/>
    <cellStyle name="Output 32 5 6" xfId="33017"/>
    <cellStyle name="Output 32 5 7" xfId="33018"/>
    <cellStyle name="Output 32 5 8" xfId="33019"/>
    <cellStyle name="Output 32 5 9" xfId="33020"/>
    <cellStyle name="Output 32 6" xfId="6943"/>
    <cellStyle name="Output 32 6 2" xfId="33022"/>
    <cellStyle name="Output 32 6 2 2" xfId="33023"/>
    <cellStyle name="Output 32 6 3" xfId="33024"/>
    <cellStyle name="Output 32 6 3 2" xfId="33025"/>
    <cellStyle name="Output 32 6 4" xfId="33026"/>
    <cellStyle name="Output 32 6 5" xfId="33027"/>
    <cellStyle name="Output 32 6 6" xfId="33028"/>
    <cellStyle name="Output 32 6 7" xfId="33021"/>
    <cellStyle name="Output 32 7" xfId="6944"/>
    <cellStyle name="Output 32 7 2" xfId="33030"/>
    <cellStyle name="Output 32 7 3" xfId="33029"/>
    <cellStyle name="Output 32 8" xfId="8431"/>
    <cellStyle name="Output 32 9" xfId="33031"/>
    <cellStyle name="Output 33" xfId="2847"/>
    <cellStyle name="Output 33 10" xfId="33032"/>
    <cellStyle name="Output 33 11" xfId="33033"/>
    <cellStyle name="Output 33 2" xfId="6945"/>
    <cellStyle name="Output 33 2 2" xfId="33035"/>
    <cellStyle name="Output 33 2 2 2" xfId="33036"/>
    <cellStyle name="Output 33 2 2 2 2" xfId="33037"/>
    <cellStyle name="Output 33 2 2 2 3" xfId="33038"/>
    <cellStyle name="Output 33 2 2 3" xfId="33039"/>
    <cellStyle name="Output 33 2 2 3 2" xfId="33040"/>
    <cellStyle name="Output 33 2 2 4" xfId="33041"/>
    <cellStyle name="Output 33 2 2 4 2" xfId="33042"/>
    <cellStyle name="Output 33 2 2 5" xfId="33043"/>
    <cellStyle name="Output 33 2 2 6" xfId="33044"/>
    <cellStyle name="Output 33 2 2 7" xfId="33045"/>
    <cellStyle name="Output 33 2 2 8" xfId="33046"/>
    <cellStyle name="Output 33 2 2 9" xfId="33047"/>
    <cellStyle name="Output 33 2 3" xfId="33048"/>
    <cellStyle name="Output 33 2 3 2" xfId="33049"/>
    <cellStyle name="Output 33 2 3 2 2" xfId="33050"/>
    <cellStyle name="Output 33 2 3 2 3" xfId="33051"/>
    <cellStyle name="Output 33 2 3 3" xfId="33052"/>
    <cellStyle name="Output 33 2 3 3 2" xfId="33053"/>
    <cellStyle name="Output 33 2 3 4" xfId="33054"/>
    <cellStyle name="Output 33 2 3 5" xfId="33055"/>
    <cellStyle name="Output 33 2 3 6" xfId="33056"/>
    <cellStyle name="Output 33 2 4" xfId="33057"/>
    <cellStyle name="Output 33 2 4 2" xfId="33058"/>
    <cellStyle name="Output 33 2 4 3" xfId="33059"/>
    <cellStyle name="Output 33 2 5" xfId="33060"/>
    <cellStyle name="Output 33 2 6" xfId="33061"/>
    <cellStyle name="Output 33 2 7" xfId="33062"/>
    <cellStyle name="Output 33 2 8" xfId="33063"/>
    <cellStyle name="Output 33 2 9" xfId="33034"/>
    <cellStyle name="Output 33 3" xfId="6946"/>
    <cellStyle name="Output 33 3 2" xfId="33065"/>
    <cellStyle name="Output 33 3 2 2" xfId="33066"/>
    <cellStyle name="Output 33 3 2 2 2" xfId="33067"/>
    <cellStyle name="Output 33 3 2 3" xfId="33068"/>
    <cellStyle name="Output 33 3 2 3 2" xfId="33069"/>
    <cellStyle name="Output 33 3 2 4" xfId="33070"/>
    <cellStyle name="Output 33 3 2 4 2" xfId="33071"/>
    <cellStyle name="Output 33 3 2 5" xfId="33072"/>
    <cellStyle name="Output 33 3 2 6" xfId="33073"/>
    <cellStyle name="Output 33 3 2 7" xfId="33074"/>
    <cellStyle name="Output 33 3 2 8" xfId="33075"/>
    <cellStyle name="Output 33 3 2 9" xfId="33076"/>
    <cellStyle name="Output 33 3 3" xfId="33077"/>
    <cellStyle name="Output 33 3 3 2" xfId="33078"/>
    <cellStyle name="Output 33 3 3 2 2" xfId="33079"/>
    <cellStyle name="Output 33 3 3 3" xfId="33080"/>
    <cellStyle name="Output 33 3 3 3 2" xfId="33081"/>
    <cellStyle name="Output 33 3 3 4" xfId="33082"/>
    <cellStyle name="Output 33 3 3 5" xfId="33083"/>
    <cellStyle name="Output 33 3 3 6" xfId="33084"/>
    <cellStyle name="Output 33 3 4" xfId="33085"/>
    <cellStyle name="Output 33 3 4 2" xfId="33086"/>
    <cellStyle name="Output 33 3 5" xfId="33087"/>
    <cellStyle name="Output 33 3 6" xfId="33088"/>
    <cellStyle name="Output 33 3 7" xfId="33089"/>
    <cellStyle name="Output 33 3 8" xfId="33090"/>
    <cellStyle name="Output 33 3 9" xfId="33064"/>
    <cellStyle name="Output 33 4" xfId="6947"/>
    <cellStyle name="Output 33 4 10" xfId="33091"/>
    <cellStyle name="Output 33 4 2" xfId="6948"/>
    <cellStyle name="Output 33 4 2 2" xfId="33093"/>
    <cellStyle name="Output 33 4 2 3" xfId="33094"/>
    <cellStyle name="Output 33 4 2 4" xfId="33092"/>
    <cellStyle name="Output 33 4 3" xfId="33095"/>
    <cellStyle name="Output 33 4 3 2" xfId="33096"/>
    <cellStyle name="Output 33 4 4" xfId="33097"/>
    <cellStyle name="Output 33 4 4 2" xfId="33098"/>
    <cellStyle name="Output 33 4 5" xfId="33099"/>
    <cellStyle name="Output 33 4 6" xfId="33100"/>
    <cellStyle name="Output 33 4 7" xfId="33101"/>
    <cellStyle name="Output 33 4 8" xfId="33102"/>
    <cellStyle name="Output 33 4 9" xfId="33103"/>
    <cellStyle name="Output 33 5" xfId="6949"/>
    <cellStyle name="Output 33 5 10" xfId="33104"/>
    <cellStyle name="Output 33 5 2" xfId="6950"/>
    <cellStyle name="Output 33 5 2 2" xfId="33106"/>
    <cellStyle name="Output 33 5 2 3" xfId="33107"/>
    <cellStyle name="Output 33 5 2 4" xfId="33105"/>
    <cellStyle name="Output 33 5 3" xfId="33108"/>
    <cellStyle name="Output 33 5 3 2" xfId="33109"/>
    <cellStyle name="Output 33 5 4" xfId="33110"/>
    <cellStyle name="Output 33 5 4 2" xfId="33111"/>
    <cellStyle name="Output 33 5 5" xfId="33112"/>
    <cellStyle name="Output 33 5 6" xfId="33113"/>
    <cellStyle name="Output 33 5 7" xfId="33114"/>
    <cellStyle name="Output 33 5 8" xfId="33115"/>
    <cellStyle name="Output 33 5 9" xfId="33116"/>
    <cellStyle name="Output 33 6" xfId="6951"/>
    <cellStyle name="Output 33 6 2" xfId="33118"/>
    <cellStyle name="Output 33 6 2 2" xfId="33119"/>
    <cellStyle name="Output 33 6 3" xfId="33120"/>
    <cellStyle name="Output 33 6 3 2" xfId="33121"/>
    <cellStyle name="Output 33 6 4" xfId="33122"/>
    <cellStyle name="Output 33 6 5" xfId="33123"/>
    <cellStyle name="Output 33 6 6" xfId="33124"/>
    <cellStyle name="Output 33 6 7" xfId="33117"/>
    <cellStyle name="Output 33 7" xfId="6952"/>
    <cellStyle name="Output 33 7 2" xfId="33126"/>
    <cellStyle name="Output 33 7 3" xfId="33125"/>
    <cellStyle name="Output 33 8" xfId="8432"/>
    <cellStyle name="Output 33 9" xfId="33127"/>
    <cellStyle name="Output 34" xfId="2848"/>
    <cellStyle name="Output 34 10" xfId="33128"/>
    <cellStyle name="Output 34 11" xfId="33129"/>
    <cellStyle name="Output 34 2" xfId="6953"/>
    <cellStyle name="Output 34 2 2" xfId="33131"/>
    <cellStyle name="Output 34 2 2 2" xfId="33132"/>
    <cellStyle name="Output 34 2 2 2 2" xfId="33133"/>
    <cellStyle name="Output 34 2 2 2 3" xfId="33134"/>
    <cellStyle name="Output 34 2 2 3" xfId="33135"/>
    <cellStyle name="Output 34 2 2 3 2" xfId="33136"/>
    <cellStyle name="Output 34 2 2 4" xfId="33137"/>
    <cellStyle name="Output 34 2 2 4 2" xfId="33138"/>
    <cellStyle name="Output 34 2 2 5" xfId="33139"/>
    <cellStyle name="Output 34 2 2 6" xfId="33140"/>
    <cellStyle name="Output 34 2 2 7" xfId="33141"/>
    <cellStyle name="Output 34 2 2 8" xfId="33142"/>
    <cellStyle name="Output 34 2 2 9" xfId="33143"/>
    <cellStyle name="Output 34 2 3" xfId="33144"/>
    <cellStyle name="Output 34 2 3 2" xfId="33145"/>
    <cellStyle name="Output 34 2 3 2 2" xfId="33146"/>
    <cellStyle name="Output 34 2 3 2 3" xfId="33147"/>
    <cellStyle name="Output 34 2 3 3" xfId="33148"/>
    <cellStyle name="Output 34 2 3 3 2" xfId="33149"/>
    <cellStyle name="Output 34 2 3 4" xfId="33150"/>
    <cellStyle name="Output 34 2 3 5" xfId="33151"/>
    <cellStyle name="Output 34 2 3 6" xfId="33152"/>
    <cellStyle name="Output 34 2 4" xfId="33153"/>
    <cellStyle name="Output 34 2 4 2" xfId="33154"/>
    <cellStyle name="Output 34 2 4 3" xfId="33155"/>
    <cellStyle name="Output 34 2 5" xfId="33156"/>
    <cellStyle name="Output 34 2 6" xfId="33157"/>
    <cellStyle name="Output 34 2 7" xfId="33158"/>
    <cellStyle name="Output 34 2 8" xfId="33159"/>
    <cellStyle name="Output 34 2 9" xfId="33130"/>
    <cellStyle name="Output 34 3" xfId="6954"/>
    <cellStyle name="Output 34 3 2" xfId="33161"/>
    <cellStyle name="Output 34 3 2 2" xfId="33162"/>
    <cellStyle name="Output 34 3 2 2 2" xfId="33163"/>
    <cellStyle name="Output 34 3 2 3" xfId="33164"/>
    <cellStyle name="Output 34 3 2 3 2" xfId="33165"/>
    <cellStyle name="Output 34 3 2 4" xfId="33166"/>
    <cellStyle name="Output 34 3 2 4 2" xfId="33167"/>
    <cellStyle name="Output 34 3 2 5" xfId="33168"/>
    <cellStyle name="Output 34 3 2 6" xfId="33169"/>
    <cellStyle name="Output 34 3 2 7" xfId="33170"/>
    <cellStyle name="Output 34 3 2 8" xfId="33171"/>
    <cellStyle name="Output 34 3 2 9" xfId="33172"/>
    <cellStyle name="Output 34 3 3" xfId="33173"/>
    <cellStyle name="Output 34 3 3 2" xfId="33174"/>
    <cellStyle name="Output 34 3 3 2 2" xfId="33175"/>
    <cellStyle name="Output 34 3 3 3" xfId="33176"/>
    <cellStyle name="Output 34 3 3 3 2" xfId="33177"/>
    <cellStyle name="Output 34 3 3 4" xfId="33178"/>
    <cellStyle name="Output 34 3 3 5" xfId="33179"/>
    <cellStyle name="Output 34 3 3 6" xfId="33180"/>
    <cellStyle name="Output 34 3 4" xfId="33181"/>
    <cellStyle name="Output 34 3 4 2" xfId="33182"/>
    <cellStyle name="Output 34 3 5" xfId="33183"/>
    <cellStyle name="Output 34 3 6" xfId="33184"/>
    <cellStyle name="Output 34 3 7" xfId="33185"/>
    <cellStyle name="Output 34 3 8" xfId="33186"/>
    <cellStyle name="Output 34 3 9" xfId="33160"/>
    <cellStyle name="Output 34 4" xfId="6955"/>
    <cellStyle name="Output 34 4 10" xfId="33187"/>
    <cellStyle name="Output 34 4 2" xfId="6956"/>
    <cellStyle name="Output 34 4 2 2" xfId="33189"/>
    <cellStyle name="Output 34 4 2 3" xfId="33190"/>
    <cellStyle name="Output 34 4 2 4" xfId="33188"/>
    <cellStyle name="Output 34 4 3" xfId="33191"/>
    <cellStyle name="Output 34 4 3 2" xfId="33192"/>
    <cellStyle name="Output 34 4 4" xfId="33193"/>
    <cellStyle name="Output 34 4 4 2" xfId="33194"/>
    <cellStyle name="Output 34 4 5" xfId="33195"/>
    <cellStyle name="Output 34 4 6" xfId="33196"/>
    <cellStyle name="Output 34 4 7" xfId="33197"/>
    <cellStyle name="Output 34 4 8" xfId="33198"/>
    <cellStyle name="Output 34 4 9" xfId="33199"/>
    <cellStyle name="Output 34 5" xfId="6957"/>
    <cellStyle name="Output 34 5 10" xfId="33200"/>
    <cellStyle name="Output 34 5 2" xfId="6958"/>
    <cellStyle name="Output 34 5 2 2" xfId="33202"/>
    <cellStyle name="Output 34 5 2 3" xfId="33203"/>
    <cellStyle name="Output 34 5 2 4" xfId="33201"/>
    <cellStyle name="Output 34 5 3" xfId="33204"/>
    <cellStyle name="Output 34 5 3 2" xfId="33205"/>
    <cellStyle name="Output 34 5 4" xfId="33206"/>
    <cellStyle name="Output 34 5 4 2" xfId="33207"/>
    <cellStyle name="Output 34 5 5" xfId="33208"/>
    <cellStyle name="Output 34 5 6" xfId="33209"/>
    <cellStyle name="Output 34 5 7" xfId="33210"/>
    <cellStyle name="Output 34 5 8" xfId="33211"/>
    <cellStyle name="Output 34 5 9" xfId="33212"/>
    <cellStyle name="Output 34 6" xfId="6959"/>
    <cellStyle name="Output 34 6 2" xfId="33214"/>
    <cellStyle name="Output 34 6 2 2" xfId="33215"/>
    <cellStyle name="Output 34 6 3" xfId="33216"/>
    <cellStyle name="Output 34 6 3 2" xfId="33217"/>
    <cellStyle name="Output 34 6 4" xfId="33218"/>
    <cellStyle name="Output 34 6 5" xfId="33219"/>
    <cellStyle name="Output 34 6 6" xfId="33220"/>
    <cellStyle name="Output 34 6 7" xfId="33213"/>
    <cellStyle name="Output 34 7" xfId="6960"/>
    <cellStyle name="Output 34 7 2" xfId="33222"/>
    <cellStyle name="Output 34 7 3" xfId="33221"/>
    <cellStyle name="Output 34 8" xfId="8433"/>
    <cellStyle name="Output 34 9" xfId="33223"/>
    <cellStyle name="Output 35" xfId="2849"/>
    <cellStyle name="Output 35 10" xfId="33224"/>
    <cellStyle name="Output 35 11" xfId="33225"/>
    <cellStyle name="Output 35 2" xfId="6961"/>
    <cellStyle name="Output 35 2 2" xfId="33227"/>
    <cellStyle name="Output 35 2 2 2" xfId="33228"/>
    <cellStyle name="Output 35 2 2 2 2" xfId="33229"/>
    <cellStyle name="Output 35 2 2 2 3" xfId="33230"/>
    <cellStyle name="Output 35 2 2 3" xfId="33231"/>
    <cellStyle name="Output 35 2 2 3 2" xfId="33232"/>
    <cellStyle name="Output 35 2 2 4" xfId="33233"/>
    <cellStyle name="Output 35 2 2 4 2" xfId="33234"/>
    <cellStyle name="Output 35 2 2 5" xfId="33235"/>
    <cellStyle name="Output 35 2 2 6" xfId="33236"/>
    <cellStyle name="Output 35 2 2 7" xfId="33237"/>
    <cellStyle name="Output 35 2 2 8" xfId="33238"/>
    <cellStyle name="Output 35 2 2 9" xfId="33239"/>
    <cellStyle name="Output 35 2 3" xfId="33240"/>
    <cellStyle name="Output 35 2 3 2" xfId="33241"/>
    <cellStyle name="Output 35 2 3 2 2" xfId="33242"/>
    <cellStyle name="Output 35 2 3 2 3" xfId="33243"/>
    <cellStyle name="Output 35 2 3 3" xfId="33244"/>
    <cellStyle name="Output 35 2 3 3 2" xfId="33245"/>
    <cellStyle name="Output 35 2 3 4" xfId="33246"/>
    <cellStyle name="Output 35 2 3 5" xfId="33247"/>
    <cellStyle name="Output 35 2 3 6" xfId="33248"/>
    <cellStyle name="Output 35 2 4" xfId="33249"/>
    <cellStyle name="Output 35 2 4 2" xfId="33250"/>
    <cellStyle name="Output 35 2 4 3" xfId="33251"/>
    <cellStyle name="Output 35 2 5" xfId="33252"/>
    <cellStyle name="Output 35 2 6" xfId="33253"/>
    <cellStyle name="Output 35 2 7" xfId="33254"/>
    <cellStyle name="Output 35 2 8" xfId="33255"/>
    <cellStyle name="Output 35 2 9" xfId="33226"/>
    <cellStyle name="Output 35 3" xfId="6962"/>
    <cellStyle name="Output 35 3 2" xfId="33257"/>
    <cellStyle name="Output 35 3 2 2" xfId="33258"/>
    <cellStyle name="Output 35 3 2 2 2" xfId="33259"/>
    <cellStyle name="Output 35 3 2 3" xfId="33260"/>
    <cellStyle name="Output 35 3 2 3 2" xfId="33261"/>
    <cellStyle name="Output 35 3 2 4" xfId="33262"/>
    <cellStyle name="Output 35 3 2 4 2" xfId="33263"/>
    <cellStyle name="Output 35 3 2 5" xfId="33264"/>
    <cellStyle name="Output 35 3 2 6" xfId="33265"/>
    <cellStyle name="Output 35 3 2 7" xfId="33266"/>
    <cellStyle name="Output 35 3 2 8" xfId="33267"/>
    <cellStyle name="Output 35 3 2 9" xfId="33268"/>
    <cellStyle name="Output 35 3 3" xfId="33269"/>
    <cellStyle name="Output 35 3 3 2" xfId="33270"/>
    <cellStyle name="Output 35 3 3 2 2" xfId="33271"/>
    <cellStyle name="Output 35 3 3 3" xfId="33272"/>
    <cellStyle name="Output 35 3 3 3 2" xfId="33273"/>
    <cellStyle name="Output 35 3 3 4" xfId="33274"/>
    <cellStyle name="Output 35 3 3 5" xfId="33275"/>
    <cellStyle name="Output 35 3 3 6" xfId="33276"/>
    <cellStyle name="Output 35 3 4" xfId="33277"/>
    <cellStyle name="Output 35 3 4 2" xfId="33278"/>
    <cellStyle name="Output 35 3 5" xfId="33279"/>
    <cellStyle name="Output 35 3 6" xfId="33280"/>
    <cellStyle name="Output 35 3 7" xfId="33281"/>
    <cellStyle name="Output 35 3 8" xfId="33282"/>
    <cellStyle name="Output 35 3 9" xfId="33256"/>
    <cellStyle name="Output 35 4" xfId="6963"/>
    <cellStyle name="Output 35 4 10" xfId="33283"/>
    <cellStyle name="Output 35 4 2" xfId="6964"/>
    <cellStyle name="Output 35 4 2 2" xfId="33285"/>
    <cellStyle name="Output 35 4 2 3" xfId="33286"/>
    <cellStyle name="Output 35 4 2 4" xfId="33284"/>
    <cellStyle name="Output 35 4 3" xfId="33287"/>
    <cellStyle name="Output 35 4 3 2" xfId="33288"/>
    <cellStyle name="Output 35 4 4" xfId="33289"/>
    <cellStyle name="Output 35 4 4 2" xfId="33290"/>
    <cellStyle name="Output 35 4 5" xfId="33291"/>
    <cellStyle name="Output 35 4 6" xfId="33292"/>
    <cellStyle name="Output 35 4 7" xfId="33293"/>
    <cellStyle name="Output 35 4 8" xfId="33294"/>
    <cellStyle name="Output 35 4 9" xfId="33295"/>
    <cellStyle name="Output 35 5" xfId="6965"/>
    <cellStyle name="Output 35 5 10" xfId="33296"/>
    <cellStyle name="Output 35 5 2" xfId="6966"/>
    <cellStyle name="Output 35 5 2 2" xfId="33298"/>
    <cellStyle name="Output 35 5 2 3" xfId="33299"/>
    <cellStyle name="Output 35 5 2 4" xfId="33297"/>
    <cellStyle name="Output 35 5 3" xfId="33300"/>
    <cellStyle name="Output 35 5 3 2" xfId="33301"/>
    <cellStyle name="Output 35 5 4" xfId="33302"/>
    <cellStyle name="Output 35 5 4 2" xfId="33303"/>
    <cellStyle name="Output 35 5 5" xfId="33304"/>
    <cellStyle name="Output 35 5 6" xfId="33305"/>
    <cellStyle name="Output 35 5 7" xfId="33306"/>
    <cellStyle name="Output 35 5 8" xfId="33307"/>
    <cellStyle name="Output 35 5 9" xfId="33308"/>
    <cellStyle name="Output 35 6" xfId="6967"/>
    <cellStyle name="Output 35 6 2" xfId="33310"/>
    <cellStyle name="Output 35 6 2 2" xfId="33311"/>
    <cellStyle name="Output 35 6 3" xfId="33312"/>
    <cellStyle name="Output 35 6 3 2" xfId="33313"/>
    <cellStyle name="Output 35 6 4" xfId="33314"/>
    <cellStyle name="Output 35 6 5" xfId="33315"/>
    <cellStyle name="Output 35 6 6" xfId="33316"/>
    <cellStyle name="Output 35 6 7" xfId="33309"/>
    <cellStyle name="Output 35 7" xfId="6968"/>
    <cellStyle name="Output 35 7 2" xfId="33318"/>
    <cellStyle name="Output 35 7 3" xfId="33317"/>
    <cellStyle name="Output 35 8" xfId="8434"/>
    <cellStyle name="Output 35 9" xfId="33319"/>
    <cellStyle name="Output 36" xfId="2850"/>
    <cellStyle name="Output 36 10" xfId="33320"/>
    <cellStyle name="Output 36 11" xfId="33321"/>
    <cellStyle name="Output 36 2" xfId="6969"/>
    <cellStyle name="Output 36 2 2" xfId="33323"/>
    <cellStyle name="Output 36 2 2 2" xfId="33324"/>
    <cellStyle name="Output 36 2 2 2 2" xfId="33325"/>
    <cellStyle name="Output 36 2 2 2 3" xfId="33326"/>
    <cellStyle name="Output 36 2 2 3" xfId="33327"/>
    <cellStyle name="Output 36 2 2 3 2" xfId="33328"/>
    <cellStyle name="Output 36 2 2 4" xfId="33329"/>
    <cellStyle name="Output 36 2 2 4 2" xfId="33330"/>
    <cellStyle name="Output 36 2 2 5" xfId="33331"/>
    <cellStyle name="Output 36 2 2 6" xfId="33332"/>
    <cellStyle name="Output 36 2 2 7" xfId="33333"/>
    <cellStyle name="Output 36 2 2 8" xfId="33334"/>
    <cellStyle name="Output 36 2 2 9" xfId="33335"/>
    <cellStyle name="Output 36 2 3" xfId="33336"/>
    <cellStyle name="Output 36 2 3 2" xfId="33337"/>
    <cellStyle name="Output 36 2 3 2 2" xfId="33338"/>
    <cellStyle name="Output 36 2 3 2 3" xfId="33339"/>
    <cellStyle name="Output 36 2 3 3" xfId="33340"/>
    <cellStyle name="Output 36 2 3 3 2" xfId="33341"/>
    <cellStyle name="Output 36 2 3 4" xfId="33342"/>
    <cellStyle name="Output 36 2 3 5" xfId="33343"/>
    <cellStyle name="Output 36 2 3 6" xfId="33344"/>
    <cellStyle name="Output 36 2 4" xfId="33345"/>
    <cellStyle name="Output 36 2 4 2" xfId="33346"/>
    <cellStyle name="Output 36 2 4 3" xfId="33347"/>
    <cellStyle name="Output 36 2 5" xfId="33348"/>
    <cellStyle name="Output 36 2 6" xfId="33349"/>
    <cellStyle name="Output 36 2 7" xfId="33350"/>
    <cellStyle name="Output 36 2 8" xfId="33351"/>
    <cellStyle name="Output 36 2 9" xfId="33322"/>
    <cellStyle name="Output 36 3" xfId="6970"/>
    <cellStyle name="Output 36 3 2" xfId="33353"/>
    <cellStyle name="Output 36 3 2 2" xfId="33354"/>
    <cellStyle name="Output 36 3 2 2 2" xfId="33355"/>
    <cellStyle name="Output 36 3 2 3" xfId="33356"/>
    <cellStyle name="Output 36 3 2 3 2" xfId="33357"/>
    <cellStyle name="Output 36 3 2 4" xfId="33358"/>
    <cellStyle name="Output 36 3 2 4 2" xfId="33359"/>
    <cellStyle name="Output 36 3 2 5" xfId="33360"/>
    <cellStyle name="Output 36 3 2 6" xfId="33361"/>
    <cellStyle name="Output 36 3 2 7" xfId="33362"/>
    <cellStyle name="Output 36 3 2 8" xfId="33363"/>
    <cellStyle name="Output 36 3 2 9" xfId="33364"/>
    <cellStyle name="Output 36 3 3" xfId="33365"/>
    <cellStyle name="Output 36 3 3 2" xfId="33366"/>
    <cellStyle name="Output 36 3 3 2 2" xfId="33367"/>
    <cellStyle name="Output 36 3 3 3" xfId="33368"/>
    <cellStyle name="Output 36 3 3 3 2" xfId="33369"/>
    <cellStyle name="Output 36 3 3 4" xfId="33370"/>
    <cellStyle name="Output 36 3 3 5" xfId="33371"/>
    <cellStyle name="Output 36 3 3 6" xfId="33372"/>
    <cellStyle name="Output 36 3 4" xfId="33373"/>
    <cellStyle name="Output 36 3 4 2" xfId="33374"/>
    <cellStyle name="Output 36 3 5" xfId="33375"/>
    <cellStyle name="Output 36 3 6" xfId="33376"/>
    <cellStyle name="Output 36 3 7" xfId="33377"/>
    <cellStyle name="Output 36 3 8" xfId="33378"/>
    <cellStyle name="Output 36 3 9" xfId="33352"/>
    <cellStyle name="Output 36 4" xfId="6971"/>
    <cellStyle name="Output 36 4 10" xfId="33379"/>
    <cellStyle name="Output 36 4 2" xfId="6972"/>
    <cellStyle name="Output 36 4 2 2" xfId="33381"/>
    <cellStyle name="Output 36 4 2 3" xfId="33382"/>
    <cellStyle name="Output 36 4 2 4" xfId="33380"/>
    <cellStyle name="Output 36 4 3" xfId="33383"/>
    <cellStyle name="Output 36 4 3 2" xfId="33384"/>
    <cellStyle name="Output 36 4 4" xfId="33385"/>
    <cellStyle name="Output 36 4 4 2" xfId="33386"/>
    <cellStyle name="Output 36 4 5" xfId="33387"/>
    <cellStyle name="Output 36 4 6" xfId="33388"/>
    <cellStyle name="Output 36 4 7" xfId="33389"/>
    <cellStyle name="Output 36 4 8" xfId="33390"/>
    <cellStyle name="Output 36 4 9" xfId="33391"/>
    <cellStyle name="Output 36 5" xfId="6973"/>
    <cellStyle name="Output 36 5 10" xfId="33392"/>
    <cellStyle name="Output 36 5 2" xfId="6974"/>
    <cellStyle name="Output 36 5 2 2" xfId="33394"/>
    <cellStyle name="Output 36 5 2 3" xfId="33395"/>
    <cellStyle name="Output 36 5 2 4" xfId="33393"/>
    <cellStyle name="Output 36 5 3" xfId="33396"/>
    <cellStyle name="Output 36 5 3 2" xfId="33397"/>
    <cellStyle name="Output 36 5 4" xfId="33398"/>
    <cellStyle name="Output 36 5 4 2" xfId="33399"/>
    <cellStyle name="Output 36 5 5" xfId="33400"/>
    <cellStyle name="Output 36 5 6" xfId="33401"/>
    <cellStyle name="Output 36 5 7" xfId="33402"/>
    <cellStyle name="Output 36 5 8" xfId="33403"/>
    <cellStyle name="Output 36 5 9" xfId="33404"/>
    <cellStyle name="Output 36 6" xfId="6975"/>
    <cellStyle name="Output 36 6 2" xfId="33406"/>
    <cellStyle name="Output 36 6 2 2" xfId="33407"/>
    <cellStyle name="Output 36 6 3" xfId="33408"/>
    <cellStyle name="Output 36 6 3 2" xfId="33409"/>
    <cellStyle name="Output 36 6 4" xfId="33410"/>
    <cellStyle name="Output 36 6 5" xfId="33411"/>
    <cellStyle name="Output 36 6 6" xfId="33412"/>
    <cellStyle name="Output 36 6 7" xfId="33405"/>
    <cellStyle name="Output 36 7" xfId="6976"/>
    <cellStyle name="Output 36 7 2" xfId="33414"/>
    <cellStyle name="Output 36 7 3" xfId="33413"/>
    <cellStyle name="Output 36 8" xfId="8435"/>
    <cellStyle name="Output 36 9" xfId="33415"/>
    <cellStyle name="Output 37" xfId="2851"/>
    <cellStyle name="Output 37 10" xfId="33416"/>
    <cellStyle name="Output 37 11" xfId="33417"/>
    <cellStyle name="Output 37 2" xfId="6977"/>
    <cellStyle name="Output 37 2 2" xfId="33419"/>
    <cellStyle name="Output 37 2 2 2" xfId="33420"/>
    <cellStyle name="Output 37 2 2 2 2" xfId="33421"/>
    <cellStyle name="Output 37 2 2 2 3" xfId="33422"/>
    <cellStyle name="Output 37 2 2 3" xfId="33423"/>
    <cellStyle name="Output 37 2 2 3 2" xfId="33424"/>
    <cellStyle name="Output 37 2 2 4" xfId="33425"/>
    <cellStyle name="Output 37 2 2 4 2" xfId="33426"/>
    <cellStyle name="Output 37 2 2 5" xfId="33427"/>
    <cellStyle name="Output 37 2 2 6" xfId="33428"/>
    <cellStyle name="Output 37 2 2 7" xfId="33429"/>
    <cellStyle name="Output 37 2 2 8" xfId="33430"/>
    <cellStyle name="Output 37 2 2 9" xfId="33431"/>
    <cellStyle name="Output 37 2 3" xfId="33432"/>
    <cellStyle name="Output 37 2 3 2" xfId="33433"/>
    <cellStyle name="Output 37 2 3 2 2" xfId="33434"/>
    <cellStyle name="Output 37 2 3 2 3" xfId="33435"/>
    <cellStyle name="Output 37 2 3 3" xfId="33436"/>
    <cellStyle name="Output 37 2 3 3 2" xfId="33437"/>
    <cellStyle name="Output 37 2 3 4" xfId="33438"/>
    <cellStyle name="Output 37 2 3 5" xfId="33439"/>
    <cellStyle name="Output 37 2 3 6" xfId="33440"/>
    <cellStyle name="Output 37 2 4" xfId="33441"/>
    <cellStyle name="Output 37 2 4 2" xfId="33442"/>
    <cellStyle name="Output 37 2 4 3" xfId="33443"/>
    <cellStyle name="Output 37 2 5" xfId="33444"/>
    <cellStyle name="Output 37 2 6" xfId="33445"/>
    <cellStyle name="Output 37 2 7" xfId="33446"/>
    <cellStyle name="Output 37 2 8" xfId="33447"/>
    <cellStyle name="Output 37 2 9" xfId="33418"/>
    <cellStyle name="Output 37 3" xfId="6978"/>
    <cellStyle name="Output 37 3 2" xfId="33449"/>
    <cellStyle name="Output 37 3 2 2" xfId="33450"/>
    <cellStyle name="Output 37 3 2 2 2" xfId="33451"/>
    <cellStyle name="Output 37 3 2 3" xfId="33452"/>
    <cellStyle name="Output 37 3 2 3 2" xfId="33453"/>
    <cellStyle name="Output 37 3 2 4" xfId="33454"/>
    <cellStyle name="Output 37 3 2 4 2" xfId="33455"/>
    <cellStyle name="Output 37 3 2 5" xfId="33456"/>
    <cellStyle name="Output 37 3 2 6" xfId="33457"/>
    <cellStyle name="Output 37 3 2 7" xfId="33458"/>
    <cellStyle name="Output 37 3 2 8" xfId="33459"/>
    <cellStyle name="Output 37 3 2 9" xfId="33460"/>
    <cellStyle name="Output 37 3 3" xfId="33461"/>
    <cellStyle name="Output 37 3 3 2" xfId="33462"/>
    <cellStyle name="Output 37 3 3 2 2" xfId="33463"/>
    <cellStyle name="Output 37 3 3 3" xfId="33464"/>
    <cellStyle name="Output 37 3 3 3 2" xfId="33465"/>
    <cellStyle name="Output 37 3 3 4" xfId="33466"/>
    <cellStyle name="Output 37 3 3 5" xfId="33467"/>
    <cellStyle name="Output 37 3 3 6" xfId="33468"/>
    <cellStyle name="Output 37 3 4" xfId="33469"/>
    <cellStyle name="Output 37 3 4 2" xfId="33470"/>
    <cellStyle name="Output 37 3 5" xfId="33471"/>
    <cellStyle name="Output 37 3 6" xfId="33472"/>
    <cellStyle name="Output 37 3 7" xfId="33473"/>
    <cellStyle name="Output 37 3 8" xfId="33474"/>
    <cellStyle name="Output 37 3 9" xfId="33448"/>
    <cellStyle name="Output 37 4" xfId="6979"/>
    <cellStyle name="Output 37 4 10" xfId="33475"/>
    <cellStyle name="Output 37 4 2" xfId="6980"/>
    <cellStyle name="Output 37 4 2 2" xfId="33477"/>
    <cellStyle name="Output 37 4 2 3" xfId="33478"/>
    <cellStyle name="Output 37 4 2 4" xfId="33476"/>
    <cellStyle name="Output 37 4 3" xfId="33479"/>
    <cellStyle name="Output 37 4 3 2" xfId="33480"/>
    <cellStyle name="Output 37 4 4" xfId="33481"/>
    <cellStyle name="Output 37 4 4 2" xfId="33482"/>
    <cellStyle name="Output 37 4 5" xfId="33483"/>
    <cellStyle name="Output 37 4 6" xfId="33484"/>
    <cellStyle name="Output 37 4 7" xfId="33485"/>
    <cellStyle name="Output 37 4 8" xfId="33486"/>
    <cellStyle name="Output 37 4 9" xfId="33487"/>
    <cellStyle name="Output 37 5" xfId="6981"/>
    <cellStyle name="Output 37 5 10" xfId="33488"/>
    <cellStyle name="Output 37 5 2" xfId="6982"/>
    <cellStyle name="Output 37 5 2 2" xfId="33490"/>
    <cellStyle name="Output 37 5 2 3" xfId="33491"/>
    <cellStyle name="Output 37 5 2 4" xfId="33489"/>
    <cellStyle name="Output 37 5 3" xfId="33492"/>
    <cellStyle name="Output 37 5 3 2" xfId="33493"/>
    <cellStyle name="Output 37 5 4" xfId="33494"/>
    <cellStyle name="Output 37 5 4 2" xfId="33495"/>
    <cellStyle name="Output 37 5 5" xfId="33496"/>
    <cellStyle name="Output 37 5 6" xfId="33497"/>
    <cellStyle name="Output 37 5 7" xfId="33498"/>
    <cellStyle name="Output 37 5 8" xfId="33499"/>
    <cellStyle name="Output 37 5 9" xfId="33500"/>
    <cellStyle name="Output 37 6" xfId="6983"/>
    <cellStyle name="Output 37 6 2" xfId="33502"/>
    <cellStyle name="Output 37 6 2 2" xfId="33503"/>
    <cellStyle name="Output 37 6 3" xfId="33504"/>
    <cellStyle name="Output 37 6 3 2" xfId="33505"/>
    <cellStyle name="Output 37 6 4" xfId="33506"/>
    <cellStyle name="Output 37 6 5" xfId="33507"/>
    <cellStyle name="Output 37 6 6" xfId="33508"/>
    <cellStyle name="Output 37 6 7" xfId="33501"/>
    <cellStyle name="Output 37 7" xfId="6984"/>
    <cellStyle name="Output 37 7 2" xfId="33510"/>
    <cellStyle name="Output 37 7 3" xfId="33509"/>
    <cellStyle name="Output 37 8" xfId="8436"/>
    <cellStyle name="Output 37 9" xfId="33511"/>
    <cellStyle name="Output 38" xfId="1910"/>
    <cellStyle name="Output 38 10" xfId="33513"/>
    <cellStyle name="Output 38 11" xfId="33514"/>
    <cellStyle name="Output 38 12" xfId="33512"/>
    <cellStyle name="Output 38 2" xfId="6985"/>
    <cellStyle name="Output 38 2 2" xfId="33515"/>
    <cellStyle name="Output 38 2 2 2" xfId="33516"/>
    <cellStyle name="Output 38 2 2 2 2" xfId="33517"/>
    <cellStyle name="Output 38 2 2 3" xfId="33518"/>
    <cellStyle name="Output 38 2 2 3 2" xfId="33519"/>
    <cellStyle name="Output 38 2 2 4" xfId="33520"/>
    <cellStyle name="Output 38 2 2 4 2" xfId="33521"/>
    <cellStyle name="Output 38 2 2 5" xfId="33522"/>
    <cellStyle name="Output 38 2 2 6" xfId="33523"/>
    <cellStyle name="Output 38 2 2 7" xfId="33524"/>
    <cellStyle name="Output 38 2 2 8" xfId="33525"/>
    <cellStyle name="Output 38 2 2 9" xfId="33526"/>
    <cellStyle name="Output 38 3" xfId="6986"/>
    <cellStyle name="Output 38 3 10" xfId="33527"/>
    <cellStyle name="Output 38 3 2" xfId="6987"/>
    <cellStyle name="Output 38 3 2 2" xfId="33529"/>
    <cellStyle name="Output 38 3 2 3" xfId="33528"/>
    <cellStyle name="Output 38 3 3" xfId="33530"/>
    <cellStyle name="Output 38 3 3 2" xfId="33531"/>
    <cellStyle name="Output 38 3 4" xfId="33532"/>
    <cellStyle name="Output 38 3 4 2" xfId="33533"/>
    <cellStyle name="Output 38 3 5" xfId="33534"/>
    <cellStyle name="Output 38 3 6" xfId="33535"/>
    <cellStyle name="Output 38 3 7" xfId="33536"/>
    <cellStyle name="Output 38 3 8" xfId="33537"/>
    <cellStyle name="Output 38 3 9" xfId="33538"/>
    <cellStyle name="Output 38 4" xfId="6988"/>
    <cellStyle name="Output 38 4 10" xfId="33539"/>
    <cellStyle name="Output 38 4 2" xfId="33540"/>
    <cellStyle name="Output 38 4 2 2" xfId="33541"/>
    <cellStyle name="Output 38 4 3" xfId="33542"/>
    <cellStyle name="Output 38 4 3 2" xfId="33543"/>
    <cellStyle name="Output 38 4 4" xfId="33544"/>
    <cellStyle name="Output 38 4 4 2" xfId="33545"/>
    <cellStyle name="Output 38 4 5" xfId="33546"/>
    <cellStyle name="Output 38 4 6" xfId="33547"/>
    <cellStyle name="Output 38 4 7" xfId="33548"/>
    <cellStyle name="Output 38 4 8" xfId="33549"/>
    <cellStyle name="Output 38 4 9" xfId="33550"/>
    <cellStyle name="Output 38 5" xfId="6989"/>
    <cellStyle name="Output 38 5 10" xfId="33551"/>
    <cellStyle name="Output 38 5 2" xfId="33552"/>
    <cellStyle name="Output 38 5 2 2" xfId="33553"/>
    <cellStyle name="Output 38 5 3" xfId="33554"/>
    <cellStyle name="Output 38 5 3 2" xfId="33555"/>
    <cellStyle name="Output 38 5 4" xfId="33556"/>
    <cellStyle name="Output 38 5 4 2" xfId="33557"/>
    <cellStyle name="Output 38 5 5" xfId="33558"/>
    <cellStyle name="Output 38 5 6" xfId="33559"/>
    <cellStyle name="Output 38 5 7" xfId="33560"/>
    <cellStyle name="Output 38 5 8" xfId="33561"/>
    <cellStyle name="Output 38 5 9" xfId="33562"/>
    <cellStyle name="Output 38 6" xfId="6990"/>
    <cellStyle name="Output 38 6 2" xfId="6991"/>
    <cellStyle name="Output 38 6 2 2" xfId="33565"/>
    <cellStyle name="Output 38 6 2 3" xfId="33564"/>
    <cellStyle name="Output 38 6 3" xfId="33566"/>
    <cellStyle name="Output 38 6 3 2" xfId="33567"/>
    <cellStyle name="Output 38 6 4" xfId="33568"/>
    <cellStyle name="Output 38 6 5" xfId="33569"/>
    <cellStyle name="Output 38 6 6" xfId="33570"/>
    <cellStyle name="Output 38 6 7" xfId="33563"/>
    <cellStyle name="Output 38 7" xfId="6992"/>
    <cellStyle name="Output 38 7 2" xfId="6993"/>
    <cellStyle name="Output 38 7 2 2" xfId="33572"/>
    <cellStyle name="Output 38 7 3" xfId="33571"/>
    <cellStyle name="Output 38 8" xfId="33573"/>
    <cellStyle name="Output 38 9" xfId="33574"/>
    <cellStyle name="Output 39" xfId="7841"/>
    <cellStyle name="Output 39 2" xfId="33576"/>
    <cellStyle name="Output 39 3" xfId="33577"/>
    <cellStyle name="Output 39 4" xfId="33575"/>
    <cellStyle name="Output 4" xfId="1925"/>
    <cellStyle name="Output 4 10" xfId="33578"/>
    <cellStyle name="Output 4 11" xfId="33579"/>
    <cellStyle name="Output 4 2" xfId="1926"/>
    <cellStyle name="Output 4 2 2" xfId="1927"/>
    <cellStyle name="Output 4 2 2 2" xfId="8241"/>
    <cellStyle name="Output 4 2 2 2 2" xfId="33580"/>
    <cellStyle name="Output 4 2 2 2 3" xfId="33581"/>
    <cellStyle name="Output 4 2 2 3" xfId="33582"/>
    <cellStyle name="Output 4 2 2 3 2" xfId="33583"/>
    <cellStyle name="Output 4 2 2 4" xfId="33584"/>
    <cellStyle name="Output 4 2 2 4 2" xfId="33585"/>
    <cellStyle name="Output 4 2 2 5" xfId="33586"/>
    <cellStyle name="Output 4 2 2 6" xfId="33587"/>
    <cellStyle name="Output 4 2 2 7" xfId="33588"/>
    <cellStyle name="Output 4 2 2 8" xfId="33589"/>
    <cellStyle name="Output 4 2 2 9" xfId="33590"/>
    <cellStyle name="Output 4 2 3" xfId="6994"/>
    <cellStyle name="Output 4 2 3 2" xfId="33592"/>
    <cellStyle name="Output 4 2 3 2 2" xfId="33593"/>
    <cellStyle name="Output 4 2 3 2 3" xfId="33594"/>
    <cellStyle name="Output 4 2 3 3" xfId="33595"/>
    <cellStyle name="Output 4 2 3 3 2" xfId="33596"/>
    <cellStyle name="Output 4 2 3 4" xfId="33597"/>
    <cellStyle name="Output 4 2 3 5" xfId="33598"/>
    <cellStyle name="Output 4 2 3 6" xfId="33599"/>
    <cellStyle name="Output 4 2 3 7" xfId="33591"/>
    <cellStyle name="Output 4 2 4" xfId="6995"/>
    <cellStyle name="Output 4 2 4 2" xfId="6996"/>
    <cellStyle name="Output 4 2 4 2 2" xfId="33601"/>
    <cellStyle name="Output 4 2 4 3" xfId="33602"/>
    <cellStyle name="Output 4 2 4 4" xfId="33600"/>
    <cellStyle name="Output 4 2 5" xfId="6997"/>
    <cellStyle name="Output 4 2 5 2" xfId="6998"/>
    <cellStyle name="Output 4 2 5 3" xfId="33603"/>
    <cellStyle name="Output 4 2 6" xfId="6999"/>
    <cellStyle name="Output 4 2 6 2" xfId="33604"/>
    <cellStyle name="Output 4 2 7" xfId="7000"/>
    <cellStyle name="Output 4 2 7 2" xfId="33605"/>
    <cellStyle name="Output 4 2 8" xfId="8240"/>
    <cellStyle name="Output 4 3" xfId="1928"/>
    <cellStyle name="Output 4 3 2" xfId="1929"/>
    <cellStyle name="Output 4 3 2 2" xfId="8243"/>
    <cellStyle name="Output 4 3 2 2 2" xfId="33606"/>
    <cellStyle name="Output 4 3 2 3" xfId="33607"/>
    <cellStyle name="Output 4 3 2 3 2" xfId="33608"/>
    <cellStyle name="Output 4 3 2 4" xfId="33609"/>
    <cellStyle name="Output 4 3 2 4 2" xfId="33610"/>
    <cellStyle name="Output 4 3 2 5" xfId="33611"/>
    <cellStyle name="Output 4 3 2 6" xfId="33612"/>
    <cellStyle name="Output 4 3 2 7" xfId="33613"/>
    <cellStyle name="Output 4 3 2 8" xfId="33614"/>
    <cellStyle name="Output 4 3 2 9" xfId="33615"/>
    <cellStyle name="Output 4 3 3" xfId="8242"/>
    <cellStyle name="Output 4 3 3 2" xfId="33616"/>
    <cellStyle name="Output 4 3 3 2 2" xfId="33617"/>
    <cellStyle name="Output 4 3 3 3" xfId="33618"/>
    <cellStyle name="Output 4 3 3 3 2" xfId="33619"/>
    <cellStyle name="Output 4 3 3 4" xfId="33620"/>
    <cellStyle name="Output 4 3 3 5" xfId="33621"/>
    <cellStyle name="Output 4 3 3 6" xfId="33622"/>
    <cellStyle name="Output 4 3 4" xfId="33623"/>
    <cellStyle name="Output 4 3 4 2" xfId="33624"/>
    <cellStyle name="Output 4 3 5" xfId="33625"/>
    <cellStyle name="Output 4 3 6" xfId="33626"/>
    <cellStyle name="Output 4 3 7" xfId="33627"/>
    <cellStyle name="Output 4 3 8" xfId="33628"/>
    <cellStyle name="Output 4 4" xfId="1930"/>
    <cellStyle name="Output 4 4 2" xfId="8244"/>
    <cellStyle name="Output 4 4 2 2" xfId="33629"/>
    <cellStyle name="Output 4 4 2 3" xfId="33630"/>
    <cellStyle name="Output 4 4 3" xfId="33631"/>
    <cellStyle name="Output 4 4 3 2" xfId="33632"/>
    <cellStyle name="Output 4 4 4" xfId="33633"/>
    <cellStyle name="Output 4 4 4 2" xfId="33634"/>
    <cellStyle name="Output 4 4 5" xfId="33635"/>
    <cellStyle name="Output 4 4 6" xfId="33636"/>
    <cellStyle name="Output 4 4 7" xfId="33637"/>
    <cellStyle name="Output 4 4 8" xfId="33638"/>
    <cellStyle name="Output 4 4 9" xfId="33639"/>
    <cellStyle name="Output 4 5" xfId="7001"/>
    <cellStyle name="Output 4 5 10" xfId="33640"/>
    <cellStyle name="Output 4 5 2" xfId="7002"/>
    <cellStyle name="Output 4 5 2 2" xfId="33642"/>
    <cellStyle name="Output 4 5 2 3" xfId="33643"/>
    <cellStyle name="Output 4 5 2 4" xfId="33641"/>
    <cellStyle name="Output 4 5 3" xfId="33644"/>
    <cellStyle name="Output 4 5 3 2" xfId="33645"/>
    <cellStyle name="Output 4 5 4" xfId="33646"/>
    <cellStyle name="Output 4 5 4 2" xfId="33647"/>
    <cellStyle name="Output 4 5 5" xfId="33648"/>
    <cellStyle name="Output 4 5 6" xfId="33649"/>
    <cellStyle name="Output 4 5 7" xfId="33650"/>
    <cellStyle name="Output 4 5 8" xfId="33651"/>
    <cellStyle name="Output 4 5 9" xfId="33652"/>
    <cellStyle name="Output 4 6" xfId="7003"/>
    <cellStyle name="Output 4 6 2" xfId="7004"/>
    <cellStyle name="Output 4 6 2 2" xfId="33655"/>
    <cellStyle name="Output 4 6 2 3" xfId="33654"/>
    <cellStyle name="Output 4 6 3" xfId="33656"/>
    <cellStyle name="Output 4 6 3 2" xfId="33657"/>
    <cellStyle name="Output 4 6 4" xfId="33658"/>
    <cellStyle name="Output 4 6 5" xfId="33659"/>
    <cellStyle name="Output 4 6 6" xfId="33660"/>
    <cellStyle name="Output 4 6 7" xfId="33653"/>
    <cellStyle name="Output 4 7" xfId="7005"/>
    <cellStyle name="Output 4 7 2" xfId="33662"/>
    <cellStyle name="Output 4 7 3" xfId="33661"/>
    <cellStyle name="Output 4 8" xfId="7006"/>
    <cellStyle name="Output 4 8 2" xfId="33663"/>
    <cellStyle name="Output 4 9" xfId="8239"/>
    <cellStyle name="Output 40" xfId="8224"/>
    <cellStyle name="Output 5" xfId="1931"/>
    <cellStyle name="Output 5 10" xfId="33664"/>
    <cellStyle name="Output 5 11" xfId="33665"/>
    <cellStyle name="Output 5 2" xfId="1932"/>
    <cellStyle name="Output 5 2 2" xfId="7007"/>
    <cellStyle name="Output 5 2 2 10" xfId="33666"/>
    <cellStyle name="Output 5 2 2 2" xfId="33667"/>
    <cellStyle name="Output 5 2 2 2 2" xfId="33668"/>
    <cellStyle name="Output 5 2 2 2 3" xfId="33669"/>
    <cellStyle name="Output 5 2 2 3" xfId="33670"/>
    <cellStyle name="Output 5 2 2 3 2" xfId="33671"/>
    <cellStyle name="Output 5 2 2 4" xfId="33672"/>
    <cellStyle name="Output 5 2 2 4 2" xfId="33673"/>
    <cellStyle name="Output 5 2 2 5" xfId="33674"/>
    <cellStyle name="Output 5 2 2 6" xfId="33675"/>
    <cellStyle name="Output 5 2 2 7" xfId="33676"/>
    <cellStyle name="Output 5 2 2 8" xfId="33677"/>
    <cellStyle name="Output 5 2 2 9" xfId="33678"/>
    <cellStyle name="Output 5 2 3" xfId="7008"/>
    <cellStyle name="Output 5 2 3 2" xfId="33680"/>
    <cellStyle name="Output 5 2 3 2 2" xfId="33681"/>
    <cellStyle name="Output 5 2 3 2 3" xfId="33682"/>
    <cellStyle name="Output 5 2 3 3" xfId="33683"/>
    <cellStyle name="Output 5 2 3 3 2" xfId="33684"/>
    <cellStyle name="Output 5 2 3 4" xfId="33685"/>
    <cellStyle name="Output 5 2 3 5" xfId="33686"/>
    <cellStyle name="Output 5 2 3 6" xfId="33687"/>
    <cellStyle name="Output 5 2 3 7" xfId="33679"/>
    <cellStyle name="Output 5 2 4" xfId="7009"/>
    <cellStyle name="Output 5 2 4 2" xfId="7010"/>
    <cellStyle name="Output 5 2 4 2 2" xfId="33689"/>
    <cellStyle name="Output 5 2 4 3" xfId="33690"/>
    <cellStyle name="Output 5 2 4 4" xfId="33688"/>
    <cellStyle name="Output 5 2 5" xfId="7011"/>
    <cellStyle name="Output 5 2 5 2" xfId="7012"/>
    <cellStyle name="Output 5 2 5 3" xfId="33691"/>
    <cellStyle name="Output 5 2 6" xfId="7013"/>
    <cellStyle name="Output 5 2 6 2" xfId="33692"/>
    <cellStyle name="Output 5 2 7" xfId="7014"/>
    <cellStyle name="Output 5 2 7 2" xfId="33693"/>
    <cellStyle name="Output 5 2 8" xfId="8246"/>
    <cellStyle name="Output 5 3" xfId="7015"/>
    <cellStyle name="Output 5 3 2" xfId="33695"/>
    <cellStyle name="Output 5 3 2 2" xfId="33696"/>
    <cellStyle name="Output 5 3 2 2 2" xfId="33697"/>
    <cellStyle name="Output 5 3 2 3" xfId="33698"/>
    <cellStyle name="Output 5 3 2 3 2" xfId="33699"/>
    <cellStyle name="Output 5 3 2 4" xfId="33700"/>
    <cellStyle name="Output 5 3 2 4 2" xfId="33701"/>
    <cellStyle name="Output 5 3 2 5" xfId="33702"/>
    <cellStyle name="Output 5 3 2 6" xfId="33703"/>
    <cellStyle name="Output 5 3 2 7" xfId="33704"/>
    <cellStyle name="Output 5 3 2 8" xfId="33705"/>
    <cellStyle name="Output 5 3 2 9" xfId="33706"/>
    <cellStyle name="Output 5 3 3" xfId="33707"/>
    <cellStyle name="Output 5 3 3 2" xfId="33708"/>
    <cellStyle name="Output 5 3 3 2 2" xfId="33709"/>
    <cellStyle name="Output 5 3 3 3" xfId="33710"/>
    <cellStyle name="Output 5 3 3 3 2" xfId="33711"/>
    <cellStyle name="Output 5 3 3 4" xfId="33712"/>
    <cellStyle name="Output 5 3 3 5" xfId="33713"/>
    <cellStyle name="Output 5 3 3 6" xfId="33714"/>
    <cellStyle name="Output 5 3 4" xfId="33715"/>
    <cellStyle name="Output 5 3 4 2" xfId="33716"/>
    <cellStyle name="Output 5 3 5" xfId="33717"/>
    <cellStyle name="Output 5 3 6" xfId="33718"/>
    <cellStyle name="Output 5 3 7" xfId="33719"/>
    <cellStyle name="Output 5 3 8" xfId="33720"/>
    <cellStyle name="Output 5 3 9" xfId="33694"/>
    <cellStyle name="Output 5 4" xfId="7016"/>
    <cellStyle name="Output 5 4 10" xfId="33721"/>
    <cellStyle name="Output 5 4 2" xfId="33722"/>
    <cellStyle name="Output 5 4 2 2" xfId="33723"/>
    <cellStyle name="Output 5 4 2 3" xfId="33724"/>
    <cellStyle name="Output 5 4 3" xfId="33725"/>
    <cellStyle name="Output 5 4 3 2" xfId="33726"/>
    <cellStyle name="Output 5 4 4" xfId="33727"/>
    <cellStyle name="Output 5 4 4 2" xfId="33728"/>
    <cellStyle name="Output 5 4 5" xfId="33729"/>
    <cellStyle name="Output 5 4 6" xfId="33730"/>
    <cellStyle name="Output 5 4 7" xfId="33731"/>
    <cellStyle name="Output 5 4 8" xfId="33732"/>
    <cellStyle name="Output 5 4 9" xfId="33733"/>
    <cellStyle name="Output 5 5" xfId="7017"/>
    <cellStyle name="Output 5 5 10" xfId="33734"/>
    <cellStyle name="Output 5 5 2" xfId="7018"/>
    <cellStyle name="Output 5 5 2 2" xfId="33736"/>
    <cellStyle name="Output 5 5 2 3" xfId="33737"/>
    <cellStyle name="Output 5 5 2 4" xfId="33735"/>
    <cellStyle name="Output 5 5 3" xfId="33738"/>
    <cellStyle name="Output 5 5 3 2" xfId="33739"/>
    <cellStyle name="Output 5 5 4" xfId="33740"/>
    <cellStyle name="Output 5 5 4 2" xfId="33741"/>
    <cellStyle name="Output 5 5 5" xfId="33742"/>
    <cellStyle name="Output 5 5 6" xfId="33743"/>
    <cellStyle name="Output 5 5 7" xfId="33744"/>
    <cellStyle name="Output 5 5 8" xfId="33745"/>
    <cellStyle name="Output 5 5 9" xfId="33746"/>
    <cellStyle name="Output 5 6" xfId="7019"/>
    <cellStyle name="Output 5 6 2" xfId="7020"/>
    <cellStyle name="Output 5 6 2 2" xfId="33749"/>
    <cellStyle name="Output 5 6 2 3" xfId="33748"/>
    <cellStyle name="Output 5 6 3" xfId="33750"/>
    <cellStyle name="Output 5 6 3 2" xfId="33751"/>
    <cellStyle name="Output 5 6 4" xfId="33752"/>
    <cellStyle name="Output 5 6 5" xfId="33753"/>
    <cellStyle name="Output 5 6 6" xfId="33754"/>
    <cellStyle name="Output 5 6 7" xfId="33747"/>
    <cellStyle name="Output 5 7" xfId="7021"/>
    <cellStyle name="Output 5 7 2" xfId="33756"/>
    <cellStyle name="Output 5 7 3" xfId="33755"/>
    <cellStyle name="Output 5 8" xfId="7022"/>
    <cellStyle name="Output 5 8 2" xfId="33757"/>
    <cellStyle name="Output 5 9" xfId="8245"/>
    <cellStyle name="Output 6" xfId="1933"/>
    <cellStyle name="Output 6 10" xfId="7023"/>
    <cellStyle name="Output 6 10 2" xfId="33758"/>
    <cellStyle name="Output 6 11" xfId="33759"/>
    <cellStyle name="Output 6 2" xfId="1934"/>
    <cellStyle name="Output 6 2 10" xfId="33760"/>
    <cellStyle name="Output 6 2 2" xfId="1935"/>
    <cellStyle name="Output 6 2 2 10" xfId="33761"/>
    <cellStyle name="Output 6 2 2 2" xfId="7025"/>
    <cellStyle name="Output 6 2 2 2 2" xfId="33763"/>
    <cellStyle name="Output 6 2 2 2 3" xfId="33764"/>
    <cellStyle name="Output 6 2 2 2 4" xfId="33762"/>
    <cellStyle name="Output 6 2 2 3" xfId="8248"/>
    <cellStyle name="Output 6 2 2 3 2" xfId="33766"/>
    <cellStyle name="Output 6 2 2 3 3" xfId="33765"/>
    <cellStyle name="Output 6 2 2 4" xfId="33767"/>
    <cellStyle name="Output 6 2 2 4 2" xfId="33768"/>
    <cellStyle name="Output 6 2 2 5" xfId="33769"/>
    <cellStyle name="Output 6 2 2 6" xfId="33770"/>
    <cellStyle name="Output 6 2 2 7" xfId="33771"/>
    <cellStyle name="Output 6 2 2 8" xfId="33772"/>
    <cellStyle name="Output 6 2 2 9" xfId="33773"/>
    <cellStyle name="Output 6 2 3" xfId="7026"/>
    <cellStyle name="Output 6 2 3 2" xfId="33775"/>
    <cellStyle name="Output 6 2 3 2 2" xfId="33776"/>
    <cellStyle name="Output 6 2 3 2 3" xfId="33777"/>
    <cellStyle name="Output 6 2 3 3" xfId="33778"/>
    <cellStyle name="Output 6 2 3 3 2" xfId="33779"/>
    <cellStyle name="Output 6 2 3 4" xfId="33780"/>
    <cellStyle name="Output 6 2 3 5" xfId="33781"/>
    <cellStyle name="Output 6 2 3 6" xfId="33782"/>
    <cellStyle name="Output 6 2 3 7" xfId="33774"/>
    <cellStyle name="Output 6 2 4" xfId="7027"/>
    <cellStyle name="Output 6 2 4 2" xfId="7028"/>
    <cellStyle name="Output 6 2 4 2 2" xfId="33784"/>
    <cellStyle name="Output 6 2 4 3" xfId="33785"/>
    <cellStyle name="Output 6 2 4 4" xfId="33783"/>
    <cellStyle name="Output 6 2 5" xfId="7029"/>
    <cellStyle name="Output 6 2 5 2" xfId="7030"/>
    <cellStyle name="Output 6 2 5 3" xfId="33786"/>
    <cellStyle name="Output 6 2 6" xfId="7031"/>
    <cellStyle name="Output 6 2 6 2" xfId="33787"/>
    <cellStyle name="Output 6 2 7" xfId="7032"/>
    <cellStyle name="Output 6 2 7 2" xfId="33788"/>
    <cellStyle name="Output 6 2 8" xfId="7024"/>
    <cellStyle name="Output 6 2 8 2" xfId="33789"/>
    <cellStyle name="Output 6 2 9" xfId="8247"/>
    <cellStyle name="Output 6 3" xfId="1936"/>
    <cellStyle name="Output 6 3 2" xfId="7034"/>
    <cellStyle name="Output 6 3 2 10" xfId="33791"/>
    <cellStyle name="Output 6 3 2 2" xfId="33792"/>
    <cellStyle name="Output 6 3 2 2 2" xfId="33793"/>
    <cellStyle name="Output 6 3 2 3" xfId="33794"/>
    <cellStyle name="Output 6 3 2 3 2" xfId="33795"/>
    <cellStyle name="Output 6 3 2 4" xfId="33796"/>
    <cellStyle name="Output 6 3 2 4 2" xfId="33797"/>
    <cellStyle name="Output 6 3 2 5" xfId="33798"/>
    <cellStyle name="Output 6 3 2 6" xfId="33799"/>
    <cellStyle name="Output 6 3 2 7" xfId="33800"/>
    <cellStyle name="Output 6 3 2 8" xfId="33801"/>
    <cellStyle name="Output 6 3 2 9" xfId="33802"/>
    <cellStyle name="Output 6 3 3" xfId="7033"/>
    <cellStyle name="Output 6 3 3 2" xfId="33804"/>
    <cellStyle name="Output 6 3 3 2 2" xfId="33805"/>
    <cellStyle name="Output 6 3 3 3" xfId="33806"/>
    <cellStyle name="Output 6 3 3 3 2" xfId="33807"/>
    <cellStyle name="Output 6 3 3 4" xfId="33808"/>
    <cellStyle name="Output 6 3 3 5" xfId="33809"/>
    <cellStyle name="Output 6 3 3 6" xfId="33810"/>
    <cellStyle name="Output 6 3 3 7" xfId="33803"/>
    <cellStyle name="Output 6 3 4" xfId="8249"/>
    <cellStyle name="Output 6 3 4 2" xfId="33812"/>
    <cellStyle name="Output 6 3 4 3" xfId="33811"/>
    <cellStyle name="Output 6 3 5" xfId="33813"/>
    <cellStyle name="Output 6 3 6" xfId="33814"/>
    <cellStyle name="Output 6 3 7" xfId="33815"/>
    <cellStyle name="Output 6 3 8" xfId="33816"/>
    <cellStyle name="Output 6 3 9" xfId="33790"/>
    <cellStyle name="Output 6 4" xfId="1937"/>
    <cellStyle name="Output 6 4 10" xfId="33817"/>
    <cellStyle name="Output 6 4 2" xfId="7035"/>
    <cellStyle name="Output 6 4 2 2" xfId="33819"/>
    <cellStyle name="Output 6 4 2 3" xfId="33820"/>
    <cellStyle name="Output 6 4 2 4" xfId="33818"/>
    <cellStyle name="Output 6 4 3" xfId="33821"/>
    <cellStyle name="Output 6 4 3 2" xfId="33822"/>
    <cellStyle name="Output 6 4 4" xfId="33823"/>
    <cellStyle name="Output 6 4 4 2" xfId="33824"/>
    <cellStyle name="Output 6 4 5" xfId="33825"/>
    <cellStyle name="Output 6 4 6" xfId="33826"/>
    <cellStyle name="Output 6 4 7" xfId="33827"/>
    <cellStyle name="Output 6 4 8" xfId="33828"/>
    <cellStyle name="Output 6 4 9" xfId="33829"/>
    <cellStyle name="Output 6 5" xfId="2852"/>
    <cellStyle name="Output 6 5 2" xfId="7036"/>
    <cellStyle name="Output 6 5 2 2" xfId="33831"/>
    <cellStyle name="Output 6 5 2 3" xfId="33832"/>
    <cellStyle name="Output 6 5 2 4" xfId="33830"/>
    <cellStyle name="Output 6 5 3" xfId="8437"/>
    <cellStyle name="Output 6 5 3 2" xfId="33833"/>
    <cellStyle name="Output 6 5 4" xfId="33834"/>
    <cellStyle name="Output 6 5 4 2" xfId="33835"/>
    <cellStyle name="Output 6 5 5" xfId="33836"/>
    <cellStyle name="Output 6 5 6" xfId="33837"/>
    <cellStyle name="Output 6 5 7" xfId="33838"/>
    <cellStyle name="Output 6 5 8" xfId="33839"/>
    <cellStyle name="Output 6 5 9" xfId="33840"/>
    <cellStyle name="Output 6 6" xfId="7037"/>
    <cellStyle name="Output 6 6 2" xfId="7038"/>
    <cellStyle name="Output 6 6 2 2" xfId="33843"/>
    <cellStyle name="Output 6 6 2 3" xfId="33842"/>
    <cellStyle name="Output 6 6 3" xfId="33844"/>
    <cellStyle name="Output 6 6 3 2" xfId="33845"/>
    <cellStyle name="Output 6 6 4" xfId="33846"/>
    <cellStyle name="Output 6 6 5" xfId="33847"/>
    <cellStyle name="Output 6 6 6" xfId="33848"/>
    <cellStyle name="Output 6 6 7" xfId="33841"/>
    <cellStyle name="Output 6 7" xfId="7039"/>
    <cellStyle name="Output 6 7 2" xfId="7040"/>
    <cellStyle name="Output 6 7 2 2" xfId="33850"/>
    <cellStyle name="Output 6 7 3" xfId="33849"/>
    <cellStyle name="Output 6 8" xfId="7041"/>
    <cellStyle name="Output 6 8 2" xfId="33851"/>
    <cellStyle name="Output 6 9" xfId="7042"/>
    <cellStyle name="Output 6 9 2" xfId="33852"/>
    <cellStyle name="Output 7" xfId="1938"/>
    <cellStyle name="Output 7 10" xfId="7043"/>
    <cellStyle name="Output 7 10 2" xfId="33853"/>
    <cellStyle name="Output 7 11" xfId="8250"/>
    <cellStyle name="Output 7 11 2" xfId="33854"/>
    <cellStyle name="Output 7 2" xfId="1939"/>
    <cellStyle name="Output 7 2 10" xfId="33855"/>
    <cellStyle name="Output 7 2 2" xfId="7045"/>
    <cellStyle name="Output 7 2 2 10" xfId="33856"/>
    <cellStyle name="Output 7 2 2 2" xfId="33857"/>
    <cellStyle name="Output 7 2 2 2 2" xfId="33858"/>
    <cellStyle name="Output 7 2 2 2 3" xfId="33859"/>
    <cellStyle name="Output 7 2 2 3" xfId="33860"/>
    <cellStyle name="Output 7 2 2 3 2" xfId="33861"/>
    <cellStyle name="Output 7 2 2 4" xfId="33862"/>
    <cellStyle name="Output 7 2 2 4 2" xfId="33863"/>
    <cellStyle name="Output 7 2 2 5" xfId="33864"/>
    <cellStyle name="Output 7 2 2 6" xfId="33865"/>
    <cellStyle name="Output 7 2 2 7" xfId="33866"/>
    <cellStyle name="Output 7 2 2 8" xfId="33867"/>
    <cellStyle name="Output 7 2 2 9" xfId="33868"/>
    <cellStyle name="Output 7 2 3" xfId="7046"/>
    <cellStyle name="Output 7 2 3 2" xfId="33870"/>
    <cellStyle name="Output 7 2 3 2 2" xfId="33871"/>
    <cellStyle name="Output 7 2 3 2 3" xfId="33872"/>
    <cellStyle name="Output 7 2 3 3" xfId="33873"/>
    <cellStyle name="Output 7 2 3 3 2" xfId="33874"/>
    <cellStyle name="Output 7 2 3 4" xfId="33875"/>
    <cellStyle name="Output 7 2 3 5" xfId="33876"/>
    <cellStyle name="Output 7 2 3 6" xfId="33877"/>
    <cellStyle name="Output 7 2 3 7" xfId="33869"/>
    <cellStyle name="Output 7 2 4" xfId="7047"/>
    <cellStyle name="Output 7 2 4 2" xfId="7048"/>
    <cellStyle name="Output 7 2 4 2 2" xfId="33879"/>
    <cellStyle name="Output 7 2 4 3" xfId="33880"/>
    <cellStyle name="Output 7 2 4 4" xfId="33878"/>
    <cellStyle name="Output 7 2 5" xfId="7049"/>
    <cellStyle name="Output 7 2 5 2" xfId="7050"/>
    <cellStyle name="Output 7 2 5 3" xfId="33881"/>
    <cellStyle name="Output 7 2 6" xfId="7051"/>
    <cellStyle name="Output 7 2 6 2" xfId="33882"/>
    <cellStyle name="Output 7 2 7" xfId="7052"/>
    <cellStyle name="Output 7 2 7 2" xfId="33883"/>
    <cellStyle name="Output 7 2 8" xfId="7044"/>
    <cellStyle name="Output 7 2 8 2" xfId="33884"/>
    <cellStyle name="Output 7 2 9" xfId="8251"/>
    <cellStyle name="Output 7 3" xfId="2853"/>
    <cellStyle name="Output 7 3 2" xfId="7054"/>
    <cellStyle name="Output 7 3 2 10" xfId="33885"/>
    <cellStyle name="Output 7 3 2 2" xfId="33886"/>
    <cellStyle name="Output 7 3 2 2 2" xfId="33887"/>
    <cellStyle name="Output 7 3 2 3" xfId="33888"/>
    <cellStyle name="Output 7 3 2 3 2" xfId="33889"/>
    <cellStyle name="Output 7 3 2 4" xfId="33890"/>
    <cellStyle name="Output 7 3 2 4 2" xfId="33891"/>
    <cellStyle name="Output 7 3 2 5" xfId="33892"/>
    <cellStyle name="Output 7 3 2 6" xfId="33893"/>
    <cellStyle name="Output 7 3 2 7" xfId="33894"/>
    <cellStyle name="Output 7 3 2 8" xfId="33895"/>
    <cellStyle name="Output 7 3 2 9" xfId="33896"/>
    <cellStyle name="Output 7 3 3" xfId="7053"/>
    <cellStyle name="Output 7 3 3 2" xfId="33898"/>
    <cellStyle name="Output 7 3 3 2 2" xfId="33899"/>
    <cellStyle name="Output 7 3 3 3" xfId="33900"/>
    <cellStyle name="Output 7 3 3 3 2" xfId="33901"/>
    <cellStyle name="Output 7 3 3 4" xfId="33902"/>
    <cellStyle name="Output 7 3 3 5" xfId="33903"/>
    <cellStyle name="Output 7 3 3 6" xfId="33904"/>
    <cellStyle name="Output 7 3 3 7" xfId="33897"/>
    <cellStyle name="Output 7 3 4" xfId="8438"/>
    <cellStyle name="Output 7 3 4 2" xfId="33905"/>
    <cellStyle name="Output 7 3 5" xfId="33906"/>
    <cellStyle name="Output 7 3 6" xfId="33907"/>
    <cellStyle name="Output 7 3 7" xfId="33908"/>
    <cellStyle name="Output 7 3 8" xfId="33909"/>
    <cellStyle name="Output 7 4" xfId="7055"/>
    <cellStyle name="Output 7 4 10" xfId="33910"/>
    <cellStyle name="Output 7 4 2" xfId="33911"/>
    <cellStyle name="Output 7 4 2 2" xfId="33912"/>
    <cellStyle name="Output 7 4 2 3" xfId="33913"/>
    <cellStyle name="Output 7 4 3" xfId="33914"/>
    <cellStyle name="Output 7 4 3 2" xfId="33915"/>
    <cellStyle name="Output 7 4 4" xfId="33916"/>
    <cellStyle name="Output 7 4 4 2" xfId="33917"/>
    <cellStyle name="Output 7 4 5" xfId="33918"/>
    <cellStyle name="Output 7 4 6" xfId="33919"/>
    <cellStyle name="Output 7 4 7" xfId="33920"/>
    <cellStyle name="Output 7 4 8" xfId="33921"/>
    <cellStyle name="Output 7 4 9" xfId="33922"/>
    <cellStyle name="Output 7 5" xfId="7056"/>
    <cellStyle name="Output 7 5 10" xfId="33923"/>
    <cellStyle name="Output 7 5 2" xfId="33924"/>
    <cellStyle name="Output 7 5 2 2" xfId="33925"/>
    <cellStyle name="Output 7 5 2 3" xfId="33926"/>
    <cellStyle name="Output 7 5 3" xfId="33927"/>
    <cellStyle name="Output 7 5 3 2" xfId="33928"/>
    <cellStyle name="Output 7 5 4" xfId="33929"/>
    <cellStyle name="Output 7 5 4 2" xfId="33930"/>
    <cellStyle name="Output 7 5 5" xfId="33931"/>
    <cellStyle name="Output 7 5 6" xfId="33932"/>
    <cellStyle name="Output 7 5 7" xfId="33933"/>
    <cellStyle name="Output 7 5 8" xfId="33934"/>
    <cellStyle name="Output 7 5 9" xfId="33935"/>
    <cellStyle name="Output 7 6" xfId="7057"/>
    <cellStyle name="Output 7 6 2" xfId="7058"/>
    <cellStyle name="Output 7 6 2 2" xfId="33938"/>
    <cellStyle name="Output 7 6 2 3" xfId="33937"/>
    <cellStyle name="Output 7 6 3" xfId="33939"/>
    <cellStyle name="Output 7 6 3 2" xfId="33940"/>
    <cellStyle name="Output 7 6 4" xfId="33941"/>
    <cellStyle name="Output 7 6 5" xfId="33942"/>
    <cellStyle name="Output 7 6 6" xfId="33943"/>
    <cellStyle name="Output 7 6 7" xfId="33936"/>
    <cellStyle name="Output 7 7" xfId="7059"/>
    <cellStyle name="Output 7 7 2" xfId="7060"/>
    <cellStyle name="Output 7 7 2 2" xfId="33945"/>
    <cellStyle name="Output 7 7 3" xfId="33944"/>
    <cellStyle name="Output 7 8" xfId="7061"/>
    <cellStyle name="Output 7 8 2" xfId="33946"/>
    <cellStyle name="Output 7 9" xfId="7062"/>
    <cellStyle name="Output 7 9 2" xfId="33947"/>
    <cellStyle name="Output 8" xfId="1940"/>
    <cellStyle name="Output 8 10" xfId="7063"/>
    <cellStyle name="Output 8 10 2" xfId="33948"/>
    <cellStyle name="Output 8 11" xfId="8252"/>
    <cellStyle name="Output 8 11 2" xfId="33949"/>
    <cellStyle name="Output 8 2" xfId="1941"/>
    <cellStyle name="Output 8 2 10" xfId="33950"/>
    <cellStyle name="Output 8 2 2" xfId="7065"/>
    <cellStyle name="Output 8 2 2 10" xfId="33951"/>
    <cellStyle name="Output 8 2 2 2" xfId="33952"/>
    <cellStyle name="Output 8 2 2 2 2" xfId="33953"/>
    <cellStyle name="Output 8 2 2 2 3" xfId="33954"/>
    <cellStyle name="Output 8 2 2 3" xfId="33955"/>
    <cellStyle name="Output 8 2 2 3 2" xfId="33956"/>
    <cellStyle name="Output 8 2 2 4" xfId="33957"/>
    <cellStyle name="Output 8 2 2 4 2" xfId="33958"/>
    <cellStyle name="Output 8 2 2 5" xfId="33959"/>
    <cellStyle name="Output 8 2 2 6" xfId="33960"/>
    <cellStyle name="Output 8 2 2 7" xfId="33961"/>
    <cellStyle name="Output 8 2 2 8" xfId="33962"/>
    <cellStyle name="Output 8 2 2 9" xfId="33963"/>
    <cellStyle name="Output 8 2 3" xfId="7066"/>
    <cellStyle name="Output 8 2 3 2" xfId="33965"/>
    <cellStyle name="Output 8 2 3 2 2" xfId="33966"/>
    <cellStyle name="Output 8 2 3 2 3" xfId="33967"/>
    <cellStyle name="Output 8 2 3 3" xfId="33968"/>
    <cellStyle name="Output 8 2 3 3 2" xfId="33969"/>
    <cellStyle name="Output 8 2 3 4" xfId="33970"/>
    <cellStyle name="Output 8 2 3 5" xfId="33971"/>
    <cellStyle name="Output 8 2 3 6" xfId="33972"/>
    <cellStyle name="Output 8 2 3 7" xfId="33964"/>
    <cellStyle name="Output 8 2 4" xfId="7067"/>
    <cellStyle name="Output 8 2 4 2" xfId="7068"/>
    <cellStyle name="Output 8 2 4 2 2" xfId="33974"/>
    <cellStyle name="Output 8 2 4 3" xfId="33975"/>
    <cellStyle name="Output 8 2 4 4" xfId="33973"/>
    <cellStyle name="Output 8 2 5" xfId="7069"/>
    <cellStyle name="Output 8 2 5 2" xfId="7070"/>
    <cellStyle name="Output 8 2 5 3" xfId="33976"/>
    <cellStyle name="Output 8 2 6" xfId="7071"/>
    <cellStyle name="Output 8 2 6 2" xfId="33977"/>
    <cellStyle name="Output 8 2 7" xfId="7072"/>
    <cellStyle name="Output 8 2 7 2" xfId="33978"/>
    <cellStyle name="Output 8 2 8" xfId="7064"/>
    <cellStyle name="Output 8 2 8 2" xfId="33979"/>
    <cellStyle name="Output 8 2 9" xfId="8253"/>
    <cellStyle name="Output 8 3" xfId="2854"/>
    <cellStyle name="Output 8 3 2" xfId="7074"/>
    <cellStyle name="Output 8 3 2 10" xfId="33980"/>
    <cellStyle name="Output 8 3 2 2" xfId="33981"/>
    <cellStyle name="Output 8 3 2 2 2" xfId="33982"/>
    <cellStyle name="Output 8 3 2 3" xfId="33983"/>
    <cellStyle name="Output 8 3 2 3 2" xfId="33984"/>
    <cellStyle name="Output 8 3 2 4" xfId="33985"/>
    <cellStyle name="Output 8 3 2 4 2" xfId="33986"/>
    <cellStyle name="Output 8 3 2 5" xfId="33987"/>
    <cellStyle name="Output 8 3 2 6" xfId="33988"/>
    <cellStyle name="Output 8 3 2 7" xfId="33989"/>
    <cellStyle name="Output 8 3 2 8" xfId="33990"/>
    <cellStyle name="Output 8 3 2 9" xfId="33991"/>
    <cellStyle name="Output 8 3 3" xfId="7073"/>
    <cellStyle name="Output 8 3 3 2" xfId="33993"/>
    <cellStyle name="Output 8 3 3 2 2" xfId="33994"/>
    <cellStyle name="Output 8 3 3 3" xfId="33995"/>
    <cellStyle name="Output 8 3 3 3 2" xfId="33996"/>
    <cellStyle name="Output 8 3 3 4" xfId="33997"/>
    <cellStyle name="Output 8 3 3 5" xfId="33998"/>
    <cellStyle name="Output 8 3 3 6" xfId="33999"/>
    <cellStyle name="Output 8 3 3 7" xfId="33992"/>
    <cellStyle name="Output 8 3 4" xfId="8439"/>
    <cellStyle name="Output 8 3 4 2" xfId="34000"/>
    <cellStyle name="Output 8 3 5" xfId="34001"/>
    <cellStyle name="Output 8 3 6" xfId="34002"/>
    <cellStyle name="Output 8 3 7" xfId="34003"/>
    <cellStyle name="Output 8 3 8" xfId="34004"/>
    <cellStyle name="Output 8 4" xfId="7075"/>
    <cellStyle name="Output 8 4 10" xfId="34005"/>
    <cellStyle name="Output 8 4 2" xfId="34006"/>
    <cellStyle name="Output 8 4 2 2" xfId="34007"/>
    <cellStyle name="Output 8 4 2 3" xfId="34008"/>
    <cellStyle name="Output 8 4 3" xfId="34009"/>
    <cellStyle name="Output 8 4 3 2" xfId="34010"/>
    <cellStyle name="Output 8 4 4" xfId="34011"/>
    <cellStyle name="Output 8 4 4 2" xfId="34012"/>
    <cellStyle name="Output 8 4 5" xfId="34013"/>
    <cellStyle name="Output 8 4 6" xfId="34014"/>
    <cellStyle name="Output 8 4 7" xfId="34015"/>
    <cellStyle name="Output 8 4 8" xfId="34016"/>
    <cellStyle name="Output 8 4 9" xfId="34017"/>
    <cellStyle name="Output 8 5" xfId="7076"/>
    <cellStyle name="Output 8 5 10" xfId="34018"/>
    <cellStyle name="Output 8 5 2" xfId="34019"/>
    <cellStyle name="Output 8 5 2 2" xfId="34020"/>
    <cellStyle name="Output 8 5 2 3" xfId="34021"/>
    <cellStyle name="Output 8 5 3" xfId="34022"/>
    <cellStyle name="Output 8 5 3 2" xfId="34023"/>
    <cellStyle name="Output 8 5 4" xfId="34024"/>
    <cellStyle name="Output 8 5 4 2" xfId="34025"/>
    <cellStyle name="Output 8 5 5" xfId="34026"/>
    <cellStyle name="Output 8 5 6" xfId="34027"/>
    <cellStyle name="Output 8 5 7" xfId="34028"/>
    <cellStyle name="Output 8 5 8" xfId="34029"/>
    <cellStyle name="Output 8 5 9" xfId="34030"/>
    <cellStyle name="Output 8 6" xfId="7077"/>
    <cellStyle name="Output 8 6 2" xfId="7078"/>
    <cellStyle name="Output 8 6 2 2" xfId="34033"/>
    <cellStyle name="Output 8 6 2 3" xfId="34032"/>
    <cellStyle name="Output 8 6 3" xfId="34034"/>
    <cellStyle name="Output 8 6 3 2" xfId="34035"/>
    <cellStyle name="Output 8 6 4" xfId="34036"/>
    <cellStyle name="Output 8 6 5" xfId="34037"/>
    <cellStyle name="Output 8 6 6" xfId="34038"/>
    <cellStyle name="Output 8 6 7" xfId="34031"/>
    <cellStyle name="Output 8 7" xfId="7079"/>
    <cellStyle name="Output 8 7 2" xfId="7080"/>
    <cellStyle name="Output 8 7 2 2" xfId="34040"/>
    <cellStyle name="Output 8 7 3" xfId="34039"/>
    <cellStyle name="Output 8 8" xfId="7081"/>
    <cellStyle name="Output 8 8 2" xfId="34041"/>
    <cellStyle name="Output 8 9" xfId="7082"/>
    <cellStyle name="Output 8 9 2" xfId="34042"/>
    <cellStyle name="Output 9" xfId="1942"/>
    <cellStyle name="Output 9 10" xfId="7083"/>
    <cellStyle name="Output 9 10 2" xfId="34043"/>
    <cellStyle name="Output 9 11" xfId="8254"/>
    <cellStyle name="Output 9 11 2" xfId="34044"/>
    <cellStyle name="Output 9 2" xfId="2855"/>
    <cellStyle name="Output 9 2 2" xfId="7084"/>
    <cellStyle name="Output 9 2 2 10" xfId="34045"/>
    <cellStyle name="Output 9 2 2 2" xfId="34046"/>
    <cellStyle name="Output 9 2 2 2 2" xfId="34047"/>
    <cellStyle name="Output 9 2 2 2 3" xfId="34048"/>
    <cellStyle name="Output 9 2 2 3" xfId="34049"/>
    <cellStyle name="Output 9 2 2 3 2" xfId="34050"/>
    <cellStyle name="Output 9 2 2 4" xfId="34051"/>
    <cellStyle name="Output 9 2 2 4 2" xfId="34052"/>
    <cellStyle name="Output 9 2 2 5" xfId="34053"/>
    <cellStyle name="Output 9 2 2 6" xfId="34054"/>
    <cellStyle name="Output 9 2 2 7" xfId="34055"/>
    <cellStyle name="Output 9 2 2 8" xfId="34056"/>
    <cellStyle name="Output 9 2 2 9" xfId="34057"/>
    <cellStyle name="Output 9 2 3" xfId="7085"/>
    <cellStyle name="Output 9 2 3 2" xfId="34059"/>
    <cellStyle name="Output 9 2 3 2 2" xfId="34060"/>
    <cellStyle name="Output 9 2 3 2 3" xfId="34061"/>
    <cellStyle name="Output 9 2 3 3" xfId="34062"/>
    <cellStyle name="Output 9 2 3 3 2" xfId="34063"/>
    <cellStyle name="Output 9 2 3 4" xfId="34064"/>
    <cellStyle name="Output 9 2 3 5" xfId="34065"/>
    <cellStyle name="Output 9 2 3 6" xfId="34066"/>
    <cellStyle name="Output 9 2 3 7" xfId="34058"/>
    <cellStyle name="Output 9 2 4" xfId="7086"/>
    <cellStyle name="Output 9 2 4 2" xfId="7087"/>
    <cellStyle name="Output 9 2 4 2 2" xfId="34068"/>
    <cellStyle name="Output 9 2 4 3" xfId="34069"/>
    <cellStyle name="Output 9 2 4 4" xfId="34067"/>
    <cellStyle name="Output 9 2 5" xfId="7088"/>
    <cellStyle name="Output 9 2 5 2" xfId="7089"/>
    <cellStyle name="Output 9 2 5 3" xfId="34070"/>
    <cellStyle name="Output 9 2 6" xfId="7090"/>
    <cellStyle name="Output 9 2 6 2" xfId="34071"/>
    <cellStyle name="Output 9 2 7" xfId="7091"/>
    <cellStyle name="Output 9 2 7 2" xfId="34072"/>
    <cellStyle name="Output 9 2 8" xfId="8440"/>
    <cellStyle name="Output 9 3" xfId="7092"/>
    <cellStyle name="Output 9 3 2" xfId="7093"/>
    <cellStyle name="Output 9 3 2 10" xfId="34074"/>
    <cellStyle name="Output 9 3 2 2" xfId="34075"/>
    <cellStyle name="Output 9 3 2 2 2" xfId="34076"/>
    <cellStyle name="Output 9 3 2 3" xfId="34077"/>
    <cellStyle name="Output 9 3 2 3 2" xfId="34078"/>
    <cellStyle name="Output 9 3 2 4" xfId="34079"/>
    <cellStyle name="Output 9 3 2 4 2" xfId="34080"/>
    <cellStyle name="Output 9 3 2 5" xfId="34081"/>
    <cellStyle name="Output 9 3 2 6" xfId="34082"/>
    <cellStyle name="Output 9 3 2 7" xfId="34083"/>
    <cellStyle name="Output 9 3 2 8" xfId="34084"/>
    <cellStyle name="Output 9 3 2 9" xfId="34085"/>
    <cellStyle name="Output 9 3 3" xfId="34086"/>
    <cellStyle name="Output 9 3 3 2" xfId="34087"/>
    <cellStyle name="Output 9 3 3 2 2" xfId="34088"/>
    <cellStyle name="Output 9 3 3 3" xfId="34089"/>
    <cellStyle name="Output 9 3 3 3 2" xfId="34090"/>
    <cellStyle name="Output 9 3 3 4" xfId="34091"/>
    <cellStyle name="Output 9 3 3 5" xfId="34092"/>
    <cellStyle name="Output 9 3 3 6" xfId="34093"/>
    <cellStyle name="Output 9 3 4" xfId="34094"/>
    <cellStyle name="Output 9 3 4 2" xfId="34095"/>
    <cellStyle name="Output 9 3 5" xfId="34096"/>
    <cellStyle name="Output 9 3 6" xfId="34097"/>
    <cellStyle name="Output 9 3 7" xfId="34098"/>
    <cellStyle name="Output 9 3 8" xfId="34099"/>
    <cellStyle name="Output 9 3 9" xfId="34073"/>
    <cellStyle name="Output 9 4" xfId="7094"/>
    <cellStyle name="Output 9 4 10" xfId="34100"/>
    <cellStyle name="Output 9 4 2" xfId="34101"/>
    <cellStyle name="Output 9 4 2 2" xfId="34102"/>
    <cellStyle name="Output 9 4 2 3" xfId="34103"/>
    <cellStyle name="Output 9 4 3" xfId="34104"/>
    <cellStyle name="Output 9 4 3 2" xfId="34105"/>
    <cellStyle name="Output 9 4 4" xfId="34106"/>
    <cellStyle name="Output 9 4 4 2" xfId="34107"/>
    <cellStyle name="Output 9 4 5" xfId="34108"/>
    <cellStyle name="Output 9 4 6" xfId="34109"/>
    <cellStyle name="Output 9 4 7" xfId="34110"/>
    <cellStyle name="Output 9 4 8" xfId="34111"/>
    <cellStyle name="Output 9 4 9" xfId="34112"/>
    <cellStyle name="Output 9 5" xfId="7095"/>
    <cellStyle name="Output 9 5 10" xfId="34113"/>
    <cellStyle name="Output 9 5 2" xfId="34114"/>
    <cellStyle name="Output 9 5 2 2" xfId="34115"/>
    <cellStyle name="Output 9 5 2 3" xfId="34116"/>
    <cellStyle name="Output 9 5 3" xfId="34117"/>
    <cellStyle name="Output 9 5 3 2" xfId="34118"/>
    <cellStyle name="Output 9 5 4" xfId="34119"/>
    <cellStyle name="Output 9 5 4 2" xfId="34120"/>
    <cellStyle name="Output 9 5 5" xfId="34121"/>
    <cellStyle name="Output 9 5 6" xfId="34122"/>
    <cellStyle name="Output 9 5 7" xfId="34123"/>
    <cellStyle name="Output 9 5 8" xfId="34124"/>
    <cellStyle name="Output 9 5 9" xfId="34125"/>
    <cellStyle name="Output 9 6" xfId="7096"/>
    <cellStyle name="Output 9 6 2" xfId="7097"/>
    <cellStyle name="Output 9 6 2 2" xfId="34128"/>
    <cellStyle name="Output 9 6 2 3" xfId="34127"/>
    <cellStyle name="Output 9 6 3" xfId="34129"/>
    <cellStyle name="Output 9 6 3 2" xfId="34130"/>
    <cellStyle name="Output 9 6 4" xfId="34131"/>
    <cellStyle name="Output 9 6 5" xfId="34132"/>
    <cellStyle name="Output 9 6 6" xfId="34133"/>
    <cellStyle name="Output 9 6 7" xfId="34126"/>
    <cellStyle name="Output 9 7" xfId="7098"/>
    <cellStyle name="Output 9 7 2" xfId="7099"/>
    <cellStyle name="Output 9 7 2 2" xfId="34135"/>
    <cellStyle name="Output 9 7 3" xfId="34134"/>
    <cellStyle name="Output 9 8" xfId="7100"/>
    <cellStyle name="Output 9 8 2" xfId="34136"/>
    <cellStyle name="Output 9 9" xfId="7101"/>
    <cellStyle name="Output 9 9 2" xfId="34137"/>
    <cellStyle name="OUTPUT AMOUNTS" xfId="1943"/>
    <cellStyle name="Output Amounts 2" xfId="1944"/>
    <cellStyle name="OUTPUT AMOUNTS 2 2" xfId="1945"/>
    <cellStyle name="OUTPUT AMOUNTS 3" xfId="7102"/>
    <cellStyle name="OUTPUT AMOUNTS 4" xfId="7103"/>
    <cellStyle name="OUTPUT AMOUNTS 5" xfId="7104"/>
    <cellStyle name="OUTPUT AMOUNTS 6" xfId="7105"/>
    <cellStyle name="OUTPUT AMOUNTS 7" xfId="7106"/>
    <cellStyle name="OUTPUT AMOUNTS 8" xfId="7842"/>
    <cellStyle name="OUTPUT AMOUNTS_accounts AAAF formatted - UFV Reviewed" xfId="3144"/>
    <cellStyle name="OUTPUT COLUMN HEADINGS" xfId="1946"/>
    <cellStyle name="Output Column Headings 2" xfId="1947"/>
    <cellStyle name="Output Column Headings_KP_-_ANNUAL_ACCOUNTS EPZ" xfId="1948"/>
    <cellStyle name="OUTPUT LINE ITEMS" xfId="1949"/>
    <cellStyle name="OUTPUT LINE ITEMS 10" xfId="34138"/>
    <cellStyle name="OUTPUT LINE ITEMS 11" xfId="34139"/>
    <cellStyle name="Output Line Items 2" xfId="1950"/>
    <cellStyle name="Output Line Items 2 2" xfId="34140"/>
    <cellStyle name="Output Line Items 2 2 2" xfId="34141"/>
    <cellStyle name="Output Line Items 2 2 2 2" xfId="34142"/>
    <cellStyle name="Output Line Items 2 3" xfId="34143"/>
    <cellStyle name="OUTPUT LINE ITEMS 3" xfId="34144"/>
    <cellStyle name="OUTPUT LINE ITEMS 3 2" xfId="34145"/>
    <cellStyle name="OUTPUT LINE ITEMS 3 2 2" xfId="34146"/>
    <cellStyle name="OUTPUT LINE ITEMS 4" xfId="34147"/>
    <cellStyle name="OUTPUT LINE ITEMS 4 2" xfId="34148"/>
    <cellStyle name="OUTPUT LINE ITEMS 5" xfId="34149"/>
    <cellStyle name="OUTPUT LINE ITEMS 5 2" xfId="34150"/>
    <cellStyle name="OUTPUT LINE ITEMS 6" xfId="34151"/>
    <cellStyle name="OUTPUT LINE ITEMS 6 2" xfId="34152"/>
    <cellStyle name="OUTPUT LINE ITEMS 7" xfId="34153"/>
    <cellStyle name="OUTPUT LINE ITEMS 7 2" xfId="34154"/>
    <cellStyle name="OUTPUT LINE ITEMS 8" xfId="34155"/>
    <cellStyle name="OUTPUT LINE ITEMS 9" xfId="34156"/>
    <cellStyle name="OUTPUT LINE ITEMS_Accounts (PCF)" xfId="1951"/>
    <cellStyle name="OUTPUT REPORT HEADING" xfId="1952"/>
    <cellStyle name="Output Report Heading 2" xfId="1953"/>
    <cellStyle name="Output Report Heading_KP_-_ANNUAL_ACCOUNTS EPZ" xfId="1954"/>
    <cellStyle name="OUTPUT REPORT TITLE" xfId="1955"/>
    <cellStyle name="Output Report Title 2" xfId="1956"/>
    <cellStyle name="Output Report Title_KP_-_ANNUAL_ACCOUNTS EPZ" xfId="1957"/>
    <cellStyle name="p/n" xfId="1958"/>
    <cellStyle name="p/n 2" xfId="1959"/>
    <cellStyle name="p/n 2 2" xfId="1960"/>
    <cellStyle name="p/n 3" xfId="1961"/>
    <cellStyle name="p/n 4" xfId="1962"/>
    <cellStyle name="Percent" xfId="4" builtinId="5"/>
    <cellStyle name="Percent [0]" xfId="2856"/>
    <cellStyle name="Percent [0] 2" xfId="34157"/>
    <cellStyle name="Percent [00]" xfId="2857"/>
    <cellStyle name="Percent [00] 2" xfId="34158"/>
    <cellStyle name="Percent [2]" xfId="1964"/>
    <cellStyle name="Percent [2] 10" xfId="2481"/>
    <cellStyle name="Percent [2] 11" xfId="2482"/>
    <cellStyle name="Percent [2] 12" xfId="2483"/>
    <cellStyle name="Percent [2] 13" xfId="2484"/>
    <cellStyle name="Percent [2] 14" xfId="2485"/>
    <cellStyle name="Percent [2] 15" xfId="2486"/>
    <cellStyle name="Percent [2] 16" xfId="2487"/>
    <cellStyle name="Percent [2] 17" xfId="2488"/>
    <cellStyle name="Percent [2] 18" xfId="2489"/>
    <cellStyle name="Percent [2] 19" xfId="2490"/>
    <cellStyle name="Percent [2] 2" xfId="1965"/>
    <cellStyle name="Percent [2] 2 2" xfId="1966"/>
    <cellStyle name="Percent [2] 2 2 2" xfId="34159"/>
    <cellStyle name="Percent [2] 2 3" xfId="34160"/>
    <cellStyle name="Percent [2] 2 4" xfId="34161"/>
    <cellStyle name="Percent [2] 20" xfId="7107"/>
    <cellStyle name="Percent [2] 21" xfId="7108"/>
    <cellStyle name="Percent [2] 3" xfId="1967"/>
    <cellStyle name="Percent [2] 4" xfId="1968"/>
    <cellStyle name="Percent [2] 4 2" xfId="2491"/>
    <cellStyle name="Percent [2] 5" xfId="2492"/>
    <cellStyle name="Percent [2] 6" xfId="2493"/>
    <cellStyle name="Percent [2] 7" xfId="2494"/>
    <cellStyle name="Percent [2] 8" xfId="2495"/>
    <cellStyle name="Percent [2] 9" xfId="2496"/>
    <cellStyle name="Percent [2]_Book1sarah" xfId="2858"/>
    <cellStyle name="Percent 10" xfId="1969"/>
    <cellStyle name="Percent 10 2" xfId="1970"/>
    <cellStyle name="Percent 10 2 2" xfId="7111"/>
    <cellStyle name="Percent 10 2 2 2" xfId="7112"/>
    <cellStyle name="Percent 10 2 3" xfId="7113"/>
    <cellStyle name="Percent 10 2 4" xfId="7114"/>
    <cellStyle name="Percent 10 2 5" xfId="7110"/>
    <cellStyle name="Percent 10 3" xfId="1971"/>
    <cellStyle name="Percent 10 3 2" xfId="7116"/>
    <cellStyle name="Percent 10 3 2 2" xfId="7117"/>
    <cellStyle name="Percent 10 3 3" xfId="7118"/>
    <cellStyle name="Percent 10 3 4" xfId="7119"/>
    <cellStyle name="Percent 10 3 5" xfId="7115"/>
    <cellStyle name="Percent 10 3 6" xfId="34163"/>
    <cellStyle name="Percent 10 4" xfId="1972"/>
    <cellStyle name="Percent 10 4 2" xfId="7120"/>
    <cellStyle name="Percent 10 4 3" xfId="34164"/>
    <cellStyle name="Percent 10 5" xfId="7121"/>
    <cellStyle name="Percent 10 6" xfId="7122"/>
    <cellStyle name="Percent 10 7" xfId="7109"/>
    <cellStyle name="Percent 10 8" xfId="34162"/>
    <cellStyle name="Percent 11" xfId="1973"/>
    <cellStyle name="Percent 11 10" xfId="34166"/>
    <cellStyle name="Percent 11 11" xfId="34167"/>
    <cellStyle name="Percent 11 12" xfId="34165"/>
    <cellStyle name="Percent 11 2" xfId="1974"/>
    <cellStyle name="Percent 11 2 10" xfId="34169"/>
    <cellStyle name="Percent 11 2 11" xfId="34168"/>
    <cellStyle name="Percent 11 2 2" xfId="34170"/>
    <cellStyle name="Percent 11 2 2 2" xfId="34171"/>
    <cellStyle name="Percent 11 2 2 2 2" xfId="34172"/>
    <cellStyle name="Percent 11 2 2 2 2 2" xfId="34173"/>
    <cellStyle name="Percent 11 2 2 2 2 2 2" xfId="34174"/>
    <cellStyle name="Percent 11 2 2 2 2 3" xfId="34175"/>
    <cellStyle name="Percent 11 2 2 2 3" xfId="34176"/>
    <cellStyle name="Percent 11 2 2 2 3 2" xfId="34177"/>
    <cellStyle name="Percent 11 2 2 2 4" xfId="34178"/>
    <cellStyle name="Percent 11 2 2 2 5" xfId="34179"/>
    <cellStyle name="Percent 11 2 2 3" xfId="34180"/>
    <cellStyle name="Percent 11 2 2 3 2" xfId="34181"/>
    <cellStyle name="Percent 11 2 2 3 2 2" xfId="34182"/>
    <cellStyle name="Percent 11 2 2 3 2 2 2" xfId="34183"/>
    <cellStyle name="Percent 11 2 2 3 2 3" xfId="34184"/>
    <cellStyle name="Percent 11 2 2 3 3" xfId="34185"/>
    <cellStyle name="Percent 11 2 2 3 3 2" xfId="34186"/>
    <cellStyle name="Percent 11 2 2 3 4" xfId="34187"/>
    <cellStyle name="Percent 11 2 2 4" xfId="34188"/>
    <cellStyle name="Percent 11 2 2 4 2" xfId="34189"/>
    <cellStyle name="Percent 11 2 2 4 2 2" xfId="34190"/>
    <cellStyle name="Percent 11 2 2 4 3" xfId="34191"/>
    <cellStyle name="Percent 11 2 2 5" xfId="34192"/>
    <cellStyle name="Percent 11 2 2 5 2" xfId="34193"/>
    <cellStyle name="Percent 11 2 2 5 2 2" xfId="34194"/>
    <cellStyle name="Percent 11 2 2 5 3" xfId="34195"/>
    <cellStyle name="Percent 11 2 2 6" xfId="34196"/>
    <cellStyle name="Percent 11 2 2 6 2" xfId="34197"/>
    <cellStyle name="Percent 11 2 2 7" xfId="34198"/>
    <cellStyle name="Percent 11 2 2 8" xfId="34199"/>
    <cellStyle name="Percent 11 2 3" xfId="34200"/>
    <cellStyle name="Percent 11 2 3 2" xfId="34201"/>
    <cellStyle name="Percent 11 2 3 2 2" xfId="34202"/>
    <cellStyle name="Percent 11 2 3 2 2 2" xfId="34203"/>
    <cellStyle name="Percent 11 2 3 2 2 2 2" xfId="34204"/>
    <cellStyle name="Percent 11 2 3 2 2 3" xfId="34205"/>
    <cellStyle name="Percent 11 2 3 2 3" xfId="34206"/>
    <cellStyle name="Percent 11 2 3 2 3 2" xfId="34207"/>
    <cellStyle name="Percent 11 2 3 2 4" xfId="34208"/>
    <cellStyle name="Percent 11 2 3 2 5" xfId="34209"/>
    <cellStyle name="Percent 11 2 3 3" xfId="34210"/>
    <cellStyle name="Percent 11 2 3 3 2" xfId="34211"/>
    <cellStyle name="Percent 11 2 3 3 2 2" xfId="34212"/>
    <cellStyle name="Percent 11 2 3 3 2 2 2" xfId="34213"/>
    <cellStyle name="Percent 11 2 3 3 2 3" xfId="34214"/>
    <cellStyle name="Percent 11 2 3 3 3" xfId="34215"/>
    <cellStyle name="Percent 11 2 3 3 3 2" xfId="34216"/>
    <cellStyle name="Percent 11 2 3 3 4" xfId="34217"/>
    <cellStyle name="Percent 11 2 3 4" xfId="34218"/>
    <cellStyle name="Percent 11 2 3 4 2" xfId="34219"/>
    <cellStyle name="Percent 11 2 3 4 2 2" xfId="34220"/>
    <cellStyle name="Percent 11 2 3 4 3" xfId="34221"/>
    <cellStyle name="Percent 11 2 3 5" xfId="34222"/>
    <cellStyle name="Percent 11 2 3 5 2" xfId="34223"/>
    <cellStyle name="Percent 11 2 3 5 2 2" xfId="34224"/>
    <cellStyle name="Percent 11 2 3 5 3" xfId="34225"/>
    <cellStyle name="Percent 11 2 3 6" xfId="34226"/>
    <cellStyle name="Percent 11 2 3 6 2" xfId="34227"/>
    <cellStyle name="Percent 11 2 3 7" xfId="34228"/>
    <cellStyle name="Percent 11 2 3 8" xfId="34229"/>
    <cellStyle name="Percent 11 2 4" xfId="34230"/>
    <cellStyle name="Percent 11 2 4 2" xfId="34231"/>
    <cellStyle name="Percent 11 2 4 2 2" xfId="34232"/>
    <cellStyle name="Percent 11 2 4 2 2 2" xfId="34233"/>
    <cellStyle name="Percent 11 2 4 2 2 2 2" xfId="34234"/>
    <cellStyle name="Percent 11 2 4 2 2 3" xfId="34235"/>
    <cellStyle name="Percent 11 2 4 2 3" xfId="34236"/>
    <cellStyle name="Percent 11 2 4 2 3 2" xfId="34237"/>
    <cellStyle name="Percent 11 2 4 2 4" xfId="34238"/>
    <cellStyle name="Percent 11 2 4 3" xfId="34239"/>
    <cellStyle name="Percent 11 2 4 3 2" xfId="34240"/>
    <cellStyle name="Percent 11 2 4 3 2 2" xfId="34241"/>
    <cellStyle name="Percent 11 2 4 3 3" xfId="34242"/>
    <cellStyle name="Percent 11 2 4 4" xfId="34243"/>
    <cellStyle name="Percent 11 2 4 4 2" xfId="34244"/>
    <cellStyle name="Percent 11 2 4 4 2 2" xfId="34245"/>
    <cellStyle name="Percent 11 2 4 4 3" xfId="34246"/>
    <cellStyle name="Percent 11 2 4 5" xfId="34247"/>
    <cellStyle name="Percent 11 2 4 5 2" xfId="34248"/>
    <cellStyle name="Percent 11 2 4 6" xfId="34249"/>
    <cellStyle name="Percent 11 2 4 7" xfId="34250"/>
    <cellStyle name="Percent 11 2 5" xfId="34251"/>
    <cellStyle name="Percent 11 2 5 2" xfId="34252"/>
    <cellStyle name="Percent 11 2 5 2 2" xfId="34253"/>
    <cellStyle name="Percent 11 2 5 2 2 2" xfId="34254"/>
    <cellStyle name="Percent 11 2 5 2 3" xfId="34255"/>
    <cellStyle name="Percent 11 2 5 3" xfId="34256"/>
    <cellStyle name="Percent 11 2 5 3 2" xfId="34257"/>
    <cellStyle name="Percent 11 2 5 4" xfId="34258"/>
    <cellStyle name="Percent 11 2 5 5" xfId="34259"/>
    <cellStyle name="Percent 11 2 6" xfId="34260"/>
    <cellStyle name="Percent 11 2 6 2" xfId="34261"/>
    <cellStyle name="Percent 11 2 6 2 2" xfId="34262"/>
    <cellStyle name="Percent 11 2 6 3" xfId="34263"/>
    <cellStyle name="Percent 11 2 7" xfId="34264"/>
    <cellStyle name="Percent 11 2 7 2" xfId="34265"/>
    <cellStyle name="Percent 11 2 7 2 2" xfId="34266"/>
    <cellStyle name="Percent 11 2 7 3" xfId="34267"/>
    <cellStyle name="Percent 11 2 8" xfId="34268"/>
    <cellStyle name="Percent 11 2 8 2" xfId="34269"/>
    <cellStyle name="Percent 11 2 9" xfId="34270"/>
    <cellStyle name="Percent 11 2 9 2" xfId="34271"/>
    <cellStyle name="Percent 11 3" xfId="1975"/>
    <cellStyle name="Percent 11 3 2" xfId="34273"/>
    <cellStyle name="Percent 11 3 2 2" xfId="34274"/>
    <cellStyle name="Percent 11 3 2 2 2" xfId="34275"/>
    <cellStyle name="Percent 11 3 2 2 2 2" xfId="34276"/>
    <cellStyle name="Percent 11 3 2 2 3" xfId="34277"/>
    <cellStyle name="Percent 11 3 2 3" xfId="34278"/>
    <cellStyle name="Percent 11 3 2 3 2" xfId="34279"/>
    <cellStyle name="Percent 11 3 2 4" xfId="34280"/>
    <cellStyle name="Percent 11 3 2 5" xfId="34281"/>
    <cellStyle name="Percent 11 3 3" xfId="34282"/>
    <cellStyle name="Percent 11 3 3 2" xfId="34283"/>
    <cellStyle name="Percent 11 3 3 2 2" xfId="34284"/>
    <cellStyle name="Percent 11 3 3 2 2 2" xfId="34285"/>
    <cellStyle name="Percent 11 3 3 2 3" xfId="34286"/>
    <cellStyle name="Percent 11 3 3 3" xfId="34287"/>
    <cellStyle name="Percent 11 3 3 3 2" xfId="34288"/>
    <cellStyle name="Percent 11 3 3 4" xfId="34289"/>
    <cellStyle name="Percent 11 3 4" xfId="34290"/>
    <cellStyle name="Percent 11 3 4 2" xfId="34291"/>
    <cellStyle name="Percent 11 3 4 2 2" xfId="34292"/>
    <cellStyle name="Percent 11 3 4 3" xfId="34293"/>
    <cellStyle name="Percent 11 3 5" xfId="34294"/>
    <cellStyle name="Percent 11 3 5 2" xfId="34295"/>
    <cellStyle name="Percent 11 3 5 2 2" xfId="34296"/>
    <cellStyle name="Percent 11 3 5 3" xfId="34297"/>
    <cellStyle name="Percent 11 3 6" xfId="34298"/>
    <cellStyle name="Percent 11 3 6 2" xfId="34299"/>
    <cellStyle name="Percent 11 3 7" xfId="34300"/>
    <cellStyle name="Percent 11 3 8" xfId="34301"/>
    <cellStyle name="Percent 11 3 9" xfId="34272"/>
    <cellStyle name="Percent 11 4" xfId="1976"/>
    <cellStyle name="Percent 11 4 2" xfId="34303"/>
    <cellStyle name="Percent 11 4 2 2" xfId="34304"/>
    <cellStyle name="Percent 11 4 2 2 2" xfId="34305"/>
    <cellStyle name="Percent 11 4 2 2 2 2" xfId="34306"/>
    <cellStyle name="Percent 11 4 2 2 3" xfId="34307"/>
    <cellStyle name="Percent 11 4 2 3" xfId="34308"/>
    <cellStyle name="Percent 11 4 2 3 2" xfId="34309"/>
    <cellStyle name="Percent 11 4 2 4" xfId="34310"/>
    <cellStyle name="Percent 11 4 2 5" xfId="34311"/>
    <cellStyle name="Percent 11 4 3" xfId="34312"/>
    <cellStyle name="Percent 11 4 3 2" xfId="34313"/>
    <cellStyle name="Percent 11 4 3 2 2" xfId="34314"/>
    <cellStyle name="Percent 11 4 3 2 2 2" xfId="34315"/>
    <cellStyle name="Percent 11 4 3 2 3" xfId="34316"/>
    <cellStyle name="Percent 11 4 3 3" xfId="34317"/>
    <cellStyle name="Percent 11 4 3 3 2" xfId="34318"/>
    <cellStyle name="Percent 11 4 3 4" xfId="34319"/>
    <cellStyle name="Percent 11 4 4" xfId="34320"/>
    <cellStyle name="Percent 11 4 4 2" xfId="34321"/>
    <cellStyle name="Percent 11 4 4 2 2" xfId="34322"/>
    <cellStyle name="Percent 11 4 4 3" xfId="34323"/>
    <cellStyle name="Percent 11 4 5" xfId="34324"/>
    <cellStyle name="Percent 11 4 5 2" xfId="34325"/>
    <cellStyle name="Percent 11 4 5 2 2" xfId="34326"/>
    <cellStyle name="Percent 11 4 5 3" xfId="34327"/>
    <cellStyle name="Percent 11 4 6" xfId="34328"/>
    <cellStyle name="Percent 11 4 6 2" xfId="34329"/>
    <cellStyle name="Percent 11 4 7" xfId="34330"/>
    <cellStyle name="Percent 11 4 8" xfId="34331"/>
    <cellStyle name="Percent 11 4 9" xfId="34302"/>
    <cellStyle name="Percent 11 5" xfId="3145"/>
    <cellStyle name="Percent 11 5 2" xfId="34333"/>
    <cellStyle name="Percent 11 5 2 2" xfId="34334"/>
    <cellStyle name="Percent 11 5 2 2 2" xfId="34335"/>
    <cellStyle name="Percent 11 5 2 2 2 2" xfId="34336"/>
    <cellStyle name="Percent 11 5 2 2 3" xfId="34337"/>
    <cellStyle name="Percent 11 5 2 3" xfId="34338"/>
    <cellStyle name="Percent 11 5 2 3 2" xfId="34339"/>
    <cellStyle name="Percent 11 5 2 4" xfId="34340"/>
    <cellStyle name="Percent 11 5 3" xfId="34341"/>
    <cellStyle name="Percent 11 5 3 2" xfId="34342"/>
    <cellStyle name="Percent 11 5 3 2 2" xfId="34343"/>
    <cellStyle name="Percent 11 5 3 3" xfId="34344"/>
    <cellStyle name="Percent 11 5 4" xfId="34345"/>
    <cellStyle name="Percent 11 5 4 2" xfId="34346"/>
    <cellStyle name="Percent 11 5 4 2 2" xfId="34347"/>
    <cellStyle name="Percent 11 5 4 3" xfId="34348"/>
    <cellStyle name="Percent 11 5 5" xfId="34349"/>
    <cellStyle name="Percent 11 5 5 2" xfId="34350"/>
    <cellStyle name="Percent 11 5 6" xfId="34351"/>
    <cellStyle name="Percent 11 5 7" xfId="34352"/>
    <cellStyle name="Percent 11 5 8" xfId="34332"/>
    <cellStyle name="Percent 11 6" xfId="7123"/>
    <cellStyle name="Percent 11 6 2" xfId="34354"/>
    <cellStyle name="Percent 11 6 2 2" xfId="34355"/>
    <cellStyle name="Percent 11 6 2 2 2" xfId="34356"/>
    <cellStyle name="Percent 11 6 2 3" xfId="34357"/>
    <cellStyle name="Percent 11 6 3" xfId="34358"/>
    <cellStyle name="Percent 11 6 3 2" xfId="34359"/>
    <cellStyle name="Percent 11 6 4" xfId="34360"/>
    <cellStyle name="Percent 11 6 5" xfId="34361"/>
    <cellStyle name="Percent 11 6 6" xfId="34353"/>
    <cellStyle name="Percent 11 7" xfId="34362"/>
    <cellStyle name="Percent 11 7 2" xfId="34363"/>
    <cellStyle name="Percent 11 7 2 2" xfId="34364"/>
    <cellStyle name="Percent 11 7 3" xfId="34365"/>
    <cellStyle name="Percent 11 8" xfId="34366"/>
    <cellStyle name="Percent 11 8 2" xfId="34367"/>
    <cellStyle name="Percent 11 8 2 2" xfId="34368"/>
    <cellStyle name="Percent 11 8 3" xfId="34369"/>
    <cellStyle name="Percent 11 9" xfId="34370"/>
    <cellStyle name="Percent 11 9 2" xfId="34371"/>
    <cellStyle name="Percent 12" xfId="1977"/>
    <cellStyle name="Percent 12 2" xfId="1978"/>
    <cellStyle name="Percent 12 2 2" xfId="34372"/>
    <cellStyle name="Percent 12 3" xfId="1979"/>
    <cellStyle name="Percent 12 3 2" xfId="34373"/>
    <cellStyle name="Percent 12 4" xfId="3146"/>
    <cellStyle name="Percent 13" xfId="1980"/>
    <cellStyle name="Percent 13 10" xfId="34375"/>
    <cellStyle name="Percent 13 11" xfId="34376"/>
    <cellStyle name="Percent 13 12" xfId="34377"/>
    <cellStyle name="Percent 13 13" xfId="34374"/>
    <cellStyle name="Percent 13 2" xfId="1981"/>
    <cellStyle name="Percent 13 2 10" xfId="34379"/>
    <cellStyle name="Percent 13 2 11" xfId="34378"/>
    <cellStyle name="Percent 13 2 2" xfId="34380"/>
    <cellStyle name="Percent 13 2 2 2" xfId="34381"/>
    <cellStyle name="Percent 13 2 2 2 2" xfId="34382"/>
    <cellStyle name="Percent 13 2 2 2 2 2" xfId="34383"/>
    <cellStyle name="Percent 13 2 2 2 2 2 2" xfId="34384"/>
    <cellStyle name="Percent 13 2 2 2 2 3" xfId="34385"/>
    <cellStyle name="Percent 13 2 2 2 3" xfId="34386"/>
    <cellStyle name="Percent 13 2 2 2 3 2" xfId="34387"/>
    <cellStyle name="Percent 13 2 2 2 4" xfId="34388"/>
    <cellStyle name="Percent 13 2 2 2 5" xfId="34389"/>
    <cellStyle name="Percent 13 2 2 3" xfId="34390"/>
    <cellStyle name="Percent 13 2 2 3 2" xfId="34391"/>
    <cellStyle name="Percent 13 2 2 3 2 2" xfId="34392"/>
    <cellStyle name="Percent 13 2 2 3 2 2 2" xfId="34393"/>
    <cellStyle name="Percent 13 2 2 3 2 3" xfId="34394"/>
    <cellStyle name="Percent 13 2 2 3 3" xfId="34395"/>
    <cellStyle name="Percent 13 2 2 3 3 2" xfId="34396"/>
    <cellStyle name="Percent 13 2 2 3 4" xfId="34397"/>
    <cellStyle name="Percent 13 2 2 4" xfId="34398"/>
    <cellStyle name="Percent 13 2 2 4 2" xfId="34399"/>
    <cellStyle name="Percent 13 2 2 4 2 2" xfId="34400"/>
    <cellStyle name="Percent 13 2 2 4 3" xfId="34401"/>
    <cellStyle name="Percent 13 2 2 5" xfId="34402"/>
    <cellStyle name="Percent 13 2 2 5 2" xfId="34403"/>
    <cellStyle name="Percent 13 2 2 5 2 2" xfId="34404"/>
    <cellStyle name="Percent 13 2 2 5 3" xfId="34405"/>
    <cellStyle name="Percent 13 2 2 6" xfId="34406"/>
    <cellStyle name="Percent 13 2 2 6 2" xfId="34407"/>
    <cellStyle name="Percent 13 2 2 7" xfId="34408"/>
    <cellStyle name="Percent 13 2 2 8" xfId="34409"/>
    <cellStyle name="Percent 13 2 3" xfId="34410"/>
    <cellStyle name="Percent 13 2 3 2" xfId="34411"/>
    <cellStyle name="Percent 13 2 3 2 2" xfId="34412"/>
    <cellStyle name="Percent 13 2 3 2 2 2" xfId="34413"/>
    <cellStyle name="Percent 13 2 3 2 2 2 2" xfId="34414"/>
    <cellStyle name="Percent 13 2 3 2 2 3" xfId="34415"/>
    <cellStyle name="Percent 13 2 3 2 3" xfId="34416"/>
    <cellStyle name="Percent 13 2 3 2 3 2" xfId="34417"/>
    <cellStyle name="Percent 13 2 3 2 4" xfId="34418"/>
    <cellStyle name="Percent 13 2 3 2 5" xfId="34419"/>
    <cellStyle name="Percent 13 2 3 3" xfId="34420"/>
    <cellStyle name="Percent 13 2 3 3 2" xfId="34421"/>
    <cellStyle name="Percent 13 2 3 3 2 2" xfId="34422"/>
    <cellStyle name="Percent 13 2 3 3 2 2 2" xfId="34423"/>
    <cellStyle name="Percent 13 2 3 3 2 3" xfId="34424"/>
    <cellStyle name="Percent 13 2 3 3 3" xfId="34425"/>
    <cellStyle name="Percent 13 2 3 3 3 2" xfId="34426"/>
    <cellStyle name="Percent 13 2 3 3 4" xfId="34427"/>
    <cellStyle name="Percent 13 2 3 4" xfId="34428"/>
    <cellStyle name="Percent 13 2 3 4 2" xfId="34429"/>
    <cellStyle name="Percent 13 2 3 4 2 2" xfId="34430"/>
    <cellStyle name="Percent 13 2 3 4 3" xfId="34431"/>
    <cellStyle name="Percent 13 2 3 5" xfId="34432"/>
    <cellStyle name="Percent 13 2 3 5 2" xfId="34433"/>
    <cellStyle name="Percent 13 2 3 5 2 2" xfId="34434"/>
    <cellStyle name="Percent 13 2 3 5 3" xfId="34435"/>
    <cellStyle name="Percent 13 2 3 6" xfId="34436"/>
    <cellStyle name="Percent 13 2 3 6 2" xfId="34437"/>
    <cellStyle name="Percent 13 2 3 7" xfId="34438"/>
    <cellStyle name="Percent 13 2 3 8" xfId="34439"/>
    <cellStyle name="Percent 13 2 4" xfId="34440"/>
    <cellStyle name="Percent 13 2 4 2" xfId="34441"/>
    <cellStyle name="Percent 13 2 4 2 2" xfId="34442"/>
    <cellStyle name="Percent 13 2 4 2 2 2" xfId="34443"/>
    <cellStyle name="Percent 13 2 4 2 2 2 2" xfId="34444"/>
    <cellStyle name="Percent 13 2 4 2 2 3" xfId="34445"/>
    <cellStyle name="Percent 13 2 4 2 3" xfId="34446"/>
    <cellStyle name="Percent 13 2 4 2 3 2" xfId="34447"/>
    <cellStyle name="Percent 13 2 4 2 4" xfId="34448"/>
    <cellStyle name="Percent 13 2 4 3" xfId="34449"/>
    <cellStyle name="Percent 13 2 4 3 2" xfId="34450"/>
    <cellStyle name="Percent 13 2 4 3 2 2" xfId="34451"/>
    <cellStyle name="Percent 13 2 4 3 3" xfId="34452"/>
    <cellStyle name="Percent 13 2 4 4" xfId="34453"/>
    <cellStyle name="Percent 13 2 4 4 2" xfId="34454"/>
    <cellStyle name="Percent 13 2 4 4 2 2" xfId="34455"/>
    <cellStyle name="Percent 13 2 4 4 3" xfId="34456"/>
    <cellStyle name="Percent 13 2 4 5" xfId="34457"/>
    <cellStyle name="Percent 13 2 4 5 2" xfId="34458"/>
    <cellStyle name="Percent 13 2 4 6" xfId="34459"/>
    <cellStyle name="Percent 13 2 4 7" xfId="34460"/>
    <cellStyle name="Percent 13 2 5" xfId="34461"/>
    <cellStyle name="Percent 13 2 5 2" xfId="34462"/>
    <cellStyle name="Percent 13 2 5 2 2" xfId="34463"/>
    <cellStyle name="Percent 13 2 5 2 2 2" xfId="34464"/>
    <cellStyle name="Percent 13 2 5 2 3" xfId="34465"/>
    <cellStyle name="Percent 13 2 5 3" xfId="34466"/>
    <cellStyle name="Percent 13 2 5 3 2" xfId="34467"/>
    <cellStyle name="Percent 13 2 5 4" xfId="34468"/>
    <cellStyle name="Percent 13 2 5 5" xfId="34469"/>
    <cellStyle name="Percent 13 2 6" xfId="34470"/>
    <cellStyle name="Percent 13 2 6 2" xfId="34471"/>
    <cellStyle name="Percent 13 2 6 2 2" xfId="34472"/>
    <cellStyle name="Percent 13 2 6 3" xfId="34473"/>
    <cellStyle name="Percent 13 2 7" xfId="34474"/>
    <cellStyle name="Percent 13 2 7 2" xfId="34475"/>
    <cellStyle name="Percent 13 2 7 2 2" xfId="34476"/>
    <cellStyle name="Percent 13 2 7 3" xfId="34477"/>
    <cellStyle name="Percent 13 2 8" xfId="34478"/>
    <cellStyle name="Percent 13 2 8 2" xfId="34479"/>
    <cellStyle name="Percent 13 2 9" xfId="34480"/>
    <cellStyle name="Percent 13 2 9 2" xfId="34481"/>
    <cellStyle name="Percent 13 3" xfId="1982"/>
    <cellStyle name="Percent 13 3 2" xfId="34483"/>
    <cellStyle name="Percent 13 3 2 2" xfId="34484"/>
    <cellStyle name="Percent 13 3 2 2 2" xfId="34485"/>
    <cellStyle name="Percent 13 3 2 2 2 2" xfId="34486"/>
    <cellStyle name="Percent 13 3 2 2 3" xfId="34487"/>
    <cellStyle name="Percent 13 3 2 3" xfId="34488"/>
    <cellStyle name="Percent 13 3 2 3 2" xfId="34489"/>
    <cellStyle name="Percent 13 3 2 4" xfId="34490"/>
    <cellStyle name="Percent 13 3 2 5" xfId="34491"/>
    <cellStyle name="Percent 13 3 3" xfId="34492"/>
    <cellStyle name="Percent 13 3 3 2" xfId="34493"/>
    <cellStyle name="Percent 13 3 3 2 2" xfId="34494"/>
    <cellStyle name="Percent 13 3 3 2 2 2" xfId="34495"/>
    <cellStyle name="Percent 13 3 3 2 3" xfId="34496"/>
    <cellStyle name="Percent 13 3 3 3" xfId="34497"/>
    <cellStyle name="Percent 13 3 3 3 2" xfId="34498"/>
    <cellStyle name="Percent 13 3 3 4" xfId="34499"/>
    <cellStyle name="Percent 13 3 4" xfId="34500"/>
    <cellStyle name="Percent 13 3 4 2" xfId="34501"/>
    <cellStyle name="Percent 13 3 4 2 2" xfId="34502"/>
    <cellStyle name="Percent 13 3 4 3" xfId="34503"/>
    <cellStyle name="Percent 13 3 5" xfId="34504"/>
    <cellStyle name="Percent 13 3 5 2" xfId="34505"/>
    <cellStyle name="Percent 13 3 5 2 2" xfId="34506"/>
    <cellStyle name="Percent 13 3 5 3" xfId="34507"/>
    <cellStyle name="Percent 13 3 6" xfId="34508"/>
    <cellStyle name="Percent 13 3 6 2" xfId="34509"/>
    <cellStyle name="Percent 13 3 7" xfId="34510"/>
    <cellStyle name="Percent 13 3 8" xfId="34511"/>
    <cellStyle name="Percent 13 3 9" xfId="34482"/>
    <cellStyle name="Percent 13 4" xfId="3028"/>
    <cellStyle name="Percent 13 4 2" xfId="34513"/>
    <cellStyle name="Percent 13 4 2 2" xfId="34514"/>
    <cellStyle name="Percent 13 4 2 2 2" xfId="34515"/>
    <cellStyle name="Percent 13 4 2 2 2 2" xfId="34516"/>
    <cellStyle name="Percent 13 4 2 2 3" xfId="34517"/>
    <cellStyle name="Percent 13 4 2 3" xfId="34518"/>
    <cellStyle name="Percent 13 4 2 3 2" xfId="34519"/>
    <cellStyle name="Percent 13 4 2 4" xfId="34520"/>
    <cellStyle name="Percent 13 4 2 5" xfId="34521"/>
    <cellStyle name="Percent 13 4 3" xfId="34522"/>
    <cellStyle name="Percent 13 4 3 2" xfId="34523"/>
    <cellStyle name="Percent 13 4 3 2 2" xfId="34524"/>
    <cellStyle name="Percent 13 4 3 2 2 2" xfId="34525"/>
    <cellStyle name="Percent 13 4 3 2 3" xfId="34526"/>
    <cellStyle name="Percent 13 4 3 3" xfId="34527"/>
    <cellStyle name="Percent 13 4 3 3 2" xfId="34528"/>
    <cellStyle name="Percent 13 4 3 4" xfId="34529"/>
    <cellStyle name="Percent 13 4 4" xfId="34530"/>
    <cellStyle name="Percent 13 4 4 2" xfId="34531"/>
    <cellStyle name="Percent 13 4 4 2 2" xfId="34532"/>
    <cellStyle name="Percent 13 4 4 3" xfId="34533"/>
    <cellStyle name="Percent 13 4 5" xfId="34534"/>
    <cellStyle name="Percent 13 4 5 2" xfId="34535"/>
    <cellStyle name="Percent 13 4 5 2 2" xfId="34536"/>
    <cellStyle name="Percent 13 4 5 3" xfId="34537"/>
    <cellStyle name="Percent 13 4 6" xfId="34538"/>
    <cellStyle name="Percent 13 4 6 2" xfId="34539"/>
    <cellStyle name="Percent 13 4 7" xfId="34540"/>
    <cellStyle name="Percent 13 4 8" xfId="34541"/>
    <cellStyle name="Percent 13 4 9" xfId="34512"/>
    <cellStyle name="Percent 13 5" xfId="7124"/>
    <cellStyle name="Percent 13 5 2" xfId="34543"/>
    <cellStyle name="Percent 13 5 2 2" xfId="34544"/>
    <cellStyle name="Percent 13 5 2 2 2" xfId="34545"/>
    <cellStyle name="Percent 13 5 2 2 2 2" xfId="34546"/>
    <cellStyle name="Percent 13 5 2 2 3" xfId="34547"/>
    <cellStyle name="Percent 13 5 2 3" xfId="34548"/>
    <cellStyle name="Percent 13 5 2 3 2" xfId="34549"/>
    <cellStyle name="Percent 13 5 2 4" xfId="34550"/>
    <cellStyle name="Percent 13 5 3" xfId="34551"/>
    <cellStyle name="Percent 13 5 3 2" xfId="34552"/>
    <cellStyle name="Percent 13 5 3 2 2" xfId="34553"/>
    <cellStyle name="Percent 13 5 3 3" xfId="34554"/>
    <cellStyle name="Percent 13 5 4" xfId="34555"/>
    <cellStyle name="Percent 13 5 4 2" xfId="34556"/>
    <cellStyle name="Percent 13 5 4 2 2" xfId="34557"/>
    <cellStyle name="Percent 13 5 4 3" xfId="34558"/>
    <cellStyle name="Percent 13 5 5" xfId="34559"/>
    <cellStyle name="Percent 13 5 5 2" xfId="34560"/>
    <cellStyle name="Percent 13 5 6" xfId="34561"/>
    <cellStyle name="Percent 13 5 7" xfId="34562"/>
    <cellStyle name="Percent 13 5 8" xfId="34542"/>
    <cellStyle name="Percent 13 6" xfId="34563"/>
    <cellStyle name="Percent 13 6 2" xfId="34564"/>
    <cellStyle name="Percent 13 6 2 2" xfId="34565"/>
    <cellStyle name="Percent 13 6 2 2 2" xfId="34566"/>
    <cellStyle name="Percent 13 6 2 3" xfId="34567"/>
    <cellStyle name="Percent 13 6 3" xfId="34568"/>
    <cellStyle name="Percent 13 6 3 2" xfId="34569"/>
    <cellStyle name="Percent 13 6 4" xfId="34570"/>
    <cellStyle name="Percent 13 6 5" xfId="34571"/>
    <cellStyle name="Percent 13 7" xfId="34572"/>
    <cellStyle name="Percent 13 7 2" xfId="34573"/>
    <cellStyle name="Percent 13 7 2 2" xfId="34574"/>
    <cellStyle name="Percent 13 7 3" xfId="34575"/>
    <cellStyle name="Percent 13 8" xfId="34576"/>
    <cellStyle name="Percent 13 8 2" xfId="34577"/>
    <cellStyle name="Percent 13 8 2 2" xfId="34578"/>
    <cellStyle name="Percent 13 8 3" xfId="34579"/>
    <cellStyle name="Percent 13 9" xfId="34580"/>
    <cellStyle name="Percent 13 9 2" xfId="34581"/>
    <cellStyle name="Percent 14" xfId="1983"/>
    <cellStyle name="Percent 14 10" xfId="34583"/>
    <cellStyle name="Percent 14 10 2" xfId="34584"/>
    <cellStyle name="Percent 14 11" xfId="34585"/>
    <cellStyle name="Percent 14 12" xfId="34586"/>
    <cellStyle name="Percent 14 13" xfId="34587"/>
    <cellStyle name="Percent 14 14" xfId="34582"/>
    <cellStyle name="Percent 14 2" xfId="1984"/>
    <cellStyle name="Percent 14 2 10" xfId="34589"/>
    <cellStyle name="Percent 14 2 10 2" xfId="34590"/>
    <cellStyle name="Percent 14 2 11" xfId="34591"/>
    <cellStyle name="Percent 14 2 12" xfId="34588"/>
    <cellStyle name="Percent 14 2 2" xfId="34592"/>
    <cellStyle name="Percent 14 2 2 2" xfId="34593"/>
    <cellStyle name="Percent 14 2 2 2 2" xfId="34594"/>
    <cellStyle name="Percent 14 2 2 2 2 2" xfId="34595"/>
    <cellStyle name="Percent 14 2 2 2 2 2 2" xfId="34596"/>
    <cellStyle name="Percent 14 2 2 2 2 3" xfId="34597"/>
    <cellStyle name="Percent 14 2 2 2 3" xfId="34598"/>
    <cellStyle name="Percent 14 2 2 2 3 2" xfId="34599"/>
    <cellStyle name="Percent 14 2 2 2 4" xfId="34600"/>
    <cellStyle name="Percent 14 2 2 2 5" xfId="34601"/>
    <cellStyle name="Percent 14 2 2 3" xfId="34602"/>
    <cellStyle name="Percent 14 2 2 3 2" xfId="34603"/>
    <cellStyle name="Percent 14 2 2 3 2 2" xfId="34604"/>
    <cellStyle name="Percent 14 2 2 3 2 2 2" xfId="34605"/>
    <cellStyle name="Percent 14 2 2 3 2 3" xfId="34606"/>
    <cellStyle name="Percent 14 2 2 3 3" xfId="34607"/>
    <cellStyle name="Percent 14 2 2 3 3 2" xfId="34608"/>
    <cellStyle name="Percent 14 2 2 3 4" xfId="34609"/>
    <cellStyle name="Percent 14 2 2 4" xfId="34610"/>
    <cellStyle name="Percent 14 2 2 4 2" xfId="34611"/>
    <cellStyle name="Percent 14 2 2 4 2 2" xfId="34612"/>
    <cellStyle name="Percent 14 2 2 4 3" xfId="34613"/>
    <cellStyle name="Percent 14 2 2 5" xfId="34614"/>
    <cellStyle name="Percent 14 2 2 5 2" xfId="34615"/>
    <cellStyle name="Percent 14 2 2 5 2 2" xfId="34616"/>
    <cellStyle name="Percent 14 2 2 5 3" xfId="34617"/>
    <cellStyle name="Percent 14 2 2 6" xfId="34618"/>
    <cellStyle name="Percent 14 2 2 6 2" xfId="34619"/>
    <cellStyle name="Percent 14 2 2 7" xfId="34620"/>
    <cellStyle name="Percent 14 2 2 8" xfId="34621"/>
    <cellStyle name="Percent 14 2 3" xfId="34622"/>
    <cellStyle name="Percent 14 2 3 2" xfId="34623"/>
    <cellStyle name="Percent 14 2 3 2 2" xfId="34624"/>
    <cellStyle name="Percent 14 2 3 2 2 2" xfId="34625"/>
    <cellStyle name="Percent 14 2 3 2 2 2 2" xfId="34626"/>
    <cellStyle name="Percent 14 2 3 2 2 3" xfId="34627"/>
    <cellStyle name="Percent 14 2 3 2 3" xfId="34628"/>
    <cellStyle name="Percent 14 2 3 2 3 2" xfId="34629"/>
    <cellStyle name="Percent 14 2 3 2 4" xfId="34630"/>
    <cellStyle name="Percent 14 2 3 2 5" xfId="34631"/>
    <cellStyle name="Percent 14 2 3 3" xfId="34632"/>
    <cellStyle name="Percent 14 2 3 3 2" xfId="34633"/>
    <cellStyle name="Percent 14 2 3 3 2 2" xfId="34634"/>
    <cellStyle name="Percent 14 2 3 3 2 2 2" xfId="34635"/>
    <cellStyle name="Percent 14 2 3 3 2 3" xfId="34636"/>
    <cellStyle name="Percent 14 2 3 3 3" xfId="34637"/>
    <cellStyle name="Percent 14 2 3 3 3 2" xfId="34638"/>
    <cellStyle name="Percent 14 2 3 3 4" xfId="34639"/>
    <cellStyle name="Percent 14 2 3 4" xfId="34640"/>
    <cellStyle name="Percent 14 2 3 4 2" xfId="34641"/>
    <cellStyle name="Percent 14 2 3 4 2 2" xfId="34642"/>
    <cellStyle name="Percent 14 2 3 4 3" xfId="34643"/>
    <cellStyle name="Percent 14 2 3 5" xfId="34644"/>
    <cellStyle name="Percent 14 2 3 5 2" xfId="34645"/>
    <cellStyle name="Percent 14 2 3 5 2 2" xfId="34646"/>
    <cellStyle name="Percent 14 2 3 5 3" xfId="34647"/>
    <cellStyle name="Percent 14 2 3 6" xfId="34648"/>
    <cellStyle name="Percent 14 2 3 6 2" xfId="34649"/>
    <cellStyle name="Percent 14 2 3 7" xfId="34650"/>
    <cellStyle name="Percent 14 2 3 8" xfId="34651"/>
    <cellStyle name="Percent 14 2 4" xfId="34652"/>
    <cellStyle name="Percent 14 2 4 2" xfId="34653"/>
    <cellStyle name="Percent 14 2 4 2 2" xfId="34654"/>
    <cellStyle name="Percent 14 2 4 2 2 2" xfId="34655"/>
    <cellStyle name="Percent 14 2 4 2 2 2 2" xfId="34656"/>
    <cellStyle name="Percent 14 2 4 2 2 3" xfId="34657"/>
    <cellStyle name="Percent 14 2 4 2 3" xfId="34658"/>
    <cellStyle name="Percent 14 2 4 2 3 2" xfId="34659"/>
    <cellStyle name="Percent 14 2 4 2 4" xfId="34660"/>
    <cellStyle name="Percent 14 2 4 2 5" xfId="34661"/>
    <cellStyle name="Percent 14 2 4 3" xfId="34662"/>
    <cellStyle name="Percent 14 2 4 3 2" xfId="34663"/>
    <cellStyle name="Percent 14 2 4 3 2 2" xfId="34664"/>
    <cellStyle name="Percent 14 2 4 3 2 2 2" xfId="34665"/>
    <cellStyle name="Percent 14 2 4 3 2 3" xfId="34666"/>
    <cellStyle name="Percent 14 2 4 3 3" xfId="34667"/>
    <cellStyle name="Percent 14 2 4 3 3 2" xfId="34668"/>
    <cellStyle name="Percent 14 2 4 3 4" xfId="34669"/>
    <cellStyle name="Percent 14 2 4 4" xfId="34670"/>
    <cellStyle name="Percent 14 2 4 4 2" xfId="34671"/>
    <cellStyle name="Percent 14 2 4 4 2 2" xfId="34672"/>
    <cellStyle name="Percent 14 2 4 4 3" xfId="34673"/>
    <cellStyle name="Percent 14 2 4 5" xfId="34674"/>
    <cellStyle name="Percent 14 2 4 5 2" xfId="34675"/>
    <cellStyle name="Percent 14 2 4 5 2 2" xfId="34676"/>
    <cellStyle name="Percent 14 2 4 5 3" xfId="34677"/>
    <cellStyle name="Percent 14 2 4 6" xfId="34678"/>
    <cellStyle name="Percent 14 2 4 6 2" xfId="34679"/>
    <cellStyle name="Percent 14 2 4 7" xfId="34680"/>
    <cellStyle name="Percent 14 2 4 8" xfId="34681"/>
    <cellStyle name="Percent 14 2 5" xfId="34682"/>
    <cellStyle name="Percent 14 2 5 2" xfId="34683"/>
    <cellStyle name="Percent 14 2 5 2 2" xfId="34684"/>
    <cellStyle name="Percent 14 2 5 2 2 2" xfId="34685"/>
    <cellStyle name="Percent 14 2 5 2 2 2 2" xfId="34686"/>
    <cellStyle name="Percent 14 2 5 2 2 3" xfId="34687"/>
    <cellStyle name="Percent 14 2 5 2 3" xfId="34688"/>
    <cellStyle name="Percent 14 2 5 2 3 2" xfId="34689"/>
    <cellStyle name="Percent 14 2 5 2 4" xfId="34690"/>
    <cellStyle name="Percent 14 2 5 3" xfId="34691"/>
    <cellStyle name="Percent 14 2 5 3 2" xfId="34692"/>
    <cellStyle name="Percent 14 2 5 3 2 2" xfId="34693"/>
    <cellStyle name="Percent 14 2 5 3 3" xfId="34694"/>
    <cellStyle name="Percent 14 2 5 4" xfId="34695"/>
    <cellStyle name="Percent 14 2 5 4 2" xfId="34696"/>
    <cellStyle name="Percent 14 2 5 4 2 2" xfId="34697"/>
    <cellStyle name="Percent 14 2 5 4 3" xfId="34698"/>
    <cellStyle name="Percent 14 2 5 5" xfId="34699"/>
    <cellStyle name="Percent 14 2 5 5 2" xfId="34700"/>
    <cellStyle name="Percent 14 2 5 6" xfId="34701"/>
    <cellStyle name="Percent 14 2 5 7" xfId="34702"/>
    <cellStyle name="Percent 14 2 6" xfId="34703"/>
    <cellStyle name="Percent 14 2 6 2" xfId="34704"/>
    <cellStyle name="Percent 14 2 6 2 2" xfId="34705"/>
    <cellStyle name="Percent 14 2 6 2 2 2" xfId="34706"/>
    <cellStyle name="Percent 14 2 6 2 3" xfId="34707"/>
    <cellStyle name="Percent 14 2 6 3" xfId="34708"/>
    <cellStyle name="Percent 14 2 6 3 2" xfId="34709"/>
    <cellStyle name="Percent 14 2 6 4" xfId="34710"/>
    <cellStyle name="Percent 14 2 6 5" xfId="34711"/>
    <cellStyle name="Percent 14 2 7" xfId="34712"/>
    <cellStyle name="Percent 14 2 7 2" xfId="34713"/>
    <cellStyle name="Percent 14 2 7 2 2" xfId="34714"/>
    <cellStyle name="Percent 14 2 7 3" xfId="34715"/>
    <cellStyle name="Percent 14 2 8" xfId="34716"/>
    <cellStyle name="Percent 14 2 8 2" xfId="34717"/>
    <cellStyle name="Percent 14 2 8 2 2" xfId="34718"/>
    <cellStyle name="Percent 14 2 8 3" xfId="34719"/>
    <cellStyle name="Percent 14 2 9" xfId="34720"/>
    <cellStyle name="Percent 14 2 9 2" xfId="34721"/>
    <cellStyle name="Percent 14 3" xfId="1985"/>
    <cellStyle name="Percent 14 3 2" xfId="34723"/>
    <cellStyle name="Percent 14 3 2 2" xfId="34724"/>
    <cellStyle name="Percent 14 3 2 2 2" xfId="34725"/>
    <cellStyle name="Percent 14 3 2 2 2 2" xfId="34726"/>
    <cellStyle name="Percent 14 3 2 2 3" xfId="34727"/>
    <cellStyle name="Percent 14 3 2 3" xfId="34728"/>
    <cellStyle name="Percent 14 3 2 3 2" xfId="34729"/>
    <cellStyle name="Percent 14 3 2 4" xfId="34730"/>
    <cellStyle name="Percent 14 3 2 5" xfId="34731"/>
    <cellStyle name="Percent 14 3 3" xfId="34732"/>
    <cellStyle name="Percent 14 3 3 2" xfId="34733"/>
    <cellStyle name="Percent 14 3 3 2 2" xfId="34734"/>
    <cellStyle name="Percent 14 3 3 2 2 2" xfId="34735"/>
    <cellStyle name="Percent 14 3 3 2 3" xfId="34736"/>
    <cellStyle name="Percent 14 3 3 3" xfId="34737"/>
    <cellStyle name="Percent 14 3 3 3 2" xfId="34738"/>
    <cellStyle name="Percent 14 3 3 4" xfId="34739"/>
    <cellStyle name="Percent 14 3 4" xfId="34740"/>
    <cellStyle name="Percent 14 3 4 2" xfId="34741"/>
    <cellStyle name="Percent 14 3 4 2 2" xfId="34742"/>
    <cellStyle name="Percent 14 3 4 3" xfId="34743"/>
    <cellStyle name="Percent 14 3 5" xfId="34744"/>
    <cellStyle name="Percent 14 3 5 2" xfId="34745"/>
    <cellStyle name="Percent 14 3 5 2 2" xfId="34746"/>
    <cellStyle name="Percent 14 3 5 3" xfId="34747"/>
    <cellStyle name="Percent 14 3 6" xfId="34748"/>
    <cellStyle name="Percent 14 3 6 2" xfId="34749"/>
    <cellStyle name="Percent 14 3 7" xfId="34750"/>
    <cellStyle name="Percent 14 3 8" xfId="34751"/>
    <cellStyle name="Percent 14 3 9" xfId="34722"/>
    <cellStyle name="Percent 14 4" xfId="3161"/>
    <cellStyle name="Percent 14 4 2" xfId="34753"/>
    <cellStyle name="Percent 14 4 2 2" xfId="34754"/>
    <cellStyle name="Percent 14 4 2 2 2" xfId="34755"/>
    <cellStyle name="Percent 14 4 2 2 2 2" xfId="34756"/>
    <cellStyle name="Percent 14 4 2 2 3" xfId="34757"/>
    <cellStyle name="Percent 14 4 2 3" xfId="34758"/>
    <cellStyle name="Percent 14 4 2 3 2" xfId="34759"/>
    <cellStyle name="Percent 14 4 2 4" xfId="34760"/>
    <cellStyle name="Percent 14 4 2 5" xfId="34761"/>
    <cellStyle name="Percent 14 4 3" xfId="34762"/>
    <cellStyle name="Percent 14 4 3 2" xfId="34763"/>
    <cellStyle name="Percent 14 4 3 2 2" xfId="34764"/>
    <cellStyle name="Percent 14 4 3 2 2 2" xfId="34765"/>
    <cellStyle name="Percent 14 4 3 2 3" xfId="34766"/>
    <cellStyle name="Percent 14 4 3 3" xfId="34767"/>
    <cellStyle name="Percent 14 4 3 3 2" xfId="34768"/>
    <cellStyle name="Percent 14 4 3 4" xfId="34769"/>
    <cellStyle name="Percent 14 4 4" xfId="34770"/>
    <cellStyle name="Percent 14 4 4 2" xfId="34771"/>
    <cellStyle name="Percent 14 4 4 2 2" xfId="34772"/>
    <cellStyle name="Percent 14 4 4 3" xfId="34773"/>
    <cellStyle name="Percent 14 4 5" xfId="34774"/>
    <cellStyle name="Percent 14 4 5 2" xfId="34775"/>
    <cellStyle name="Percent 14 4 5 2 2" xfId="34776"/>
    <cellStyle name="Percent 14 4 5 3" xfId="34777"/>
    <cellStyle name="Percent 14 4 6" xfId="34778"/>
    <cellStyle name="Percent 14 4 6 2" xfId="34779"/>
    <cellStyle name="Percent 14 4 7" xfId="34780"/>
    <cellStyle name="Percent 14 4 8" xfId="34781"/>
    <cellStyle name="Percent 14 4 9" xfId="34752"/>
    <cellStyle name="Percent 14 5" xfId="7125"/>
    <cellStyle name="Percent 14 5 2" xfId="34783"/>
    <cellStyle name="Percent 14 5 2 2" xfId="34784"/>
    <cellStyle name="Percent 14 5 2 2 2" xfId="34785"/>
    <cellStyle name="Percent 14 5 2 2 2 2" xfId="34786"/>
    <cellStyle name="Percent 14 5 2 2 3" xfId="34787"/>
    <cellStyle name="Percent 14 5 2 3" xfId="34788"/>
    <cellStyle name="Percent 14 5 2 3 2" xfId="34789"/>
    <cellStyle name="Percent 14 5 2 4" xfId="34790"/>
    <cellStyle name="Percent 14 5 2 5" xfId="34791"/>
    <cellStyle name="Percent 14 5 3" xfId="34792"/>
    <cellStyle name="Percent 14 5 3 2" xfId="34793"/>
    <cellStyle name="Percent 14 5 3 2 2" xfId="34794"/>
    <cellStyle name="Percent 14 5 3 2 2 2" xfId="34795"/>
    <cellStyle name="Percent 14 5 3 2 3" xfId="34796"/>
    <cellStyle name="Percent 14 5 3 3" xfId="34797"/>
    <cellStyle name="Percent 14 5 3 3 2" xfId="34798"/>
    <cellStyle name="Percent 14 5 3 4" xfId="34799"/>
    <cellStyle name="Percent 14 5 4" xfId="34800"/>
    <cellStyle name="Percent 14 5 4 2" xfId="34801"/>
    <cellStyle name="Percent 14 5 4 2 2" xfId="34802"/>
    <cellStyle name="Percent 14 5 4 3" xfId="34803"/>
    <cellStyle name="Percent 14 5 5" xfId="34804"/>
    <cellStyle name="Percent 14 5 5 2" xfId="34805"/>
    <cellStyle name="Percent 14 5 5 2 2" xfId="34806"/>
    <cellStyle name="Percent 14 5 5 3" xfId="34807"/>
    <cellStyle name="Percent 14 5 6" xfId="34808"/>
    <cellStyle name="Percent 14 5 6 2" xfId="34809"/>
    <cellStyle name="Percent 14 5 7" xfId="34810"/>
    <cellStyle name="Percent 14 5 8" xfId="34811"/>
    <cellStyle name="Percent 14 5 9" xfId="34782"/>
    <cellStyle name="Percent 14 6" xfId="34812"/>
    <cellStyle name="Percent 14 6 2" xfId="34813"/>
    <cellStyle name="Percent 14 6 2 2" xfId="34814"/>
    <cellStyle name="Percent 14 6 2 2 2" xfId="34815"/>
    <cellStyle name="Percent 14 6 2 2 2 2" xfId="34816"/>
    <cellStyle name="Percent 14 6 2 2 3" xfId="34817"/>
    <cellStyle name="Percent 14 6 2 3" xfId="34818"/>
    <cellStyle name="Percent 14 6 2 3 2" xfId="34819"/>
    <cellStyle name="Percent 14 6 2 4" xfId="34820"/>
    <cellStyle name="Percent 14 6 2 5" xfId="34821"/>
    <cellStyle name="Percent 14 6 3" xfId="34822"/>
    <cellStyle name="Percent 14 6 3 2" xfId="34823"/>
    <cellStyle name="Percent 14 6 3 2 2" xfId="34824"/>
    <cellStyle name="Percent 14 6 3 3" xfId="34825"/>
    <cellStyle name="Percent 14 6 4" xfId="34826"/>
    <cellStyle name="Percent 14 6 4 2" xfId="34827"/>
    <cellStyle name="Percent 14 6 4 2 2" xfId="34828"/>
    <cellStyle name="Percent 14 6 4 3" xfId="34829"/>
    <cellStyle name="Percent 14 6 5" xfId="34830"/>
    <cellStyle name="Percent 14 6 5 2" xfId="34831"/>
    <cellStyle name="Percent 14 6 6" xfId="34832"/>
    <cellStyle name="Percent 14 6 7" xfId="34833"/>
    <cellStyle name="Percent 14 6 8" xfId="34834"/>
    <cellStyle name="Percent 14 7" xfId="34835"/>
    <cellStyle name="Percent 14 7 2" xfId="34836"/>
    <cellStyle name="Percent 14 7 2 2" xfId="34837"/>
    <cellStyle name="Percent 14 7 2 2 2" xfId="34838"/>
    <cellStyle name="Percent 14 7 2 3" xfId="34839"/>
    <cellStyle name="Percent 14 7 3" xfId="34840"/>
    <cellStyle name="Percent 14 7 3 2" xfId="34841"/>
    <cellStyle name="Percent 14 7 4" xfId="34842"/>
    <cellStyle name="Percent 14 7 5" xfId="34843"/>
    <cellStyle name="Percent 14 8" xfId="34844"/>
    <cellStyle name="Percent 14 8 2" xfId="34845"/>
    <cellStyle name="Percent 14 8 2 2" xfId="34846"/>
    <cellStyle name="Percent 14 8 3" xfId="34847"/>
    <cellStyle name="Percent 14 9" xfId="34848"/>
    <cellStyle name="Percent 14 9 2" xfId="34849"/>
    <cellStyle name="Percent 14 9 2 2" xfId="34850"/>
    <cellStyle name="Percent 14 9 3" xfId="34851"/>
    <cellStyle name="Percent 15" xfId="1986"/>
    <cellStyle name="Percent 15 10" xfId="34853"/>
    <cellStyle name="Percent 15 11" xfId="34854"/>
    <cellStyle name="Percent 15 12" xfId="34852"/>
    <cellStyle name="Percent 15 2" xfId="1987"/>
    <cellStyle name="Percent 15 2 2" xfId="34856"/>
    <cellStyle name="Percent 15 2 3" xfId="34855"/>
    <cellStyle name="Percent 15 3" xfId="1988"/>
    <cellStyle name="Percent 15 3 2" xfId="34858"/>
    <cellStyle name="Percent 15 3 2 2" xfId="34859"/>
    <cellStyle name="Percent 15 3 2 2 2" xfId="34860"/>
    <cellStyle name="Percent 15 3 2 2 2 2" xfId="34861"/>
    <cellStyle name="Percent 15 3 2 2 3" xfId="34862"/>
    <cellStyle name="Percent 15 3 2 3" xfId="34863"/>
    <cellStyle name="Percent 15 3 2 3 2" xfId="34864"/>
    <cellStyle name="Percent 15 3 2 4" xfId="34865"/>
    <cellStyle name="Percent 15 3 2 5" xfId="34866"/>
    <cellStyle name="Percent 15 3 3" xfId="34867"/>
    <cellStyle name="Percent 15 3 3 2" xfId="34868"/>
    <cellStyle name="Percent 15 3 3 2 2" xfId="34869"/>
    <cellStyle name="Percent 15 3 3 2 2 2" xfId="34870"/>
    <cellStyle name="Percent 15 3 3 2 3" xfId="34871"/>
    <cellStyle name="Percent 15 3 3 3" xfId="34872"/>
    <cellStyle name="Percent 15 3 3 3 2" xfId="34873"/>
    <cellStyle name="Percent 15 3 3 4" xfId="34874"/>
    <cellStyle name="Percent 15 3 4" xfId="34875"/>
    <cellStyle name="Percent 15 3 4 2" xfId="34876"/>
    <cellStyle name="Percent 15 3 4 2 2" xfId="34877"/>
    <cellStyle name="Percent 15 3 4 3" xfId="34878"/>
    <cellStyle name="Percent 15 3 5" xfId="34879"/>
    <cellStyle name="Percent 15 3 5 2" xfId="34880"/>
    <cellStyle name="Percent 15 3 5 2 2" xfId="34881"/>
    <cellStyle name="Percent 15 3 5 3" xfId="34882"/>
    <cellStyle name="Percent 15 3 6" xfId="34883"/>
    <cellStyle name="Percent 15 3 6 2" xfId="34884"/>
    <cellStyle name="Percent 15 3 7" xfId="34885"/>
    <cellStyle name="Percent 15 3 8" xfId="34886"/>
    <cellStyle name="Percent 15 3 9" xfId="34857"/>
    <cellStyle name="Percent 15 4" xfId="3173"/>
    <cellStyle name="Percent 15 4 2" xfId="34888"/>
    <cellStyle name="Percent 15 4 2 2" xfId="34889"/>
    <cellStyle name="Percent 15 4 2 2 2" xfId="34890"/>
    <cellStyle name="Percent 15 4 2 2 2 2" xfId="34891"/>
    <cellStyle name="Percent 15 4 2 2 3" xfId="34892"/>
    <cellStyle name="Percent 15 4 2 3" xfId="34893"/>
    <cellStyle name="Percent 15 4 2 3 2" xfId="34894"/>
    <cellStyle name="Percent 15 4 2 4" xfId="34895"/>
    <cellStyle name="Percent 15 4 2 5" xfId="34896"/>
    <cellStyle name="Percent 15 4 3" xfId="34897"/>
    <cellStyle name="Percent 15 4 3 2" xfId="34898"/>
    <cellStyle name="Percent 15 4 3 2 2" xfId="34899"/>
    <cellStyle name="Percent 15 4 3 2 2 2" xfId="34900"/>
    <cellStyle name="Percent 15 4 3 2 3" xfId="34901"/>
    <cellStyle name="Percent 15 4 3 3" xfId="34902"/>
    <cellStyle name="Percent 15 4 3 3 2" xfId="34903"/>
    <cellStyle name="Percent 15 4 3 4" xfId="34904"/>
    <cellStyle name="Percent 15 4 4" xfId="34905"/>
    <cellStyle name="Percent 15 4 4 2" xfId="34906"/>
    <cellStyle name="Percent 15 4 4 2 2" xfId="34907"/>
    <cellStyle name="Percent 15 4 4 3" xfId="34908"/>
    <cellStyle name="Percent 15 4 5" xfId="34909"/>
    <cellStyle name="Percent 15 4 5 2" xfId="34910"/>
    <cellStyle name="Percent 15 4 5 2 2" xfId="34911"/>
    <cellStyle name="Percent 15 4 5 3" xfId="34912"/>
    <cellStyle name="Percent 15 4 6" xfId="34913"/>
    <cellStyle name="Percent 15 4 6 2" xfId="34914"/>
    <cellStyle name="Percent 15 4 7" xfId="34915"/>
    <cellStyle name="Percent 15 4 8" xfId="34916"/>
    <cellStyle name="Percent 15 4 9" xfId="34887"/>
    <cellStyle name="Percent 15 5" xfId="7126"/>
    <cellStyle name="Percent 15 5 2" xfId="34918"/>
    <cellStyle name="Percent 15 5 2 2" xfId="34919"/>
    <cellStyle name="Percent 15 5 2 2 2" xfId="34920"/>
    <cellStyle name="Percent 15 5 2 2 2 2" xfId="34921"/>
    <cellStyle name="Percent 15 5 2 2 3" xfId="34922"/>
    <cellStyle name="Percent 15 5 2 3" xfId="34923"/>
    <cellStyle name="Percent 15 5 2 3 2" xfId="34924"/>
    <cellStyle name="Percent 15 5 2 4" xfId="34925"/>
    <cellStyle name="Percent 15 5 2 5" xfId="34926"/>
    <cellStyle name="Percent 15 5 3" xfId="34927"/>
    <cellStyle name="Percent 15 5 3 2" xfId="34928"/>
    <cellStyle name="Percent 15 5 3 2 2" xfId="34929"/>
    <cellStyle name="Percent 15 5 3 2 2 2" xfId="34930"/>
    <cellStyle name="Percent 15 5 3 2 3" xfId="34931"/>
    <cellStyle name="Percent 15 5 3 3" xfId="34932"/>
    <cellStyle name="Percent 15 5 3 3 2" xfId="34933"/>
    <cellStyle name="Percent 15 5 3 4" xfId="34934"/>
    <cellStyle name="Percent 15 5 4" xfId="34935"/>
    <cellStyle name="Percent 15 5 4 2" xfId="34936"/>
    <cellStyle name="Percent 15 5 4 2 2" xfId="34937"/>
    <cellStyle name="Percent 15 5 4 3" xfId="34938"/>
    <cellStyle name="Percent 15 5 5" xfId="34939"/>
    <cellStyle name="Percent 15 5 5 2" xfId="34940"/>
    <cellStyle name="Percent 15 5 5 2 2" xfId="34941"/>
    <cellStyle name="Percent 15 5 5 3" xfId="34942"/>
    <cellStyle name="Percent 15 5 6" xfId="34943"/>
    <cellStyle name="Percent 15 5 6 2" xfId="34944"/>
    <cellStyle name="Percent 15 5 7" xfId="34945"/>
    <cellStyle name="Percent 15 5 8" xfId="34946"/>
    <cellStyle name="Percent 15 5 9" xfId="34917"/>
    <cellStyle name="Percent 15 6" xfId="34947"/>
    <cellStyle name="Percent 15 6 2" xfId="34948"/>
    <cellStyle name="Percent 15 6 2 2" xfId="34949"/>
    <cellStyle name="Percent 15 6 2 2 2" xfId="34950"/>
    <cellStyle name="Percent 15 6 2 2 2 2" xfId="34951"/>
    <cellStyle name="Percent 15 6 2 2 3" xfId="34952"/>
    <cellStyle name="Percent 15 6 2 3" xfId="34953"/>
    <cellStyle name="Percent 15 6 2 3 2" xfId="34954"/>
    <cellStyle name="Percent 15 6 2 4" xfId="34955"/>
    <cellStyle name="Percent 15 6 3" xfId="34956"/>
    <cellStyle name="Percent 15 6 3 2" xfId="34957"/>
    <cellStyle name="Percent 15 6 3 2 2" xfId="34958"/>
    <cellStyle name="Percent 15 6 3 3" xfId="34959"/>
    <cellStyle name="Percent 15 6 4" xfId="34960"/>
    <cellStyle name="Percent 15 6 4 2" xfId="34961"/>
    <cellStyle name="Percent 15 6 4 2 2" xfId="34962"/>
    <cellStyle name="Percent 15 6 4 3" xfId="34963"/>
    <cellStyle name="Percent 15 6 5" xfId="34964"/>
    <cellStyle name="Percent 15 6 5 2" xfId="34965"/>
    <cellStyle name="Percent 15 6 6" xfId="34966"/>
    <cellStyle name="Percent 15 6 7" xfId="34967"/>
    <cellStyle name="Percent 15 7" xfId="34968"/>
    <cellStyle name="Percent 15 7 2" xfId="34969"/>
    <cellStyle name="Percent 15 7 2 2" xfId="34970"/>
    <cellStyle name="Percent 15 7 2 2 2" xfId="34971"/>
    <cellStyle name="Percent 15 7 2 3" xfId="34972"/>
    <cellStyle name="Percent 15 7 3" xfId="34973"/>
    <cellStyle name="Percent 15 7 3 2" xfId="34974"/>
    <cellStyle name="Percent 15 7 4" xfId="34975"/>
    <cellStyle name="Percent 15 7 5" xfId="34976"/>
    <cellStyle name="Percent 15 8" xfId="34977"/>
    <cellStyle name="Percent 15 8 2" xfId="34978"/>
    <cellStyle name="Percent 15 8 2 2" xfId="34979"/>
    <cellStyle name="Percent 15 8 3" xfId="34980"/>
    <cellStyle name="Percent 15 9" xfId="34981"/>
    <cellStyle name="Percent 15 9 2" xfId="34982"/>
    <cellStyle name="Percent 15 9 2 2" xfId="34983"/>
    <cellStyle name="Percent 15 9 3" xfId="34984"/>
    <cellStyle name="Percent 16" xfId="1989"/>
    <cellStyle name="Percent 16 2" xfId="1990"/>
    <cellStyle name="Percent 16 2 10" xfId="34987"/>
    <cellStyle name="Percent 16 2 11" xfId="34986"/>
    <cellStyle name="Percent 16 2 2" xfId="34988"/>
    <cellStyle name="Percent 16 2 2 2" xfId="34989"/>
    <cellStyle name="Percent 16 2 2 2 2" xfId="34990"/>
    <cellStyle name="Percent 16 2 2 2 2 2" xfId="34991"/>
    <cellStyle name="Percent 16 2 2 2 2 2 2" xfId="34992"/>
    <cellStyle name="Percent 16 2 2 2 2 3" xfId="34993"/>
    <cellStyle name="Percent 16 2 2 2 3" xfId="34994"/>
    <cellStyle name="Percent 16 2 2 2 3 2" xfId="34995"/>
    <cellStyle name="Percent 16 2 2 2 4" xfId="34996"/>
    <cellStyle name="Percent 16 2 2 2 5" xfId="34997"/>
    <cellStyle name="Percent 16 2 2 3" xfId="34998"/>
    <cellStyle name="Percent 16 2 2 3 2" xfId="34999"/>
    <cellStyle name="Percent 16 2 2 3 2 2" xfId="35000"/>
    <cellStyle name="Percent 16 2 2 3 2 2 2" xfId="35001"/>
    <cellStyle name="Percent 16 2 2 3 2 3" xfId="35002"/>
    <cellStyle name="Percent 16 2 2 3 3" xfId="35003"/>
    <cellStyle name="Percent 16 2 2 3 3 2" xfId="35004"/>
    <cellStyle name="Percent 16 2 2 3 4" xfId="35005"/>
    <cellStyle name="Percent 16 2 2 4" xfId="35006"/>
    <cellStyle name="Percent 16 2 2 4 2" xfId="35007"/>
    <cellStyle name="Percent 16 2 2 4 2 2" xfId="35008"/>
    <cellStyle name="Percent 16 2 2 4 3" xfId="35009"/>
    <cellStyle name="Percent 16 2 2 5" xfId="35010"/>
    <cellStyle name="Percent 16 2 2 5 2" xfId="35011"/>
    <cellStyle name="Percent 16 2 2 5 2 2" xfId="35012"/>
    <cellStyle name="Percent 16 2 2 5 3" xfId="35013"/>
    <cellStyle name="Percent 16 2 2 6" xfId="35014"/>
    <cellStyle name="Percent 16 2 2 6 2" xfId="35015"/>
    <cellStyle name="Percent 16 2 2 7" xfId="35016"/>
    <cellStyle name="Percent 16 2 2 8" xfId="35017"/>
    <cellStyle name="Percent 16 2 3" xfId="35018"/>
    <cellStyle name="Percent 16 2 3 2" xfId="35019"/>
    <cellStyle name="Percent 16 2 3 2 2" xfId="35020"/>
    <cellStyle name="Percent 16 2 3 2 2 2" xfId="35021"/>
    <cellStyle name="Percent 16 2 3 2 2 2 2" xfId="35022"/>
    <cellStyle name="Percent 16 2 3 2 2 3" xfId="35023"/>
    <cellStyle name="Percent 16 2 3 2 3" xfId="35024"/>
    <cellStyle name="Percent 16 2 3 2 3 2" xfId="35025"/>
    <cellStyle name="Percent 16 2 3 2 4" xfId="35026"/>
    <cellStyle name="Percent 16 2 3 2 5" xfId="35027"/>
    <cellStyle name="Percent 16 2 3 3" xfId="35028"/>
    <cellStyle name="Percent 16 2 3 3 2" xfId="35029"/>
    <cellStyle name="Percent 16 2 3 3 2 2" xfId="35030"/>
    <cellStyle name="Percent 16 2 3 3 2 2 2" xfId="35031"/>
    <cellStyle name="Percent 16 2 3 3 2 3" xfId="35032"/>
    <cellStyle name="Percent 16 2 3 3 3" xfId="35033"/>
    <cellStyle name="Percent 16 2 3 3 3 2" xfId="35034"/>
    <cellStyle name="Percent 16 2 3 3 4" xfId="35035"/>
    <cellStyle name="Percent 16 2 3 4" xfId="35036"/>
    <cellStyle name="Percent 16 2 3 4 2" xfId="35037"/>
    <cellStyle name="Percent 16 2 3 4 2 2" xfId="35038"/>
    <cellStyle name="Percent 16 2 3 4 3" xfId="35039"/>
    <cellStyle name="Percent 16 2 3 5" xfId="35040"/>
    <cellStyle name="Percent 16 2 3 5 2" xfId="35041"/>
    <cellStyle name="Percent 16 2 3 5 2 2" xfId="35042"/>
    <cellStyle name="Percent 16 2 3 5 3" xfId="35043"/>
    <cellStyle name="Percent 16 2 3 6" xfId="35044"/>
    <cellStyle name="Percent 16 2 3 6 2" xfId="35045"/>
    <cellStyle name="Percent 16 2 3 7" xfId="35046"/>
    <cellStyle name="Percent 16 2 3 8" xfId="35047"/>
    <cellStyle name="Percent 16 2 4" xfId="35048"/>
    <cellStyle name="Percent 16 2 4 2" xfId="35049"/>
    <cellStyle name="Percent 16 2 4 2 2" xfId="35050"/>
    <cellStyle name="Percent 16 2 4 2 2 2" xfId="35051"/>
    <cellStyle name="Percent 16 2 4 2 2 2 2" xfId="35052"/>
    <cellStyle name="Percent 16 2 4 2 2 3" xfId="35053"/>
    <cellStyle name="Percent 16 2 4 2 3" xfId="35054"/>
    <cellStyle name="Percent 16 2 4 2 3 2" xfId="35055"/>
    <cellStyle name="Percent 16 2 4 2 4" xfId="35056"/>
    <cellStyle name="Percent 16 2 4 3" xfId="35057"/>
    <cellStyle name="Percent 16 2 4 3 2" xfId="35058"/>
    <cellStyle name="Percent 16 2 4 3 2 2" xfId="35059"/>
    <cellStyle name="Percent 16 2 4 3 3" xfId="35060"/>
    <cellStyle name="Percent 16 2 4 4" xfId="35061"/>
    <cellStyle name="Percent 16 2 4 4 2" xfId="35062"/>
    <cellStyle name="Percent 16 2 4 4 2 2" xfId="35063"/>
    <cellStyle name="Percent 16 2 4 4 3" xfId="35064"/>
    <cellStyle name="Percent 16 2 4 5" xfId="35065"/>
    <cellStyle name="Percent 16 2 4 5 2" xfId="35066"/>
    <cellStyle name="Percent 16 2 4 6" xfId="35067"/>
    <cellStyle name="Percent 16 2 4 7" xfId="35068"/>
    <cellStyle name="Percent 16 2 5" xfId="35069"/>
    <cellStyle name="Percent 16 2 5 2" xfId="35070"/>
    <cellStyle name="Percent 16 2 5 2 2" xfId="35071"/>
    <cellStyle name="Percent 16 2 5 2 2 2" xfId="35072"/>
    <cellStyle name="Percent 16 2 5 2 3" xfId="35073"/>
    <cellStyle name="Percent 16 2 5 3" xfId="35074"/>
    <cellStyle name="Percent 16 2 5 3 2" xfId="35075"/>
    <cellStyle name="Percent 16 2 5 4" xfId="35076"/>
    <cellStyle name="Percent 16 2 5 5" xfId="35077"/>
    <cellStyle name="Percent 16 2 6" xfId="35078"/>
    <cellStyle name="Percent 16 2 6 2" xfId="35079"/>
    <cellStyle name="Percent 16 2 6 2 2" xfId="35080"/>
    <cellStyle name="Percent 16 2 6 3" xfId="35081"/>
    <cellStyle name="Percent 16 2 7" xfId="35082"/>
    <cellStyle name="Percent 16 2 7 2" xfId="35083"/>
    <cellStyle name="Percent 16 2 7 2 2" xfId="35084"/>
    <cellStyle name="Percent 16 2 7 3" xfId="35085"/>
    <cellStyle name="Percent 16 2 8" xfId="35086"/>
    <cellStyle name="Percent 16 2 8 2" xfId="35087"/>
    <cellStyle name="Percent 16 2 9" xfId="35088"/>
    <cellStyle name="Percent 16 3" xfId="3171"/>
    <cellStyle name="Percent 16 4" xfId="7127"/>
    <cellStyle name="Percent 16 5" xfId="34985"/>
    <cellStyle name="Percent 17" xfId="1991"/>
    <cellStyle name="Percent 17 2" xfId="1992"/>
    <cellStyle name="Percent 17 2 2" xfId="35090"/>
    <cellStyle name="Percent 17 2 3" xfId="35091"/>
    <cellStyle name="Percent 17 2 4" xfId="35092"/>
    <cellStyle name="Percent 17 2 5" xfId="35089"/>
    <cellStyle name="Percent 17 3" xfId="3034"/>
    <cellStyle name="Percent 17 4" xfId="7128"/>
    <cellStyle name="Percent 18" xfId="1993"/>
    <cellStyle name="Percent 18 2" xfId="1994"/>
    <cellStyle name="Percent 18 2 2" xfId="35094"/>
    <cellStyle name="Percent 18 3" xfId="3164"/>
    <cellStyle name="Percent 18 4" xfId="7129"/>
    <cellStyle name="Percent 18 5" xfId="35093"/>
    <cellStyle name="Percent 19" xfId="1995"/>
    <cellStyle name="Percent 19 2" xfId="1996"/>
    <cellStyle name="Percent 19 2 2" xfId="35096"/>
    <cellStyle name="Percent 19 3" xfId="2949"/>
    <cellStyle name="Percent 19 4" xfId="7130"/>
    <cellStyle name="Percent 19 5" xfId="35095"/>
    <cellStyle name="Percent 2" xfId="26"/>
    <cellStyle name="Percent 2 10" xfId="1998"/>
    <cellStyle name="Percent 2 10 2" xfId="3147"/>
    <cellStyle name="Percent 2 10 2 2" xfId="3643"/>
    <cellStyle name="Percent 2 10 3" xfId="7132"/>
    <cellStyle name="Percent 2 11" xfId="1999"/>
    <cellStyle name="Percent 2 12" xfId="2000"/>
    <cellStyle name="Percent 2 13" xfId="2001"/>
    <cellStyle name="Percent 2 13 2" xfId="2002"/>
    <cellStyle name="Percent 2 14" xfId="2003"/>
    <cellStyle name="Percent 2 14 2" xfId="2004"/>
    <cellStyle name="Percent 2 15" xfId="2005"/>
    <cellStyle name="Percent 2 15 2" xfId="2006"/>
    <cellStyle name="Percent 2 16" xfId="2007"/>
    <cellStyle name="Percent 2 16 2" xfId="2008"/>
    <cellStyle name="Percent 2 17" xfId="2009"/>
    <cellStyle name="Percent 2 17 2" xfId="2010"/>
    <cellStyle name="Percent 2 18" xfId="2011"/>
    <cellStyle name="Percent 2 18 2" xfId="2012"/>
    <cellStyle name="Percent 2 18 2 2" xfId="7134"/>
    <cellStyle name="Percent 2 18 3" xfId="7870"/>
    <cellStyle name="Percent 2 18 4" xfId="7133"/>
    <cellStyle name="Percent 2 19" xfId="2013"/>
    <cellStyle name="Percent 2 2" xfId="2014"/>
    <cellStyle name="Percent 2 2 10" xfId="2015"/>
    <cellStyle name="Percent 2 2 10 2" xfId="2016"/>
    <cellStyle name="Percent 2 2 11" xfId="2017"/>
    <cellStyle name="Percent 2 2 11 2" xfId="2018"/>
    <cellStyle name="Percent 2 2 12" xfId="2019"/>
    <cellStyle name="Percent 2 2 12 2" xfId="2020"/>
    <cellStyle name="Percent 2 2 13" xfId="2021"/>
    <cellStyle name="Percent 2 2 13 2" xfId="2022"/>
    <cellStyle name="Percent 2 2 13 3" xfId="7135"/>
    <cellStyle name="Percent 2 2 14" xfId="2023"/>
    <cellStyle name="Percent 2 2 14 2" xfId="35098"/>
    <cellStyle name="Percent 2 2 15" xfId="2024"/>
    <cellStyle name="Percent 2 2 16" xfId="2025"/>
    <cellStyle name="Percent 2 2 17" xfId="2026"/>
    <cellStyle name="Percent 2 2 18" xfId="2027"/>
    <cellStyle name="Percent 2 2 19" xfId="2028"/>
    <cellStyle name="Percent 2 2 2" xfId="2029"/>
    <cellStyle name="Percent 2 2 2 2" xfId="2030"/>
    <cellStyle name="Percent 2 2 2 2 2" xfId="2031"/>
    <cellStyle name="Percent 2 2 2 2 2 2" xfId="7137"/>
    <cellStyle name="Percent 2 2 2 2 3" xfId="2032"/>
    <cellStyle name="Percent 2 2 2 2 4" xfId="7136"/>
    <cellStyle name="Percent 2 2 2 3" xfId="2033"/>
    <cellStyle name="Percent 2 2 2 3 2" xfId="7138"/>
    <cellStyle name="Percent 2 2 2 4" xfId="2034"/>
    <cellStyle name="Percent 2 2 2 4 2" xfId="7139"/>
    <cellStyle name="Percent 2 2 2 5" xfId="2035"/>
    <cellStyle name="Percent 2 2 2 6" xfId="2036"/>
    <cellStyle name="Percent 2 2 20" xfId="2037"/>
    <cellStyle name="Percent 2 2 21" xfId="2038"/>
    <cellStyle name="Percent 2 2 22" xfId="2039"/>
    <cellStyle name="Percent 2 2 23" xfId="2040"/>
    <cellStyle name="Percent 2 2 24" xfId="2041"/>
    <cellStyle name="Percent 2 2 25" xfId="2042"/>
    <cellStyle name="Percent 2 2 26" xfId="2043"/>
    <cellStyle name="Percent 2 2 27" xfId="2044"/>
    <cellStyle name="Percent 2 2 28" xfId="2045"/>
    <cellStyle name="Percent 2 2 29" xfId="2046"/>
    <cellStyle name="Percent 2 2 3" xfId="2047"/>
    <cellStyle name="Percent 2 2 3 2" xfId="2048"/>
    <cellStyle name="Percent 2 2 3 2 2" xfId="3148"/>
    <cellStyle name="Percent 2 2 3 2 2 2" xfId="35100"/>
    <cellStyle name="Percent 2 2 3 2 3" xfId="35099"/>
    <cellStyle name="Percent 2 2 3 3" xfId="2049"/>
    <cellStyle name="Percent 2 2 3 4" xfId="2050"/>
    <cellStyle name="Percent 2 2 3 4 2" xfId="7140"/>
    <cellStyle name="Percent 2 2 3 4 3" xfId="35101"/>
    <cellStyle name="Percent 2 2 3 5" xfId="2859"/>
    <cellStyle name="Percent 2 2 3 5 2" xfId="7141"/>
    <cellStyle name="Percent 2 2 3 6" xfId="7142"/>
    <cellStyle name="Percent 2 2 3 7" xfId="7143"/>
    <cellStyle name="Percent 2 2 30" xfId="2051"/>
    <cellStyle name="Percent 2 2 31" xfId="2052"/>
    <cellStyle name="Percent 2 2 32" xfId="2053"/>
    <cellStyle name="Percent 2 2 33" xfId="2054"/>
    <cellStyle name="Percent 2 2 34" xfId="2055"/>
    <cellStyle name="Percent 2 2 35" xfId="2056"/>
    <cellStyle name="Percent 2 2 36" xfId="2057"/>
    <cellStyle name="Percent 2 2 37" xfId="2058"/>
    <cellStyle name="Percent 2 2 38" xfId="2059"/>
    <cellStyle name="Percent 2 2 39" xfId="2060"/>
    <cellStyle name="Percent 2 2 4" xfId="2061"/>
    <cellStyle name="Percent 2 2 4 2" xfId="2062"/>
    <cellStyle name="Percent 2 2 4 2 2" xfId="7144"/>
    <cellStyle name="Percent 2 2 4 2 3" xfId="35102"/>
    <cellStyle name="Percent 2 2 4 3" xfId="2063"/>
    <cellStyle name="Percent 2 2 4 3 2" xfId="35103"/>
    <cellStyle name="Percent 2 2 4 4" xfId="2064"/>
    <cellStyle name="Percent 2 2 40" xfId="2065"/>
    <cellStyle name="Percent 2 2 41" xfId="2066"/>
    <cellStyle name="Percent 2 2 42" xfId="2067"/>
    <cellStyle name="Percent 2 2 43" xfId="2068"/>
    <cellStyle name="Percent 2 2 44" xfId="2069"/>
    <cellStyle name="Percent 2 2 45" xfId="35097"/>
    <cellStyle name="Percent 2 2 5" xfId="2070"/>
    <cellStyle name="Percent 2 2 5 2" xfId="2071"/>
    <cellStyle name="Percent 2 2 5 2 2" xfId="7145"/>
    <cellStyle name="Percent 2 2 5 2 2 2" xfId="35104"/>
    <cellStyle name="Percent 2 2 5 3" xfId="2072"/>
    <cellStyle name="Percent 2 2 5 4" xfId="2073"/>
    <cellStyle name="Percent 2 2 6" xfId="2074"/>
    <cellStyle name="Percent 2 2 6 2" xfId="2075"/>
    <cellStyle name="Percent 2 2 6 2 2" xfId="7147"/>
    <cellStyle name="Percent 2 2 6 3" xfId="7871"/>
    <cellStyle name="Percent 2 2 6 4" xfId="7146"/>
    <cellStyle name="Percent 2 2 7" xfId="2076"/>
    <cellStyle name="Percent 2 2 7 2" xfId="2077"/>
    <cellStyle name="Percent 2 2 7 2 2" xfId="7149"/>
    <cellStyle name="Percent 2 2 7 3" xfId="7872"/>
    <cellStyle name="Percent 2 2 7 4" xfId="7148"/>
    <cellStyle name="Percent 2 2 8" xfId="2078"/>
    <cellStyle name="Percent 2 2 8 2" xfId="2079"/>
    <cellStyle name="Percent 2 2 8 2 2" xfId="7151"/>
    <cellStyle name="Percent 2 2 8 3" xfId="7873"/>
    <cellStyle name="Percent 2 2 8 4" xfId="7150"/>
    <cellStyle name="Percent 2 2 9" xfId="2080"/>
    <cellStyle name="Percent 2 2 9 2" xfId="2081"/>
    <cellStyle name="Percent 2 2_Accounts 2010 after RAJ" xfId="3029"/>
    <cellStyle name="Percent 2 20" xfId="2082"/>
    <cellStyle name="Percent 2 21" xfId="2083"/>
    <cellStyle name="Percent 2 21 2" xfId="7152"/>
    <cellStyle name="Percent 2 21 3" xfId="7153"/>
    <cellStyle name="Percent 2 21 4" xfId="7154"/>
    <cellStyle name="Percent 2 21 5" xfId="35105"/>
    <cellStyle name="Percent 2 22" xfId="2084"/>
    <cellStyle name="Percent 2 22 2" xfId="35106"/>
    <cellStyle name="Percent 2 23" xfId="2085"/>
    <cellStyle name="Percent 2 23 2" xfId="35107"/>
    <cellStyle name="Percent 2 24" xfId="2086"/>
    <cellStyle name="Percent 2 24 2" xfId="35108"/>
    <cellStyle name="Percent 2 25" xfId="2087"/>
    <cellStyle name="Percent 2 25 2" xfId="35109"/>
    <cellStyle name="Percent 2 26" xfId="2088"/>
    <cellStyle name="Percent 2 26 2" xfId="35110"/>
    <cellStyle name="Percent 2 27" xfId="2089"/>
    <cellStyle name="Percent 2 28" xfId="2090"/>
    <cellStyle name="Percent 2 29" xfId="2091"/>
    <cellStyle name="Percent 2 3" xfId="2092"/>
    <cellStyle name="Percent 2 3 2" xfId="2093"/>
    <cellStyle name="Percent 2 3 2 2" xfId="2094"/>
    <cellStyle name="Percent 2 3 2 2 2" xfId="7155"/>
    <cellStyle name="Percent 2 3 2 2 3" xfId="35113"/>
    <cellStyle name="Percent 2 3 2 3" xfId="35114"/>
    <cellStyle name="Percent 2 3 2 4" xfId="35112"/>
    <cellStyle name="Percent 2 3 3" xfId="2095"/>
    <cellStyle name="Percent 2 3 3 2" xfId="7156"/>
    <cellStyle name="Percent 2 3 3 2 2" xfId="35115"/>
    <cellStyle name="Percent 2 3 4" xfId="8514"/>
    <cellStyle name="Percent 2 3 5" xfId="35116"/>
    <cellStyle name="Percent 2 3 6" xfId="35117"/>
    <cellStyle name="Percent 2 3 7" xfId="35111"/>
    <cellStyle name="Percent 2 30" xfId="2096"/>
    <cellStyle name="Percent 2 31" xfId="2097"/>
    <cellStyle name="Percent 2 32" xfId="2098"/>
    <cellStyle name="Percent 2 33" xfId="2099"/>
    <cellStyle name="Percent 2 34" xfId="2100"/>
    <cellStyle name="Percent 2 35" xfId="2101"/>
    <cellStyle name="Percent 2 36" xfId="2102"/>
    <cellStyle name="Percent 2 37" xfId="2103"/>
    <cellStyle name="Percent 2 38" xfId="2104"/>
    <cellStyle name="Percent 2 39" xfId="2105"/>
    <cellStyle name="Percent 2 4" xfId="2106"/>
    <cellStyle name="Percent 2 4 2" xfId="2107"/>
    <cellStyle name="Percent 2 4 2 2" xfId="2108"/>
    <cellStyle name="Percent 2 4 2 2 2" xfId="7158"/>
    <cellStyle name="Percent 2 4 2 2 3" xfId="35118"/>
    <cellStyle name="Percent 2 4 2 3" xfId="7157"/>
    <cellStyle name="Percent 2 4 3" xfId="2109"/>
    <cellStyle name="Percent 2 40" xfId="2110"/>
    <cellStyle name="Percent 2 41" xfId="2111"/>
    <cellStyle name="Percent 2 42" xfId="2112"/>
    <cellStyle name="Percent 2 43" xfId="2113"/>
    <cellStyle name="Percent 2 44" xfId="2114"/>
    <cellStyle name="Percent 2 45" xfId="2115"/>
    <cellStyle name="Percent 2 46" xfId="2116"/>
    <cellStyle name="Percent 2 47" xfId="2117"/>
    <cellStyle name="Percent 2 48" xfId="2118"/>
    <cellStyle name="Percent 2 49" xfId="1997"/>
    <cellStyle name="Percent 2 49 2" xfId="7160"/>
    <cellStyle name="Percent 2 49 3" xfId="7159"/>
    <cellStyle name="Percent 2 5" xfId="2119"/>
    <cellStyle name="Percent 2 5 2" xfId="2120"/>
    <cellStyle name="Percent 2 5 2 2" xfId="2121"/>
    <cellStyle name="Percent 2 5 3" xfId="2122"/>
    <cellStyle name="Percent 2 50" xfId="7161"/>
    <cellStyle name="Percent 2 50 2" xfId="7162"/>
    <cellStyle name="Percent 2 51" xfId="7163"/>
    <cellStyle name="Percent 2 51 2" xfId="7164"/>
    <cellStyle name="Percent 2 52" xfId="7165"/>
    <cellStyle name="Percent 2 52 2" xfId="7166"/>
    <cellStyle name="Percent 2 53" xfId="7167"/>
    <cellStyle name="Percent 2 53 2" xfId="7168"/>
    <cellStyle name="Percent 2 54" xfId="7169"/>
    <cellStyle name="Percent 2 54 2" xfId="7170"/>
    <cellStyle name="Percent 2 55" xfId="7171"/>
    <cellStyle name="Percent 2 56" xfId="7172"/>
    <cellStyle name="Percent 2 57" xfId="7131"/>
    <cellStyle name="Percent 2 58" xfId="3271"/>
    <cellStyle name="Percent 2 58 2" xfId="7805"/>
    <cellStyle name="Percent 2 58 3" xfId="7884"/>
    <cellStyle name="Percent 2 6" xfId="2123"/>
    <cellStyle name="Percent 2 6 2" xfId="2124"/>
    <cellStyle name="Percent 2 6 2 2" xfId="3149"/>
    <cellStyle name="Percent 2 6 2 2 2" xfId="7174"/>
    <cellStyle name="Percent 2 6 2 2 3" xfId="35120"/>
    <cellStyle name="Percent 2 6 2 3" xfId="7173"/>
    <cellStyle name="Percent 2 6 2 3 2" xfId="35121"/>
    <cellStyle name="Percent 2 6 2 4" xfId="35119"/>
    <cellStyle name="Percent 2 6 3" xfId="2860"/>
    <cellStyle name="Percent 2 6 3 2" xfId="7175"/>
    <cellStyle name="Percent 2 6 3 2 2" xfId="35123"/>
    <cellStyle name="Percent 2 6 3 3" xfId="35124"/>
    <cellStyle name="Percent 2 6 3 4" xfId="35122"/>
    <cellStyle name="Percent 2 6 4" xfId="35125"/>
    <cellStyle name="Percent 2 7" xfId="2125"/>
    <cellStyle name="Percent 2 7 2" xfId="2126"/>
    <cellStyle name="Percent 2 7 2 2" xfId="7176"/>
    <cellStyle name="Percent 2 7 2 2 2" xfId="35127"/>
    <cellStyle name="Percent 2 7 2 3" xfId="35128"/>
    <cellStyle name="Percent 2 7 2 4" xfId="35126"/>
    <cellStyle name="Percent 2 7 3" xfId="2127"/>
    <cellStyle name="Percent 2 7 3 2" xfId="35129"/>
    <cellStyle name="Percent 2 7 4" xfId="3150"/>
    <cellStyle name="Percent 2 8" xfId="2128"/>
    <cellStyle name="Percent 2 8 2" xfId="2129"/>
    <cellStyle name="Percent 2 8 2 2" xfId="7177"/>
    <cellStyle name="Percent 2 8 3" xfId="2130"/>
    <cellStyle name="Percent 2 8 4" xfId="3151"/>
    <cellStyle name="Percent 2 9" xfId="2131"/>
    <cellStyle name="Percent 2 9 2" xfId="2132"/>
    <cellStyle name="Percent 2 9 3" xfId="3152"/>
    <cellStyle name="Percent 2_Account(31-Dec-09)" xfId="2133"/>
    <cellStyle name="Percent 20" xfId="2134"/>
    <cellStyle name="Percent 20 2" xfId="2135"/>
    <cellStyle name="Percent 20 2 2" xfId="35131"/>
    <cellStyle name="Percent 20 2 3" xfId="35132"/>
    <cellStyle name="Percent 20 2 4" xfId="35130"/>
    <cellStyle name="Percent 20 3" xfId="3157"/>
    <cellStyle name="Percent 20 3 2" xfId="35133"/>
    <cellStyle name="Percent 20 4" xfId="7178"/>
    <cellStyle name="Percent 21" xfId="2136"/>
    <cellStyle name="Percent 21 2" xfId="2137"/>
    <cellStyle name="Percent 21 3" xfId="3036"/>
    <cellStyle name="Percent 21 4" xfId="7179"/>
    <cellStyle name="Percent 22" xfId="2138"/>
    <cellStyle name="Percent 22 2" xfId="2139"/>
    <cellStyle name="Percent 22 3" xfId="3179"/>
    <cellStyle name="Percent 22 4" xfId="7180"/>
    <cellStyle name="Percent 23" xfId="2140"/>
    <cellStyle name="Percent 23 2" xfId="2141"/>
    <cellStyle name="Percent 23 3" xfId="3163"/>
    <cellStyle name="Percent 23 4" xfId="7181"/>
    <cellStyle name="Percent 24" xfId="2142"/>
    <cellStyle name="Percent 24 2" xfId="2143"/>
    <cellStyle name="Percent 24 3" xfId="2144"/>
    <cellStyle name="Percent 24 4" xfId="7182"/>
    <cellStyle name="Percent 25" xfId="2145"/>
    <cellStyle name="Percent 25 2" xfId="2146"/>
    <cellStyle name="Percent 25 3" xfId="2147"/>
    <cellStyle name="Percent 26" xfId="2148"/>
    <cellStyle name="Percent 26 2" xfId="2149"/>
    <cellStyle name="Percent 26 3" xfId="2150"/>
    <cellStyle name="Percent 26 4" xfId="2151"/>
    <cellStyle name="Percent 26 5" xfId="2152"/>
    <cellStyle name="Percent 26 6" xfId="35134"/>
    <cellStyle name="Percent 27" xfId="2153"/>
    <cellStyle name="Percent 27 2" xfId="2154"/>
    <cellStyle name="Percent 27 3" xfId="35135"/>
    <cellStyle name="Percent 28" xfId="2155"/>
    <cellStyle name="Percent 28 2" xfId="2156"/>
    <cellStyle name="Percent 28 3" xfId="2157"/>
    <cellStyle name="Percent 28 4" xfId="2861"/>
    <cellStyle name="Percent 29" xfId="2158"/>
    <cellStyle name="Percent 29 2" xfId="2159"/>
    <cellStyle name="Percent 29 3" xfId="35136"/>
    <cellStyle name="Percent 3" xfId="2160"/>
    <cellStyle name="Percent 3 2" xfId="2161"/>
    <cellStyle name="Percent 3 2 2" xfId="35138"/>
    <cellStyle name="Percent 3 2 3" xfId="35139"/>
    <cellStyle name="Percent 3 2 4" xfId="35140"/>
    <cellStyle name="Percent 3 3" xfId="2162"/>
    <cellStyle name="Percent 3 3 2" xfId="2163"/>
    <cellStyle name="Percent 3 3 2 2" xfId="2164"/>
    <cellStyle name="Percent 3 3 3" xfId="3030"/>
    <cellStyle name="Percent 3 3 3 2" xfId="35141"/>
    <cellStyle name="Percent 3 4" xfId="2165"/>
    <cellStyle name="Percent 3 4 2" xfId="35143"/>
    <cellStyle name="Percent 3 4 3" xfId="35144"/>
    <cellStyle name="Percent 3 4 4" xfId="35142"/>
    <cellStyle name="Percent 3 5" xfId="2166"/>
    <cellStyle name="Percent 3 5 2" xfId="7183"/>
    <cellStyle name="Percent 3 5 2 2" xfId="35146"/>
    <cellStyle name="Percent 3 5 3" xfId="35147"/>
    <cellStyle name="Percent 3 5 4" xfId="35148"/>
    <cellStyle name="Percent 3 5 5" xfId="35145"/>
    <cellStyle name="Percent 3 6" xfId="7184"/>
    <cellStyle name="Percent 3 6 2" xfId="35149"/>
    <cellStyle name="Percent 3 7" xfId="35150"/>
    <cellStyle name="Percent 3 7 2" xfId="35151"/>
    <cellStyle name="Percent 3 7 2 2" xfId="35152"/>
    <cellStyle name="Percent 3 7 3" xfId="35153"/>
    <cellStyle name="Percent 3 8" xfId="35154"/>
    <cellStyle name="Percent 3 9" xfId="35137"/>
    <cellStyle name="Percent 3_Accounts 2010 after RAJ" xfId="35155"/>
    <cellStyle name="Percent 30" xfId="2167"/>
    <cellStyle name="Percent 30 2" xfId="2168"/>
    <cellStyle name="Percent 30 3" xfId="35156"/>
    <cellStyle name="Percent 31" xfId="2169"/>
    <cellStyle name="Percent 31 2" xfId="2170"/>
    <cellStyle name="Percent 32" xfId="2171"/>
    <cellStyle name="Percent 32 2" xfId="2172"/>
    <cellStyle name="Percent 33" xfId="2173"/>
    <cellStyle name="Percent 33 2" xfId="2174"/>
    <cellStyle name="Percent 33 3" xfId="7185"/>
    <cellStyle name="Percent 34" xfId="2175"/>
    <cellStyle name="Percent 34 2" xfId="7186"/>
    <cellStyle name="Percent 35" xfId="2176"/>
    <cellStyle name="Percent 35 2" xfId="7187"/>
    <cellStyle name="Percent 36" xfId="2177"/>
    <cellStyle name="Percent 36 2" xfId="7188"/>
    <cellStyle name="Percent 37" xfId="2178"/>
    <cellStyle name="Percent 37 2" xfId="7189"/>
    <cellStyle name="Percent 38" xfId="2179"/>
    <cellStyle name="Percent 38 2" xfId="7190"/>
    <cellStyle name="Percent 39" xfId="2180"/>
    <cellStyle name="Percent 39 2" xfId="7191"/>
    <cellStyle name="Percent 4" xfId="2181"/>
    <cellStyle name="Percent 4 2" xfId="2182"/>
    <cellStyle name="Percent 4 2 2" xfId="2183"/>
    <cellStyle name="Percent 4 2 2 2" xfId="35158"/>
    <cellStyle name="Percent 4 2 2 3" xfId="35159"/>
    <cellStyle name="Percent 4 2 2 4" xfId="35157"/>
    <cellStyle name="Percent 4 2 3" xfId="2184"/>
    <cellStyle name="Percent 4 2 4" xfId="7193"/>
    <cellStyle name="Percent 4 3" xfId="2185"/>
    <cellStyle name="Percent 4 3 2" xfId="7194"/>
    <cellStyle name="Percent 4 3 2 2" xfId="35160"/>
    <cellStyle name="Percent 4 3 3" xfId="35161"/>
    <cellStyle name="Percent 4 3 4" xfId="35162"/>
    <cellStyle name="Percent 4 4" xfId="2186"/>
    <cellStyle name="Percent 4 4 2" xfId="2187"/>
    <cellStyle name="Percent 4 4 3" xfId="7195"/>
    <cellStyle name="Percent 4 4 3 2" xfId="35163"/>
    <cellStyle name="Percent 4 5" xfId="7844"/>
    <cellStyle name="Percent 4 6" xfId="7192"/>
    <cellStyle name="Percent 40" xfId="2188"/>
    <cellStyle name="Percent 40 2" xfId="7196"/>
    <cellStyle name="Percent 41" xfId="2189"/>
    <cellStyle name="Percent 41 2" xfId="7197"/>
    <cellStyle name="Percent 42" xfId="2190"/>
    <cellStyle name="Percent 42 2" xfId="7198"/>
    <cellStyle name="Percent 43" xfId="2191"/>
    <cellStyle name="Percent 43 2" xfId="7199"/>
    <cellStyle name="Percent 44" xfId="2192"/>
    <cellStyle name="Percent 44 2" xfId="7200"/>
    <cellStyle name="Percent 44 2 2" xfId="35165"/>
    <cellStyle name="Percent 44 3" xfId="35164"/>
    <cellStyle name="Percent 45" xfId="2193"/>
    <cellStyle name="Percent 45 2" xfId="7201"/>
    <cellStyle name="Percent 45 3" xfId="35166"/>
    <cellStyle name="Percent 46" xfId="2194"/>
    <cellStyle name="Percent 46 2" xfId="35167"/>
    <cellStyle name="Percent 47" xfId="2195"/>
    <cellStyle name="Percent 47 2" xfId="35168"/>
    <cellStyle name="Percent 48" xfId="2196"/>
    <cellStyle name="Percent 48 2" xfId="7202"/>
    <cellStyle name="Percent 49" xfId="2197"/>
    <cellStyle name="Percent 49 2" xfId="7203"/>
    <cellStyle name="Percent 5" xfId="2198"/>
    <cellStyle name="Percent 5 2" xfId="2199"/>
    <cellStyle name="Percent 5 2 2" xfId="3153"/>
    <cellStyle name="Percent 5 2 2 2" xfId="35169"/>
    <cellStyle name="Percent 5 2 2 3" xfId="35170"/>
    <cellStyle name="Percent 5 2 3" xfId="35171"/>
    <cellStyle name="Percent 5 2 4" xfId="35172"/>
    <cellStyle name="Percent 5 3" xfId="2200"/>
    <cellStyle name="Percent 5 3 2" xfId="3031"/>
    <cellStyle name="Percent 5 3 2 2" xfId="35174"/>
    <cellStyle name="Percent 5 3 3" xfId="35175"/>
    <cellStyle name="Percent 5 3 4" xfId="35176"/>
    <cellStyle name="Percent 5 3 5" xfId="35177"/>
    <cellStyle name="Percent 5 3 6" xfId="35173"/>
    <cellStyle name="Percent 5 4" xfId="2201"/>
    <cellStyle name="Percent 5 4 2" xfId="35179"/>
    <cellStyle name="Percent 5 4 3" xfId="35178"/>
    <cellStyle name="Percent 5 5" xfId="35180"/>
    <cellStyle name="Percent 50" xfId="2202"/>
    <cellStyle name="Percent 50 2" xfId="7204"/>
    <cellStyle name="Percent 51" xfId="2203"/>
    <cellStyle name="Percent 52" xfId="2204"/>
    <cellStyle name="Percent 53" xfId="2205"/>
    <cellStyle name="Percent 54" xfId="2206"/>
    <cellStyle name="Percent 55" xfId="2207"/>
    <cellStyle name="Percent 56" xfId="2208"/>
    <cellStyle name="Percent 57" xfId="2480"/>
    <cellStyle name="Percent 57 2" xfId="7205"/>
    <cellStyle name="Percent 58" xfId="1963"/>
    <cellStyle name="Percent 58 2" xfId="7206"/>
    <cellStyle name="Percent 59" xfId="4556"/>
    <cellStyle name="Percent 59 2" xfId="7207"/>
    <cellStyle name="Percent 6" xfId="2209"/>
    <cellStyle name="Percent 6 2" xfId="2210"/>
    <cellStyle name="Percent 6 2 2" xfId="2211"/>
    <cellStyle name="Percent 6 2 2 2" xfId="7208"/>
    <cellStyle name="Percent 6 2 3" xfId="2862"/>
    <cellStyle name="Percent 6 3" xfId="2212"/>
    <cellStyle name="Percent 6 3 2" xfId="3032"/>
    <cellStyle name="Percent 6 3 2 2" xfId="35181"/>
    <cellStyle name="Percent 6 3 3" xfId="35182"/>
    <cellStyle name="Percent 6 4" xfId="2213"/>
    <cellStyle name="Percent 6 4 2" xfId="7209"/>
    <cellStyle name="Percent 6 5" xfId="2214"/>
    <cellStyle name="Percent 6 5 2" xfId="7210"/>
    <cellStyle name="Percent 6 6" xfId="2215"/>
    <cellStyle name="Percent 6 6 2" xfId="35183"/>
    <cellStyle name="Percent 60" xfId="3866"/>
    <cellStyle name="Percent 60 2" xfId="7211"/>
    <cellStyle name="Percent 61" xfId="7212"/>
    <cellStyle name="Percent 62" xfId="7213"/>
    <cellStyle name="Percent 63" xfId="7214"/>
    <cellStyle name="Percent 64" xfId="7215"/>
    <cellStyle name="Percent 65" xfId="7216"/>
    <cellStyle name="Percent 66" xfId="7217"/>
    <cellStyle name="Percent 67" xfId="7218"/>
    <cellStyle name="Percent 68" xfId="7219"/>
    <cellStyle name="Percent 69" xfId="7220"/>
    <cellStyle name="Percent 7" xfId="2216"/>
    <cellStyle name="Percent 7 2" xfId="2217"/>
    <cellStyle name="Percent 7 2 2" xfId="2863"/>
    <cellStyle name="Percent 7 2 3" xfId="7223"/>
    <cellStyle name="Percent 7 2 4" xfId="7222"/>
    <cellStyle name="Percent 7 3" xfId="2218"/>
    <cellStyle name="Percent 7 3 2" xfId="35185"/>
    <cellStyle name="Percent 7 3 2 2" xfId="35186"/>
    <cellStyle name="Percent 7 3 2 3" xfId="35187"/>
    <cellStyle name="Percent 7 3 3" xfId="35188"/>
    <cellStyle name="Percent 7 3 4" xfId="35189"/>
    <cellStyle name="Percent 7 3 5" xfId="35184"/>
    <cellStyle name="Percent 7 4" xfId="2219"/>
    <cellStyle name="Percent 7 4 2" xfId="7225"/>
    <cellStyle name="Percent 7 4 2 2" xfId="7226"/>
    <cellStyle name="Percent 7 4 3" xfId="7227"/>
    <cellStyle name="Percent 7 4 4" xfId="7228"/>
    <cellStyle name="Percent 7 4 5" xfId="7224"/>
    <cellStyle name="Percent 7 4 6" xfId="35190"/>
    <cellStyle name="Percent 7 5" xfId="7229"/>
    <cellStyle name="Percent 7 5 2" xfId="7230"/>
    <cellStyle name="Percent 7 5 2 2" xfId="35193"/>
    <cellStyle name="Percent 7 5 2 2 2" xfId="35194"/>
    <cellStyle name="Percent 7 5 2 2 2 2" xfId="35195"/>
    <cellStyle name="Percent 7 5 2 2 3" xfId="35196"/>
    <cellStyle name="Percent 7 5 2 3" xfId="35197"/>
    <cellStyle name="Percent 7 5 2 3 2" xfId="35198"/>
    <cellStyle name="Percent 7 5 2 4" xfId="35199"/>
    <cellStyle name="Percent 7 5 2 5" xfId="35200"/>
    <cellStyle name="Percent 7 5 2 6" xfId="35192"/>
    <cellStyle name="Percent 7 5 3" xfId="35201"/>
    <cellStyle name="Percent 7 5 3 2" xfId="35202"/>
    <cellStyle name="Percent 7 5 3 2 2" xfId="35203"/>
    <cellStyle name="Percent 7 5 3 2 2 2" xfId="35204"/>
    <cellStyle name="Percent 7 5 3 2 3" xfId="35205"/>
    <cellStyle name="Percent 7 5 3 3" xfId="35206"/>
    <cellStyle name="Percent 7 5 3 3 2" xfId="35207"/>
    <cellStyle name="Percent 7 5 3 4" xfId="35208"/>
    <cellStyle name="Percent 7 5 4" xfId="35209"/>
    <cellStyle name="Percent 7 5 4 2" xfId="35210"/>
    <cellStyle name="Percent 7 5 4 2 2" xfId="35211"/>
    <cellStyle name="Percent 7 5 4 3" xfId="35212"/>
    <cellStyle name="Percent 7 5 5" xfId="35213"/>
    <cellStyle name="Percent 7 5 5 2" xfId="35214"/>
    <cellStyle name="Percent 7 5 5 2 2" xfId="35215"/>
    <cellStyle name="Percent 7 5 5 3" xfId="35216"/>
    <cellStyle name="Percent 7 5 6" xfId="35217"/>
    <cellStyle name="Percent 7 5 6 2" xfId="35218"/>
    <cellStyle name="Percent 7 5 7" xfId="35219"/>
    <cellStyle name="Percent 7 5 8" xfId="35220"/>
    <cellStyle name="Percent 7 5 9" xfId="35191"/>
    <cellStyle name="Percent 7 6" xfId="7231"/>
    <cellStyle name="Percent 7 6 2" xfId="35221"/>
    <cellStyle name="Percent 7 7" xfId="7232"/>
    <cellStyle name="Percent 7 8" xfId="7221"/>
    <cellStyle name="Percent 70" xfId="7233"/>
    <cellStyle name="Percent 71" xfId="7234"/>
    <cellStyle name="Percent 72" xfId="7235"/>
    <cellStyle name="Percent 73" xfId="7236"/>
    <cellStyle name="Percent 74" xfId="7237"/>
    <cellStyle name="Percent 75" xfId="7238"/>
    <cellStyle name="Percent 76" xfId="7239"/>
    <cellStyle name="Percent 77" xfId="7240"/>
    <cellStyle name="Percent 78" xfId="7241"/>
    <cellStyle name="Percent 79" xfId="7242"/>
    <cellStyle name="Percent 8" xfId="2220"/>
    <cellStyle name="Percent 8 2" xfId="2221"/>
    <cellStyle name="Percent 8 2 10" xfId="35223"/>
    <cellStyle name="Percent 8 2 10 2" xfId="35224"/>
    <cellStyle name="Percent 8 2 11" xfId="35225"/>
    <cellStyle name="Percent 8 2 12" xfId="35226"/>
    <cellStyle name="Percent 8 2 13" xfId="35222"/>
    <cellStyle name="Percent 8 2 2" xfId="7244"/>
    <cellStyle name="Percent 8 2 2 10" xfId="35228"/>
    <cellStyle name="Percent 8 2 2 11" xfId="35229"/>
    <cellStyle name="Percent 8 2 2 12" xfId="35227"/>
    <cellStyle name="Percent 8 2 2 2" xfId="35230"/>
    <cellStyle name="Percent 8 2 2 2 2" xfId="35231"/>
    <cellStyle name="Percent 8 2 2 2 2 2" xfId="35232"/>
    <cellStyle name="Percent 8 2 2 2 2 2 2" xfId="35233"/>
    <cellStyle name="Percent 8 2 2 2 2 2 2 2" xfId="35234"/>
    <cellStyle name="Percent 8 2 2 2 2 2 3" xfId="35235"/>
    <cellStyle name="Percent 8 2 2 2 2 3" xfId="35236"/>
    <cellStyle name="Percent 8 2 2 2 2 3 2" xfId="35237"/>
    <cellStyle name="Percent 8 2 2 2 2 4" xfId="35238"/>
    <cellStyle name="Percent 8 2 2 2 2 5" xfId="35239"/>
    <cellStyle name="Percent 8 2 2 2 3" xfId="35240"/>
    <cellStyle name="Percent 8 2 2 2 3 2" xfId="35241"/>
    <cellStyle name="Percent 8 2 2 2 3 2 2" xfId="35242"/>
    <cellStyle name="Percent 8 2 2 2 3 2 2 2" xfId="35243"/>
    <cellStyle name="Percent 8 2 2 2 3 2 3" xfId="35244"/>
    <cellStyle name="Percent 8 2 2 2 3 3" xfId="35245"/>
    <cellStyle name="Percent 8 2 2 2 3 3 2" xfId="35246"/>
    <cellStyle name="Percent 8 2 2 2 3 4" xfId="35247"/>
    <cellStyle name="Percent 8 2 2 2 4" xfId="35248"/>
    <cellStyle name="Percent 8 2 2 2 4 2" xfId="35249"/>
    <cellStyle name="Percent 8 2 2 2 4 2 2" xfId="35250"/>
    <cellStyle name="Percent 8 2 2 2 4 3" xfId="35251"/>
    <cellStyle name="Percent 8 2 2 2 5" xfId="35252"/>
    <cellStyle name="Percent 8 2 2 2 5 2" xfId="35253"/>
    <cellStyle name="Percent 8 2 2 2 5 2 2" xfId="35254"/>
    <cellStyle name="Percent 8 2 2 2 5 3" xfId="35255"/>
    <cellStyle name="Percent 8 2 2 2 6" xfId="35256"/>
    <cellStyle name="Percent 8 2 2 2 6 2" xfId="35257"/>
    <cellStyle name="Percent 8 2 2 2 7" xfId="35258"/>
    <cellStyle name="Percent 8 2 2 2 8" xfId="35259"/>
    <cellStyle name="Percent 8 2 2 3" xfId="35260"/>
    <cellStyle name="Percent 8 2 2 3 2" xfId="35261"/>
    <cellStyle name="Percent 8 2 2 3 2 2" xfId="35262"/>
    <cellStyle name="Percent 8 2 2 3 2 2 2" xfId="35263"/>
    <cellStyle name="Percent 8 2 2 3 2 2 2 2" xfId="35264"/>
    <cellStyle name="Percent 8 2 2 3 2 2 3" xfId="35265"/>
    <cellStyle name="Percent 8 2 2 3 2 3" xfId="35266"/>
    <cellStyle name="Percent 8 2 2 3 2 3 2" xfId="35267"/>
    <cellStyle name="Percent 8 2 2 3 2 4" xfId="35268"/>
    <cellStyle name="Percent 8 2 2 3 2 5" xfId="35269"/>
    <cellStyle name="Percent 8 2 2 3 3" xfId="35270"/>
    <cellStyle name="Percent 8 2 2 3 3 2" xfId="35271"/>
    <cellStyle name="Percent 8 2 2 3 3 2 2" xfId="35272"/>
    <cellStyle name="Percent 8 2 2 3 3 2 2 2" xfId="35273"/>
    <cellStyle name="Percent 8 2 2 3 3 2 3" xfId="35274"/>
    <cellStyle name="Percent 8 2 2 3 3 3" xfId="35275"/>
    <cellStyle name="Percent 8 2 2 3 3 3 2" xfId="35276"/>
    <cellStyle name="Percent 8 2 2 3 3 4" xfId="35277"/>
    <cellStyle name="Percent 8 2 2 3 4" xfId="35278"/>
    <cellStyle name="Percent 8 2 2 3 4 2" xfId="35279"/>
    <cellStyle name="Percent 8 2 2 3 4 2 2" xfId="35280"/>
    <cellStyle name="Percent 8 2 2 3 4 3" xfId="35281"/>
    <cellStyle name="Percent 8 2 2 3 5" xfId="35282"/>
    <cellStyle name="Percent 8 2 2 3 5 2" xfId="35283"/>
    <cellStyle name="Percent 8 2 2 3 5 2 2" xfId="35284"/>
    <cellStyle name="Percent 8 2 2 3 5 3" xfId="35285"/>
    <cellStyle name="Percent 8 2 2 3 6" xfId="35286"/>
    <cellStyle name="Percent 8 2 2 3 6 2" xfId="35287"/>
    <cellStyle name="Percent 8 2 2 3 7" xfId="35288"/>
    <cellStyle name="Percent 8 2 2 3 8" xfId="35289"/>
    <cellStyle name="Percent 8 2 2 4" xfId="35290"/>
    <cellStyle name="Percent 8 2 2 4 2" xfId="35291"/>
    <cellStyle name="Percent 8 2 2 4 2 2" xfId="35292"/>
    <cellStyle name="Percent 8 2 2 4 2 2 2" xfId="35293"/>
    <cellStyle name="Percent 8 2 2 4 2 2 2 2" xfId="35294"/>
    <cellStyle name="Percent 8 2 2 4 2 2 3" xfId="35295"/>
    <cellStyle name="Percent 8 2 2 4 2 3" xfId="35296"/>
    <cellStyle name="Percent 8 2 2 4 2 3 2" xfId="35297"/>
    <cellStyle name="Percent 8 2 2 4 2 4" xfId="35298"/>
    <cellStyle name="Percent 8 2 2 4 2 5" xfId="35299"/>
    <cellStyle name="Percent 8 2 2 4 3" xfId="35300"/>
    <cellStyle name="Percent 8 2 2 4 3 2" xfId="35301"/>
    <cellStyle name="Percent 8 2 2 4 3 2 2" xfId="35302"/>
    <cellStyle name="Percent 8 2 2 4 3 2 2 2" xfId="35303"/>
    <cellStyle name="Percent 8 2 2 4 3 2 3" xfId="35304"/>
    <cellStyle name="Percent 8 2 2 4 3 3" xfId="35305"/>
    <cellStyle name="Percent 8 2 2 4 3 3 2" xfId="35306"/>
    <cellStyle name="Percent 8 2 2 4 3 4" xfId="35307"/>
    <cellStyle name="Percent 8 2 2 4 4" xfId="35308"/>
    <cellStyle name="Percent 8 2 2 4 4 2" xfId="35309"/>
    <cellStyle name="Percent 8 2 2 4 4 2 2" xfId="35310"/>
    <cellStyle name="Percent 8 2 2 4 4 3" xfId="35311"/>
    <cellStyle name="Percent 8 2 2 4 5" xfId="35312"/>
    <cellStyle name="Percent 8 2 2 4 5 2" xfId="35313"/>
    <cellStyle name="Percent 8 2 2 4 5 2 2" xfId="35314"/>
    <cellStyle name="Percent 8 2 2 4 5 3" xfId="35315"/>
    <cellStyle name="Percent 8 2 2 4 6" xfId="35316"/>
    <cellStyle name="Percent 8 2 2 4 6 2" xfId="35317"/>
    <cellStyle name="Percent 8 2 2 4 7" xfId="35318"/>
    <cellStyle name="Percent 8 2 2 4 8" xfId="35319"/>
    <cellStyle name="Percent 8 2 2 5" xfId="35320"/>
    <cellStyle name="Percent 8 2 2 5 2" xfId="35321"/>
    <cellStyle name="Percent 8 2 2 5 2 2" xfId="35322"/>
    <cellStyle name="Percent 8 2 2 5 2 2 2" xfId="35323"/>
    <cellStyle name="Percent 8 2 2 5 2 2 2 2" xfId="35324"/>
    <cellStyle name="Percent 8 2 2 5 2 2 3" xfId="35325"/>
    <cellStyle name="Percent 8 2 2 5 2 3" xfId="35326"/>
    <cellStyle name="Percent 8 2 2 5 2 3 2" xfId="35327"/>
    <cellStyle name="Percent 8 2 2 5 2 4" xfId="35328"/>
    <cellStyle name="Percent 8 2 2 5 3" xfId="35329"/>
    <cellStyle name="Percent 8 2 2 5 3 2" xfId="35330"/>
    <cellStyle name="Percent 8 2 2 5 3 2 2" xfId="35331"/>
    <cellStyle name="Percent 8 2 2 5 3 3" xfId="35332"/>
    <cellStyle name="Percent 8 2 2 5 4" xfId="35333"/>
    <cellStyle name="Percent 8 2 2 5 4 2" xfId="35334"/>
    <cellStyle name="Percent 8 2 2 5 4 2 2" xfId="35335"/>
    <cellStyle name="Percent 8 2 2 5 4 3" xfId="35336"/>
    <cellStyle name="Percent 8 2 2 5 5" xfId="35337"/>
    <cellStyle name="Percent 8 2 2 5 5 2" xfId="35338"/>
    <cellStyle name="Percent 8 2 2 5 6" xfId="35339"/>
    <cellStyle name="Percent 8 2 2 5 7" xfId="35340"/>
    <cellStyle name="Percent 8 2 2 6" xfId="35341"/>
    <cellStyle name="Percent 8 2 2 6 2" xfId="35342"/>
    <cellStyle name="Percent 8 2 2 6 2 2" xfId="35343"/>
    <cellStyle name="Percent 8 2 2 6 2 2 2" xfId="35344"/>
    <cellStyle name="Percent 8 2 2 6 2 3" xfId="35345"/>
    <cellStyle name="Percent 8 2 2 6 3" xfId="35346"/>
    <cellStyle name="Percent 8 2 2 6 3 2" xfId="35347"/>
    <cellStyle name="Percent 8 2 2 6 4" xfId="35348"/>
    <cellStyle name="Percent 8 2 2 6 5" xfId="35349"/>
    <cellStyle name="Percent 8 2 2 7" xfId="35350"/>
    <cellStyle name="Percent 8 2 2 7 2" xfId="35351"/>
    <cellStyle name="Percent 8 2 2 7 2 2" xfId="35352"/>
    <cellStyle name="Percent 8 2 2 7 3" xfId="35353"/>
    <cellStyle name="Percent 8 2 2 8" xfId="35354"/>
    <cellStyle name="Percent 8 2 2 8 2" xfId="35355"/>
    <cellStyle name="Percent 8 2 2 8 2 2" xfId="35356"/>
    <cellStyle name="Percent 8 2 2 8 3" xfId="35357"/>
    <cellStyle name="Percent 8 2 2 9" xfId="35358"/>
    <cellStyle name="Percent 8 2 2 9 2" xfId="35359"/>
    <cellStyle name="Percent 8 2 3" xfId="35360"/>
    <cellStyle name="Percent 8 2 3 10" xfId="35361"/>
    <cellStyle name="Percent 8 2 3 2" xfId="35362"/>
    <cellStyle name="Percent 8 2 3 2 2" xfId="35363"/>
    <cellStyle name="Percent 8 2 3 2 2 2" xfId="35364"/>
    <cellStyle name="Percent 8 2 3 2 2 2 2" xfId="35365"/>
    <cellStyle name="Percent 8 2 3 2 2 2 2 2" xfId="35366"/>
    <cellStyle name="Percent 8 2 3 2 2 2 3" xfId="35367"/>
    <cellStyle name="Percent 8 2 3 2 2 3" xfId="35368"/>
    <cellStyle name="Percent 8 2 3 2 2 3 2" xfId="35369"/>
    <cellStyle name="Percent 8 2 3 2 2 4" xfId="35370"/>
    <cellStyle name="Percent 8 2 3 2 2 5" xfId="35371"/>
    <cellStyle name="Percent 8 2 3 2 3" xfId="35372"/>
    <cellStyle name="Percent 8 2 3 2 3 2" xfId="35373"/>
    <cellStyle name="Percent 8 2 3 2 3 2 2" xfId="35374"/>
    <cellStyle name="Percent 8 2 3 2 3 2 2 2" xfId="35375"/>
    <cellStyle name="Percent 8 2 3 2 3 2 3" xfId="35376"/>
    <cellStyle name="Percent 8 2 3 2 3 3" xfId="35377"/>
    <cellStyle name="Percent 8 2 3 2 3 3 2" xfId="35378"/>
    <cellStyle name="Percent 8 2 3 2 3 4" xfId="35379"/>
    <cellStyle name="Percent 8 2 3 2 4" xfId="35380"/>
    <cellStyle name="Percent 8 2 3 2 4 2" xfId="35381"/>
    <cellStyle name="Percent 8 2 3 2 4 2 2" xfId="35382"/>
    <cellStyle name="Percent 8 2 3 2 4 3" xfId="35383"/>
    <cellStyle name="Percent 8 2 3 2 5" xfId="35384"/>
    <cellStyle name="Percent 8 2 3 2 5 2" xfId="35385"/>
    <cellStyle name="Percent 8 2 3 2 5 2 2" xfId="35386"/>
    <cellStyle name="Percent 8 2 3 2 5 3" xfId="35387"/>
    <cellStyle name="Percent 8 2 3 2 6" xfId="35388"/>
    <cellStyle name="Percent 8 2 3 2 6 2" xfId="35389"/>
    <cellStyle name="Percent 8 2 3 2 7" xfId="35390"/>
    <cellStyle name="Percent 8 2 3 2 8" xfId="35391"/>
    <cellStyle name="Percent 8 2 3 3" xfId="35392"/>
    <cellStyle name="Percent 8 2 3 3 2" xfId="35393"/>
    <cellStyle name="Percent 8 2 3 3 2 2" xfId="35394"/>
    <cellStyle name="Percent 8 2 3 3 2 2 2" xfId="35395"/>
    <cellStyle name="Percent 8 2 3 3 2 2 2 2" xfId="35396"/>
    <cellStyle name="Percent 8 2 3 3 2 2 3" xfId="35397"/>
    <cellStyle name="Percent 8 2 3 3 2 3" xfId="35398"/>
    <cellStyle name="Percent 8 2 3 3 2 3 2" xfId="35399"/>
    <cellStyle name="Percent 8 2 3 3 2 4" xfId="35400"/>
    <cellStyle name="Percent 8 2 3 3 2 5" xfId="35401"/>
    <cellStyle name="Percent 8 2 3 3 3" xfId="35402"/>
    <cellStyle name="Percent 8 2 3 3 3 2" xfId="35403"/>
    <cellStyle name="Percent 8 2 3 3 3 2 2" xfId="35404"/>
    <cellStyle name="Percent 8 2 3 3 3 2 2 2" xfId="35405"/>
    <cellStyle name="Percent 8 2 3 3 3 2 3" xfId="35406"/>
    <cellStyle name="Percent 8 2 3 3 3 3" xfId="35407"/>
    <cellStyle name="Percent 8 2 3 3 3 3 2" xfId="35408"/>
    <cellStyle name="Percent 8 2 3 3 3 4" xfId="35409"/>
    <cellStyle name="Percent 8 2 3 3 4" xfId="35410"/>
    <cellStyle name="Percent 8 2 3 3 4 2" xfId="35411"/>
    <cellStyle name="Percent 8 2 3 3 4 2 2" xfId="35412"/>
    <cellStyle name="Percent 8 2 3 3 4 3" xfId="35413"/>
    <cellStyle name="Percent 8 2 3 3 5" xfId="35414"/>
    <cellStyle name="Percent 8 2 3 3 5 2" xfId="35415"/>
    <cellStyle name="Percent 8 2 3 3 5 2 2" xfId="35416"/>
    <cellStyle name="Percent 8 2 3 3 5 3" xfId="35417"/>
    <cellStyle name="Percent 8 2 3 3 6" xfId="35418"/>
    <cellStyle name="Percent 8 2 3 3 6 2" xfId="35419"/>
    <cellStyle name="Percent 8 2 3 3 7" xfId="35420"/>
    <cellStyle name="Percent 8 2 3 3 8" xfId="35421"/>
    <cellStyle name="Percent 8 2 3 4" xfId="35422"/>
    <cellStyle name="Percent 8 2 3 4 2" xfId="35423"/>
    <cellStyle name="Percent 8 2 3 4 2 2" xfId="35424"/>
    <cellStyle name="Percent 8 2 3 4 2 2 2" xfId="35425"/>
    <cellStyle name="Percent 8 2 3 4 2 2 2 2" xfId="35426"/>
    <cellStyle name="Percent 8 2 3 4 2 2 3" xfId="35427"/>
    <cellStyle name="Percent 8 2 3 4 2 3" xfId="35428"/>
    <cellStyle name="Percent 8 2 3 4 2 3 2" xfId="35429"/>
    <cellStyle name="Percent 8 2 3 4 2 4" xfId="35430"/>
    <cellStyle name="Percent 8 2 3 4 3" xfId="35431"/>
    <cellStyle name="Percent 8 2 3 4 3 2" xfId="35432"/>
    <cellStyle name="Percent 8 2 3 4 3 2 2" xfId="35433"/>
    <cellStyle name="Percent 8 2 3 4 3 3" xfId="35434"/>
    <cellStyle name="Percent 8 2 3 4 4" xfId="35435"/>
    <cellStyle name="Percent 8 2 3 4 4 2" xfId="35436"/>
    <cellStyle name="Percent 8 2 3 4 4 2 2" xfId="35437"/>
    <cellStyle name="Percent 8 2 3 4 4 3" xfId="35438"/>
    <cellStyle name="Percent 8 2 3 4 5" xfId="35439"/>
    <cellStyle name="Percent 8 2 3 4 5 2" xfId="35440"/>
    <cellStyle name="Percent 8 2 3 4 6" xfId="35441"/>
    <cellStyle name="Percent 8 2 3 4 7" xfId="35442"/>
    <cellStyle name="Percent 8 2 3 5" xfId="35443"/>
    <cellStyle name="Percent 8 2 3 5 2" xfId="35444"/>
    <cellStyle name="Percent 8 2 3 5 2 2" xfId="35445"/>
    <cellStyle name="Percent 8 2 3 5 2 2 2" xfId="35446"/>
    <cellStyle name="Percent 8 2 3 5 2 3" xfId="35447"/>
    <cellStyle name="Percent 8 2 3 5 3" xfId="35448"/>
    <cellStyle name="Percent 8 2 3 5 3 2" xfId="35449"/>
    <cellStyle name="Percent 8 2 3 5 4" xfId="35450"/>
    <cellStyle name="Percent 8 2 3 5 5" xfId="35451"/>
    <cellStyle name="Percent 8 2 3 6" xfId="35452"/>
    <cellStyle name="Percent 8 2 3 6 2" xfId="35453"/>
    <cellStyle name="Percent 8 2 3 6 2 2" xfId="35454"/>
    <cellStyle name="Percent 8 2 3 6 3" xfId="35455"/>
    <cellStyle name="Percent 8 2 3 7" xfId="35456"/>
    <cellStyle name="Percent 8 2 3 7 2" xfId="35457"/>
    <cellStyle name="Percent 8 2 3 7 2 2" xfId="35458"/>
    <cellStyle name="Percent 8 2 3 7 3" xfId="35459"/>
    <cellStyle name="Percent 8 2 3 8" xfId="35460"/>
    <cellStyle name="Percent 8 2 3 8 2" xfId="35461"/>
    <cellStyle name="Percent 8 2 3 9" xfId="35462"/>
    <cellStyle name="Percent 8 2 4" xfId="35463"/>
    <cellStyle name="Percent 8 2 4 2" xfId="35464"/>
    <cellStyle name="Percent 8 2 4 2 2" xfId="35465"/>
    <cellStyle name="Percent 8 2 4 2 2 2" xfId="35466"/>
    <cellStyle name="Percent 8 2 4 2 2 2 2" xfId="35467"/>
    <cellStyle name="Percent 8 2 4 2 2 3" xfId="35468"/>
    <cellStyle name="Percent 8 2 4 2 3" xfId="35469"/>
    <cellStyle name="Percent 8 2 4 2 3 2" xfId="35470"/>
    <cellStyle name="Percent 8 2 4 2 4" xfId="35471"/>
    <cellStyle name="Percent 8 2 4 2 5" xfId="35472"/>
    <cellStyle name="Percent 8 2 4 3" xfId="35473"/>
    <cellStyle name="Percent 8 2 4 3 2" xfId="35474"/>
    <cellStyle name="Percent 8 2 4 3 2 2" xfId="35475"/>
    <cellStyle name="Percent 8 2 4 3 2 2 2" xfId="35476"/>
    <cellStyle name="Percent 8 2 4 3 2 3" xfId="35477"/>
    <cellStyle name="Percent 8 2 4 3 3" xfId="35478"/>
    <cellStyle name="Percent 8 2 4 3 3 2" xfId="35479"/>
    <cellStyle name="Percent 8 2 4 3 4" xfId="35480"/>
    <cellStyle name="Percent 8 2 4 4" xfId="35481"/>
    <cellStyle name="Percent 8 2 4 4 2" xfId="35482"/>
    <cellStyle name="Percent 8 2 4 4 2 2" xfId="35483"/>
    <cellStyle name="Percent 8 2 4 4 3" xfId="35484"/>
    <cellStyle name="Percent 8 2 4 5" xfId="35485"/>
    <cellStyle name="Percent 8 2 4 5 2" xfId="35486"/>
    <cellStyle name="Percent 8 2 4 5 2 2" xfId="35487"/>
    <cellStyle name="Percent 8 2 4 5 3" xfId="35488"/>
    <cellStyle name="Percent 8 2 4 6" xfId="35489"/>
    <cellStyle name="Percent 8 2 4 6 2" xfId="35490"/>
    <cellStyle name="Percent 8 2 4 7" xfId="35491"/>
    <cellStyle name="Percent 8 2 4 8" xfId="35492"/>
    <cellStyle name="Percent 8 2 5" xfId="35493"/>
    <cellStyle name="Percent 8 2 5 2" xfId="35494"/>
    <cellStyle name="Percent 8 2 5 2 2" xfId="35495"/>
    <cellStyle name="Percent 8 2 5 2 2 2" xfId="35496"/>
    <cellStyle name="Percent 8 2 5 2 2 2 2" xfId="35497"/>
    <cellStyle name="Percent 8 2 5 2 2 3" xfId="35498"/>
    <cellStyle name="Percent 8 2 5 2 3" xfId="35499"/>
    <cellStyle name="Percent 8 2 5 2 3 2" xfId="35500"/>
    <cellStyle name="Percent 8 2 5 2 4" xfId="35501"/>
    <cellStyle name="Percent 8 2 5 2 5" xfId="35502"/>
    <cellStyle name="Percent 8 2 5 3" xfId="35503"/>
    <cellStyle name="Percent 8 2 5 3 2" xfId="35504"/>
    <cellStyle name="Percent 8 2 5 3 2 2" xfId="35505"/>
    <cellStyle name="Percent 8 2 5 3 2 2 2" xfId="35506"/>
    <cellStyle name="Percent 8 2 5 3 2 3" xfId="35507"/>
    <cellStyle name="Percent 8 2 5 3 3" xfId="35508"/>
    <cellStyle name="Percent 8 2 5 3 3 2" xfId="35509"/>
    <cellStyle name="Percent 8 2 5 3 4" xfId="35510"/>
    <cellStyle name="Percent 8 2 5 4" xfId="35511"/>
    <cellStyle name="Percent 8 2 5 4 2" xfId="35512"/>
    <cellStyle name="Percent 8 2 5 4 2 2" xfId="35513"/>
    <cellStyle name="Percent 8 2 5 4 3" xfId="35514"/>
    <cellStyle name="Percent 8 2 5 5" xfId="35515"/>
    <cellStyle name="Percent 8 2 5 5 2" xfId="35516"/>
    <cellStyle name="Percent 8 2 5 5 2 2" xfId="35517"/>
    <cellStyle name="Percent 8 2 5 5 3" xfId="35518"/>
    <cellStyle name="Percent 8 2 5 6" xfId="35519"/>
    <cellStyle name="Percent 8 2 5 6 2" xfId="35520"/>
    <cellStyle name="Percent 8 2 5 7" xfId="35521"/>
    <cellStyle name="Percent 8 2 5 8" xfId="35522"/>
    <cellStyle name="Percent 8 2 6" xfId="35523"/>
    <cellStyle name="Percent 8 2 6 2" xfId="35524"/>
    <cellStyle name="Percent 8 2 6 2 2" xfId="35525"/>
    <cellStyle name="Percent 8 2 6 2 2 2" xfId="35526"/>
    <cellStyle name="Percent 8 2 6 2 2 2 2" xfId="35527"/>
    <cellStyle name="Percent 8 2 6 2 2 3" xfId="35528"/>
    <cellStyle name="Percent 8 2 6 2 3" xfId="35529"/>
    <cellStyle name="Percent 8 2 6 2 3 2" xfId="35530"/>
    <cellStyle name="Percent 8 2 6 2 4" xfId="35531"/>
    <cellStyle name="Percent 8 2 6 3" xfId="35532"/>
    <cellStyle name="Percent 8 2 6 3 2" xfId="35533"/>
    <cellStyle name="Percent 8 2 6 3 2 2" xfId="35534"/>
    <cellStyle name="Percent 8 2 6 3 3" xfId="35535"/>
    <cellStyle name="Percent 8 2 6 4" xfId="35536"/>
    <cellStyle name="Percent 8 2 6 4 2" xfId="35537"/>
    <cellStyle name="Percent 8 2 6 4 2 2" xfId="35538"/>
    <cellStyle name="Percent 8 2 6 4 3" xfId="35539"/>
    <cellStyle name="Percent 8 2 6 5" xfId="35540"/>
    <cellStyle name="Percent 8 2 6 5 2" xfId="35541"/>
    <cellStyle name="Percent 8 2 6 6" xfId="35542"/>
    <cellStyle name="Percent 8 2 6 7" xfId="35543"/>
    <cellStyle name="Percent 8 2 7" xfId="35544"/>
    <cellStyle name="Percent 8 2 7 2" xfId="35545"/>
    <cellStyle name="Percent 8 2 7 2 2" xfId="35546"/>
    <cellStyle name="Percent 8 2 7 2 2 2" xfId="35547"/>
    <cellStyle name="Percent 8 2 7 2 3" xfId="35548"/>
    <cellStyle name="Percent 8 2 7 3" xfId="35549"/>
    <cellStyle name="Percent 8 2 7 3 2" xfId="35550"/>
    <cellStyle name="Percent 8 2 7 4" xfId="35551"/>
    <cellStyle name="Percent 8 2 7 5" xfId="35552"/>
    <cellStyle name="Percent 8 2 8" xfId="35553"/>
    <cellStyle name="Percent 8 2 8 2" xfId="35554"/>
    <cellStyle name="Percent 8 2 8 2 2" xfId="35555"/>
    <cellStyle name="Percent 8 2 8 3" xfId="35556"/>
    <cellStyle name="Percent 8 2 9" xfId="35557"/>
    <cellStyle name="Percent 8 2 9 2" xfId="35558"/>
    <cellStyle name="Percent 8 2 9 2 2" xfId="35559"/>
    <cellStyle name="Percent 8 2 9 3" xfId="35560"/>
    <cellStyle name="Percent 8 3" xfId="2222"/>
    <cellStyle name="Percent 8 3 2" xfId="7246"/>
    <cellStyle name="Percent 8 3 2 2" xfId="7247"/>
    <cellStyle name="Percent 8 3 3" xfId="7248"/>
    <cellStyle name="Percent 8 3 4" xfId="7249"/>
    <cellStyle name="Percent 8 3 5" xfId="7245"/>
    <cellStyle name="Percent 8 3 6" xfId="35561"/>
    <cellStyle name="Percent 8 4" xfId="7250"/>
    <cellStyle name="Percent 8 4 2" xfId="7251"/>
    <cellStyle name="Percent 8 4 3" xfId="35562"/>
    <cellStyle name="Percent 8 5" xfId="7252"/>
    <cellStyle name="Percent 8 6" xfId="7253"/>
    <cellStyle name="Percent 8 7" xfId="7243"/>
    <cellStyle name="Percent 80" xfId="7254"/>
    <cellStyle name="Percent 81" xfId="7843"/>
    <cellStyle name="Percent 82" xfId="7894"/>
    <cellStyle name="Percent 83" xfId="7891"/>
    <cellStyle name="Percent 84" xfId="8255"/>
    <cellStyle name="Percent 85" xfId="8506"/>
    <cellStyle name="Percent 9" xfId="2223"/>
    <cellStyle name="Percent 9 2" xfId="2224"/>
    <cellStyle name="Percent 9 2 2" xfId="7257"/>
    <cellStyle name="Percent 9 2 2 2" xfId="7258"/>
    <cellStyle name="Percent 9 2 2 2 2" xfId="7259"/>
    <cellStyle name="Percent 9 2 2 2 2 2" xfId="35565"/>
    <cellStyle name="Percent 9 2 2 2 3" xfId="35564"/>
    <cellStyle name="Percent 9 2 2 3" xfId="7260"/>
    <cellStyle name="Percent 9 2 2 3 2" xfId="35566"/>
    <cellStyle name="Percent 9 2 2 4" xfId="7261"/>
    <cellStyle name="Percent 9 2 2 4 2" xfId="35567"/>
    <cellStyle name="Percent 9 2 2 5" xfId="35563"/>
    <cellStyle name="Percent 9 2 3" xfId="7262"/>
    <cellStyle name="Percent 9 2 3 2" xfId="7263"/>
    <cellStyle name="Percent 9 2 3 2 2" xfId="35570"/>
    <cellStyle name="Percent 9 2 3 2 3" xfId="35569"/>
    <cellStyle name="Percent 9 2 3 3" xfId="35571"/>
    <cellStyle name="Percent 9 2 3 4" xfId="35572"/>
    <cellStyle name="Percent 9 2 3 5" xfId="35568"/>
    <cellStyle name="Percent 9 2 4" xfId="7264"/>
    <cellStyle name="Percent 9 2 4 2" xfId="35573"/>
    <cellStyle name="Percent 9 2 5" xfId="7265"/>
    <cellStyle name="Percent 9 2 6" xfId="7256"/>
    <cellStyle name="Percent 9 3" xfId="2225"/>
    <cellStyle name="Percent 9 3 2" xfId="35575"/>
    <cellStyle name="Percent 9 3 2 2" xfId="35576"/>
    <cellStyle name="Percent 9 3 3" xfId="35577"/>
    <cellStyle name="Percent 9 3 4" xfId="35578"/>
    <cellStyle name="Percent 9 3 5" xfId="35574"/>
    <cellStyle name="Percent 9 4" xfId="7266"/>
    <cellStyle name="Percent 9 4 2" xfId="35580"/>
    <cellStyle name="Percent 9 4 2 2" xfId="35581"/>
    <cellStyle name="Percent 9 4 3" xfId="35582"/>
    <cellStyle name="Percent 9 4 4" xfId="35583"/>
    <cellStyle name="Percent 9 4 5" xfId="35579"/>
    <cellStyle name="Percent 9 5" xfId="7255"/>
    <cellStyle name="Percent 9 5 2" xfId="35585"/>
    <cellStyle name="Percent 9 5 2 2" xfId="35586"/>
    <cellStyle name="Percent 9 5 3" xfId="35587"/>
    <cellStyle name="Percent 9 5 4" xfId="35588"/>
    <cellStyle name="Percent 9 5 5" xfId="35584"/>
    <cellStyle name="Percent 9 6" xfId="35589"/>
    <cellStyle name="PERCENTAGE" xfId="2864"/>
    <cellStyle name="PERCENTAGE 2" xfId="8441"/>
    <cellStyle name="PERCENTAGE 2 2" xfId="35590"/>
    <cellStyle name="PERCENTAGE 2 2 10" xfId="35591"/>
    <cellStyle name="PERCENTAGE 2 2 2" xfId="35592"/>
    <cellStyle name="PERCENTAGE 2 2 2 2" xfId="35593"/>
    <cellStyle name="PERCENTAGE 2 2 3" xfId="35594"/>
    <cellStyle name="PERCENTAGE 2 2 3 2" xfId="35595"/>
    <cellStyle name="PERCENTAGE 2 2 4" xfId="35596"/>
    <cellStyle name="PERCENTAGE 2 2 4 2" xfId="35597"/>
    <cellStyle name="PERCENTAGE 2 2 5" xfId="35598"/>
    <cellStyle name="PERCENTAGE 2 2 5 2" xfId="35599"/>
    <cellStyle name="PERCENTAGE 2 2 6" xfId="35600"/>
    <cellStyle name="PERCENTAGE 2 2 6 2" xfId="35601"/>
    <cellStyle name="PERCENTAGE 2 2 7" xfId="35602"/>
    <cellStyle name="PERCENTAGE 2 2 7 2" xfId="35603"/>
    <cellStyle name="PERCENTAGE 2 2 8" xfId="35604"/>
    <cellStyle name="PERCENTAGE 2 2 8 2" xfId="35605"/>
    <cellStyle name="PERCENTAGE 2 2 9" xfId="35606"/>
    <cellStyle name="PERCENTAGE 2 2 9 2" xfId="35607"/>
    <cellStyle name="PERCENTAGE 2 3" xfId="35608"/>
    <cellStyle name="PERCENTAGE 2 3 10" xfId="35609"/>
    <cellStyle name="PERCENTAGE 2 3 2" xfId="35610"/>
    <cellStyle name="PERCENTAGE 2 3 2 2" xfId="35611"/>
    <cellStyle name="PERCENTAGE 2 3 3" xfId="35612"/>
    <cellStyle name="PERCENTAGE 2 3 3 2" xfId="35613"/>
    <cellStyle name="PERCENTAGE 2 3 4" xfId="35614"/>
    <cellStyle name="PERCENTAGE 2 3 4 2" xfId="35615"/>
    <cellStyle name="PERCENTAGE 2 3 5" xfId="35616"/>
    <cellStyle name="PERCENTAGE 2 3 5 2" xfId="35617"/>
    <cellStyle name="PERCENTAGE 2 3 6" xfId="35618"/>
    <cellStyle name="PERCENTAGE 2 3 6 2" xfId="35619"/>
    <cellStyle name="PERCENTAGE 2 3 7" xfId="35620"/>
    <cellStyle name="PERCENTAGE 2 3 7 2" xfId="35621"/>
    <cellStyle name="PERCENTAGE 2 3 8" xfId="35622"/>
    <cellStyle name="PERCENTAGE 2 3 8 2" xfId="35623"/>
    <cellStyle name="PERCENTAGE 2 3 9" xfId="35624"/>
    <cellStyle name="PERCENTAGE 2 3 9 2" xfId="35625"/>
    <cellStyle name="PERCENTAGE 2 4" xfId="35626"/>
    <cellStyle name="PERCENTAGE 2 4 2" xfId="35627"/>
    <cellStyle name="PERCENTAGE 2 4 2 2" xfId="35628"/>
    <cellStyle name="PERCENTAGE 2 4 3" xfId="35629"/>
    <cellStyle name="PERCENTAGE 2 4 3 2" xfId="35630"/>
    <cellStyle name="PERCENTAGE 2 4 4" xfId="35631"/>
    <cellStyle name="PERCENTAGE 2 4 4 2" xfId="35632"/>
    <cellStyle name="PERCENTAGE 2 4 5" xfId="35633"/>
    <cellStyle name="PERCENTAGE 2 4 5 2" xfId="35634"/>
    <cellStyle name="PERCENTAGE 2 4 6" xfId="35635"/>
    <cellStyle name="PERCENTAGE 2 4 6 2" xfId="35636"/>
    <cellStyle name="PERCENTAGE 2 4 7" xfId="35637"/>
    <cellStyle name="PERCENTAGE 2 4 7 2" xfId="35638"/>
    <cellStyle name="PERCENTAGE 2 4 8" xfId="35639"/>
    <cellStyle name="PERCENTAGE 2 4 8 2" xfId="35640"/>
    <cellStyle name="PERCENTAGE 2 4 9" xfId="35641"/>
    <cellStyle name="PERCENTAGE 2 5" xfId="35642"/>
    <cellStyle name="PERCENTAGE 2 5 2" xfId="35643"/>
    <cellStyle name="PERCENTAGE 2 5 2 2" xfId="35644"/>
    <cellStyle name="PERCENTAGE 2 5 3" xfId="35645"/>
    <cellStyle name="PERCENTAGE 2 5 3 2" xfId="35646"/>
    <cellStyle name="PERCENTAGE 2 5 4" xfId="35647"/>
    <cellStyle name="PERCENTAGE 2 5 4 2" xfId="35648"/>
    <cellStyle name="PERCENTAGE 2 5 5" xfId="35649"/>
    <cellStyle name="PERCENTAGE 2 5 5 2" xfId="35650"/>
    <cellStyle name="PERCENTAGE 2 5 6" xfId="35651"/>
    <cellStyle name="PERCENTAGE 2 5 6 2" xfId="35652"/>
    <cellStyle name="PERCENTAGE 2 5 7" xfId="35653"/>
    <cellStyle name="PERCENTAGE 2 5 7 2" xfId="35654"/>
    <cellStyle name="PERCENTAGE 2 5 8" xfId="35655"/>
    <cellStyle name="PERCENTAGE 2 5 8 2" xfId="35656"/>
    <cellStyle name="PERCENTAGE 2 5 9" xfId="35657"/>
    <cellStyle name="PERCENTAGE 2 6" xfId="35658"/>
    <cellStyle name="PERCENTAGE 2 6 10" xfId="35659"/>
    <cellStyle name="PERCENTAGE 2 6 10 2" xfId="35660"/>
    <cellStyle name="PERCENTAGE 2 6 11" xfId="35661"/>
    <cellStyle name="PERCENTAGE 2 6 11 2" xfId="35662"/>
    <cellStyle name="PERCENTAGE 2 6 12" xfId="35663"/>
    <cellStyle name="PERCENTAGE 2 6 12 2" xfId="35664"/>
    <cellStyle name="PERCENTAGE 2 6 13" xfId="35665"/>
    <cellStyle name="PERCENTAGE 2 6 2" xfId="35666"/>
    <cellStyle name="PERCENTAGE 2 6 2 2" xfId="35667"/>
    <cellStyle name="PERCENTAGE 2 6 3" xfId="35668"/>
    <cellStyle name="PERCENTAGE 2 6 3 2" xfId="35669"/>
    <cellStyle name="PERCENTAGE 2 6 4" xfId="35670"/>
    <cellStyle name="PERCENTAGE 2 6 4 2" xfId="35671"/>
    <cellStyle name="PERCENTAGE 2 6 5" xfId="35672"/>
    <cellStyle name="PERCENTAGE 2 6 5 2" xfId="35673"/>
    <cellStyle name="PERCENTAGE 2 6 6" xfId="35674"/>
    <cellStyle name="PERCENTAGE 2 6 6 2" xfId="35675"/>
    <cellStyle name="PERCENTAGE 2 6 7" xfId="35676"/>
    <cellStyle name="PERCENTAGE 2 6 7 2" xfId="35677"/>
    <cellStyle name="PERCENTAGE 2 6 8" xfId="35678"/>
    <cellStyle name="PERCENTAGE 2 6 8 2" xfId="35679"/>
    <cellStyle name="PERCENTAGE 2 6 9" xfId="35680"/>
    <cellStyle name="PERCENTAGE 2 6 9 2" xfId="35681"/>
    <cellStyle name="PERCENTAGE 2 7" xfId="35682"/>
    <cellStyle name="PERCENTAGE 2 7 2" xfId="35683"/>
    <cellStyle name="PERCENTAGE 2 8" xfId="35684"/>
    <cellStyle name="PERCENTAGE 3" xfId="35685"/>
    <cellStyle name="PERCENTAGE 3 2" xfId="35686"/>
    <cellStyle name="PERCENTAGE 3 2 10" xfId="35687"/>
    <cellStyle name="PERCENTAGE 3 2 2" xfId="35688"/>
    <cellStyle name="PERCENTAGE 3 2 2 2" xfId="35689"/>
    <cellStyle name="PERCENTAGE 3 2 3" xfId="35690"/>
    <cellStyle name="PERCENTAGE 3 2 3 2" xfId="35691"/>
    <cellStyle name="PERCENTAGE 3 2 4" xfId="35692"/>
    <cellStyle name="PERCENTAGE 3 2 4 2" xfId="35693"/>
    <cellStyle name="PERCENTAGE 3 2 5" xfId="35694"/>
    <cellStyle name="PERCENTAGE 3 2 5 2" xfId="35695"/>
    <cellStyle name="PERCENTAGE 3 2 6" xfId="35696"/>
    <cellStyle name="PERCENTAGE 3 2 6 2" xfId="35697"/>
    <cellStyle name="PERCENTAGE 3 2 7" xfId="35698"/>
    <cellStyle name="PERCENTAGE 3 2 7 2" xfId="35699"/>
    <cellStyle name="PERCENTAGE 3 2 8" xfId="35700"/>
    <cellStyle name="PERCENTAGE 3 2 8 2" xfId="35701"/>
    <cellStyle name="PERCENTAGE 3 2 9" xfId="35702"/>
    <cellStyle name="PERCENTAGE 3 2 9 2" xfId="35703"/>
    <cellStyle name="PERCENTAGE 3 3" xfId="35704"/>
    <cellStyle name="PERCENTAGE 3 3 10" xfId="35705"/>
    <cellStyle name="PERCENTAGE 3 3 2" xfId="35706"/>
    <cellStyle name="PERCENTAGE 3 3 2 2" xfId="35707"/>
    <cellStyle name="PERCENTAGE 3 3 3" xfId="35708"/>
    <cellStyle name="PERCENTAGE 3 3 3 2" xfId="35709"/>
    <cellStyle name="PERCENTAGE 3 3 4" xfId="35710"/>
    <cellStyle name="PERCENTAGE 3 3 4 2" xfId="35711"/>
    <cellStyle name="PERCENTAGE 3 3 5" xfId="35712"/>
    <cellStyle name="PERCENTAGE 3 3 5 2" xfId="35713"/>
    <cellStyle name="PERCENTAGE 3 3 6" xfId="35714"/>
    <cellStyle name="PERCENTAGE 3 3 6 2" xfId="35715"/>
    <cellStyle name="PERCENTAGE 3 3 7" xfId="35716"/>
    <cellStyle name="PERCENTAGE 3 3 7 2" xfId="35717"/>
    <cellStyle name="PERCENTAGE 3 3 8" xfId="35718"/>
    <cellStyle name="PERCENTAGE 3 3 8 2" xfId="35719"/>
    <cellStyle name="PERCENTAGE 3 3 9" xfId="35720"/>
    <cellStyle name="PERCENTAGE 3 3 9 2" xfId="35721"/>
    <cellStyle name="PERCENTAGE 3 4" xfId="35722"/>
    <cellStyle name="PERCENTAGE 3 4 2" xfId="35723"/>
    <cellStyle name="PERCENTAGE 3 4 2 2" xfId="35724"/>
    <cellStyle name="PERCENTAGE 3 4 3" xfId="35725"/>
    <cellStyle name="PERCENTAGE 3 4 3 2" xfId="35726"/>
    <cellStyle name="PERCENTAGE 3 4 4" xfId="35727"/>
    <cellStyle name="PERCENTAGE 3 4 4 2" xfId="35728"/>
    <cellStyle name="PERCENTAGE 3 4 5" xfId="35729"/>
    <cellStyle name="PERCENTAGE 3 4 5 2" xfId="35730"/>
    <cellStyle name="PERCENTAGE 3 4 6" xfId="35731"/>
    <cellStyle name="PERCENTAGE 3 4 6 2" xfId="35732"/>
    <cellStyle name="PERCENTAGE 3 4 7" xfId="35733"/>
    <cellStyle name="PERCENTAGE 3 4 7 2" xfId="35734"/>
    <cellStyle name="PERCENTAGE 3 4 8" xfId="35735"/>
    <cellStyle name="PERCENTAGE 3 4 8 2" xfId="35736"/>
    <cellStyle name="PERCENTAGE 3 4 9" xfId="35737"/>
    <cellStyle name="PERCENTAGE 3 5" xfId="35738"/>
    <cellStyle name="PERCENTAGE 3 5 2" xfId="35739"/>
    <cellStyle name="PERCENTAGE 3 5 2 2" xfId="35740"/>
    <cellStyle name="PERCENTAGE 3 5 3" xfId="35741"/>
    <cellStyle name="PERCENTAGE 3 5 3 2" xfId="35742"/>
    <cellStyle name="PERCENTAGE 3 5 4" xfId="35743"/>
    <cellStyle name="PERCENTAGE 3 5 4 2" xfId="35744"/>
    <cellStyle name="PERCENTAGE 3 5 5" xfId="35745"/>
    <cellStyle name="PERCENTAGE 3 5 5 2" xfId="35746"/>
    <cellStyle name="PERCENTAGE 3 5 6" xfId="35747"/>
    <cellStyle name="PERCENTAGE 3 5 6 2" xfId="35748"/>
    <cellStyle name="PERCENTAGE 3 5 7" xfId="35749"/>
    <cellStyle name="PERCENTAGE 3 5 7 2" xfId="35750"/>
    <cellStyle name="PERCENTAGE 3 5 8" xfId="35751"/>
    <cellStyle name="PERCENTAGE 3 5 8 2" xfId="35752"/>
    <cellStyle name="PERCENTAGE 3 5 9" xfId="35753"/>
    <cellStyle name="PERCENTAGE 3 6" xfId="35754"/>
    <cellStyle name="PERCENTAGE 3 6 10" xfId="35755"/>
    <cellStyle name="PERCENTAGE 3 6 10 2" xfId="35756"/>
    <cellStyle name="PERCENTAGE 3 6 11" xfId="35757"/>
    <cellStyle name="PERCENTAGE 3 6 11 2" xfId="35758"/>
    <cellStyle name="PERCENTAGE 3 6 12" xfId="35759"/>
    <cellStyle name="PERCENTAGE 3 6 12 2" xfId="35760"/>
    <cellStyle name="PERCENTAGE 3 6 13" xfId="35761"/>
    <cellStyle name="PERCENTAGE 3 6 2" xfId="35762"/>
    <cellStyle name="PERCENTAGE 3 6 2 2" xfId="35763"/>
    <cellStyle name="PERCENTAGE 3 6 3" xfId="35764"/>
    <cellStyle name="PERCENTAGE 3 6 3 2" xfId="35765"/>
    <cellStyle name="PERCENTAGE 3 6 4" xfId="35766"/>
    <cellStyle name="PERCENTAGE 3 6 4 2" xfId="35767"/>
    <cellStyle name="PERCENTAGE 3 6 5" xfId="35768"/>
    <cellStyle name="PERCENTAGE 3 6 5 2" xfId="35769"/>
    <cellStyle name="PERCENTAGE 3 6 6" xfId="35770"/>
    <cellStyle name="PERCENTAGE 3 6 6 2" xfId="35771"/>
    <cellStyle name="PERCENTAGE 3 6 7" xfId="35772"/>
    <cellStyle name="PERCENTAGE 3 6 7 2" xfId="35773"/>
    <cellStyle name="PERCENTAGE 3 6 8" xfId="35774"/>
    <cellStyle name="PERCENTAGE 3 6 8 2" xfId="35775"/>
    <cellStyle name="PERCENTAGE 3 6 9" xfId="35776"/>
    <cellStyle name="PERCENTAGE 3 6 9 2" xfId="35777"/>
    <cellStyle name="PERCENTAGE 3 7" xfId="35778"/>
    <cellStyle name="PERCENTAGE 3 7 2" xfId="35779"/>
    <cellStyle name="PERCENTAGE 3 8" xfId="35780"/>
    <cellStyle name="PERCENTAGE 4" xfId="35781"/>
    <cellStyle name="PERCENTAGE 4 2" xfId="35782"/>
    <cellStyle name="PERCENTAGE 4 2 10" xfId="35783"/>
    <cellStyle name="PERCENTAGE 4 2 2" xfId="35784"/>
    <cellStyle name="PERCENTAGE 4 2 2 2" xfId="35785"/>
    <cellStyle name="PERCENTAGE 4 2 3" xfId="35786"/>
    <cellStyle name="PERCENTAGE 4 2 3 2" xfId="35787"/>
    <cellStyle name="PERCENTAGE 4 2 4" xfId="35788"/>
    <cellStyle name="PERCENTAGE 4 2 4 2" xfId="35789"/>
    <cellStyle name="PERCENTAGE 4 2 5" xfId="35790"/>
    <cellStyle name="PERCENTAGE 4 2 5 2" xfId="35791"/>
    <cellStyle name="PERCENTAGE 4 2 6" xfId="35792"/>
    <cellStyle name="PERCENTAGE 4 2 6 2" xfId="35793"/>
    <cellStyle name="PERCENTAGE 4 2 7" xfId="35794"/>
    <cellStyle name="PERCENTAGE 4 2 7 2" xfId="35795"/>
    <cellStyle name="PERCENTAGE 4 2 8" xfId="35796"/>
    <cellStyle name="PERCENTAGE 4 2 8 2" xfId="35797"/>
    <cellStyle name="PERCENTAGE 4 2 9" xfId="35798"/>
    <cellStyle name="PERCENTAGE 4 2 9 2" xfId="35799"/>
    <cellStyle name="PERCENTAGE 4 3" xfId="35800"/>
    <cellStyle name="PERCENTAGE 4 3 2" xfId="35801"/>
    <cellStyle name="PERCENTAGE 4 3 2 2" xfId="35802"/>
    <cellStyle name="PERCENTAGE 4 3 3" xfId="35803"/>
    <cellStyle name="PERCENTAGE 4 3 3 2" xfId="35804"/>
    <cellStyle name="PERCENTAGE 4 3 4" xfId="35805"/>
    <cellStyle name="PERCENTAGE 4 3 4 2" xfId="35806"/>
    <cellStyle name="PERCENTAGE 4 3 5" xfId="35807"/>
    <cellStyle name="PERCENTAGE 4 3 5 2" xfId="35808"/>
    <cellStyle name="PERCENTAGE 4 3 6" xfId="35809"/>
    <cellStyle name="PERCENTAGE 4 3 6 2" xfId="35810"/>
    <cellStyle name="PERCENTAGE 4 3 7" xfId="35811"/>
    <cellStyle name="PERCENTAGE 4 3 7 2" xfId="35812"/>
    <cellStyle name="PERCENTAGE 4 3 8" xfId="35813"/>
    <cellStyle name="PERCENTAGE 4 3 8 2" xfId="35814"/>
    <cellStyle name="PERCENTAGE 4 3 9" xfId="35815"/>
    <cellStyle name="PERCENTAGE 4 4" xfId="35816"/>
    <cellStyle name="PERCENTAGE 4 4 10" xfId="35817"/>
    <cellStyle name="PERCENTAGE 4 4 10 2" xfId="35818"/>
    <cellStyle name="PERCENTAGE 4 4 11" xfId="35819"/>
    <cellStyle name="PERCENTAGE 4 4 11 2" xfId="35820"/>
    <cellStyle name="PERCENTAGE 4 4 12" xfId="35821"/>
    <cellStyle name="PERCENTAGE 4 4 12 2" xfId="35822"/>
    <cellStyle name="PERCENTAGE 4 4 13" xfId="35823"/>
    <cellStyle name="PERCENTAGE 4 4 2" xfId="35824"/>
    <cellStyle name="PERCENTAGE 4 4 2 2" xfId="35825"/>
    <cellStyle name="PERCENTAGE 4 4 3" xfId="35826"/>
    <cellStyle name="PERCENTAGE 4 4 3 2" xfId="35827"/>
    <cellStyle name="PERCENTAGE 4 4 4" xfId="35828"/>
    <cellStyle name="PERCENTAGE 4 4 4 2" xfId="35829"/>
    <cellStyle name="PERCENTAGE 4 4 5" xfId="35830"/>
    <cellStyle name="PERCENTAGE 4 4 5 2" xfId="35831"/>
    <cellStyle name="PERCENTAGE 4 4 6" xfId="35832"/>
    <cellStyle name="PERCENTAGE 4 4 6 2" xfId="35833"/>
    <cellStyle name="PERCENTAGE 4 4 7" xfId="35834"/>
    <cellStyle name="PERCENTAGE 4 4 7 2" xfId="35835"/>
    <cellStyle name="PERCENTAGE 4 4 8" xfId="35836"/>
    <cellStyle name="PERCENTAGE 4 4 8 2" xfId="35837"/>
    <cellStyle name="PERCENTAGE 4 4 9" xfId="35838"/>
    <cellStyle name="PERCENTAGE 4 4 9 2" xfId="35839"/>
    <cellStyle name="PERCENTAGE 4 5" xfId="35840"/>
    <cellStyle name="PERCENTAGE 4 5 2" xfId="35841"/>
    <cellStyle name="PERCENTAGE 4 6" xfId="35842"/>
    <cellStyle name="PERCENTAGE 4 6 2" xfId="35843"/>
    <cellStyle name="PERCENTAGE 4 7" xfId="35844"/>
    <cellStyle name="PERCENTAGE 5" xfId="35845"/>
    <cellStyle name="PERCENTAGE 5 2" xfId="35846"/>
    <cellStyle name="PERCENTAGE 5 2 2" xfId="35847"/>
    <cellStyle name="PERCENTAGE 5 3" xfId="35848"/>
    <cellStyle name="PERCENTAGE 5 3 2" xfId="35849"/>
    <cellStyle name="PERCENTAGE 5 4" xfId="35850"/>
    <cellStyle name="PERCENTAGE 5 4 2" xfId="35851"/>
    <cellStyle name="PERCENTAGE 5 5" xfId="35852"/>
    <cellStyle name="PERCENTAGE 5 5 2" xfId="35853"/>
    <cellStyle name="PERCENTAGE 5 6" xfId="35854"/>
    <cellStyle name="PERCENTAGE 5 6 2" xfId="35855"/>
    <cellStyle name="PERCENTAGE 5 7" xfId="35856"/>
    <cellStyle name="PERCENTAGE 5 7 2" xfId="35857"/>
    <cellStyle name="PERCENTAGE 5 8" xfId="35858"/>
    <cellStyle name="PERCENTAGE 5 8 2" xfId="35859"/>
    <cellStyle name="PERCENTAGE 5 9" xfId="35860"/>
    <cellStyle name="PERCENTAGE 6" xfId="35861"/>
    <cellStyle name="PERCENTAGE 6 10" xfId="35862"/>
    <cellStyle name="PERCENTAGE 6 10 2" xfId="35863"/>
    <cellStyle name="PERCENTAGE 6 11" xfId="35864"/>
    <cellStyle name="PERCENTAGE 6 11 2" xfId="35865"/>
    <cellStyle name="PERCENTAGE 6 12" xfId="35866"/>
    <cellStyle name="PERCENTAGE 6 12 2" xfId="35867"/>
    <cellStyle name="PERCENTAGE 6 13" xfId="35868"/>
    <cellStyle name="PERCENTAGE 6 2" xfId="35869"/>
    <cellStyle name="PERCENTAGE 6 2 2" xfId="35870"/>
    <cellStyle name="PERCENTAGE 6 3" xfId="35871"/>
    <cellStyle name="PERCENTAGE 6 3 2" xfId="35872"/>
    <cellStyle name="PERCENTAGE 6 4" xfId="35873"/>
    <cellStyle name="PERCENTAGE 6 4 2" xfId="35874"/>
    <cellStyle name="PERCENTAGE 6 5" xfId="35875"/>
    <cellStyle name="PERCENTAGE 6 5 2" xfId="35876"/>
    <cellStyle name="PERCENTAGE 6 6" xfId="35877"/>
    <cellStyle name="PERCENTAGE 6 6 2" xfId="35878"/>
    <cellStyle name="PERCENTAGE 6 7" xfId="35879"/>
    <cellStyle name="PERCENTAGE 6 7 2" xfId="35880"/>
    <cellStyle name="PERCENTAGE 6 8" xfId="35881"/>
    <cellStyle name="PERCENTAGE 6 8 2" xfId="35882"/>
    <cellStyle name="PERCENTAGE 6 9" xfId="35883"/>
    <cellStyle name="PERCENTAGE 6 9 2" xfId="35884"/>
    <cellStyle name="PERCENTAGE 7" xfId="35885"/>
    <cellStyle name="Pivot Style Medium 13" xfId="2226"/>
    <cellStyle name="Pivot Style Medium 13 2" xfId="2227"/>
    <cellStyle name="Pivot Style Medium 13 2 2" xfId="2228"/>
    <cellStyle name="Pivot Style Medium 13 3" xfId="2229"/>
    <cellStyle name="PrePop Currency (0)" xfId="2230"/>
    <cellStyle name="PrePop Currency (0) 2" xfId="2231"/>
    <cellStyle name="PrePop Currency (0) 2 2" xfId="2232"/>
    <cellStyle name="PrePop Currency (0) 2 2 2" xfId="35886"/>
    <cellStyle name="PrePop Currency (0) 3" xfId="2233"/>
    <cellStyle name="PrePop Currency (0) 4" xfId="2234"/>
    <cellStyle name="PrePop Currency (2)" xfId="2865"/>
    <cellStyle name="PrePop Units (0)" xfId="2866"/>
    <cellStyle name="PrePop Units (1)" xfId="2867"/>
    <cellStyle name="PrePop Units (2)" xfId="2868"/>
    <cellStyle name="Product" xfId="2235"/>
    <cellStyle name="Product 2" xfId="2236"/>
    <cellStyle name="Product 2 2" xfId="2237"/>
    <cellStyle name="Product 2 3" xfId="3033"/>
    <cellStyle name="Product 2 4" xfId="8257"/>
    <cellStyle name="Product 3" xfId="2238"/>
    <cellStyle name="Product 3 2" xfId="2239"/>
    <cellStyle name="Product 3 2 10" xfId="35887"/>
    <cellStyle name="Product 3 2 2" xfId="35888"/>
    <cellStyle name="Product 3 2 2 2" xfId="35889"/>
    <cellStyle name="Product 3 2 2 3" xfId="35890"/>
    <cellStyle name="Product 3 2 3" xfId="35891"/>
    <cellStyle name="Product 3 2 3 2" xfId="35892"/>
    <cellStyle name="Product 3 2 3 3" xfId="35893"/>
    <cellStyle name="Product 3 2 4" xfId="35894"/>
    <cellStyle name="Product 3 2 4 2" xfId="35895"/>
    <cellStyle name="Product 3 2 4 3" xfId="35896"/>
    <cellStyle name="Product 3 2 5" xfId="35897"/>
    <cellStyle name="Product 3 2 5 2" xfId="35898"/>
    <cellStyle name="Product 3 2 5 3" xfId="35899"/>
    <cellStyle name="Product 3 2 6" xfId="35900"/>
    <cellStyle name="Product 3 2 6 2" xfId="35901"/>
    <cellStyle name="Product 3 2 6 3" xfId="35902"/>
    <cellStyle name="Product 3 2 7" xfId="35903"/>
    <cellStyle name="Product 3 2 7 2" xfId="35904"/>
    <cellStyle name="Product 3 2 7 3" xfId="35905"/>
    <cellStyle name="Product 3 2 8" xfId="35906"/>
    <cellStyle name="Product 3 2 9" xfId="35907"/>
    <cellStyle name="Product 3 3" xfId="35908"/>
    <cellStyle name="Product 3 3 2" xfId="35909"/>
    <cellStyle name="Product 3 3 2 2" xfId="35910"/>
    <cellStyle name="Product 3 3 2 3" xfId="35911"/>
    <cellStyle name="Product 3 3 3" xfId="35912"/>
    <cellStyle name="Product 3 3 3 2" xfId="35913"/>
    <cellStyle name="Product 3 3 3 3" xfId="35914"/>
    <cellStyle name="Product 3 3 4" xfId="35915"/>
    <cellStyle name="Product 3 3 4 2" xfId="35916"/>
    <cellStyle name="Product 3 3 4 3" xfId="35917"/>
    <cellStyle name="Product 3 3 5" xfId="35918"/>
    <cellStyle name="Product 3 3 5 2" xfId="35919"/>
    <cellStyle name="Product 3 3 5 3" xfId="35920"/>
    <cellStyle name="Product 3 3 6" xfId="35921"/>
    <cellStyle name="Product 3 3 6 2" xfId="35922"/>
    <cellStyle name="Product 3 3 6 3" xfId="35923"/>
    <cellStyle name="Product 3 3 7" xfId="35924"/>
    <cellStyle name="Product 3 3 8" xfId="35925"/>
    <cellStyle name="Product 3 4" xfId="35926"/>
    <cellStyle name="Product 3 4 10" xfId="35927"/>
    <cellStyle name="Product 3 4 10 2" xfId="35928"/>
    <cellStyle name="Product 3 4 10 3" xfId="35929"/>
    <cellStyle name="Product 3 4 11" xfId="35930"/>
    <cellStyle name="Product 3 4 11 2" xfId="35931"/>
    <cellStyle name="Product 3 4 11 3" xfId="35932"/>
    <cellStyle name="Product 3 4 12" xfId="35933"/>
    <cellStyle name="Product 3 4 12 2" xfId="35934"/>
    <cellStyle name="Product 3 4 12 3" xfId="35935"/>
    <cellStyle name="Product 3 4 13" xfId="35936"/>
    <cellStyle name="Product 3 4 14" xfId="35937"/>
    <cellStyle name="Product 3 4 2" xfId="35938"/>
    <cellStyle name="Product 3 4 2 2" xfId="35939"/>
    <cellStyle name="Product 3 4 2 3" xfId="35940"/>
    <cellStyle name="Product 3 4 3" xfId="35941"/>
    <cellStyle name="Product 3 4 3 2" xfId="35942"/>
    <cellStyle name="Product 3 4 3 3" xfId="35943"/>
    <cellStyle name="Product 3 4 4" xfId="35944"/>
    <cellStyle name="Product 3 4 4 2" xfId="35945"/>
    <cellStyle name="Product 3 4 4 3" xfId="35946"/>
    <cellStyle name="Product 3 4 5" xfId="35947"/>
    <cellStyle name="Product 3 4 5 2" xfId="35948"/>
    <cellStyle name="Product 3 4 5 3" xfId="35949"/>
    <cellStyle name="Product 3 4 6" xfId="35950"/>
    <cellStyle name="Product 3 4 6 2" xfId="35951"/>
    <cellStyle name="Product 3 4 6 3" xfId="35952"/>
    <cellStyle name="Product 3 4 7" xfId="35953"/>
    <cellStyle name="Product 3 4 7 2" xfId="35954"/>
    <cellStyle name="Product 3 4 7 3" xfId="35955"/>
    <cellStyle name="Product 3 4 8" xfId="35956"/>
    <cellStyle name="Product 3 4 8 2" xfId="35957"/>
    <cellStyle name="Product 3 4 8 3" xfId="35958"/>
    <cellStyle name="Product 3 4 9" xfId="35959"/>
    <cellStyle name="Product 3 4 9 2" xfId="35960"/>
    <cellStyle name="Product 3 4 9 3" xfId="35961"/>
    <cellStyle name="Product 3 5" xfId="35962"/>
    <cellStyle name="Product 3 5 10" xfId="35963"/>
    <cellStyle name="Product 3 5 10 2" xfId="35964"/>
    <cellStyle name="Product 3 5 10 3" xfId="35965"/>
    <cellStyle name="Product 3 5 11" xfId="35966"/>
    <cellStyle name="Product 3 5 11 2" xfId="35967"/>
    <cellStyle name="Product 3 5 11 3" xfId="35968"/>
    <cellStyle name="Product 3 5 12" xfId="35969"/>
    <cellStyle name="Product 3 5 12 2" xfId="35970"/>
    <cellStyle name="Product 3 5 12 3" xfId="35971"/>
    <cellStyle name="Product 3 5 13" xfId="35972"/>
    <cellStyle name="Product 3 5 14" xfId="35973"/>
    <cellStyle name="Product 3 5 2" xfId="35974"/>
    <cellStyle name="Product 3 5 2 2" xfId="35975"/>
    <cellStyle name="Product 3 5 2 3" xfId="35976"/>
    <cellStyle name="Product 3 5 3" xfId="35977"/>
    <cellStyle name="Product 3 5 3 2" xfId="35978"/>
    <cellStyle name="Product 3 5 3 3" xfId="35979"/>
    <cellStyle name="Product 3 5 4" xfId="35980"/>
    <cellStyle name="Product 3 5 4 2" xfId="35981"/>
    <cellStyle name="Product 3 5 4 3" xfId="35982"/>
    <cellStyle name="Product 3 5 5" xfId="35983"/>
    <cellStyle name="Product 3 5 5 2" xfId="35984"/>
    <cellStyle name="Product 3 5 5 3" xfId="35985"/>
    <cellStyle name="Product 3 5 6" xfId="35986"/>
    <cellStyle name="Product 3 5 6 2" xfId="35987"/>
    <cellStyle name="Product 3 5 6 3" xfId="35988"/>
    <cellStyle name="Product 3 5 7" xfId="35989"/>
    <cellStyle name="Product 3 5 7 2" xfId="35990"/>
    <cellStyle name="Product 3 5 7 3" xfId="35991"/>
    <cellStyle name="Product 3 5 8" xfId="35992"/>
    <cellStyle name="Product 3 5 8 2" xfId="35993"/>
    <cellStyle name="Product 3 5 8 3" xfId="35994"/>
    <cellStyle name="Product 3 5 9" xfId="35995"/>
    <cellStyle name="Product 3 5 9 2" xfId="35996"/>
    <cellStyle name="Product 3 5 9 3" xfId="35997"/>
    <cellStyle name="Product 3 6" xfId="35998"/>
    <cellStyle name="Product 3 6 10" xfId="35999"/>
    <cellStyle name="Product 3 6 10 2" xfId="36000"/>
    <cellStyle name="Product 3 6 10 3" xfId="36001"/>
    <cellStyle name="Product 3 6 11" xfId="36002"/>
    <cellStyle name="Product 3 6 11 2" xfId="36003"/>
    <cellStyle name="Product 3 6 11 3" xfId="36004"/>
    <cellStyle name="Product 3 6 12" xfId="36005"/>
    <cellStyle name="Product 3 6 12 2" xfId="36006"/>
    <cellStyle name="Product 3 6 12 3" xfId="36007"/>
    <cellStyle name="Product 3 6 13" xfId="36008"/>
    <cellStyle name="Product 3 6 14" xfId="36009"/>
    <cellStyle name="Product 3 6 2" xfId="36010"/>
    <cellStyle name="Product 3 6 2 2" xfId="36011"/>
    <cellStyle name="Product 3 6 2 3" xfId="36012"/>
    <cellStyle name="Product 3 6 3" xfId="36013"/>
    <cellStyle name="Product 3 6 3 2" xfId="36014"/>
    <cellStyle name="Product 3 6 3 3" xfId="36015"/>
    <cellStyle name="Product 3 6 4" xfId="36016"/>
    <cellStyle name="Product 3 6 4 2" xfId="36017"/>
    <cellStyle name="Product 3 6 4 3" xfId="36018"/>
    <cellStyle name="Product 3 6 5" xfId="36019"/>
    <cellStyle name="Product 3 6 5 2" xfId="36020"/>
    <cellStyle name="Product 3 6 5 3" xfId="36021"/>
    <cellStyle name="Product 3 6 6" xfId="36022"/>
    <cellStyle name="Product 3 6 6 2" xfId="36023"/>
    <cellStyle name="Product 3 6 6 3" xfId="36024"/>
    <cellStyle name="Product 3 6 7" xfId="36025"/>
    <cellStyle name="Product 3 6 7 2" xfId="36026"/>
    <cellStyle name="Product 3 6 7 3" xfId="36027"/>
    <cellStyle name="Product 3 6 8" xfId="36028"/>
    <cellStyle name="Product 3 6 8 2" xfId="36029"/>
    <cellStyle name="Product 3 6 8 3" xfId="36030"/>
    <cellStyle name="Product 3 6 9" xfId="36031"/>
    <cellStyle name="Product 3 6 9 2" xfId="36032"/>
    <cellStyle name="Product 3 6 9 3" xfId="36033"/>
    <cellStyle name="Product 3 7" xfId="36034"/>
    <cellStyle name="Product 3 7 2" xfId="36035"/>
    <cellStyle name="Product 3 7 3" xfId="36036"/>
    <cellStyle name="Product 3 8" xfId="36037"/>
    <cellStyle name="Product 3 9" xfId="36038"/>
    <cellStyle name="Product 4" xfId="2240"/>
    <cellStyle name="Product 4 2" xfId="36039"/>
    <cellStyle name="Product 5" xfId="2241"/>
    <cellStyle name="Product 5 2" xfId="8258"/>
    <cellStyle name="Product 6" xfId="8256"/>
    <cellStyle name="PSChar" xfId="2242"/>
    <cellStyle name="Reset  - Style4" xfId="2869"/>
    <cellStyle name="Reset  - Style7" xfId="2243"/>
    <cellStyle name="Reset range style to defaults" xfId="40372"/>
    <cellStyle name="RevList" xfId="2244"/>
    <cellStyle name="RevList 2" xfId="2245"/>
    <cellStyle name="RevList 2 2" xfId="2246"/>
    <cellStyle name="RevList 3" xfId="2247"/>
    <cellStyle name="RevList 3 2" xfId="36040"/>
    <cellStyle name="ri" xfId="2248"/>
    <cellStyle name="ri 2" xfId="2249"/>
    <cellStyle name="ri 2 2" xfId="3154"/>
    <cellStyle name="ri 2 3" xfId="7267"/>
    <cellStyle name="ri 3" xfId="2250"/>
    <cellStyle name="ri 3 2" xfId="7268"/>
    <cellStyle name="ri_AAAF" xfId="36041"/>
    <cellStyle name="Rossz" xfId="40373"/>
    <cellStyle name="SAPBEXstdItem" xfId="2251"/>
    <cellStyle name="SAPBEXstdItem 10" xfId="36042"/>
    <cellStyle name="SAPBEXstdItem 2" xfId="2252"/>
    <cellStyle name="SAPBEXstdItem 2 2" xfId="2253"/>
    <cellStyle name="SAPBEXstdItem 2 2 2" xfId="8261"/>
    <cellStyle name="SAPBEXstdItem 2 2 2 2" xfId="36043"/>
    <cellStyle name="SAPBEXstdItem 2 2 2 2 2" xfId="36044"/>
    <cellStyle name="SAPBEXstdItem 2 2 2 3" xfId="36045"/>
    <cellStyle name="SAPBEXstdItem 2 2 3" xfId="36046"/>
    <cellStyle name="SAPBEXstdItem 2 2 3 2" xfId="36047"/>
    <cellStyle name="SAPBEXstdItem 2 2 3 2 2" xfId="36048"/>
    <cellStyle name="SAPBEXstdItem 2 2 3 3" xfId="36049"/>
    <cellStyle name="SAPBEXstdItem 2 2 4" xfId="36050"/>
    <cellStyle name="SAPBEXstdItem 2 2 4 2" xfId="36051"/>
    <cellStyle name="SAPBEXstdItem 2 2 4 2 2" xfId="36052"/>
    <cellStyle name="SAPBEXstdItem 2 2 4 3" xfId="36053"/>
    <cellStyle name="SAPBEXstdItem 2 2 5" xfId="36054"/>
    <cellStyle name="SAPBEXstdItem 2 2 5 2" xfId="36055"/>
    <cellStyle name="SAPBEXstdItem 2 2 6" xfId="36056"/>
    <cellStyle name="SAPBEXstdItem 2 2 7" xfId="36057"/>
    <cellStyle name="SAPBEXstdItem 2 2 8" xfId="36058"/>
    <cellStyle name="SAPBEXstdItem 2 3" xfId="7269"/>
    <cellStyle name="SAPBEXstdItem 2 3 2" xfId="36060"/>
    <cellStyle name="SAPBEXstdItem 2 3 2 2" xfId="36061"/>
    <cellStyle name="SAPBEXstdItem 2 3 2 2 2" xfId="36062"/>
    <cellStyle name="SAPBEXstdItem 2 3 2 3" xfId="36063"/>
    <cellStyle name="SAPBEXstdItem 2 3 3" xfId="36064"/>
    <cellStyle name="SAPBEXstdItem 2 3 3 2" xfId="36065"/>
    <cellStyle name="SAPBEXstdItem 2 3 3 2 2" xfId="36066"/>
    <cellStyle name="SAPBEXstdItem 2 3 3 3" xfId="36067"/>
    <cellStyle name="SAPBEXstdItem 2 3 4" xfId="36068"/>
    <cellStyle name="SAPBEXstdItem 2 3 4 2" xfId="36069"/>
    <cellStyle name="SAPBEXstdItem 2 3 4 3" xfId="36070"/>
    <cellStyle name="SAPBEXstdItem 2 3 4 4" xfId="36071"/>
    <cellStyle name="SAPBEXstdItem 2 3 5" xfId="36072"/>
    <cellStyle name="SAPBEXstdItem 2 3 5 2" xfId="36073"/>
    <cellStyle name="SAPBEXstdItem 2 3 6" xfId="36074"/>
    <cellStyle name="SAPBEXstdItem 2 3 7" xfId="36059"/>
    <cellStyle name="SAPBEXstdItem 2 4" xfId="7270"/>
    <cellStyle name="SAPBEXstdItem 2 4 2" xfId="7271"/>
    <cellStyle name="SAPBEXstdItem 2 4 2 2" xfId="36077"/>
    <cellStyle name="SAPBEXstdItem 2 4 2 3" xfId="36076"/>
    <cellStyle name="SAPBEXstdItem 2 4 3" xfId="36078"/>
    <cellStyle name="SAPBEXstdItem 2 4 4" xfId="36075"/>
    <cellStyle name="SAPBEXstdItem 2 5" xfId="7272"/>
    <cellStyle name="SAPBEXstdItem 2 5 2" xfId="7273"/>
    <cellStyle name="SAPBEXstdItem 2 5 2 2" xfId="36080"/>
    <cellStyle name="SAPBEXstdItem 2 5 3" xfId="36081"/>
    <cellStyle name="SAPBEXstdItem 2 5 4" xfId="36082"/>
    <cellStyle name="SAPBEXstdItem 2 5 5" xfId="36079"/>
    <cellStyle name="SAPBEXstdItem 2 6" xfId="7274"/>
    <cellStyle name="SAPBEXstdItem 2 6 2" xfId="36084"/>
    <cellStyle name="SAPBEXstdItem 2 6 3" xfId="36085"/>
    <cellStyle name="SAPBEXstdItem 2 6 4" xfId="36086"/>
    <cellStyle name="SAPBEXstdItem 2 6 5" xfId="36083"/>
    <cellStyle name="SAPBEXstdItem 2 7" xfId="7275"/>
    <cellStyle name="SAPBEXstdItem 2 7 2" xfId="36087"/>
    <cellStyle name="SAPBEXstdItem 2 8" xfId="8260"/>
    <cellStyle name="SAPBEXstdItem 3" xfId="2254"/>
    <cellStyle name="SAPBEXstdItem 3 2" xfId="2255"/>
    <cellStyle name="SAPBEXstdItem 3 2 2" xfId="8263"/>
    <cellStyle name="SAPBEXstdItem 3 2 2 2" xfId="36088"/>
    <cellStyle name="SAPBEXstdItem 3 2 2 3" xfId="36089"/>
    <cellStyle name="SAPBEXstdItem 3 2 3" xfId="36090"/>
    <cellStyle name="SAPBEXstdItem 3 2 3 2" xfId="36091"/>
    <cellStyle name="SAPBEXstdItem 3 2 4" xfId="36092"/>
    <cellStyle name="SAPBEXstdItem 3 2 4 2" xfId="36093"/>
    <cellStyle name="SAPBEXstdItem 3 2 5" xfId="36094"/>
    <cellStyle name="SAPBEXstdItem 3 2 6" xfId="36095"/>
    <cellStyle name="SAPBEXstdItem 3 2 7" xfId="36096"/>
    <cellStyle name="SAPBEXstdItem 3 2 8" xfId="36097"/>
    <cellStyle name="SAPBEXstdItem 3 3" xfId="8262"/>
    <cellStyle name="SAPBEXstdItem 3 3 2" xfId="36098"/>
    <cellStyle name="SAPBEXstdItem 3 3 2 2" xfId="36099"/>
    <cellStyle name="SAPBEXstdItem 3 3 2 3" xfId="36100"/>
    <cellStyle name="SAPBEXstdItem 3 3 3" xfId="36101"/>
    <cellStyle name="SAPBEXstdItem 3 3 3 2" xfId="36102"/>
    <cellStyle name="SAPBEXstdItem 3 3 4" xfId="36103"/>
    <cellStyle name="SAPBEXstdItem 3 3 5" xfId="36104"/>
    <cellStyle name="SAPBEXstdItem 3 3 6" xfId="36105"/>
    <cellStyle name="SAPBEXstdItem 3 4" xfId="36106"/>
    <cellStyle name="SAPBEXstdItem 3 4 2" xfId="36107"/>
    <cellStyle name="SAPBEXstdItem 3 4 2 2" xfId="36108"/>
    <cellStyle name="SAPBEXstdItem 3 4 3" xfId="36109"/>
    <cellStyle name="SAPBEXstdItem 3 5" xfId="36110"/>
    <cellStyle name="SAPBEXstdItem 3 5 2" xfId="36111"/>
    <cellStyle name="SAPBEXstdItem 3 6" xfId="36112"/>
    <cellStyle name="SAPBEXstdItem 3 7" xfId="36113"/>
    <cellStyle name="SAPBEXstdItem 4" xfId="2256"/>
    <cellStyle name="SAPBEXstdItem 4 2" xfId="8264"/>
    <cellStyle name="SAPBEXstdItem 4 2 2" xfId="36114"/>
    <cellStyle name="SAPBEXstdItem 4 2 2 2" xfId="36115"/>
    <cellStyle name="SAPBEXstdItem 4 2 3" xfId="36116"/>
    <cellStyle name="SAPBEXstdItem 4 3" xfId="36117"/>
    <cellStyle name="SAPBEXstdItem 4 3 2" xfId="36118"/>
    <cellStyle name="SAPBEXstdItem 4 3 2 2" xfId="36119"/>
    <cellStyle name="SAPBEXstdItem 4 3 3" xfId="36120"/>
    <cellStyle name="SAPBEXstdItem 4 4" xfId="36121"/>
    <cellStyle name="SAPBEXstdItem 4 4 2" xfId="36122"/>
    <cellStyle name="SAPBEXstdItem 4 4 2 2" xfId="36123"/>
    <cellStyle name="SAPBEXstdItem 4 4 3" xfId="36124"/>
    <cellStyle name="SAPBEXstdItem 4 5" xfId="36125"/>
    <cellStyle name="SAPBEXstdItem 4 5 2" xfId="36126"/>
    <cellStyle name="SAPBEXstdItem 4 6" xfId="36127"/>
    <cellStyle name="SAPBEXstdItem 4 7" xfId="36128"/>
    <cellStyle name="SAPBEXstdItem 4 8" xfId="36129"/>
    <cellStyle name="SAPBEXstdItem 5" xfId="7276"/>
    <cellStyle name="SAPBEXstdItem 5 2" xfId="7277"/>
    <cellStyle name="SAPBEXstdItem 5 2 2" xfId="36132"/>
    <cellStyle name="SAPBEXstdItem 5 2 3" xfId="36133"/>
    <cellStyle name="SAPBEXstdItem 5 2 4" xfId="36131"/>
    <cellStyle name="SAPBEXstdItem 5 3" xfId="36134"/>
    <cellStyle name="SAPBEXstdItem 5 3 2" xfId="36135"/>
    <cellStyle name="SAPBEXstdItem 5 4" xfId="36136"/>
    <cellStyle name="SAPBEXstdItem 5 4 2" xfId="36137"/>
    <cellStyle name="SAPBEXstdItem 5 5" xfId="36138"/>
    <cellStyle name="SAPBEXstdItem 5 6" xfId="36139"/>
    <cellStyle name="SAPBEXstdItem 5 7" xfId="36140"/>
    <cellStyle name="SAPBEXstdItem 5 8" xfId="36141"/>
    <cellStyle name="SAPBEXstdItem 5 9" xfId="36130"/>
    <cellStyle name="SAPBEXstdItem 6" xfId="7278"/>
    <cellStyle name="SAPBEXstdItem 6 2" xfId="7279"/>
    <cellStyle name="SAPBEXstdItem 6 2 2" xfId="36144"/>
    <cellStyle name="SAPBEXstdItem 6 2 3" xfId="36145"/>
    <cellStyle name="SAPBEXstdItem 6 2 4" xfId="36143"/>
    <cellStyle name="SAPBEXstdItem 6 3" xfId="36146"/>
    <cellStyle name="SAPBEXstdItem 6 3 2" xfId="36147"/>
    <cellStyle name="SAPBEXstdItem 6 4" xfId="36148"/>
    <cellStyle name="SAPBEXstdItem 6 5" xfId="36149"/>
    <cellStyle name="SAPBEXstdItem 6 6" xfId="36150"/>
    <cellStyle name="SAPBEXstdItem 6 7" xfId="36142"/>
    <cellStyle name="SAPBEXstdItem 7" xfId="7280"/>
    <cellStyle name="SAPBEXstdItem 7 2" xfId="36152"/>
    <cellStyle name="SAPBEXstdItem 7 2 2" xfId="36153"/>
    <cellStyle name="SAPBEXstdItem 7 3" xfId="36154"/>
    <cellStyle name="SAPBEXstdItem 7 4" xfId="36151"/>
    <cellStyle name="SAPBEXstdItem 8" xfId="7281"/>
    <cellStyle name="SAPBEXstdItem 8 2" xfId="36156"/>
    <cellStyle name="SAPBEXstdItem 8 3" xfId="36157"/>
    <cellStyle name="SAPBEXstdItem 8 4" xfId="36158"/>
    <cellStyle name="SAPBEXstdItem 8 5" xfId="36155"/>
    <cellStyle name="SAPBEXstdItem 9" xfId="8259"/>
    <cellStyle name="SAPBEXstdItem 9 2" xfId="36159"/>
    <cellStyle name="Semleges" xfId="40374"/>
    <cellStyle name="Standard_BINV" xfId="2870"/>
    <cellStyle name="Style 1" xfId="41"/>
    <cellStyle name="Style 1 10" xfId="2497"/>
    <cellStyle name="Style 1 10 2" xfId="7282"/>
    <cellStyle name="Style 1 11" xfId="2498"/>
    <cellStyle name="Style 1 11 2" xfId="7283"/>
    <cellStyle name="Style 1 12" xfId="2499"/>
    <cellStyle name="Style 1 12 2" xfId="7284"/>
    <cellStyle name="Style 1 13" xfId="2500"/>
    <cellStyle name="Style 1 13 2" xfId="7285"/>
    <cellStyle name="Style 1 14" xfId="2501"/>
    <cellStyle name="Style 1 14 2" xfId="7286"/>
    <cellStyle name="Style 1 15" xfId="2502"/>
    <cellStyle name="Style 1 15 2" xfId="7287"/>
    <cellStyle name="Style 1 16" xfId="2503"/>
    <cellStyle name="Style 1 16 2" xfId="7288"/>
    <cellStyle name="Style 1 17" xfId="2504"/>
    <cellStyle name="Style 1 17 2" xfId="7289"/>
    <cellStyle name="Style 1 18" xfId="2505"/>
    <cellStyle name="Style 1 18 2" xfId="7290"/>
    <cellStyle name="Style 1 19" xfId="2506"/>
    <cellStyle name="Style 1 19 2" xfId="7291"/>
    <cellStyle name="Style 1 2" xfId="67"/>
    <cellStyle name="Style 1 2 10" xfId="7292"/>
    <cellStyle name="Style 1 2 11" xfId="7293"/>
    <cellStyle name="Style 1 2 12" xfId="7294"/>
    <cellStyle name="Style 1 2 13" xfId="7295"/>
    <cellStyle name="Style 1 2 14" xfId="7296"/>
    <cellStyle name="Style 1 2 15" xfId="7297"/>
    <cellStyle name="Style 1 2 16" xfId="7298"/>
    <cellStyle name="Style 1 2 17" xfId="7299"/>
    <cellStyle name="Style 1 2 18" xfId="7300"/>
    <cellStyle name="Style 1 2 19" xfId="7301"/>
    <cellStyle name="Style 1 2 2" xfId="35"/>
    <cellStyle name="Style 1 2 2 2" xfId="36160"/>
    <cellStyle name="Style 1 2 20" xfId="7302"/>
    <cellStyle name="Style 1 2 21" xfId="7303"/>
    <cellStyle name="Style 1 2 22" xfId="7304"/>
    <cellStyle name="Style 1 2 23" xfId="7305"/>
    <cellStyle name="Style 1 2 24" xfId="7306"/>
    <cellStyle name="Style 1 2 25" xfId="7307"/>
    <cellStyle name="Style 1 2 26" xfId="7308"/>
    <cellStyle name="Style 1 2 27" xfId="7309"/>
    <cellStyle name="Style 1 2 28" xfId="7310"/>
    <cellStyle name="Style 1 2 29" xfId="7311"/>
    <cellStyle name="Style 1 2 3" xfId="2259"/>
    <cellStyle name="Style 1 2 3 2" xfId="7312"/>
    <cellStyle name="Style 1 2 3 2 2" xfId="36161"/>
    <cellStyle name="Style 1 2 4" xfId="2257"/>
    <cellStyle name="Style 1 2 4 2" xfId="7313"/>
    <cellStyle name="Style 1 2 5" xfId="7314"/>
    <cellStyle name="Style 1 2 6" xfId="7315"/>
    <cellStyle name="Style 1 2 7" xfId="7316"/>
    <cellStyle name="Style 1 2 8" xfId="7317"/>
    <cellStyle name="Style 1 2 9" xfId="7318"/>
    <cellStyle name="Style 1 2_ASMF Accounts - 30 September 2013" xfId="7319"/>
    <cellStyle name="Style 1 20" xfId="2507"/>
    <cellStyle name="Style 1 20 2" xfId="7320"/>
    <cellStyle name="Style 1 21" xfId="2508"/>
    <cellStyle name="Style 1 22" xfId="2509"/>
    <cellStyle name="Style 1 23" xfId="2871"/>
    <cellStyle name="Style 1 24" xfId="2872"/>
    <cellStyle name="Style 1 25" xfId="2873"/>
    <cellStyle name="Style 1 26" xfId="2874"/>
    <cellStyle name="Style 1 27" xfId="2875"/>
    <cellStyle name="Style 1 28" xfId="2876"/>
    <cellStyle name="Style 1 29" xfId="2877"/>
    <cellStyle name="Style 1 3" xfId="69"/>
    <cellStyle name="Style 1 3 2" xfId="2261"/>
    <cellStyle name="Style 1 3 2 2" xfId="36162"/>
    <cellStyle name="Style 1 3 3" xfId="2510"/>
    <cellStyle name="Style 1 3 3 2" xfId="36163"/>
    <cellStyle name="Style 1 3 4" xfId="2260"/>
    <cellStyle name="Style 1 30" xfId="2878"/>
    <cellStyle name="Style 1 31" xfId="2879"/>
    <cellStyle name="Style 1 32" xfId="2880"/>
    <cellStyle name="Style 1 33" xfId="2881"/>
    <cellStyle name="Style 1 34" xfId="2882"/>
    <cellStyle name="Style 1 35" xfId="2883"/>
    <cellStyle name="Style 1 36" xfId="2884"/>
    <cellStyle name="Style 1 37" xfId="2885"/>
    <cellStyle name="Style 1 38" xfId="2886"/>
    <cellStyle name="Style 1 39" xfId="2887"/>
    <cellStyle name="Style 1 4" xfId="2262"/>
    <cellStyle name="Style 1 4 2" xfId="2263"/>
    <cellStyle name="Style 1 4 2 2" xfId="7322"/>
    <cellStyle name="Style 1 4 2 3" xfId="36164"/>
    <cellStyle name="Style 1 4 3" xfId="7321"/>
    <cellStyle name="Style 1 40" xfId="7323"/>
    <cellStyle name="Style 1 41" xfId="7324"/>
    <cellStyle name="Style 1 42" xfId="7325"/>
    <cellStyle name="Style 1 43" xfId="7326"/>
    <cellStyle name="Style 1 44" xfId="7327"/>
    <cellStyle name="Style 1 45" xfId="3642"/>
    <cellStyle name="Style 1 46" xfId="40423"/>
    <cellStyle name="Style 1 5" xfId="2264"/>
    <cellStyle name="Style 1 5 2" xfId="7328"/>
    <cellStyle name="Style 1 6" xfId="2511"/>
    <cellStyle name="Style 1 6 2" xfId="7329"/>
    <cellStyle name="Style 1 7" xfId="2512"/>
    <cellStyle name="Style 1 7 2" xfId="7330"/>
    <cellStyle name="Style 1 8" xfId="2513"/>
    <cellStyle name="Style 1 8 2" xfId="7331"/>
    <cellStyle name="Style 1 9" xfId="2514"/>
    <cellStyle name="Style 1 9 2" xfId="7332"/>
    <cellStyle name="Style 1_5.2" xfId="7333"/>
    <cellStyle name="Style 2" xfId="2265"/>
    <cellStyle name="sub" xfId="2266"/>
    <cellStyle name="sub 2" xfId="2267"/>
    <cellStyle name="sub 3" xfId="2268"/>
    <cellStyle name="sub 4" xfId="2269"/>
    <cellStyle name="Sub-group Hdg" xfId="2270"/>
    <cellStyle name="Sub-group Hdg 2" xfId="2271"/>
    <cellStyle name="Sub-group Hdg 3" xfId="2272"/>
    <cellStyle name="Sub-group Hdg 4" xfId="2273"/>
    <cellStyle name="Sub-heading" xfId="2274"/>
    <cellStyle name="Sub-heading 2" xfId="2275"/>
    <cellStyle name="Sub-heading 3" xfId="2276"/>
    <cellStyle name="Sub-heading 4" xfId="2277"/>
    <cellStyle name="Subtotal" xfId="2278"/>
    <cellStyle name="Subtotal 2" xfId="2279"/>
    <cellStyle name="Subtotal 2 2" xfId="36165"/>
    <cellStyle name="Subtotal 3" xfId="36166"/>
    <cellStyle name="Számítás" xfId="40375"/>
    <cellStyle name="Százalék 2" xfId="40376"/>
    <cellStyle name="Table  - Style5" xfId="2888"/>
    <cellStyle name="Table  - Style5 2" xfId="7334"/>
    <cellStyle name="Table  - Style5 2 10" xfId="36167"/>
    <cellStyle name="Table  - Style5 2 2" xfId="36168"/>
    <cellStyle name="Table  - Style5 2 2 2" xfId="36169"/>
    <cellStyle name="Table  - Style5 2 2 2 2" xfId="36170"/>
    <cellStyle name="Table  - Style5 2 2 2 2 2" xfId="36171"/>
    <cellStyle name="Table  - Style5 2 2 2 3" xfId="36172"/>
    <cellStyle name="Table  - Style5 2 2 3" xfId="36173"/>
    <cellStyle name="Table  - Style5 2 2 3 2" xfId="36174"/>
    <cellStyle name="Table  - Style5 2 2 3 2 2" xfId="36175"/>
    <cellStyle name="Table  - Style5 2 2 3 3" xfId="36176"/>
    <cellStyle name="Table  - Style5 2 2 4" xfId="36177"/>
    <cellStyle name="Table  - Style5 2 2 4 2" xfId="36178"/>
    <cellStyle name="Table  - Style5 2 2 4 2 2" xfId="36179"/>
    <cellStyle name="Table  - Style5 2 2 4 3" xfId="36180"/>
    <cellStyle name="Table  - Style5 2 2 5" xfId="36181"/>
    <cellStyle name="Table  - Style5 2 2 5 2" xfId="36182"/>
    <cellStyle name="Table  - Style5 2 2 6" xfId="36183"/>
    <cellStyle name="Table  - Style5 2 2 7" xfId="36184"/>
    <cellStyle name="Table  - Style5 2 2 8" xfId="36185"/>
    <cellStyle name="Table  - Style5 2 3" xfId="36186"/>
    <cellStyle name="Table  - Style5 2 3 2" xfId="36187"/>
    <cellStyle name="Table  - Style5 2 3 2 2" xfId="36188"/>
    <cellStyle name="Table  - Style5 2 3 2 2 2" xfId="36189"/>
    <cellStyle name="Table  - Style5 2 3 2 3" xfId="36190"/>
    <cellStyle name="Table  - Style5 2 3 3" xfId="36191"/>
    <cellStyle name="Table  - Style5 2 3 3 2" xfId="36192"/>
    <cellStyle name="Table  - Style5 2 3 3 2 2" xfId="36193"/>
    <cellStyle name="Table  - Style5 2 3 3 3" xfId="36194"/>
    <cellStyle name="Table  - Style5 2 3 4" xfId="36195"/>
    <cellStyle name="Table  - Style5 2 3 4 2" xfId="36196"/>
    <cellStyle name="Table  - Style5 2 3 4 3" xfId="36197"/>
    <cellStyle name="Table  - Style5 2 3 4 4" xfId="36198"/>
    <cellStyle name="Table  - Style5 2 3 5" xfId="36199"/>
    <cellStyle name="Table  - Style5 2 3 5 2" xfId="36200"/>
    <cellStyle name="Table  - Style5 2 3 6" xfId="36201"/>
    <cellStyle name="Table  - Style5 2 4" xfId="36202"/>
    <cellStyle name="Table  - Style5 2 4 2" xfId="36203"/>
    <cellStyle name="Table  - Style5 2 4 2 2" xfId="36204"/>
    <cellStyle name="Table  - Style5 2 4 2 3" xfId="36205"/>
    <cellStyle name="Table  - Style5 2 4 2 4" xfId="36206"/>
    <cellStyle name="Table  - Style5 2 4 3" xfId="36207"/>
    <cellStyle name="Table  - Style5 2 4 3 2" xfId="36208"/>
    <cellStyle name="Table  - Style5 2 4 3 3" xfId="36209"/>
    <cellStyle name="Table  - Style5 2 4 3 4" xfId="36210"/>
    <cellStyle name="Table  - Style5 2 4 4" xfId="36211"/>
    <cellStyle name="Table  - Style5 2 4 5" xfId="36212"/>
    <cellStyle name="Table  - Style5 2 4 6" xfId="36213"/>
    <cellStyle name="Table  - Style5 2 5" xfId="36214"/>
    <cellStyle name="Table  - Style5 2 5 2" xfId="36215"/>
    <cellStyle name="Table  - Style5 2 5 2 2" xfId="36216"/>
    <cellStyle name="Table  - Style5 2 5 2 3" xfId="36217"/>
    <cellStyle name="Table  - Style5 2 5 2 4" xfId="36218"/>
    <cellStyle name="Table  - Style5 2 5 3" xfId="36219"/>
    <cellStyle name="Table  - Style5 2 5 3 2" xfId="36220"/>
    <cellStyle name="Table  - Style5 2 5 3 3" xfId="36221"/>
    <cellStyle name="Table  - Style5 2 5 3 4" xfId="36222"/>
    <cellStyle name="Table  - Style5 2 5 4" xfId="36223"/>
    <cellStyle name="Table  - Style5 2 5 5" xfId="36224"/>
    <cellStyle name="Table  - Style5 2 5 6" xfId="36225"/>
    <cellStyle name="Table  - Style5 2 6" xfId="36226"/>
    <cellStyle name="Table  - Style5 2 6 2" xfId="36227"/>
    <cellStyle name="Table  - Style5 2 6 3" xfId="36228"/>
    <cellStyle name="Table  - Style5 2 6 4" xfId="36229"/>
    <cellStyle name="Table  - Style5 2 7" xfId="36230"/>
    <cellStyle name="Table  - Style5 2 7 2" xfId="36231"/>
    <cellStyle name="Table  - Style5 2 7 3" xfId="36232"/>
    <cellStyle name="Table  - Style5 2 7 4" xfId="36233"/>
    <cellStyle name="Table  - Style5 2 8" xfId="36234"/>
    <cellStyle name="Table  - Style5 2 9" xfId="36235"/>
    <cellStyle name="Table  - Style5 3" xfId="7335"/>
    <cellStyle name="Table  - Style5 3 2" xfId="36237"/>
    <cellStyle name="Table  - Style5 3 2 2" xfId="36238"/>
    <cellStyle name="Table  - Style5 3 2 2 2" xfId="36239"/>
    <cellStyle name="Table  - Style5 3 2 2 2 2" xfId="36240"/>
    <cellStyle name="Table  - Style5 3 2 2 3" xfId="36241"/>
    <cellStyle name="Table  - Style5 3 2 3" xfId="36242"/>
    <cellStyle name="Table  - Style5 3 2 3 2" xfId="36243"/>
    <cellStyle name="Table  - Style5 3 2 3 2 2" xfId="36244"/>
    <cellStyle name="Table  - Style5 3 2 3 3" xfId="36245"/>
    <cellStyle name="Table  - Style5 3 2 4" xfId="36246"/>
    <cellStyle name="Table  - Style5 3 2 4 2" xfId="36247"/>
    <cellStyle name="Table  - Style5 3 2 4 3" xfId="36248"/>
    <cellStyle name="Table  - Style5 3 2 5" xfId="36249"/>
    <cellStyle name="Table  - Style5 3 2 6" xfId="36250"/>
    <cellStyle name="Table  - Style5 3 2 7" xfId="36251"/>
    <cellStyle name="Table  - Style5 3 2 8" xfId="36252"/>
    <cellStyle name="Table  - Style5 3 3" xfId="36253"/>
    <cellStyle name="Table  - Style5 3 3 2" xfId="36254"/>
    <cellStyle name="Table  - Style5 3 3 2 2" xfId="36255"/>
    <cellStyle name="Table  - Style5 3 3 2 3" xfId="36256"/>
    <cellStyle name="Table  - Style5 3 3 3" xfId="36257"/>
    <cellStyle name="Table  - Style5 3 3 3 2" xfId="36258"/>
    <cellStyle name="Table  - Style5 3 3 4" xfId="36259"/>
    <cellStyle name="Table  - Style5 3 3 5" xfId="36260"/>
    <cellStyle name="Table  - Style5 3 3 6" xfId="36261"/>
    <cellStyle name="Table  - Style5 3 4" xfId="36262"/>
    <cellStyle name="Table  - Style5 3 4 2" xfId="36263"/>
    <cellStyle name="Table  - Style5 3 4 3" xfId="36264"/>
    <cellStyle name="Table  - Style5 3 4 4" xfId="36265"/>
    <cellStyle name="Table  - Style5 3 5" xfId="36266"/>
    <cellStyle name="Table  - Style5 3 5 2" xfId="36267"/>
    <cellStyle name="Table  - Style5 3 5 3" xfId="36268"/>
    <cellStyle name="Table  - Style5 3 5 4" xfId="36269"/>
    <cellStyle name="Table  - Style5 3 6" xfId="36270"/>
    <cellStyle name="Table  - Style5 3 7" xfId="36271"/>
    <cellStyle name="Table  - Style5 3 8" xfId="36236"/>
    <cellStyle name="Table  - Style5 4" xfId="7336"/>
    <cellStyle name="Table  - Style5 4 2" xfId="7337"/>
    <cellStyle name="Table  - Style5 4 2 2" xfId="36274"/>
    <cellStyle name="Table  - Style5 4 2 2 2" xfId="36275"/>
    <cellStyle name="Table  - Style5 4 2 3" xfId="36276"/>
    <cellStyle name="Table  - Style5 4 2 4" xfId="36273"/>
    <cellStyle name="Table  - Style5 4 3" xfId="36277"/>
    <cellStyle name="Table  - Style5 4 3 2" xfId="36278"/>
    <cellStyle name="Table  - Style5 4 3 2 2" xfId="36279"/>
    <cellStyle name="Table  - Style5 4 3 3" xfId="36280"/>
    <cellStyle name="Table  - Style5 4 4" xfId="36281"/>
    <cellStyle name="Table  - Style5 4 4 2" xfId="36282"/>
    <cellStyle name="Table  - Style5 4 4 2 2" xfId="36283"/>
    <cellStyle name="Table  - Style5 4 4 3" xfId="36284"/>
    <cellStyle name="Table  - Style5 4 5" xfId="36285"/>
    <cellStyle name="Table  - Style5 4 5 2" xfId="36286"/>
    <cellStyle name="Table  - Style5 4 6" xfId="36287"/>
    <cellStyle name="Table  - Style5 4 7" xfId="36288"/>
    <cellStyle name="Table  - Style5 4 8" xfId="36289"/>
    <cellStyle name="Table  - Style5 4 9" xfId="36272"/>
    <cellStyle name="Table  - Style5 5" xfId="7338"/>
    <cellStyle name="Table  - Style5 5 2" xfId="7339"/>
    <cellStyle name="Table  - Style5 5 2 2" xfId="36292"/>
    <cellStyle name="Table  - Style5 5 2 2 2" xfId="36293"/>
    <cellStyle name="Table  - Style5 5 2 3" xfId="36294"/>
    <cellStyle name="Table  - Style5 5 2 4" xfId="36291"/>
    <cellStyle name="Table  - Style5 5 3" xfId="36295"/>
    <cellStyle name="Table  - Style5 5 3 2" xfId="36296"/>
    <cellStyle name="Table  - Style5 5 3 2 2" xfId="36297"/>
    <cellStyle name="Table  - Style5 5 3 3" xfId="36298"/>
    <cellStyle name="Table  - Style5 5 4" xfId="36299"/>
    <cellStyle name="Table  - Style5 5 4 2" xfId="36300"/>
    <cellStyle name="Table  - Style5 5 4 2 2" xfId="36301"/>
    <cellStyle name="Table  - Style5 5 4 3" xfId="36302"/>
    <cellStyle name="Table  - Style5 5 5" xfId="36303"/>
    <cellStyle name="Table  - Style5 5 5 2" xfId="36304"/>
    <cellStyle name="Table  - Style5 5 6" xfId="36305"/>
    <cellStyle name="Table  - Style5 5 7" xfId="36306"/>
    <cellStyle name="Table  - Style5 5 8" xfId="36307"/>
    <cellStyle name="Table  - Style5 5 9" xfId="36290"/>
    <cellStyle name="Table  - Style5 6" xfId="7340"/>
    <cellStyle name="Table  - Style5 6 2" xfId="36309"/>
    <cellStyle name="Table  - Style5 6 2 2" xfId="36310"/>
    <cellStyle name="Table  - Style5 6 2 3" xfId="36311"/>
    <cellStyle name="Table  - Style5 6 3" xfId="36312"/>
    <cellStyle name="Table  - Style5 6 3 2" xfId="36313"/>
    <cellStyle name="Table  - Style5 6 4" xfId="36314"/>
    <cellStyle name="Table  - Style5 6 5" xfId="36315"/>
    <cellStyle name="Table  - Style5 6 6" xfId="36316"/>
    <cellStyle name="Table  - Style5 6 7" xfId="36308"/>
    <cellStyle name="Table  - Style5 7" xfId="7341"/>
    <cellStyle name="Table  - Style5 7 2" xfId="36318"/>
    <cellStyle name="Table  - Style5 7 3" xfId="36319"/>
    <cellStyle name="Table  - Style5 7 4" xfId="36320"/>
    <cellStyle name="Table  - Style5 7 5" xfId="36317"/>
    <cellStyle name="Table  - Style5 8" xfId="8442"/>
    <cellStyle name="Table  - Style5 8 2" xfId="36321"/>
    <cellStyle name="Table  - Style5 9" xfId="36322"/>
    <cellStyle name="Table  - Style6" xfId="2280"/>
    <cellStyle name="Table  - Style6 2" xfId="2281"/>
    <cellStyle name="Table  - Style6 2 2" xfId="2282"/>
    <cellStyle name="Table  - Style6 2 2 2" xfId="8267"/>
    <cellStyle name="Table  - Style6 2 2 2 2" xfId="36323"/>
    <cellStyle name="Table  - Style6 2 2 2 2 2" xfId="36324"/>
    <cellStyle name="Table  - Style6 2 2 2 3" xfId="36325"/>
    <cellStyle name="Table  - Style6 2 2 3" xfId="36326"/>
    <cellStyle name="Table  - Style6 2 2 3 2" xfId="36327"/>
    <cellStyle name="Table  - Style6 2 2 3 2 2" xfId="36328"/>
    <cellStyle name="Table  - Style6 2 2 3 3" xfId="36329"/>
    <cellStyle name="Table  - Style6 2 2 4" xfId="36330"/>
    <cellStyle name="Table  - Style6 2 2 4 2" xfId="36331"/>
    <cellStyle name="Table  - Style6 2 2 4 2 2" xfId="36332"/>
    <cellStyle name="Table  - Style6 2 2 4 3" xfId="36333"/>
    <cellStyle name="Table  - Style6 2 2 5" xfId="36334"/>
    <cellStyle name="Table  - Style6 2 2 5 2" xfId="36335"/>
    <cellStyle name="Table  - Style6 2 2 6" xfId="36336"/>
    <cellStyle name="Table  - Style6 2 2 7" xfId="36337"/>
    <cellStyle name="Table  - Style6 2 2 8" xfId="36338"/>
    <cellStyle name="Table  - Style6 2 3" xfId="8266"/>
    <cellStyle name="Table  - Style6 2 3 2" xfId="36339"/>
    <cellStyle name="Table  - Style6 2 3 2 2" xfId="36340"/>
    <cellStyle name="Table  - Style6 2 3 2 2 2" xfId="36341"/>
    <cellStyle name="Table  - Style6 2 3 2 3" xfId="36342"/>
    <cellStyle name="Table  - Style6 2 3 3" xfId="36343"/>
    <cellStyle name="Table  - Style6 2 3 3 2" xfId="36344"/>
    <cellStyle name="Table  - Style6 2 3 3 2 2" xfId="36345"/>
    <cellStyle name="Table  - Style6 2 3 3 3" xfId="36346"/>
    <cellStyle name="Table  - Style6 2 3 4" xfId="36347"/>
    <cellStyle name="Table  - Style6 2 3 4 2" xfId="36348"/>
    <cellStyle name="Table  - Style6 2 3 4 3" xfId="36349"/>
    <cellStyle name="Table  - Style6 2 3 4 4" xfId="36350"/>
    <cellStyle name="Table  - Style6 2 3 5" xfId="36351"/>
    <cellStyle name="Table  - Style6 2 3 5 2" xfId="36352"/>
    <cellStyle name="Table  - Style6 2 3 6" xfId="36353"/>
    <cellStyle name="Table  - Style6 2 4" xfId="36354"/>
    <cellStyle name="Table  - Style6 2 4 2" xfId="36355"/>
    <cellStyle name="Table  - Style6 2 4 2 2" xfId="36356"/>
    <cellStyle name="Table  - Style6 2 4 2 3" xfId="36357"/>
    <cellStyle name="Table  - Style6 2 4 2 4" xfId="36358"/>
    <cellStyle name="Table  - Style6 2 4 3" xfId="36359"/>
    <cellStyle name="Table  - Style6 2 4 3 2" xfId="36360"/>
    <cellStyle name="Table  - Style6 2 4 3 3" xfId="36361"/>
    <cellStyle name="Table  - Style6 2 4 3 4" xfId="36362"/>
    <cellStyle name="Table  - Style6 2 4 4" xfId="36363"/>
    <cellStyle name="Table  - Style6 2 4 5" xfId="36364"/>
    <cellStyle name="Table  - Style6 2 4 6" xfId="36365"/>
    <cellStyle name="Table  - Style6 2 5" xfId="36366"/>
    <cellStyle name="Table  - Style6 2 5 2" xfId="36367"/>
    <cellStyle name="Table  - Style6 2 5 2 2" xfId="36368"/>
    <cellStyle name="Table  - Style6 2 5 2 3" xfId="36369"/>
    <cellStyle name="Table  - Style6 2 5 2 4" xfId="36370"/>
    <cellStyle name="Table  - Style6 2 5 3" xfId="36371"/>
    <cellStyle name="Table  - Style6 2 5 3 2" xfId="36372"/>
    <cellStyle name="Table  - Style6 2 5 3 3" xfId="36373"/>
    <cellStyle name="Table  - Style6 2 5 3 4" xfId="36374"/>
    <cellStyle name="Table  - Style6 2 5 4" xfId="36375"/>
    <cellStyle name="Table  - Style6 2 5 5" xfId="36376"/>
    <cellStyle name="Table  - Style6 2 5 6" xfId="36377"/>
    <cellStyle name="Table  - Style6 2 6" xfId="36378"/>
    <cellStyle name="Table  - Style6 2 6 2" xfId="36379"/>
    <cellStyle name="Table  - Style6 2 6 3" xfId="36380"/>
    <cellStyle name="Table  - Style6 2 6 4" xfId="36381"/>
    <cellStyle name="Table  - Style6 2 7" xfId="36382"/>
    <cellStyle name="Table  - Style6 2 7 2" xfId="36383"/>
    <cellStyle name="Table  - Style6 2 7 3" xfId="36384"/>
    <cellStyle name="Table  - Style6 2 7 4" xfId="36385"/>
    <cellStyle name="Table  - Style6 2 8" xfId="36386"/>
    <cellStyle name="Table  - Style6 2 9" xfId="36387"/>
    <cellStyle name="Table  - Style6 3" xfId="2283"/>
    <cellStyle name="Table  - Style6 3 2" xfId="2284"/>
    <cellStyle name="Table  - Style6 3 2 2" xfId="8269"/>
    <cellStyle name="Table  - Style6 3 2 2 2" xfId="36388"/>
    <cellStyle name="Table  - Style6 3 2 2 2 2" xfId="36389"/>
    <cellStyle name="Table  - Style6 3 2 2 3" xfId="36390"/>
    <cellStyle name="Table  - Style6 3 2 3" xfId="36391"/>
    <cellStyle name="Table  - Style6 3 2 3 2" xfId="36392"/>
    <cellStyle name="Table  - Style6 3 2 3 2 2" xfId="36393"/>
    <cellStyle name="Table  - Style6 3 2 3 3" xfId="36394"/>
    <cellStyle name="Table  - Style6 3 2 4" xfId="36395"/>
    <cellStyle name="Table  - Style6 3 2 4 2" xfId="36396"/>
    <cellStyle name="Table  - Style6 3 2 4 3" xfId="36397"/>
    <cellStyle name="Table  - Style6 3 2 5" xfId="36398"/>
    <cellStyle name="Table  - Style6 3 2 6" xfId="36399"/>
    <cellStyle name="Table  - Style6 3 2 7" xfId="36400"/>
    <cellStyle name="Table  - Style6 3 2 8" xfId="36401"/>
    <cellStyle name="Table  - Style6 3 3" xfId="8268"/>
    <cellStyle name="Table  - Style6 3 3 2" xfId="36402"/>
    <cellStyle name="Table  - Style6 3 3 2 2" xfId="36403"/>
    <cellStyle name="Table  - Style6 3 3 2 3" xfId="36404"/>
    <cellStyle name="Table  - Style6 3 3 3" xfId="36405"/>
    <cellStyle name="Table  - Style6 3 3 3 2" xfId="36406"/>
    <cellStyle name="Table  - Style6 3 3 4" xfId="36407"/>
    <cellStyle name="Table  - Style6 3 3 5" xfId="36408"/>
    <cellStyle name="Table  - Style6 3 3 6" xfId="36409"/>
    <cellStyle name="Table  - Style6 3 4" xfId="36410"/>
    <cellStyle name="Table  - Style6 3 4 2" xfId="36411"/>
    <cellStyle name="Table  - Style6 3 4 3" xfId="36412"/>
    <cellStyle name="Table  - Style6 3 4 4" xfId="36413"/>
    <cellStyle name="Table  - Style6 3 5" xfId="36414"/>
    <cellStyle name="Table  - Style6 3 5 2" xfId="36415"/>
    <cellStyle name="Table  - Style6 3 5 3" xfId="36416"/>
    <cellStyle name="Table  - Style6 3 5 4" xfId="36417"/>
    <cellStyle name="Table  - Style6 3 6" xfId="36418"/>
    <cellStyle name="Table  - Style6 3 7" xfId="36419"/>
    <cellStyle name="Table  - Style6 4" xfId="2285"/>
    <cellStyle name="Table  - Style6 4 2" xfId="7342"/>
    <cellStyle name="Table  - Style6 4 2 2" xfId="36421"/>
    <cellStyle name="Table  - Style6 4 2 2 2" xfId="36422"/>
    <cellStyle name="Table  - Style6 4 2 3" xfId="36423"/>
    <cellStyle name="Table  - Style6 4 2 4" xfId="36420"/>
    <cellStyle name="Table  - Style6 4 3" xfId="8270"/>
    <cellStyle name="Table  - Style6 4 3 2" xfId="36424"/>
    <cellStyle name="Table  - Style6 4 3 2 2" xfId="36425"/>
    <cellStyle name="Table  - Style6 4 3 3" xfId="36426"/>
    <cellStyle name="Table  - Style6 4 4" xfId="36427"/>
    <cellStyle name="Table  - Style6 4 4 2" xfId="36428"/>
    <cellStyle name="Table  - Style6 4 4 2 2" xfId="36429"/>
    <cellStyle name="Table  - Style6 4 4 3" xfId="36430"/>
    <cellStyle name="Table  - Style6 4 5" xfId="36431"/>
    <cellStyle name="Table  - Style6 4 5 2" xfId="36432"/>
    <cellStyle name="Table  - Style6 4 6" xfId="36433"/>
    <cellStyle name="Table  - Style6 4 7" xfId="36434"/>
    <cellStyle name="Table  - Style6 4 8" xfId="36435"/>
    <cellStyle name="Table  - Style6 5" xfId="7343"/>
    <cellStyle name="Table  - Style6 5 2" xfId="7344"/>
    <cellStyle name="Table  - Style6 5 2 2" xfId="36438"/>
    <cellStyle name="Table  - Style6 5 2 2 2" xfId="36439"/>
    <cellStyle name="Table  - Style6 5 2 3" xfId="36440"/>
    <cellStyle name="Table  - Style6 5 2 4" xfId="36437"/>
    <cellStyle name="Table  - Style6 5 3" xfId="36441"/>
    <cellStyle name="Table  - Style6 5 3 2" xfId="36442"/>
    <cellStyle name="Table  - Style6 5 3 2 2" xfId="36443"/>
    <cellStyle name="Table  - Style6 5 3 3" xfId="36444"/>
    <cellStyle name="Table  - Style6 5 4" xfId="36445"/>
    <cellStyle name="Table  - Style6 5 4 2" xfId="36446"/>
    <cellStyle name="Table  - Style6 5 4 2 2" xfId="36447"/>
    <cellStyle name="Table  - Style6 5 4 3" xfId="36448"/>
    <cellStyle name="Table  - Style6 5 5" xfId="36449"/>
    <cellStyle name="Table  - Style6 5 5 2" xfId="36450"/>
    <cellStyle name="Table  - Style6 5 6" xfId="36451"/>
    <cellStyle name="Table  - Style6 5 7" xfId="36452"/>
    <cellStyle name="Table  - Style6 5 8" xfId="36453"/>
    <cellStyle name="Table  - Style6 5 9" xfId="36436"/>
    <cellStyle name="Table  - Style6 6" xfId="7345"/>
    <cellStyle name="Table  - Style6 6 2" xfId="36455"/>
    <cellStyle name="Table  - Style6 6 2 2" xfId="36456"/>
    <cellStyle name="Table  - Style6 6 2 3" xfId="36457"/>
    <cellStyle name="Table  - Style6 6 3" xfId="36458"/>
    <cellStyle name="Table  - Style6 6 3 2" xfId="36459"/>
    <cellStyle name="Table  - Style6 6 4" xfId="36460"/>
    <cellStyle name="Table  - Style6 6 5" xfId="36461"/>
    <cellStyle name="Table  - Style6 6 6" xfId="36462"/>
    <cellStyle name="Table  - Style6 6 7" xfId="36454"/>
    <cellStyle name="Table  - Style6 7" xfId="7346"/>
    <cellStyle name="Table  - Style6 7 2" xfId="36464"/>
    <cellStyle name="Table  - Style6 7 3" xfId="36465"/>
    <cellStyle name="Table  - Style6 7 4" xfId="36466"/>
    <cellStyle name="Table  - Style6 7 5" xfId="36463"/>
    <cellStyle name="Table  - Style6 8" xfId="7845"/>
    <cellStyle name="Table  - Style6 8 2" xfId="36468"/>
    <cellStyle name="Table  - Style6 8 3" xfId="36467"/>
    <cellStyle name="Table  - Style6 9" xfId="8265"/>
    <cellStyle name="Temp" xfId="2286"/>
    <cellStyle name="Temp 2" xfId="2287"/>
    <cellStyle name="Temp 2 2" xfId="2288"/>
    <cellStyle name="Temp 2 2 2" xfId="36470"/>
    <cellStyle name="Temp 2 2 3" xfId="36471"/>
    <cellStyle name="Temp 2 2 4" xfId="36472"/>
    <cellStyle name="Temp 2 2 5" xfId="36473"/>
    <cellStyle name="Temp 2 2 6" xfId="36469"/>
    <cellStyle name="Temp 2 3" xfId="2289"/>
    <cellStyle name="Temp 2 3 2" xfId="36474"/>
    <cellStyle name="Temp 2 4" xfId="3037"/>
    <cellStyle name="Temp 2 4 2" xfId="36475"/>
    <cellStyle name="Temp 2 5" xfId="8272"/>
    <cellStyle name="Temp 3" xfId="2290"/>
    <cellStyle name="Temp 3 2" xfId="2291"/>
    <cellStyle name="Temp 3 2 2" xfId="36477"/>
    <cellStyle name="Temp 3 2 3" xfId="36478"/>
    <cellStyle name="Temp 3 2 4" xfId="36479"/>
    <cellStyle name="Temp 3 2 5" xfId="36480"/>
    <cellStyle name="Temp 3 2 6" xfId="36476"/>
    <cellStyle name="Temp 3 3" xfId="36481"/>
    <cellStyle name="Temp 3 3 2" xfId="36482"/>
    <cellStyle name="Temp 3 4" xfId="36483"/>
    <cellStyle name="Temp 3 4 2" xfId="36484"/>
    <cellStyle name="Temp 3 5" xfId="36485"/>
    <cellStyle name="Temp 3 6" xfId="36486"/>
    <cellStyle name="Temp 3 7" xfId="36487"/>
    <cellStyle name="Temp 3 8" xfId="36488"/>
    <cellStyle name="Temp 4" xfId="2292"/>
    <cellStyle name="Temp 4 2" xfId="36490"/>
    <cellStyle name="Temp 4 2 2" xfId="36491"/>
    <cellStyle name="Temp 4 2 3" xfId="36492"/>
    <cellStyle name="Temp 4 3" xfId="36493"/>
    <cellStyle name="Temp 4 3 2" xfId="36494"/>
    <cellStyle name="Temp 4 4" xfId="36495"/>
    <cellStyle name="Temp 4 4 2" xfId="36496"/>
    <cellStyle name="Temp 4 5" xfId="36497"/>
    <cellStyle name="Temp 4 6" xfId="36498"/>
    <cellStyle name="Temp 4 7" xfId="36499"/>
    <cellStyle name="Temp 4 8" xfId="36500"/>
    <cellStyle name="Temp 4 9" xfId="36489"/>
    <cellStyle name="Temp 5" xfId="2293"/>
    <cellStyle name="Temp 5 2" xfId="36502"/>
    <cellStyle name="Temp 5 2 2" xfId="36503"/>
    <cellStyle name="Temp 5 3" xfId="36504"/>
    <cellStyle name="Temp 5 3 2" xfId="36505"/>
    <cellStyle name="Temp 5 4" xfId="36506"/>
    <cellStyle name="Temp 5 4 2" xfId="36507"/>
    <cellStyle name="Temp 5 5" xfId="36508"/>
    <cellStyle name="Temp 5 6" xfId="36509"/>
    <cellStyle name="Temp 5 7" xfId="36510"/>
    <cellStyle name="Temp 5 8" xfId="36511"/>
    <cellStyle name="Temp 5 9" xfId="36501"/>
    <cellStyle name="Temp 6" xfId="2294"/>
    <cellStyle name="Temp 6 2" xfId="8273"/>
    <cellStyle name="Temp 6 2 2" xfId="36512"/>
    <cellStyle name="Temp 6 3" xfId="36513"/>
    <cellStyle name="Temp 6 3 2" xfId="36514"/>
    <cellStyle name="Temp 6 4" xfId="36515"/>
    <cellStyle name="Temp 6 4 2" xfId="36516"/>
    <cellStyle name="Temp 6 5" xfId="36517"/>
    <cellStyle name="Temp 6 6" xfId="36518"/>
    <cellStyle name="Temp 6 7" xfId="36519"/>
    <cellStyle name="Temp 6 8" xfId="36520"/>
    <cellStyle name="Temp 7" xfId="8271"/>
    <cellStyle name="Temp 7 2" xfId="36521"/>
    <cellStyle name="Temp 7 2 2" xfId="36522"/>
    <cellStyle name="Temp 7 3" xfId="36523"/>
    <cellStyle name="Temp 7 4" xfId="36524"/>
    <cellStyle name="Temp 7 5" xfId="36525"/>
    <cellStyle name="Temp 8" xfId="36526"/>
    <cellStyle name="text" xfId="2295"/>
    <cellStyle name="Text Indent A" xfId="2296"/>
    <cellStyle name="Text Indent A 2" xfId="2297"/>
    <cellStyle name="Text Indent A 3" xfId="2298"/>
    <cellStyle name="Text Indent A 4" xfId="2299"/>
    <cellStyle name="Text Indent A 5" xfId="2300"/>
    <cellStyle name="Text Indent B" xfId="2301"/>
    <cellStyle name="Text Indent B 2" xfId="2302"/>
    <cellStyle name="Text Indent B 2 2" xfId="2303"/>
    <cellStyle name="Text Indent B 2 2 2" xfId="36527"/>
    <cellStyle name="Text Indent B 3" xfId="2304"/>
    <cellStyle name="Text Indent B 4" xfId="2305"/>
    <cellStyle name="Text Indent C" xfId="2889"/>
    <cellStyle name="Title  - Style1" xfId="2307"/>
    <cellStyle name="Title  - Style6" xfId="2890"/>
    <cellStyle name="Title 10" xfId="2308"/>
    <cellStyle name="Title 10 2" xfId="3027"/>
    <cellStyle name="Title 11" xfId="2309"/>
    <cellStyle name="Title 11 2" xfId="3176"/>
    <cellStyle name="Title 12" xfId="2310"/>
    <cellStyle name="Title 12 2" xfId="3178"/>
    <cellStyle name="Title 13" xfId="2311"/>
    <cellStyle name="Title 13 2" xfId="3019"/>
    <cellStyle name="Title 14" xfId="2312"/>
    <cellStyle name="Title 14 2" xfId="7347"/>
    <cellStyle name="Title 15" xfId="2313"/>
    <cellStyle name="Title 15 2" xfId="7348"/>
    <cellStyle name="Title 16" xfId="2314"/>
    <cellStyle name="Title 16 2" xfId="7349"/>
    <cellStyle name="Title 17" xfId="2315"/>
    <cellStyle name="Title 17 2" xfId="7350"/>
    <cellStyle name="Title 18" xfId="2316"/>
    <cellStyle name="Title 18 2" xfId="36528"/>
    <cellStyle name="Title 19" xfId="2317"/>
    <cellStyle name="Title 2" xfId="2318"/>
    <cellStyle name="Title 2 2" xfId="2319"/>
    <cellStyle name="Title 20" xfId="2320"/>
    <cellStyle name="Title 21" xfId="2321"/>
    <cellStyle name="Title 22" xfId="2306"/>
    <cellStyle name="Title 23" xfId="4776"/>
    <cellStyle name="Title 24" xfId="3687"/>
    <cellStyle name="Title 25" xfId="8274"/>
    <cellStyle name="Title 3" xfId="2322"/>
    <cellStyle name="Title 4" xfId="2323"/>
    <cellStyle name="Title 5" xfId="2324"/>
    <cellStyle name="Title 6" xfId="2325"/>
    <cellStyle name="Title 6 2" xfId="2326"/>
    <cellStyle name="Title 6 3" xfId="2327"/>
    <cellStyle name="Title 6 4" xfId="3158"/>
    <cellStyle name="Title 7" xfId="2328"/>
    <cellStyle name="Title 7 2" xfId="2329"/>
    <cellStyle name="Title 7 3" xfId="2330"/>
    <cellStyle name="Title 7 4" xfId="2985"/>
    <cellStyle name="Title 8" xfId="2331"/>
    <cellStyle name="Title 8 2" xfId="2332"/>
    <cellStyle name="Title 8 3" xfId="2333"/>
    <cellStyle name="Title 8 4" xfId="3155"/>
    <cellStyle name="Title 9" xfId="2334"/>
    <cellStyle name="Title 9 2" xfId="2335"/>
    <cellStyle name="Title 9 3" xfId="2336"/>
    <cellStyle name="Title 9 4" xfId="3035"/>
    <cellStyle name="Titre Colonnes" xfId="2891"/>
    <cellStyle name="Total 10" xfId="2892"/>
    <cellStyle name="Total 10 10" xfId="36529"/>
    <cellStyle name="Total 10 11" xfId="36530"/>
    <cellStyle name="Total 10 2" xfId="7351"/>
    <cellStyle name="Total 10 2 2" xfId="7352"/>
    <cellStyle name="Total 10 2 2 10" xfId="36532"/>
    <cellStyle name="Total 10 2 2 2" xfId="36533"/>
    <cellStyle name="Total 10 2 2 2 2" xfId="36534"/>
    <cellStyle name="Total 10 2 2 2 3" xfId="36535"/>
    <cellStyle name="Total 10 2 2 3" xfId="36536"/>
    <cellStyle name="Total 10 2 2 3 2" xfId="36537"/>
    <cellStyle name="Total 10 2 2 4" xfId="36538"/>
    <cellStyle name="Total 10 2 2 4 2" xfId="36539"/>
    <cellStyle name="Total 10 2 2 5" xfId="36540"/>
    <cellStyle name="Total 10 2 2 6" xfId="36541"/>
    <cellStyle name="Total 10 2 2 7" xfId="36542"/>
    <cellStyle name="Total 10 2 2 8" xfId="36543"/>
    <cellStyle name="Total 10 2 2 9" xfId="36544"/>
    <cellStyle name="Total 10 2 3" xfId="7353"/>
    <cellStyle name="Total 10 2 3 2" xfId="36546"/>
    <cellStyle name="Total 10 2 3 2 2" xfId="36547"/>
    <cellStyle name="Total 10 2 3 2 3" xfId="36548"/>
    <cellStyle name="Total 10 2 3 3" xfId="36549"/>
    <cellStyle name="Total 10 2 3 3 2" xfId="36550"/>
    <cellStyle name="Total 10 2 3 4" xfId="36551"/>
    <cellStyle name="Total 10 2 3 5" xfId="36552"/>
    <cellStyle name="Total 10 2 3 6" xfId="36553"/>
    <cellStyle name="Total 10 2 3 7" xfId="36545"/>
    <cellStyle name="Total 10 2 4" xfId="7354"/>
    <cellStyle name="Total 10 2 4 2" xfId="7355"/>
    <cellStyle name="Total 10 2 4 2 2" xfId="36555"/>
    <cellStyle name="Total 10 2 4 3" xfId="36556"/>
    <cellStyle name="Total 10 2 4 4" xfId="36554"/>
    <cellStyle name="Total 10 2 5" xfId="7356"/>
    <cellStyle name="Total 10 2 5 2" xfId="7357"/>
    <cellStyle name="Total 10 2 5 3" xfId="36557"/>
    <cellStyle name="Total 10 2 6" xfId="7358"/>
    <cellStyle name="Total 10 2 6 2" xfId="36558"/>
    <cellStyle name="Total 10 2 7" xfId="7359"/>
    <cellStyle name="Total 10 2 7 2" xfId="36559"/>
    <cellStyle name="Total 10 2 8" xfId="36560"/>
    <cellStyle name="Total 10 2 9" xfId="36531"/>
    <cellStyle name="Total 10 3" xfId="7360"/>
    <cellStyle name="Total 10 3 2" xfId="36562"/>
    <cellStyle name="Total 10 3 2 2" xfId="36563"/>
    <cellStyle name="Total 10 3 2 2 2" xfId="36564"/>
    <cellStyle name="Total 10 3 2 3" xfId="36565"/>
    <cellStyle name="Total 10 3 2 3 2" xfId="36566"/>
    <cellStyle name="Total 10 3 2 4" xfId="36567"/>
    <cellStyle name="Total 10 3 2 4 2" xfId="36568"/>
    <cellStyle name="Total 10 3 2 5" xfId="36569"/>
    <cellStyle name="Total 10 3 2 6" xfId="36570"/>
    <cellStyle name="Total 10 3 2 7" xfId="36571"/>
    <cellStyle name="Total 10 3 2 8" xfId="36572"/>
    <cellStyle name="Total 10 3 2 9" xfId="36573"/>
    <cellStyle name="Total 10 3 3" xfId="36574"/>
    <cellStyle name="Total 10 3 3 2" xfId="36575"/>
    <cellStyle name="Total 10 3 3 2 2" xfId="36576"/>
    <cellStyle name="Total 10 3 3 3" xfId="36577"/>
    <cellStyle name="Total 10 3 3 3 2" xfId="36578"/>
    <cellStyle name="Total 10 3 3 4" xfId="36579"/>
    <cellStyle name="Total 10 3 3 5" xfId="36580"/>
    <cellStyle name="Total 10 3 3 6" xfId="36581"/>
    <cellStyle name="Total 10 3 4" xfId="36582"/>
    <cellStyle name="Total 10 3 4 2" xfId="36583"/>
    <cellStyle name="Total 10 3 5" xfId="36584"/>
    <cellStyle name="Total 10 3 6" xfId="36585"/>
    <cellStyle name="Total 10 3 7" xfId="36586"/>
    <cellStyle name="Total 10 3 8" xfId="36587"/>
    <cellStyle name="Total 10 3 9" xfId="36561"/>
    <cellStyle name="Total 10 4" xfId="7361"/>
    <cellStyle name="Total 10 4 10" xfId="36588"/>
    <cellStyle name="Total 10 4 2" xfId="36589"/>
    <cellStyle name="Total 10 4 2 2" xfId="36590"/>
    <cellStyle name="Total 10 4 2 3" xfId="36591"/>
    <cellStyle name="Total 10 4 3" xfId="36592"/>
    <cellStyle name="Total 10 4 3 2" xfId="36593"/>
    <cellStyle name="Total 10 4 4" xfId="36594"/>
    <cellStyle name="Total 10 4 4 2" xfId="36595"/>
    <cellStyle name="Total 10 4 5" xfId="36596"/>
    <cellStyle name="Total 10 4 6" xfId="36597"/>
    <cellStyle name="Total 10 4 7" xfId="36598"/>
    <cellStyle name="Total 10 4 8" xfId="36599"/>
    <cellStyle name="Total 10 4 9" xfId="36600"/>
    <cellStyle name="Total 10 5" xfId="7362"/>
    <cellStyle name="Total 10 5 10" xfId="36601"/>
    <cellStyle name="Total 10 5 2" xfId="7363"/>
    <cellStyle name="Total 10 5 2 2" xfId="36603"/>
    <cellStyle name="Total 10 5 2 3" xfId="36604"/>
    <cellStyle name="Total 10 5 2 4" xfId="36602"/>
    <cellStyle name="Total 10 5 3" xfId="36605"/>
    <cellStyle name="Total 10 5 3 2" xfId="36606"/>
    <cellStyle name="Total 10 5 4" xfId="36607"/>
    <cellStyle name="Total 10 5 4 2" xfId="36608"/>
    <cellStyle name="Total 10 5 5" xfId="36609"/>
    <cellStyle name="Total 10 5 6" xfId="36610"/>
    <cellStyle name="Total 10 5 7" xfId="36611"/>
    <cellStyle name="Total 10 5 8" xfId="36612"/>
    <cellStyle name="Total 10 5 9" xfId="36613"/>
    <cellStyle name="Total 10 6" xfId="7364"/>
    <cellStyle name="Total 10 6 2" xfId="7365"/>
    <cellStyle name="Total 10 6 2 2" xfId="36616"/>
    <cellStyle name="Total 10 6 2 3" xfId="36615"/>
    <cellStyle name="Total 10 6 3" xfId="36617"/>
    <cellStyle name="Total 10 6 3 2" xfId="36618"/>
    <cellStyle name="Total 10 6 4" xfId="36619"/>
    <cellStyle name="Total 10 6 5" xfId="36620"/>
    <cellStyle name="Total 10 6 6" xfId="36621"/>
    <cellStyle name="Total 10 6 7" xfId="36614"/>
    <cellStyle name="Total 10 7" xfId="7366"/>
    <cellStyle name="Total 10 7 2" xfId="36623"/>
    <cellStyle name="Total 10 7 3" xfId="36622"/>
    <cellStyle name="Total 10 8" xfId="7367"/>
    <cellStyle name="Total 10 8 2" xfId="36624"/>
    <cellStyle name="Total 10 9" xfId="8443"/>
    <cellStyle name="Total 11" xfId="2893"/>
    <cellStyle name="Total 11 10" xfId="36625"/>
    <cellStyle name="Total 11 11" xfId="36626"/>
    <cellStyle name="Total 11 2" xfId="7368"/>
    <cellStyle name="Total 11 2 2" xfId="7369"/>
    <cellStyle name="Total 11 2 2 10" xfId="36628"/>
    <cellStyle name="Total 11 2 2 2" xfId="36629"/>
    <cellStyle name="Total 11 2 2 2 2" xfId="36630"/>
    <cellStyle name="Total 11 2 2 2 3" xfId="36631"/>
    <cellStyle name="Total 11 2 2 3" xfId="36632"/>
    <cellStyle name="Total 11 2 2 3 2" xfId="36633"/>
    <cellStyle name="Total 11 2 2 4" xfId="36634"/>
    <cellStyle name="Total 11 2 2 4 2" xfId="36635"/>
    <cellStyle name="Total 11 2 2 5" xfId="36636"/>
    <cellStyle name="Total 11 2 2 6" xfId="36637"/>
    <cellStyle name="Total 11 2 2 7" xfId="36638"/>
    <cellStyle name="Total 11 2 2 8" xfId="36639"/>
    <cellStyle name="Total 11 2 2 9" xfId="36640"/>
    <cellStyle name="Total 11 2 3" xfId="7370"/>
    <cellStyle name="Total 11 2 3 2" xfId="36642"/>
    <cellStyle name="Total 11 2 3 2 2" xfId="36643"/>
    <cellStyle name="Total 11 2 3 2 3" xfId="36644"/>
    <cellStyle name="Total 11 2 3 3" xfId="36645"/>
    <cellStyle name="Total 11 2 3 3 2" xfId="36646"/>
    <cellStyle name="Total 11 2 3 4" xfId="36647"/>
    <cellStyle name="Total 11 2 3 5" xfId="36648"/>
    <cellStyle name="Total 11 2 3 6" xfId="36649"/>
    <cellStyle name="Total 11 2 3 7" xfId="36641"/>
    <cellStyle name="Total 11 2 4" xfId="7371"/>
    <cellStyle name="Total 11 2 4 2" xfId="7372"/>
    <cellStyle name="Total 11 2 4 2 2" xfId="36651"/>
    <cellStyle name="Total 11 2 4 3" xfId="36652"/>
    <cellStyle name="Total 11 2 4 4" xfId="36650"/>
    <cellStyle name="Total 11 2 5" xfId="7373"/>
    <cellStyle name="Total 11 2 5 2" xfId="7374"/>
    <cellStyle name="Total 11 2 5 3" xfId="36653"/>
    <cellStyle name="Total 11 2 6" xfId="7375"/>
    <cellStyle name="Total 11 2 6 2" xfId="36654"/>
    <cellStyle name="Total 11 2 7" xfId="7376"/>
    <cellStyle name="Total 11 2 7 2" xfId="36655"/>
    <cellStyle name="Total 11 2 8" xfId="36656"/>
    <cellStyle name="Total 11 2 9" xfId="36627"/>
    <cellStyle name="Total 11 3" xfId="7377"/>
    <cellStyle name="Total 11 3 2" xfId="36658"/>
    <cellStyle name="Total 11 3 2 2" xfId="36659"/>
    <cellStyle name="Total 11 3 2 2 2" xfId="36660"/>
    <cellStyle name="Total 11 3 2 3" xfId="36661"/>
    <cellStyle name="Total 11 3 2 3 2" xfId="36662"/>
    <cellStyle name="Total 11 3 2 4" xfId="36663"/>
    <cellStyle name="Total 11 3 2 4 2" xfId="36664"/>
    <cellStyle name="Total 11 3 2 5" xfId="36665"/>
    <cellStyle name="Total 11 3 2 6" xfId="36666"/>
    <cellStyle name="Total 11 3 2 7" xfId="36667"/>
    <cellStyle name="Total 11 3 2 8" xfId="36668"/>
    <cellStyle name="Total 11 3 2 9" xfId="36669"/>
    <cellStyle name="Total 11 3 3" xfId="36670"/>
    <cellStyle name="Total 11 3 3 2" xfId="36671"/>
    <cellStyle name="Total 11 3 3 2 2" xfId="36672"/>
    <cellStyle name="Total 11 3 3 3" xfId="36673"/>
    <cellStyle name="Total 11 3 3 3 2" xfId="36674"/>
    <cellStyle name="Total 11 3 3 4" xfId="36675"/>
    <cellStyle name="Total 11 3 3 5" xfId="36676"/>
    <cellStyle name="Total 11 3 3 6" xfId="36677"/>
    <cellStyle name="Total 11 3 4" xfId="36678"/>
    <cellStyle name="Total 11 3 4 2" xfId="36679"/>
    <cellStyle name="Total 11 3 5" xfId="36680"/>
    <cellStyle name="Total 11 3 6" xfId="36681"/>
    <cellStyle name="Total 11 3 7" xfId="36682"/>
    <cellStyle name="Total 11 3 8" xfId="36683"/>
    <cellStyle name="Total 11 3 9" xfId="36657"/>
    <cellStyle name="Total 11 4" xfId="7378"/>
    <cellStyle name="Total 11 4 10" xfId="36684"/>
    <cellStyle name="Total 11 4 2" xfId="36685"/>
    <cellStyle name="Total 11 4 2 2" xfId="36686"/>
    <cellStyle name="Total 11 4 2 3" xfId="36687"/>
    <cellStyle name="Total 11 4 3" xfId="36688"/>
    <cellStyle name="Total 11 4 3 2" xfId="36689"/>
    <cellStyle name="Total 11 4 4" xfId="36690"/>
    <cellStyle name="Total 11 4 4 2" xfId="36691"/>
    <cellStyle name="Total 11 4 5" xfId="36692"/>
    <cellStyle name="Total 11 4 6" xfId="36693"/>
    <cellStyle name="Total 11 4 7" xfId="36694"/>
    <cellStyle name="Total 11 4 8" xfId="36695"/>
    <cellStyle name="Total 11 4 9" xfId="36696"/>
    <cellStyle name="Total 11 5" xfId="7379"/>
    <cellStyle name="Total 11 5 10" xfId="36697"/>
    <cellStyle name="Total 11 5 2" xfId="7380"/>
    <cellStyle name="Total 11 5 2 2" xfId="36699"/>
    <cellStyle name="Total 11 5 2 3" xfId="36700"/>
    <cellStyle name="Total 11 5 2 4" xfId="36698"/>
    <cellStyle name="Total 11 5 3" xfId="36701"/>
    <cellStyle name="Total 11 5 3 2" xfId="36702"/>
    <cellStyle name="Total 11 5 4" xfId="36703"/>
    <cellStyle name="Total 11 5 4 2" xfId="36704"/>
    <cellStyle name="Total 11 5 5" xfId="36705"/>
    <cellStyle name="Total 11 5 6" xfId="36706"/>
    <cellStyle name="Total 11 5 7" xfId="36707"/>
    <cellStyle name="Total 11 5 8" xfId="36708"/>
    <cellStyle name="Total 11 5 9" xfId="36709"/>
    <cellStyle name="Total 11 6" xfId="7381"/>
    <cellStyle name="Total 11 6 2" xfId="7382"/>
    <cellStyle name="Total 11 6 2 2" xfId="36712"/>
    <cellStyle name="Total 11 6 2 3" xfId="36711"/>
    <cellStyle name="Total 11 6 3" xfId="36713"/>
    <cellStyle name="Total 11 6 3 2" xfId="36714"/>
    <cellStyle name="Total 11 6 4" xfId="36715"/>
    <cellStyle name="Total 11 6 5" xfId="36716"/>
    <cellStyle name="Total 11 6 6" xfId="36717"/>
    <cellStyle name="Total 11 6 7" xfId="36710"/>
    <cellStyle name="Total 11 7" xfId="7383"/>
    <cellStyle name="Total 11 7 2" xfId="36719"/>
    <cellStyle name="Total 11 7 3" xfId="36718"/>
    <cellStyle name="Total 11 8" xfId="7384"/>
    <cellStyle name="Total 11 8 2" xfId="36720"/>
    <cellStyle name="Total 11 9" xfId="8444"/>
    <cellStyle name="Total 12" xfId="2894"/>
    <cellStyle name="Total 12 10" xfId="36721"/>
    <cellStyle name="Total 12 11" xfId="36722"/>
    <cellStyle name="Total 12 2" xfId="7385"/>
    <cellStyle name="Total 12 2 2" xfId="7386"/>
    <cellStyle name="Total 12 2 2 10" xfId="36724"/>
    <cellStyle name="Total 12 2 2 2" xfId="36725"/>
    <cellStyle name="Total 12 2 2 2 2" xfId="36726"/>
    <cellStyle name="Total 12 2 2 2 3" xfId="36727"/>
    <cellStyle name="Total 12 2 2 3" xfId="36728"/>
    <cellStyle name="Total 12 2 2 3 2" xfId="36729"/>
    <cellStyle name="Total 12 2 2 4" xfId="36730"/>
    <cellStyle name="Total 12 2 2 4 2" xfId="36731"/>
    <cellStyle name="Total 12 2 2 5" xfId="36732"/>
    <cellStyle name="Total 12 2 2 6" xfId="36733"/>
    <cellStyle name="Total 12 2 2 7" xfId="36734"/>
    <cellStyle name="Total 12 2 2 8" xfId="36735"/>
    <cellStyle name="Total 12 2 2 9" xfId="36736"/>
    <cellStyle name="Total 12 2 3" xfId="7387"/>
    <cellStyle name="Total 12 2 3 2" xfId="36738"/>
    <cellStyle name="Total 12 2 3 2 2" xfId="36739"/>
    <cellStyle name="Total 12 2 3 2 3" xfId="36740"/>
    <cellStyle name="Total 12 2 3 3" xfId="36741"/>
    <cellStyle name="Total 12 2 3 3 2" xfId="36742"/>
    <cellStyle name="Total 12 2 3 4" xfId="36743"/>
    <cellStyle name="Total 12 2 3 5" xfId="36744"/>
    <cellStyle name="Total 12 2 3 6" xfId="36745"/>
    <cellStyle name="Total 12 2 3 7" xfId="36737"/>
    <cellStyle name="Total 12 2 4" xfId="7388"/>
    <cellStyle name="Total 12 2 4 2" xfId="7389"/>
    <cellStyle name="Total 12 2 4 2 2" xfId="36747"/>
    <cellStyle name="Total 12 2 4 3" xfId="36748"/>
    <cellStyle name="Total 12 2 4 4" xfId="36746"/>
    <cellStyle name="Total 12 2 5" xfId="7390"/>
    <cellStyle name="Total 12 2 5 2" xfId="7391"/>
    <cellStyle name="Total 12 2 5 3" xfId="36749"/>
    <cellStyle name="Total 12 2 6" xfId="7392"/>
    <cellStyle name="Total 12 2 6 2" xfId="36750"/>
    <cellStyle name="Total 12 2 7" xfId="7393"/>
    <cellStyle name="Total 12 2 7 2" xfId="36751"/>
    <cellStyle name="Total 12 2 8" xfId="36752"/>
    <cellStyle name="Total 12 2 9" xfId="36723"/>
    <cellStyle name="Total 12 3" xfId="7394"/>
    <cellStyle name="Total 12 3 2" xfId="36754"/>
    <cellStyle name="Total 12 3 2 2" xfId="36755"/>
    <cellStyle name="Total 12 3 2 2 2" xfId="36756"/>
    <cellStyle name="Total 12 3 2 3" xfId="36757"/>
    <cellStyle name="Total 12 3 2 3 2" xfId="36758"/>
    <cellStyle name="Total 12 3 2 4" xfId="36759"/>
    <cellStyle name="Total 12 3 2 4 2" xfId="36760"/>
    <cellStyle name="Total 12 3 2 5" xfId="36761"/>
    <cellStyle name="Total 12 3 2 6" xfId="36762"/>
    <cellStyle name="Total 12 3 2 7" xfId="36763"/>
    <cellStyle name="Total 12 3 2 8" xfId="36764"/>
    <cellStyle name="Total 12 3 2 9" xfId="36765"/>
    <cellStyle name="Total 12 3 3" xfId="36766"/>
    <cellStyle name="Total 12 3 3 2" xfId="36767"/>
    <cellStyle name="Total 12 3 3 2 2" xfId="36768"/>
    <cellStyle name="Total 12 3 3 3" xfId="36769"/>
    <cellStyle name="Total 12 3 3 3 2" xfId="36770"/>
    <cellStyle name="Total 12 3 3 4" xfId="36771"/>
    <cellStyle name="Total 12 3 3 5" xfId="36772"/>
    <cellStyle name="Total 12 3 3 6" xfId="36773"/>
    <cellStyle name="Total 12 3 4" xfId="36774"/>
    <cellStyle name="Total 12 3 4 2" xfId="36775"/>
    <cellStyle name="Total 12 3 5" xfId="36776"/>
    <cellStyle name="Total 12 3 6" xfId="36777"/>
    <cellStyle name="Total 12 3 7" xfId="36778"/>
    <cellStyle name="Total 12 3 8" xfId="36779"/>
    <cellStyle name="Total 12 3 9" xfId="36753"/>
    <cellStyle name="Total 12 4" xfId="7395"/>
    <cellStyle name="Total 12 4 10" xfId="36780"/>
    <cellStyle name="Total 12 4 2" xfId="36781"/>
    <cellStyle name="Total 12 4 2 2" xfId="36782"/>
    <cellStyle name="Total 12 4 2 3" xfId="36783"/>
    <cellStyle name="Total 12 4 3" xfId="36784"/>
    <cellStyle name="Total 12 4 3 2" xfId="36785"/>
    <cellStyle name="Total 12 4 4" xfId="36786"/>
    <cellStyle name="Total 12 4 4 2" xfId="36787"/>
    <cellStyle name="Total 12 4 5" xfId="36788"/>
    <cellStyle name="Total 12 4 6" xfId="36789"/>
    <cellStyle name="Total 12 4 7" xfId="36790"/>
    <cellStyle name="Total 12 4 8" xfId="36791"/>
    <cellStyle name="Total 12 4 9" xfId="36792"/>
    <cellStyle name="Total 12 5" xfId="7396"/>
    <cellStyle name="Total 12 5 10" xfId="36793"/>
    <cellStyle name="Total 12 5 2" xfId="7397"/>
    <cellStyle name="Total 12 5 2 2" xfId="36795"/>
    <cellStyle name="Total 12 5 2 3" xfId="36796"/>
    <cellStyle name="Total 12 5 2 4" xfId="36794"/>
    <cellStyle name="Total 12 5 3" xfId="36797"/>
    <cellStyle name="Total 12 5 3 2" xfId="36798"/>
    <cellStyle name="Total 12 5 4" xfId="36799"/>
    <cellStyle name="Total 12 5 4 2" xfId="36800"/>
    <cellStyle name="Total 12 5 5" xfId="36801"/>
    <cellStyle name="Total 12 5 6" xfId="36802"/>
    <cellStyle name="Total 12 5 7" xfId="36803"/>
    <cellStyle name="Total 12 5 8" xfId="36804"/>
    <cellStyle name="Total 12 5 9" xfId="36805"/>
    <cellStyle name="Total 12 6" xfId="7398"/>
    <cellStyle name="Total 12 6 2" xfId="7399"/>
    <cellStyle name="Total 12 6 2 2" xfId="36808"/>
    <cellStyle name="Total 12 6 2 3" xfId="36807"/>
    <cellStyle name="Total 12 6 3" xfId="36809"/>
    <cellStyle name="Total 12 6 3 2" xfId="36810"/>
    <cellStyle name="Total 12 6 4" xfId="36811"/>
    <cellStyle name="Total 12 6 5" xfId="36812"/>
    <cellStyle name="Total 12 6 6" xfId="36813"/>
    <cellStyle name="Total 12 6 7" xfId="36806"/>
    <cellStyle name="Total 12 7" xfId="7400"/>
    <cellStyle name="Total 12 7 2" xfId="36815"/>
    <cellStyle name="Total 12 7 3" xfId="36814"/>
    <cellStyle name="Total 12 8" xfId="7401"/>
    <cellStyle name="Total 12 8 2" xfId="36816"/>
    <cellStyle name="Total 12 9" xfId="8445"/>
    <cellStyle name="Total 13" xfId="2895"/>
    <cellStyle name="Total 13 10" xfId="36817"/>
    <cellStyle name="Total 13 11" xfId="36818"/>
    <cellStyle name="Total 13 2" xfId="7402"/>
    <cellStyle name="Total 13 2 2" xfId="7403"/>
    <cellStyle name="Total 13 2 2 10" xfId="36820"/>
    <cellStyle name="Total 13 2 2 2" xfId="36821"/>
    <cellStyle name="Total 13 2 2 2 2" xfId="36822"/>
    <cellStyle name="Total 13 2 2 2 3" xfId="36823"/>
    <cellStyle name="Total 13 2 2 3" xfId="36824"/>
    <cellStyle name="Total 13 2 2 3 2" xfId="36825"/>
    <cellStyle name="Total 13 2 2 4" xfId="36826"/>
    <cellStyle name="Total 13 2 2 4 2" xfId="36827"/>
    <cellStyle name="Total 13 2 2 5" xfId="36828"/>
    <cellStyle name="Total 13 2 2 6" xfId="36829"/>
    <cellStyle name="Total 13 2 2 7" xfId="36830"/>
    <cellStyle name="Total 13 2 2 8" xfId="36831"/>
    <cellStyle name="Total 13 2 2 9" xfId="36832"/>
    <cellStyle name="Total 13 2 3" xfId="7404"/>
    <cellStyle name="Total 13 2 3 2" xfId="36834"/>
    <cellStyle name="Total 13 2 3 2 2" xfId="36835"/>
    <cellStyle name="Total 13 2 3 2 3" xfId="36836"/>
    <cellStyle name="Total 13 2 3 3" xfId="36837"/>
    <cellStyle name="Total 13 2 3 3 2" xfId="36838"/>
    <cellStyle name="Total 13 2 3 4" xfId="36839"/>
    <cellStyle name="Total 13 2 3 5" xfId="36840"/>
    <cellStyle name="Total 13 2 3 6" xfId="36841"/>
    <cellStyle name="Total 13 2 3 7" xfId="36833"/>
    <cellStyle name="Total 13 2 4" xfId="7405"/>
    <cellStyle name="Total 13 2 4 2" xfId="7406"/>
    <cellStyle name="Total 13 2 4 2 2" xfId="36843"/>
    <cellStyle name="Total 13 2 4 3" xfId="36844"/>
    <cellStyle name="Total 13 2 4 4" xfId="36842"/>
    <cellStyle name="Total 13 2 5" xfId="7407"/>
    <cellStyle name="Total 13 2 5 2" xfId="7408"/>
    <cellStyle name="Total 13 2 5 3" xfId="36845"/>
    <cellStyle name="Total 13 2 6" xfId="7409"/>
    <cellStyle name="Total 13 2 6 2" xfId="36846"/>
    <cellStyle name="Total 13 2 7" xfId="7410"/>
    <cellStyle name="Total 13 2 7 2" xfId="36847"/>
    <cellStyle name="Total 13 2 8" xfId="36848"/>
    <cellStyle name="Total 13 2 9" xfId="36819"/>
    <cellStyle name="Total 13 3" xfId="7411"/>
    <cellStyle name="Total 13 3 2" xfId="36850"/>
    <cellStyle name="Total 13 3 2 2" xfId="36851"/>
    <cellStyle name="Total 13 3 2 2 2" xfId="36852"/>
    <cellStyle name="Total 13 3 2 3" xfId="36853"/>
    <cellStyle name="Total 13 3 2 3 2" xfId="36854"/>
    <cellStyle name="Total 13 3 2 4" xfId="36855"/>
    <cellStyle name="Total 13 3 2 4 2" xfId="36856"/>
    <cellStyle name="Total 13 3 2 5" xfId="36857"/>
    <cellStyle name="Total 13 3 2 6" xfId="36858"/>
    <cellStyle name="Total 13 3 2 7" xfId="36859"/>
    <cellStyle name="Total 13 3 2 8" xfId="36860"/>
    <cellStyle name="Total 13 3 2 9" xfId="36861"/>
    <cellStyle name="Total 13 3 3" xfId="36862"/>
    <cellStyle name="Total 13 3 3 2" xfId="36863"/>
    <cellStyle name="Total 13 3 3 2 2" xfId="36864"/>
    <cellStyle name="Total 13 3 3 3" xfId="36865"/>
    <cellStyle name="Total 13 3 3 3 2" xfId="36866"/>
    <cellStyle name="Total 13 3 3 4" xfId="36867"/>
    <cellStyle name="Total 13 3 3 5" xfId="36868"/>
    <cellStyle name="Total 13 3 3 6" xfId="36869"/>
    <cellStyle name="Total 13 3 4" xfId="36870"/>
    <cellStyle name="Total 13 3 4 2" xfId="36871"/>
    <cellStyle name="Total 13 3 5" xfId="36872"/>
    <cellStyle name="Total 13 3 6" xfId="36873"/>
    <cellStyle name="Total 13 3 7" xfId="36874"/>
    <cellStyle name="Total 13 3 8" xfId="36875"/>
    <cellStyle name="Total 13 3 9" xfId="36849"/>
    <cellStyle name="Total 13 4" xfId="7412"/>
    <cellStyle name="Total 13 4 10" xfId="36876"/>
    <cellStyle name="Total 13 4 2" xfId="36877"/>
    <cellStyle name="Total 13 4 2 2" xfId="36878"/>
    <cellStyle name="Total 13 4 2 3" xfId="36879"/>
    <cellStyle name="Total 13 4 3" xfId="36880"/>
    <cellStyle name="Total 13 4 3 2" xfId="36881"/>
    <cellStyle name="Total 13 4 4" xfId="36882"/>
    <cellStyle name="Total 13 4 4 2" xfId="36883"/>
    <cellStyle name="Total 13 4 5" xfId="36884"/>
    <cellStyle name="Total 13 4 6" xfId="36885"/>
    <cellStyle name="Total 13 4 7" xfId="36886"/>
    <cellStyle name="Total 13 4 8" xfId="36887"/>
    <cellStyle name="Total 13 4 9" xfId="36888"/>
    <cellStyle name="Total 13 5" xfId="7413"/>
    <cellStyle name="Total 13 5 10" xfId="36889"/>
    <cellStyle name="Total 13 5 2" xfId="7414"/>
    <cellStyle name="Total 13 5 2 2" xfId="36891"/>
    <cellStyle name="Total 13 5 2 3" xfId="36892"/>
    <cellStyle name="Total 13 5 2 4" xfId="36890"/>
    <cellStyle name="Total 13 5 3" xfId="36893"/>
    <cellStyle name="Total 13 5 3 2" xfId="36894"/>
    <cellStyle name="Total 13 5 4" xfId="36895"/>
    <cellStyle name="Total 13 5 4 2" xfId="36896"/>
    <cellStyle name="Total 13 5 5" xfId="36897"/>
    <cellStyle name="Total 13 5 6" xfId="36898"/>
    <cellStyle name="Total 13 5 7" xfId="36899"/>
    <cellStyle name="Total 13 5 8" xfId="36900"/>
    <cellStyle name="Total 13 5 9" xfId="36901"/>
    <cellStyle name="Total 13 6" xfId="7415"/>
    <cellStyle name="Total 13 6 2" xfId="7416"/>
    <cellStyle name="Total 13 6 2 2" xfId="36904"/>
    <cellStyle name="Total 13 6 2 3" xfId="36903"/>
    <cellStyle name="Total 13 6 3" xfId="36905"/>
    <cellStyle name="Total 13 6 3 2" xfId="36906"/>
    <cellStyle name="Total 13 6 4" xfId="36907"/>
    <cellStyle name="Total 13 6 5" xfId="36908"/>
    <cellStyle name="Total 13 6 6" xfId="36909"/>
    <cellStyle name="Total 13 6 7" xfId="36902"/>
    <cellStyle name="Total 13 7" xfId="7417"/>
    <cellStyle name="Total 13 7 2" xfId="36911"/>
    <cellStyle name="Total 13 7 3" xfId="36910"/>
    <cellStyle name="Total 13 8" xfId="7418"/>
    <cellStyle name="Total 13 8 2" xfId="36912"/>
    <cellStyle name="Total 13 9" xfId="8446"/>
    <cellStyle name="Total 14" xfId="2896"/>
    <cellStyle name="Total 14 10" xfId="36913"/>
    <cellStyle name="Total 14 11" xfId="36914"/>
    <cellStyle name="Total 14 2" xfId="7419"/>
    <cellStyle name="Total 14 2 2" xfId="7420"/>
    <cellStyle name="Total 14 2 2 10" xfId="36916"/>
    <cellStyle name="Total 14 2 2 2" xfId="36917"/>
    <cellStyle name="Total 14 2 2 2 2" xfId="36918"/>
    <cellStyle name="Total 14 2 2 2 3" xfId="36919"/>
    <cellStyle name="Total 14 2 2 3" xfId="36920"/>
    <cellStyle name="Total 14 2 2 3 2" xfId="36921"/>
    <cellStyle name="Total 14 2 2 4" xfId="36922"/>
    <cellStyle name="Total 14 2 2 4 2" xfId="36923"/>
    <cellStyle name="Total 14 2 2 5" xfId="36924"/>
    <cellStyle name="Total 14 2 2 6" xfId="36925"/>
    <cellStyle name="Total 14 2 2 7" xfId="36926"/>
    <cellStyle name="Total 14 2 2 8" xfId="36927"/>
    <cellStyle name="Total 14 2 2 9" xfId="36928"/>
    <cellStyle name="Total 14 2 3" xfId="7421"/>
    <cellStyle name="Total 14 2 3 2" xfId="36930"/>
    <cellStyle name="Total 14 2 3 2 2" xfId="36931"/>
    <cellStyle name="Total 14 2 3 2 3" xfId="36932"/>
    <cellStyle name="Total 14 2 3 3" xfId="36933"/>
    <cellStyle name="Total 14 2 3 3 2" xfId="36934"/>
    <cellStyle name="Total 14 2 3 4" xfId="36935"/>
    <cellStyle name="Total 14 2 3 5" xfId="36936"/>
    <cellStyle name="Total 14 2 3 6" xfId="36937"/>
    <cellStyle name="Total 14 2 3 7" xfId="36929"/>
    <cellStyle name="Total 14 2 4" xfId="7422"/>
    <cellStyle name="Total 14 2 4 2" xfId="7423"/>
    <cellStyle name="Total 14 2 4 2 2" xfId="36939"/>
    <cellStyle name="Total 14 2 4 3" xfId="36940"/>
    <cellStyle name="Total 14 2 4 4" xfId="36938"/>
    <cellStyle name="Total 14 2 5" xfId="7424"/>
    <cellStyle name="Total 14 2 5 2" xfId="7425"/>
    <cellStyle name="Total 14 2 5 3" xfId="36941"/>
    <cellStyle name="Total 14 2 6" xfId="7426"/>
    <cellStyle name="Total 14 2 6 2" xfId="36942"/>
    <cellStyle name="Total 14 2 7" xfId="7427"/>
    <cellStyle name="Total 14 2 7 2" xfId="36943"/>
    <cellStyle name="Total 14 2 8" xfId="36944"/>
    <cellStyle name="Total 14 2 9" xfId="36915"/>
    <cellStyle name="Total 14 3" xfId="7428"/>
    <cellStyle name="Total 14 3 2" xfId="36946"/>
    <cellStyle name="Total 14 3 2 2" xfId="36947"/>
    <cellStyle name="Total 14 3 2 2 2" xfId="36948"/>
    <cellStyle name="Total 14 3 2 3" xfId="36949"/>
    <cellStyle name="Total 14 3 2 3 2" xfId="36950"/>
    <cellStyle name="Total 14 3 2 4" xfId="36951"/>
    <cellStyle name="Total 14 3 2 4 2" xfId="36952"/>
    <cellStyle name="Total 14 3 2 5" xfId="36953"/>
    <cellStyle name="Total 14 3 2 6" xfId="36954"/>
    <cellStyle name="Total 14 3 2 7" xfId="36955"/>
    <cellStyle name="Total 14 3 2 8" xfId="36956"/>
    <cellStyle name="Total 14 3 2 9" xfId="36957"/>
    <cellStyle name="Total 14 3 3" xfId="36958"/>
    <cellStyle name="Total 14 3 3 2" xfId="36959"/>
    <cellStyle name="Total 14 3 3 2 2" xfId="36960"/>
    <cellStyle name="Total 14 3 3 3" xfId="36961"/>
    <cellStyle name="Total 14 3 3 3 2" xfId="36962"/>
    <cellStyle name="Total 14 3 3 4" xfId="36963"/>
    <cellStyle name="Total 14 3 3 5" xfId="36964"/>
    <cellStyle name="Total 14 3 3 6" xfId="36965"/>
    <cellStyle name="Total 14 3 4" xfId="36966"/>
    <cellStyle name="Total 14 3 4 2" xfId="36967"/>
    <cellStyle name="Total 14 3 5" xfId="36968"/>
    <cellStyle name="Total 14 3 6" xfId="36969"/>
    <cellStyle name="Total 14 3 7" xfId="36970"/>
    <cellStyle name="Total 14 3 8" xfId="36971"/>
    <cellStyle name="Total 14 3 9" xfId="36945"/>
    <cellStyle name="Total 14 4" xfId="7429"/>
    <cellStyle name="Total 14 4 10" xfId="36972"/>
    <cellStyle name="Total 14 4 2" xfId="36973"/>
    <cellStyle name="Total 14 4 2 2" xfId="36974"/>
    <cellStyle name="Total 14 4 2 3" xfId="36975"/>
    <cellStyle name="Total 14 4 3" xfId="36976"/>
    <cellStyle name="Total 14 4 3 2" xfId="36977"/>
    <cellStyle name="Total 14 4 4" xfId="36978"/>
    <cellStyle name="Total 14 4 4 2" xfId="36979"/>
    <cellStyle name="Total 14 4 5" xfId="36980"/>
    <cellStyle name="Total 14 4 6" xfId="36981"/>
    <cellStyle name="Total 14 4 7" xfId="36982"/>
    <cellStyle name="Total 14 4 8" xfId="36983"/>
    <cellStyle name="Total 14 4 9" xfId="36984"/>
    <cellStyle name="Total 14 5" xfId="7430"/>
    <cellStyle name="Total 14 5 10" xfId="36985"/>
    <cellStyle name="Total 14 5 2" xfId="7431"/>
    <cellStyle name="Total 14 5 2 2" xfId="36987"/>
    <cellStyle name="Total 14 5 2 3" xfId="36988"/>
    <cellStyle name="Total 14 5 2 4" xfId="36986"/>
    <cellStyle name="Total 14 5 3" xfId="36989"/>
    <cellStyle name="Total 14 5 3 2" xfId="36990"/>
    <cellStyle name="Total 14 5 4" xfId="36991"/>
    <cellStyle name="Total 14 5 4 2" xfId="36992"/>
    <cellStyle name="Total 14 5 5" xfId="36993"/>
    <cellStyle name="Total 14 5 6" xfId="36994"/>
    <cellStyle name="Total 14 5 7" xfId="36995"/>
    <cellStyle name="Total 14 5 8" xfId="36996"/>
    <cellStyle name="Total 14 5 9" xfId="36997"/>
    <cellStyle name="Total 14 6" xfId="7432"/>
    <cellStyle name="Total 14 6 2" xfId="7433"/>
    <cellStyle name="Total 14 6 2 2" xfId="37000"/>
    <cellStyle name="Total 14 6 2 3" xfId="36999"/>
    <cellStyle name="Total 14 6 3" xfId="37001"/>
    <cellStyle name="Total 14 6 3 2" xfId="37002"/>
    <cellStyle name="Total 14 6 4" xfId="37003"/>
    <cellStyle name="Total 14 6 5" xfId="37004"/>
    <cellStyle name="Total 14 6 6" xfId="37005"/>
    <cellStyle name="Total 14 6 7" xfId="36998"/>
    <cellStyle name="Total 14 7" xfId="7434"/>
    <cellStyle name="Total 14 7 2" xfId="37007"/>
    <cellStyle name="Total 14 7 3" xfId="37006"/>
    <cellStyle name="Total 14 8" xfId="7435"/>
    <cellStyle name="Total 14 8 2" xfId="37008"/>
    <cellStyle name="Total 14 9" xfId="8447"/>
    <cellStyle name="Total 15" xfId="2897"/>
    <cellStyle name="Total 15 10" xfId="37009"/>
    <cellStyle name="Total 15 11" xfId="37010"/>
    <cellStyle name="Total 15 2" xfId="7436"/>
    <cellStyle name="Total 15 2 2" xfId="7437"/>
    <cellStyle name="Total 15 2 2 10" xfId="37012"/>
    <cellStyle name="Total 15 2 2 2" xfId="37013"/>
    <cellStyle name="Total 15 2 2 2 2" xfId="37014"/>
    <cellStyle name="Total 15 2 2 2 3" xfId="37015"/>
    <cellStyle name="Total 15 2 2 3" xfId="37016"/>
    <cellStyle name="Total 15 2 2 3 2" xfId="37017"/>
    <cellStyle name="Total 15 2 2 4" xfId="37018"/>
    <cellStyle name="Total 15 2 2 4 2" xfId="37019"/>
    <cellStyle name="Total 15 2 2 5" xfId="37020"/>
    <cellStyle name="Total 15 2 2 6" xfId="37021"/>
    <cellStyle name="Total 15 2 2 7" xfId="37022"/>
    <cellStyle name="Total 15 2 2 8" xfId="37023"/>
    <cellStyle name="Total 15 2 2 9" xfId="37024"/>
    <cellStyle name="Total 15 2 3" xfId="7438"/>
    <cellStyle name="Total 15 2 3 2" xfId="37026"/>
    <cellStyle name="Total 15 2 3 2 2" xfId="37027"/>
    <cellStyle name="Total 15 2 3 2 3" xfId="37028"/>
    <cellStyle name="Total 15 2 3 3" xfId="37029"/>
    <cellStyle name="Total 15 2 3 3 2" xfId="37030"/>
    <cellStyle name="Total 15 2 3 4" xfId="37031"/>
    <cellStyle name="Total 15 2 3 5" xfId="37032"/>
    <cellStyle name="Total 15 2 3 6" xfId="37033"/>
    <cellStyle name="Total 15 2 3 7" xfId="37025"/>
    <cellStyle name="Total 15 2 4" xfId="7439"/>
    <cellStyle name="Total 15 2 4 2" xfId="7440"/>
    <cellStyle name="Total 15 2 4 2 2" xfId="37035"/>
    <cellStyle name="Total 15 2 4 3" xfId="37036"/>
    <cellStyle name="Total 15 2 4 4" xfId="37034"/>
    <cellStyle name="Total 15 2 5" xfId="7441"/>
    <cellStyle name="Total 15 2 5 2" xfId="7442"/>
    <cellStyle name="Total 15 2 5 3" xfId="37037"/>
    <cellStyle name="Total 15 2 6" xfId="7443"/>
    <cellStyle name="Total 15 2 6 2" xfId="37038"/>
    <cellStyle name="Total 15 2 7" xfId="7444"/>
    <cellStyle name="Total 15 2 7 2" xfId="37039"/>
    <cellStyle name="Total 15 2 8" xfId="37040"/>
    <cellStyle name="Total 15 2 9" xfId="37011"/>
    <cellStyle name="Total 15 3" xfId="7445"/>
    <cellStyle name="Total 15 3 2" xfId="37042"/>
    <cellStyle name="Total 15 3 2 2" xfId="37043"/>
    <cellStyle name="Total 15 3 2 2 2" xfId="37044"/>
    <cellStyle name="Total 15 3 2 3" xfId="37045"/>
    <cellStyle name="Total 15 3 2 3 2" xfId="37046"/>
    <cellStyle name="Total 15 3 2 4" xfId="37047"/>
    <cellStyle name="Total 15 3 2 4 2" xfId="37048"/>
    <cellStyle name="Total 15 3 2 5" xfId="37049"/>
    <cellStyle name="Total 15 3 2 6" xfId="37050"/>
    <cellStyle name="Total 15 3 2 7" xfId="37051"/>
    <cellStyle name="Total 15 3 2 8" xfId="37052"/>
    <cellStyle name="Total 15 3 2 9" xfId="37053"/>
    <cellStyle name="Total 15 3 3" xfId="37054"/>
    <cellStyle name="Total 15 3 3 2" xfId="37055"/>
    <cellStyle name="Total 15 3 3 2 2" xfId="37056"/>
    <cellStyle name="Total 15 3 3 3" xfId="37057"/>
    <cellStyle name="Total 15 3 3 3 2" xfId="37058"/>
    <cellStyle name="Total 15 3 3 4" xfId="37059"/>
    <cellStyle name="Total 15 3 3 5" xfId="37060"/>
    <cellStyle name="Total 15 3 3 6" xfId="37061"/>
    <cellStyle name="Total 15 3 4" xfId="37062"/>
    <cellStyle name="Total 15 3 4 2" xfId="37063"/>
    <cellStyle name="Total 15 3 5" xfId="37064"/>
    <cellStyle name="Total 15 3 6" xfId="37065"/>
    <cellStyle name="Total 15 3 7" xfId="37066"/>
    <cellStyle name="Total 15 3 8" xfId="37067"/>
    <cellStyle name="Total 15 3 9" xfId="37041"/>
    <cellStyle name="Total 15 4" xfId="7446"/>
    <cellStyle name="Total 15 4 10" xfId="37068"/>
    <cellStyle name="Total 15 4 2" xfId="37069"/>
    <cellStyle name="Total 15 4 2 2" xfId="37070"/>
    <cellStyle name="Total 15 4 2 3" xfId="37071"/>
    <cellStyle name="Total 15 4 3" xfId="37072"/>
    <cellStyle name="Total 15 4 3 2" xfId="37073"/>
    <cellStyle name="Total 15 4 4" xfId="37074"/>
    <cellStyle name="Total 15 4 4 2" xfId="37075"/>
    <cellStyle name="Total 15 4 5" xfId="37076"/>
    <cellStyle name="Total 15 4 6" xfId="37077"/>
    <cellStyle name="Total 15 4 7" xfId="37078"/>
    <cellStyle name="Total 15 4 8" xfId="37079"/>
    <cellStyle name="Total 15 4 9" xfId="37080"/>
    <cellStyle name="Total 15 5" xfId="7447"/>
    <cellStyle name="Total 15 5 10" xfId="37081"/>
    <cellStyle name="Total 15 5 2" xfId="7448"/>
    <cellStyle name="Total 15 5 2 2" xfId="37083"/>
    <cellStyle name="Total 15 5 2 3" xfId="37084"/>
    <cellStyle name="Total 15 5 2 4" xfId="37082"/>
    <cellStyle name="Total 15 5 3" xfId="37085"/>
    <cellStyle name="Total 15 5 3 2" xfId="37086"/>
    <cellStyle name="Total 15 5 4" xfId="37087"/>
    <cellStyle name="Total 15 5 4 2" xfId="37088"/>
    <cellStyle name="Total 15 5 5" xfId="37089"/>
    <cellStyle name="Total 15 5 6" xfId="37090"/>
    <cellStyle name="Total 15 5 7" xfId="37091"/>
    <cellStyle name="Total 15 5 8" xfId="37092"/>
    <cellStyle name="Total 15 5 9" xfId="37093"/>
    <cellStyle name="Total 15 6" xfId="7449"/>
    <cellStyle name="Total 15 6 2" xfId="7450"/>
    <cellStyle name="Total 15 6 2 2" xfId="37096"/>
    <cellStyle name="Total 15 6 2 3" xfId="37095"/>
    <cellStyle name="Total 15 6 3" xfId="37097"/>
    <cellStyle name="Total 15 6 3 2" xfId="37098"/>
    <cellStyle name="Total 15 6 4" xfId="37099"/>
    <cellStyle name="Total 15 6 5" xfId="37100"/>
    <cellStyle name="Total 15 6 6" xfId="37101"/>
    <cellStyle name="Total 15 6 7" xfId="37094"/>
    <cellStyle name="Total 15 7" xfId="7451"/>
    <cellStyle name="Total 15 7 2" xfId="37103"/>
    <cellStyle name="Total 15 7 3" xfId="37102"/>
    <cellStyle name="Total 15 8" xfId="7452"/>
    <cellStyle name="Total 15 8 2" xfId="37104"/>
    <cellStyle name="Total 15 9" xfId="8448"/>
    <cellStyle name="Total 16" xfId="2898"/>
    <cellStyle name="Total 16 10" xfId="37105"/>
    <cellStyle name="Total 16 11" xfId="37106"/>
    <cellStyle name="Total 16 2" xfId="7453"/>
    <cellStyle name="Total 16 2 2" xfId="7454"/>
    <cellStyle name="Total 16 2 2 10" xfId="37108"/>
    <cellStyle name="Total 16 2 2 2" xfId="37109"/>
    <cellStyle name="Total 16 2 2 2 2" xfId="37110"/>
    <cellStyle name="Total 16 2 2 2 3" xfId="37111"/>
    <cellStyle name="Total 16 2 2 3" xfId="37112"/>
    <cellStyle name="Total 16 2 2 3 2" xfId="37113"/>
    <cellStyle name="Total 16 2 2 4" xfId="37114"/>
    <cellStyle name="Total 16 2 2 4 2" xfId="37115"/>
    <cellStyle name="Total 16 2 2 5" xfId="37116"/>
    <cellStyle name="Total 16 2 2 6" xfId="37117"/>
    <cellStyle name="Total 16 2 2 7" xfId="37118"/>
    <cellStyle name="Total 16 2 2 8" xfId="37119"/>
    <cellStyle name="Total 16 2 2 9" xfId="37120"/>
    <cellStyle name="Total 16 2 3" xfId="7455"/>
    <cellStyle name="Total 16 2 3 2" xfId="37122"/>
    <cellStyle name="Total 16 2 3 2 2" xfId="37123"/>
    <cellStyle name="Total 16 2 3 2 3" xfId="37124"/>
    <cellStyle name="Total 16 2 3 3" xfId="37125"/>
    <cellStyle name="Total 16 2 3 3 2" xfId="37126"/>
    <cellStyle name="Total 16 2 3 4" xfId="37127"/>
    <cellStyle name="Total 16 2 3 5" xfId="37128"/>
    <cellStyle name="Total 16 2 3 6" xfId="37129"/>
    <cellStyle name="Total 16 2 3 7" xfId="37121"/>
    <cellStyle name="Total 16 2 4" xfId="7456"/>
    <cellStyle name="Total 16 2 4 2" xfId="7457"/>
    <cellStyle name="Total 16 2 4 2 2" xfId="37131"/>
    <cellStyle name="Total 16 2 4 3" xfId="37132"/>
    <cellStyle name="Total 16 2 4 4" xfId="37130"/>
    <cellStyle name="Total 16 2 5" xfId="7458"/>
    <cellStyle name="Total 16 2 5 2" xfId="7459"/>
    <cellStyle name="Total 16 2 5 3" xfId="37133"/>
    <cellStyle name="Total 16 2 6" xfId="7460"/>
    <cellStyle name="Total 16 2 6 2" xfId="37134"/>
    <cellStyle name="Total 16 2 7" xfId="7461"/>
    <cellStyle name="Total 16 2 7 2" xfId="37135"/>
    <cellStyle name="Total 16 2 8" xfId="37136"/>
    <cellStyle name="Total 16 2 9" xfId="37107"/>
    <cellStyle name="Total 16 3" xfId="7462"/>
    <cellStyle name="Total 16 3 2" xfId="37138"/>
    <cellStyle name="Total 16 3 2 2" xfId="37139"/>
    <cellStyle name="Total 16 3 2 2 2" xfId="37140"/>
    <cellStyle name="Total 16 3 2 3" xfId="37141"/>
    <cellStyle name="Total 16 3 2 3 2" xfId="37142"/>
    <cellStyle name="Total 16 3 2 4" xfId="37143"/>
    <cellStyle name="Total 16 3 2 4 2" xfId="37144"/>
    <cellStyle name="Total 16 3 2 5" xfId="37145"/>
    <cellStyle name="Total 16 3 2 6" xfId="37146"/>
    <cellStyle name="Total 16 3 2 7" xfId="37147"/>
    <cellStyle name="Total 16 3 2 8" xfId="37148"/>
    <cellStyle name="Total 16 3 2 9" xfId="37149"/>
    <cellStyle name="Total 16 3 3" xfId="37150"/>
    <cellStyle name="Total 16 3 3 2" xfId="37151"/>
    <cellStyle name="Total 16 3 3 2 2" xfId="37152"/>
    <cellStyle name="Total 16 3 3 3" xfId="37153"/>
    <cellStyle name="Total 16 3 3 3 2" xfId="37154"/>
    <cellStyle name="Total 16 3 3 4" xfId="37155"/>
    <cellStyle name="Total 16 3 3 5" xfId="37156"/>
    <cellStyle name="Total 16 3 3 6" xfId="37157"/>
    <cellStyle name="Total 16 3 4" xfId="37158"/>
    <cellStyle name="Total 16 3 4 2" xfId="37159"/>
    <cellStyle name="Total 16 3 5" xfId="37160"/>
    <cellStyle name="Total 16 3 6" xfId="37161"/>
    <cellStyle name="Total 16 3 7" xfId="37162"/>
    <cellStyle name="Total 16 3 8" xfId="37163"/>
    <cellStyle name="Total 16 3 9" xfId="37137"/>
    <cellStyle name="Total 16 4" xfId="7463"/>
    <cellStyle name="Total 16 4 10" xfId="37164"/>
    <cellStyle name="Total 16 4 2" xfId="37165"/>
    <cellStyle name="Total 16 4 2 2" xfId="37166"/>
    <cellStyle name="Total 16 4 2 3" xfId="37167"/>
    <cellStyle name="Total 16 4 3" xfId="37168"/>
    <cellStyle name="Total 16 4 3 2" xfId="37169"/>
    <cellStyle name="Total 16 4 4" xfId="37170"/>
    <cellStyle name="Total 16 4 4 2" xfId="37171"/>
    <cellStyle name="Total 16 4 5" xfId="37172"/>
    <cellStyle name="Total 16 4 6" xfId="37173"/>
    <cellStyle name="Total 16 4 7" xfId="37174"/>
    <cellStyle name="Total 16 4 8" xfId="37175"/>
    <cellStyle name="Total 16 4 9" xfId="37176"/>
    <cellStyle name="Total 16 5" xfId="7464"/>
    <cellStyle name="Total 16 5 10" xfId="37177"/>
    <cellStyle name="Total 16 5 2" xfId="7465"/>
    <cellStyle name="Total 16 5 2 2" xfId="37179"/>
    <cellStyle name="Total 16 5 2 3" xfId="37180"/>
    <cellStyle name="Total 16 5 2 4" xfId="37178"/>
    <cellStyle name="Total 16 5 3" xfId="37181"/>
    <cellStyle name="Total 16 5 3 2" xfId="37182"/>
    <cellStyle name="Total 16 5 4" xfId="37183"/>
    <cellStyle name="Total 16 5 4 2" xfId="37184"/>
    <cellStyle name="Total 16 5 5" xfId="37185"/>
    <cellStyle name="Total 16 5 6" xfId="37186"/>
    <cellStyle name="Total 16 5 7" xfId="37187"/>
    <cellStyle name="Total 16 5 8" xfId="37188"/>
    <cellStyle name="Total 16 5 9" xfId="37189"/>
    <cellStyle name="Total 16 6" xfId="7466"/>
    <cellStyle name="Total 16 6 2" xfId="7467"/>
    <cellStyle name="Total 16 6 2 2" xfId="37192"/>
    <cellStyle name="Total 16 6 2 3" xfId="37191"/>
    <cellStyle name="Total 16 6 3" xfId="37193"/>
    <cellStyle name="Total 16 6 3 2" xfId="37194"/>
    <cellStyle name="Total 16 6 4" xfId="37195"/>
    <cellStyle name="Total 16 6 5" xfId="37196"/>
    <cellStyle name="Total 16 6 6" xfId="37197"/>
    <cellStyle name="Total 16 6 7" xfId="37190"/>
    <cellStyle name="Total 16 7" xfId="7468"/>
    <cellStyle name="Total 16 7 2" xfId="37199"/>
    <cellStyle name="Total 16 7 3" xfId="37198"/>
    <cellStyle name="Total 16 8" xfId="7469"/>
    <cellStyle name="Total 16 8 2" xfId="37200"/>
    <cellStyle name="Total 16 9" xfId="8449"/>
    <cellStyle name="Total 17" xfId="2899"/>
    <cellStyle name="Total 17 10" xfId="37201"/>
    <cellStyle name="Total 17 11" xfId="37202"/>
    <cellStyle name="Total 17 2" xfId="7470"/>
    <cellStyle name="Total 17 2 2" xfId="7471"/>
    <cellStyle name="Total 17 2 2 10" xfId="37204"/>
    <cellStyle name="Total 17 2 2 2" xfId="37205"/>
    <cellStyle name="Total 17 2 2 2 2" xfId="37206"/>
    <cellStyle name="Total 17 2 2 2 3" xfId="37207"/>
    <cellStyle name="Total 17 2 2 3" xfId="37208"/>
    <cellStyle name="Total 17 2 2 3 2" xfId="37209"/>
    <cellStyle name="Total 17 2 2 4" xfId="37210"/>
    <cellStyle name="Total 17 2 2 4 2" xfId="37211"/>
    <cellStyle name="Total 17 2 2 5" xfId="37212"/>
    <cellStyle name="Total 17 2 2 6" xfId="37213"/>
    <cellStyle name="Total 17 2 2 7" xfId="37214"/>
    <cellStyle name="Total 17 2 2 8" xfId="37215"/>
    <cellStyle name="Total 17 2 2 9" xfId="37216"/>
    <cellStyle name="Total 17 2 3" xfId="7472"/>
    <cellStyle name="Total 17 2 3 2" xfId="37218"/>
    <cellStyle name="Total 17 2 3 2 2" xfId="37219"/>
    <cellStyle name="Total 17 2 3 2 3" xfId="37220"/>
    <cellStyle name="Total 17 2 3 3" xfId="37221"/>
    <cellStyle name="Total 17 2 3 3 2" xfId="37222"/>
    <cellStyle name="Total 17 2 3 4" xfId="37223"/>
    <cellStyle name="Total 17 2 3 5" xfId="37224"/>
    <cellStyle name="Total 17 2 3 6" xfId="37225"/>
    <cellStyle name="Total 17 2 3 7" xfId="37217"/>
    <cellStyle name="Total 17 2 4" xfId="7473"/>
    <cellStyle name="Total 17 2 4 2" xfId="7474"/>
    <cellStyle name="Total 17 2 4 2 2" xfId="37227"/>
    <cellStyle name="Total 17 2 4 3" xfId="37228"/>
    <cellStyle name="Total 17 2 4 4" xfId="37226"/>
    <cellStyle name="Total 17 2 5" xfId="7475"/>
    <cellStyle name="Total 17 2 5 2" xfId="7476"/>
    <cellStyle name="Total 17 2 5 3" xfId="37229"/>
    <cellStyle name="Total 17 2 6" xfId="7477"/>
    <cellStyle name="Total 17 2 6 2" xfId="37230"/>
    <cellStyle name="Total 17 2 7" xfId="7478"/>
    <cellStyle name="Total 17 2 7 2" xfId="37231"/>
    <cellStyle name="Total 17 2 8" xfId="37232"/>
    <cellStyle name="Total 17 2 9" xfId="37203"/>
    <cellStyle name="Total 17 3" xfId="7479"/>
    <cellStyle name="Total 17 3 2" xfId="37234"/>
    <cellStyle name="Total 17 3 2 2" xfId="37235"/>
    <cellStyle name="Total 17 3 2 2 2" xfId="37236"/>
    <cellStyle name="Total 17 3 2 3" xfId="37237"/>
    <cellStyle name="Total 17 3 2 3 2" xfId="37238"/>
    <cellStyle name="Total 17 3 2 4" xfId="37239"/>
    <cellStyle name="Total 17 3 2 4 2" xfId="37240"/>
    <cellStyle name="Total 17 3 2 5" xfId="37241"/>
    <cellStyle name="Total 17 3 2 6" xfId="37242"/>
    <cellStyle name="Total 17 3 2 7" xfId="37243"/>
    <cellStyle name="Total 17 3 2 8" xfId="37244"/>
    <cellStyle name="Total 17 3 2 9" xfId="37245"/>
    <cellStyle name="Total 17 3 3" xfId="37246"/>
    <cellStyle name="Total 17 3 3 2" xfId="37247"/>
    <cellStyle name="Total 17 3 3 2 2" xfId="37248"/>
    <cellStyle name="Total 17 3 3 3" xfId="37249"/>
    <cellStyle name="Total 17 3 3 3 2" xfId="37250"/>
    <cellStyle name="Total 17 3 3 4" xfId="37251"/>
    <cellStyle name="Total 17 3 3 5" xfId="37252"/>
    <cellStyle name="Total 17 3 3 6" xfId="37253"/>
    <cellStyle name="Total 17 3 4" xfId="37254"/>
    <cellStyle name="Total 17 3 4 2" xfId="37255"/>
    <cellStyle name="Total 17 3 5" xfId="37256"/>
    <cellStyle name="Total 17 3 6" xfId="37257"/>
    <cellStyle name="Total 17 3 7" xfId="37258"/>
    <cellStyle name="Total 17 3 8" xfId="37259"/>
    <cellStyle name="Total 17 3 9" xfId="37233"/>
    <cellStyle name="Total 17 4" xfId="7480"/>
    <cellStyle name="Total 17 4 10" xfId="37260"/>
    <cellStyle name="Total 17 4 2" xfId="37261"/>
    <cellStyle name="Total 17 4 2 2" xfId="37262"/>
    <cellStyle name="Total 17 4 2 3" xfId="37263"/>
    <cellStyle name="Total 17 4 3" xfId="37264"/>
    <cellStyle name="Total 17 4 3 2" xfId="37265"/>
    <cellStyle name="Total 17 4 4" xfId="37266"/>
    <cellStyle name="Total 17 4 4 2" xfId="37267"/>
    <cellStyle name="Total 17 4 5" xfId="37268"/>
    <cellStyle name="Total 17 4 6" xfId="37269"/>
    <cellStyle name="Total 17 4 7" xfId="37270"/>
    <cellStyle name="Total 17 4 8" xfId="37271"/>
    <cellStyle name="Total 17 4 9" xfId="37272"/>
    <cellStyle name="Total 17 5" xfId="7481"/>
    <cellStyle name="Total 17 5 10" xfId="37273"/>
    <cellStyle name="Total 17 5 2" xfId="7482"/>
    <cellStyle name="Total 17 5 2 2" xfId="37275"/>
    <cellStyle name="Total 17 5 2 3" xfId="37276"/>
    <cellStyle name="Total 17 5 2 4" xfId="37274"/>
    <cellStyle name="Total 17 5 3" xfId="37277"/>
    <cellStyle name="Total 17 5 3 2" xfId="37278"/>
    <cellStyle name="Total 17 5 4" xfId="37279"/>
    <cellStyle name="Total 17 5 4 2" xfId="37280"/>
    <cellStyle name="Total 17 5 5" xfId="37281"/>
    <cellStyle name="Total 17 5 6" xfId="37282"/>
    <cellStyle name="Total 17 5 7" xfId="37283"/>
    <cellStyle name="Total 17 5 8" xfId="37284"/>
    <cellStyle name="Total 17 5 9" xfId="37285"/>
    <cellStyle name="Total 17 6" xfId="7483"/>
    <cellStyle name="Total 17 6 2" xfId="7484"/>
    <cellStyle name="Total 17 6 2 2" xfId="37288"/>
    <cellStyle name="Total 17 6 2 3" xfId="37287"/>
    <cellStyle name="Total 17 6 3" xfId="37289"/>
    <cellStyle name="Total 17 6 3 2" xfId="37290"/>
    <cellStyle name="Total 17 6 4" xfId="37291"/>
    <cellStyle name="Total 17 6 5" xfId="37292"/>
    <cellStyle name="Total 17 6 6" xfId="37293"/>
    <cellStyle name="Total 17 6 7" xfId="37286"/>
    <cellStyle name="Total 17 7" xfId="7485"/>
    <cellStyle name="Total 17 7 2" xfId="37295"/>
    <cellStyle name="Total 17 7 3" xfId="37294"/>
    <cellStyle name="Total 17 8" xfId="7486"/>
    <cellStyle name="Total 17 8 2" xfId="37296"/>
    <cellStyle name="Total 17 9" xfId="8450"/>
    <cellStyle name="Total 18" xfId="2900"/>
    <cellStyle name="Total 18 10" xfId="37297"/>
    <cellStyle name="Total 18 11" xfId="37298"/>
    <cellStyle name="Total 18 2" xfId="7487"/>
    <cellStyle name="Total 18 2 2" xfId="37300"/>
    <cellStyle name="Total 18 2 2 2" xfId="37301"/>
    <cellStyle name="Total 18 2 2 2 2" xfId="37302"/>
    <cellStyle name="Total 18 2 2 2 3" xfId="37303"/>
    <cellStyle name="Total 18 2 2 3" xfId="37304"/>
    <cellStyle name="Total 18 2 2 3 2" xfId="37305"/>
    <cellStyle name="Total 18 2 2 4" xfId="37306"/>
    <cellStyle name="Total 18 2 2 4 2" xfId="37307"/>
    <cellStyle name="Total 18 2 2 5" xfId="37308"/>
    <cellStyle name="Total 18 2 2 6" xfId="37309"/>
    <cellStyle name="Total 18 2 2 7" xfId="37310"/>
    <cellStyle name="Total 18 2 2 8" xfId="37311"/>
    <cellStyle name="Total 18 2 2 9" xfId="37312"/>
    <cellStyle name="Total 18 2 3" xfId="37313"/>
    <cellStyle name="Total 18 2 3 2" xfId="37314"/>
    <cellStyle name="Total 18 2 3 2 2" xfId="37315"/>
    <cellStyle name="Total 18 2 3 2 3" xfId="37316"/>
    <cellStyle name="Total 18 2 3 3" xfId="37317"/>
    <cellStyle name="Total 18 2 3 3 2" xfId="37318"/>
    <cellStyle name="Total 18 2 3 4" xfId="37319"/>
    <cellStyle name="Total 18 2 3 5" xfId="37320"/>
    <cellStyle name="Total 18 2 3 6" xfId="37321"/>
    <cellStyle name="Total 18 2 4" xfId="37322"/>
    <cellStyle name="Total 18 2 4 2" xfId="37323"/>
    <cellStyle name="Total 18 2 4 3" xfId="37324"/>
    <cellStyle name="Total 18 2 5" xfId="37325"/>
    <cellStyle name="Total 18 2 6" xfId="37326"/>
    <cellStyle name="Total 18 2 7" xfId="37327"/>
    <cellStyle name="Total 18 2 8" xfId="37328"/>
    <cellStyle name="Total 18 2 9" xfId="37299"/>
    <cellStyle name="Total 18 3" xfId="7488"/>
    <cellStyle name="Total 18 3 2" xfId="37330"/>
    <cellStyle name="Total 18 3 2 2" xfId="37331"/>
    <cellStyle name="Total 18 3 2 2 2" xfId="37332"/>
    <cellStyle name="Total 18 3 2 3" xfId="37333"/>
    <cellStyle name="Total 18 3 2 3 2" xfId="37334"/>
    <cellStyle name="Total 18 3 2 4" xfId="37335"/>
    <cellStyle name="Total 18 3 2 4 2" xfId="37336"/>
    <cellStyle name="Total 18 3 2 5" xfId="37337"/>
    <cellStyle name="Total 18 3 2 6" xfId="37338"/>
    <cellStyle name="Total 18 3 2 7" xfId="37339"/>
    <cellStyle name="Total 18 3 2 8" xfId="37340"/>
    <cellStyle name="Total 18 3 2 9" xfId="37341"/>
    <cellStyle name="Total 18 3 3" xfId="37342"/>
    <cellStyle name="Total 18 3 3 2" xfId="37343"/>
    <cellStyle name="Total 18 3 3 2 2" xfId="37344"/>
    <cellStyle name="Total 18 3 3 3" xfId="37345"/>
    <cellStyle name="Total 18 3 3 3 2" xfId="37346"/>
    <cellStyle name="Total 18 3 3 4" xfId="37347"/>
    <cellStyle name="Total 18 3 3 5" xfId="37348"/>
    <cellStyle name="Total 18 3 3 6" xfId="37349"/>
    <cellStyle name="Total 18 3 4" xfId="37350"/>
    <cellStyle name="Total 18 3 4 2" xfId="37351"/>
    <cellStyle name="Total 18 3 5" xfId="37352"/>
    <cellStyle name="Total 18 3 6" xfId="37353"/>
    <cellStyle name="Total 18 3 7" xfId="37354"/>
    <cellStyle name="Total 18 3 8" xfId="37355"/>
    <cellStyle name="Total 18 3 9" xfId="37329"/>
    <cellStyle name="Total 18 4" xfId="7489"/>
    <cellStyle name="Total 18 4 10" xfId="37356"/>
    <cellStyle name="Total 18 4 2" xfId="7490"/>
    <cellStyle name="Total 18 4 2 2" xfId="37358"/>
    <cellStyle name="Total 18 4 2 3" xfId="37359"/>
    <cellStyle name="Total 18 4 2 4" xfId="37357"/>
    <cellStyle name="Total 18 4 3" xfId="37360"/>
    <cellStyle name="Total 18 4 3 2" xfId="37361"/>
    <cellStyle name="Total 18 4 4" xfId="37362"/>
    <cellStyle name="Total 18 4 4 2" xfId="37363"/>
    <cellStyle name="Total 18 4 5" xfId="37364"/>
    <cellStyle name="Total 18 4 6" xfId="37365"/>
    <cellStyle name="Total 18 4 7" xfId="37366"/>
    <cellStyle name="Total 18 4 8" xfId="37367"/>
    <cellStyle name="Total 18 4 9" xfId="37368"/>
    <cellStyle name="Total 18 5" xfId="7491"/>
    <cellStyle name="Total 18 5 10" xfId="37369"/>
    <cellStyle name="Total 18 5 2" xfId="7492"/>
    <cellStyle name="Total 18 5 2 2" xfId="37371"/>
    <cellStyle name="Total 18 5 2 3" xfId="37372"/>
    <cellStyle name="Total 18 5 2 4" xfId="37370"/>
    <cellStyle name="Total 18 5 3" xfId="37373"/>
    <cellStyle name="Total 18 5 3 2" xfId="37374"/>
    <cellStyle name="Total 18 5 4" xfId="37375"/>
    <cellStyle name="Total 18 5 4 2" xfId="37376"/>
    <cellStyle name="Total 18 5 5" xfId="37377"/>
    <cellStyle name="Total 18 5 6" xfId="37378"/>
    <cellStyle name="Total 18 5 7" xfId="37379"/>
    <cellStyle name="Total 18 5 8" xfId="37380"/>
    <cellStyle name="Total 18 5 9" xfId="37381"/>
    <cellStyle name="Total 18 6" xfId="7493"/>
    <cellStyle name="Total 18 6 2" xfId="37383"/>
    <cellStyle name="Total 18 6 2 2" xfId="37384"/>
    <cellStyle name="Total 18 6 3" xfId="37385"/>
    <cellStyle name="Total 18 6 3 2" xfId="37386"/>
    <cellStyle name="Total 18 6 4" xfId="37387"/>
    <cellStyle name="Total 18 6 5" xfId="37388"/>
    <cellStyle name="Total 18 6 6" xfId="37389"/>
    <cellStyle name="Total 18 6 7" xfId="37382"/>
    <cellStyle name="Total 18 7" xfId="7494"/>
    <cellStyle name="Total 18 7 2" xfId="37391"/>
    <cellStyle name="Total 18 7 3" xfId="37390"/>
    <cellStyle name="Total 18 8" xfId="8451"/>
    <cellStyle name="Total 18 9" xfId="37392"/>
    <cellStyle name="Total 19" xfId="2901"/>
    <cellStyle name="Total 19 10" xfId="37393"/>
    <cellStyle name="Total 19 11" xfId="37394"/>
    <cellStyle name="Total 19 2" xfId="7495"/>
    <cellStyle name="Total 19 2 2" xfId="37396"/>
    <cellStyle name="Total 19 2 2 2" xfId="37397"/>
    <cellStyle name="Total 19 2 2 2 2" xfId="37398"/>
    <cellStyle name="Total 19 2 2 2 3" xfId="37399"/>
    <cellStyle name="Total 19 2 2 3" xfId="37400"/>
    <cellStyle name="Total 19 2 2 3 2" xfId="37401"/>
    <cellStyle name="Total 19 2 2 4" xfId="37402"/>
    <cellStyle name="Total 19 2 2 4 2" xfId="37403"/>
    <cellStyle name="Total 19 2 2 5" xfId="37404"/>
    <cellStyle name="Total 19 2 2 6" xfId="37405"/>
    <cellStyle name="Total 19 2 2 7" xfId="37406"/>
    <cellStyle name="Total 19 2 2 8" xfId="37407"/>
    <cellStyle name="Total 19 2 2 9" xfId="37408"/>
    <cellStyle name="Total 19 2 3" xfId="37409"/>
    <cellStyle name="Total 19 2 3 2" xfId="37410"/>
    <cellStyle name="Total 19 2 3 2 2" xfId="37411"/>
    <cellStyle name="Total 19 2 3 2 3" xfId="37412"/>
    <cellStyle name="Total 19 2 3 3" xfId="37413"/>
    <cellStyle name="Total 19 2 3 3 2" xfId="37414"/>
    <cellStyle name="Total 19 2 3 4" xfId="37415"/>
    <cellStyle name="Total 19 2 3 5" xfId="37416"/>
    <cellStyle name="Total 19 2 3 6" xfId="37417"/>
    <cellStyle name="Total 19 2 4" xfId="37418"/>
    <cellStyle name="Total 19 2 4 2" xfId="37419"/>
    <cellStyle name="Total 19 2 4 3" xfId="37420"/>
    <cellStyle name="Total 19 2 5" xfId="37421"/>
    <cellStyle name="Total 19 2 6" xfId="37422"/>
    <cellStyle name="Total 19 2 7" xfId="37423"/>
    <cellStyle name="Total 19 2 8" xfId="37424"/>
    <cellStyle name="Total 19 2 9" xfId="37395"/>
    <cellStyle name="Total 19 3" xfId="7496"/>
    <cellStyle name="Total 19 3 2" xfId="37426"/>
    <cellStyle name="Total 19 3 2 2" xfId="37427"/>
    <cellStyle name="Total 19 3 2 2 2" xfId="37428"/>
    <cellStyle name="Total 19 3 2 3" xfId="37429"/>
    <cellStyle name="Total 19 3 2 3 2" xfId="37430"/>
    <cellStyle name="Total 19 3 2 4" xfId="37431"/>
    <cellStyle name="Total 19 3 2 4 2" xfId="37432"/>
    <cellStyle name="Total 19 3 2 5" xfId="37433"/>
    <cellStyle name="Total 19 3 2 6" xfId="37434"/>
    <cellStyle name="Total 19 3 2 7" xfId="37435"/>
    <cellStyle name="Total 19 3 2 8" xfId="37436"/>
    <cellStyle name="Total 19 3 2 9" xfId="37437"/>
    <cellStyle name="Total 19 3 3" xfId="37438"/>
    <cellStyle name="Total 19 3 3 2" xfId="37439"/>
    <cellStyle name="Total 19 3 3 2 2" xfId="37440"/>
    <cellStyle name="Total 19 3 3 3" xfId="37441"/>
    <cellStyle name="Total 19 3 3 3 2" xfId="37442"/>
    <cellStyle name="Total 19 3 3 4" xfId="37443"/>
    <cellStyle name="Total 19 3 3 5" xfId="37444"/>
    <cellStyle name="Total 19 3 3 6" xfId="37445"/>
    <cellStyle name="Total 19 3 4" xfId="37446"/>
    <cellStyle name="Total 19 3 4 2" xfId="37447"/>
    <cellStyle name="Total 19 3 5" xfId="37448"/>
    <cellStyle name="Total 19 3 6" xfId="37449"/>
    <cellStyle name="Total 19 3 7" xfId="37450"/>
    <cellStyle name="Total 19 3 8" xfId="37451"/>
    <cellStyle name="Total 19 3 9" xfId="37425"/>
    <cellStyle name="Total 19 4" xfId="7497"/>
    <cellStyle name="Total 19 4 10" xfId="37452"/>
    <cellStyle name="Total 19 4 2" xfId="7498"/>
    <cellStyle name="Total 19 4 2 2" xfId="37454"/>
    <cellStyle name="Total 19 4 2 3" xfId="37455"/>
    <cellStyle name="Total 19 4 2 4" xfId="37453"/>
    <cellStyle name="Total 19 4 3" xfId="37456"/>
    <cellStyle name="Total 19 4 3 2" xfId="37457"/>
    <cellStyle name="Total 19 4 4" xfId="37458"/>
    <cellStyle name="Total 19 4 4 2" xfId="37459"/>
    <cellStyle name="Total 19 4 5" xfId="37460"/>
    <cellStyle name="Total 19 4 6" xfId="37461"/>
    <cellStyle name="Total 19 4 7" xfId="37462"/>
    <cellStyle name="Total 19 4 8" xfId="37463"/>
    <cellStyle name="Total 19 4 9" xfId="37464"/>
    <cellStyle name="Total 19 5" xfId="7499"/>
    <cellStyle name="Total 19 5 10" xfId="37465"/>
    <cellStyle name="Total 19 5 2" xfId="7500"/>
    <cellStyle name="Total 19 5 2 2" xfId="37467"/>
    <cellStyle name="Total 19 5 2 3" xfId="37468"/>
    <cellStyle name="Total 19 5 2 4" xfId="37466"/>
    <cellStyle name="Total 19 5 3" xfId="37469"/>
    <cellStyle name="Total 19 5 3 2" xfId="37470"/>
    <cellStyle name="Total 19 5 4" xfId="37471"/>
    <cellStyle name="Total 19 5 4 2" xfId="37472"/>
    <cellStyle name="Total 19 5 5" xfId="37473"/>
    <cellStyle name="Total 19 5 6" xfId="37474"/>
    <cellStyle name="Total 19 5 7" xfId="37475"/>
    <cellStyle name="Total 19 5 8" xfId="37476"/>
    <cellStyle name="Total 19 5 9" xfId="37477"/>
    <cellStyle name="Total 19 6" xfId="7501"/>
    <cellStyle name="Total 19 6 2" xfId="37479"/>
    <cellStyle name="Total 19 6 2 2" xfId="37480"/>
    <cellStyle name="Total 19 6 3" xfId="37481"/>
    <cellStyle name="Total 19 6 3 2" xfId="37482"/>
    <cellStyle name="Total 19 6 4" xfId="37483"/>
    <cellStyle name="Total 19 6 5" xfId="37484"/>
    <cellStyle name="Total 19 6 6" xfId="37485"/>
    <cellStyle name="Total 19 6 7" xfId="37478"/>
    <cellStyle name="Total 19 7" xfId="7502"/>
    <cellStyle name="Total 19 7 2" xfId="37487"/>
    <cellStyle name="Total 19 7 3" xfId="37486"/>
    <cellStyle name="Total 19 8" xfId="8452"/>
    <cellStyle name="Total 19 9" xfId="37488"/>
    <cellStyle name="Total 2" xfId="2338"/>
    <cellStyle name="Total 2 10" xfId="37489"/>
    <cellStyle name="Total 2 11" xfId="37490"/>
    <cellStyle name="Total 2 2" xfId="2339"/>
    <cellStyle name="Total 2 2 2" xfId="2340"/>
    <cellStyle name="Total 2 2 2 2" xfId="8278"/>
    <cellStyle name="Total 2 2 2 2 2" xfId="37492"/>
    <cellStyle name="Total 2 2 2 2 2 2" xfId="37493"/>
    <cellStyle name="Total 2 2 2 2 3" xfId="37494"/>
    <cellStyle name="Total 2 2 2 3" xfId="37495"/>
    <cellStyle name="Total 2 2 2 3 2" xfId="37496"/>
    <cellStyle name="Total 2 2 2 3 3" xfId="37497"/>
    <cellStyle name="Total 2 2 2 4" xfId="37498"/>
    <cellStyle name="Total 2 2 2 4 2" xfId="37499"/>
    <cellStyle name="Total 2 2 2 5" xfId="37500"/>
    <cellStyle name="Total 2 2 2 6" xfId="37501"/>
    <cellStyle name="Total 2 2 2 7" xfId="37502"/>
    <cellStyle name="Total 2 2 2 8" xfId="37503"/>
    <cellStyle name="Total 2 2 2 9" xfId="37504"/>
    <cellStyle name="Total 2 2 3" xfId="7503"/>
    <cellStyle name="Total 2 2 3 10" xfId="37505"/>
    <cellStyle name="Total 2 2 3 2" xfId="37506"/>
    <cellStyle name="Total 2 2 3 2 2" xfId="37507"/>
    <cellStyle name="Total 2 2 3 2 3" xfId="37508"/>
    <cellStyle name="Total 2 2 3 3" xfId="37509"/>
    <cellStyle name="Total 2 2 3 3 2" xfId="37510"/>
    <cellStyle name="Total 2 2 3 4" xfId="37511"/>
    <cellStyle name="Total 2 2 3 4 2" xfId="37512"/>
    <cellStyle name="Total 2 2 3 5" xfId="37513"/>
    <cellStyle name="Total 2 2 3 6" xfId="37514"/>
    <cellStyle name="Total 2 2 3 7" xfId="37515"/>
    <cellStyle name="Total 2 2 3 8" xfId="37516"/>
    <cellStyle name="Total 2 2 3 9" xfId="37517"/>
    <cellStyle name="Total 2 2 4" xfId="7504"/>
    <cellStyle name="Total 2 2 4 2" xfId="7505"/>
    <cellStyle name="Total 2 2 4 2 2" xfId="37519"/>
    <cellStyle name="Total 2 2 4 3" xfId="37520"/>
    <cellStyle name="Total 2 2 4 4" xfId="37521"/>
    <cellStyle name="Total 2 2 4 5" xfId="37518"/>
    <cellStyle name="Total 2 2 5" xfId="7506"/>
    <cellStyle name="Total 2 2 5 2" xfId="7507"/>
    <cellStyle name="Total 2 2 5 3" xfId="37522"/>
    <cellStyle name="Total 2 2 6" xfId="7508"/>
    <cellStyle name="Total 2 2 7" xfId="7509"/>
    <cellStyle name="Total 2 2 8" xfId="8277"/>
    <cellStyle name="Total 2 2 9" xfId="37491"/>
    <cellStyle name="Total 2 3" xfId="2341"/>
    <cellStyle name="Total 2 3 2" xfId="2342"/>
    <cellStyle name="Total 2 3 2 2" xfId="8280"/>
    <cellStyle name="Total 2 3 2 2 2" xfId="37523"/>
    <cellStyle name="Total 2 3 2 2 3" xfId="37524"/>
    <cellStyle name="Total 2 3 2 3" xfId="37525"/>
    <cellStyle name="Total 2 3 2 3 2" xfId="37526"/>
    <cellStyle name="Total 2 3 2 4" xfId="37527"/>
    <cellStyle name="Total 2 3 2 4 2" xfId="37528"/>
    <cellStyle name="Total 2 3 2 5" xfId="37529"/>
    <cellStyle name="Total 2 3 2 6" xfId="37530"/>
    <cellStyle name="Total 2 3 2 7" xfId="37531"/>
    <cellStyle name="Total 2 3 2 8" xfId="37532"/>
    <cellStyle name="Total 2 3 2 9" xfId="37533"/>
    <cellStyle name="Total 2 3 3" xfId="8279"/>
    <cellStyle name="Total 2 3 3 2" xfId="37534"/>
    <cellStyle name="Total 2 3 3 2 2" xfId="37535"/>
    <cellStyle name="Total 2 3 3 2 3" xfId="37536"/>
    <cellStyle name="Total 2 3 3 3" xfId="37537"/>
    <cellStyle name="Total 2 3 3 3 2" xfId="37538"/>
    <cellStyle name="Total 2 3 3 4" xfId="37539"/>
    <cellStyle name="Total 2 3 3 5" xfId="37540"/>
    <cellStyle name="Total 2 3 3 6" xfId="37541"/>
    <cellStyle name="Total 2 3 4" xfId="37542"/>
    <cellStyle name="Total 2 3 4 2" xfId="37543"/>
    <cellStyle name="Total 2 3 4 3" xfId="37544"/>
    <cellStyle name="Total 2 3 5" xfId="37545"/>
    <cellStyle name="Total 2 3 6" xfId="37546"/>
    <cellStyle name="Total 2 3 7" xfId="37547"/>
    <cellStyle name="Total 2 3 8" xfId="37548"/>
    <cellStyle name="Total 2 4" xfId="2343"/>
    <cellStyle name="Total 2 4 2" xfId="2344"/>
    <cellStyle name="Total 2 4 2 2" xfId="8282"/>
    <cellStyle name="Total 2 4 2 3" xfId="37549"/>
    <cellStyle name="Total 2 4 3" xfId="8281"/>
    <cellStyle name="Total 2 4 3 2" xfId="37550"/>
    <cellStyle name="Total 2 4 4" xfId="37551"/>
    <cellStyle name="Total 2 4 4 2" xfId="37552"/>
    <cellStyle name="Total 2 4 5" xfId="37553"/>
    <cellStyle name="Total 2 4 6" xfId="37554"/>
    <cellStyle name="Total 2 4 7" xfId="37555"/>
    <cellStyle name="Total 2 4 8" xfId="37556"/>
    <cellStyle name="Total 2 4 9" xfId="37557"/>
    <cellStyle name="Total 2 5" xfId="2345"/>
    <cellStyle name="Total 2 5 2" xfId="7510"/>
    <cellStyle name="Total 2 5 2 2" xfId="37559"/>
    <cellStyle name="Total 2 5 2 3" xfId="37560"/>
    <cellStyle name="Total 2 5 2 4" xfId="37558"/>
    <cellStyle name="Total 2 5 3" xfId="8283"/>
    <cellStyle name="Total 2 5 3 2" xfId="37561"/>
    <cellStyle name="Total 2 5 4" xfId="37562"/>
    <cellStyle name="Total 2 5 4 2" xfId="37563"/>
    <cellStyle name="Total 2 5 5" xfId="37564"/>
    <cellStyle name="Total 2 5 6" xfId="37565"/>
    <cellStyle name="Total 2 5 7" xfId="37566"/>
    <cellStyle name="Total 2 5 8" xfId="37567"/>
    <cellStyle name="Total 2 5 9" xfId="37568"/>
    <cellStyle name="Total 2 6" xfId="7511"/>
    <cellStyle name="Total 2 6 2" xfId="7512"/>
    <cellStyle name="Total 2 6 2 2" xfId="37571"/>
    <cellStyle name="Total 2 6 2 3" xfId="37570"/>
    <cellStyle name="Total 2 6 3" xfId="37572"/>
    <cellStyle name="Total 2 6 3 2" xfId="37573"/>
    <cellStyle name="Total 2 6 4" xfId="37574"/>
    <cellStyle name="Total 2 6 5" xfId="37575"/>
    <cellStyle name="Total 2 6 6" xfId="37576"/>
    <cellStyle name="Total 2 6 7" xfId="37569"/>
    <cellStyle name="Total 2 7" xfId="7513"/>
    <cellStyle name="Total 2 7 2" xfId="37578"/>
    <cellStyle name="Total 2 7 3" xfId="37577"/>
    <cellStyle name="Total 2 8" xfId="7514"/>
    <cellStyle name="Total 2 8 2" xfId="37579"/>
    <cellStyle name="Total 2 9" xfId="8276"/>
    <cellStyle name="Total 20" xfId="2902"/>
    <cellStyle name="Total 20 10" xfId="37580"/>
    <cellStyle name="Total 20 11" xfId="37581"/>
    <cellStyle name="Total 20 2" xfId="7515"/>
    <cellStyle name="Total 20 2 2" xfId="37583"/>
    <cellStyle name="Total 20 2 2 2" xfId="37584"/>
    <cellStyle name="Total 20 2 2 2 2" xfId="37585"/>
    <cellStyle name="Total 20 2 2 2 3" xfId="37586"/>
    <cellStyle name="Total 20 2 2 3" xfId="37587"/>
    <cellStyle name="Total 20 2 2 3 2" xfId="37588"/>
    <cellStyle name="Total 20 2 2 4" xfId="37589"/>
    <cellStyle name="Total 20 2 2 4 2" xfId="37590"/>
    <cellStyle name="Total 20 2 2 5" xfId="37591"/>
    <cellStyle name="Total 20 2 2 6" xfId="37592"/>
    <cellStyle name="Total 20 2 2 7" xfId="37593"/>
    <cellStyle name="Total 20 2 2 8" xfId="37594"/>
    <cellStyle name="Total 20 2 2 9" xfId="37595"/>
    <cellStyle name="Total 20 2 3" xfId="37596"/>
    <cellStyle name="Total 20 2 3 2" xfId="37597"/>
    <cellStyle name="Total 20 2 3 2 2" xfId="37598"/>
    <cellStyle name="Total 20 2 3 2 3" xfId="37599"/>
    <cellStyle name="Total 20 2 3 3" xfId="37600"/>
    <cellStyle name="Total 20 2 3 3 2" xfId="37601"/>
    <cellStyle name="Total 20 2 3 4" xfId="37602"/>
    <cellStyle name="Total 20 2 3 5" xfId="37603"/>
    <cellStyle name="Total 20 2 3 6" xfId="37604"/>
    <cellStyle name="Total 20 2 4" xfId="37605"/>
    <cellStyle name="Total 20 2 4 2" xfId="37606"/>
    <cellStyle name="Total 20 2 4 3" xfId="37607"/>
    <cellStyle name="Total 20 2 5" xfId="37608"/>
    <cellStyle name="Total 20 2 6" xfId="37609"/>
    <cellStyle name="Total 20 2 7" xfId="37610"/>
    <cellStyle name="Total 20 2 8" xfId="37611"/>
    <cellStyle name="Total 20 2 9" xfId="37582"/>
    <cellStyle name="Total 20 3" xfId="7516"/>
    <cellStyle name="Total 20 3 2" xfId="37613"/>
    <cellStyle name="Total 20 3 2 2" xfId="37614"/>
    <cellStyle name="Total 20 3 2 2 2" xfId="37615"/>
    <cellStyle name="Total 20 3 2 3" xfId="37616"/>
    <cellStyle name="Total 20 3 2 3 2" xfId="37617"/>
    <cellStyle name="Total 20 3 2 4" xfId="37618"/>
    <cellStyle name="Total 20 3 2 4 2" xfId="37619"/>
    <cellStyle name="Total 20 3 2 5" xfId="37620"/>
    <cellStyle name="Total 20 3 2 6" xfId="37621"/>
    <cellStyle name="Total 20 3 2 7" xfId="37622"/>
    <cellStyle name="Total 20 3 2 8" xfId="37623"/>
    <cellStyle name="Total 20 3 2 9" xfId="37624"/>
    <cellStyle name="Total 20 3 3" xfId="37625"/>
    <cellStyle name="Total 20 3 3 2" xfId="37626"/>
    <cellStyle name="Total 20 3 3 2 2" xfId="37627"/>
    <cellStyle name="Total 20 3 3 3" xfId="37628"/>
    <cellStyle name="Total 20 3 3 3 2" xfId="37629"/>
    <cellStyle name="Total 20 3 3 4" xfId="37630"/>
    <cellStyle name="Total 20 3 3 5" xfId="37631"/>
    <cellStyle name="Total 20 3 3 6" xfId="37632"/>
    <cellStyle name="Total 20 3 4" xfId="37633"/>
    <cellStyle name="Total 20 3 4 2" xfId="37634"/>
    <cellStyle name="Total 20 3 5" xfId="37635"/>
    <cellStyle name="Total 20 3 6" xfId="37636"/>
    <cellStyle name="Total 20 3 7" xfId="37637"/>
    <cellStyle name="Total 20 3 8" xfId="37638"/>
    <cellStyle name="Total 20 3 9" xfId="37612"/>
    <cellStyle name="Total 20 4" xfId="7517"/>
    <cellStyle name="Total 20 4 10" xfId="37639"/>
    <cellStyle name="Total 20 4 2" xfId="7518"/>
    <cellStyle name="Total 20 4 2 2" xfId="37641"/>
    <cellStyle name="Total 20 4 2 3" xfId="37642"/>
    <cellStyle name="Total 20 4 2 4" xfId="37640"/>
    <cellStyle name="Total 20 4 3" xfId="37643"/>
    <cellStyle name="Total 20 4 3 2" xfId="37644"/>
    <cellStyle name="Total 20 4 4" xfId="37645"/>
    <cellStyle name="Total 20 4 4 2" xfId="37646"/>
    <cellStyle name="Total 20 4 5" xfId="37647"/>
    <cellStyle name="Total 20 4 6" xfId="37648"/>
    <cellStyle name="Total 20 4 7" xfId="37649"/>
    <cellStyle name="Total 20 4 8" xfId="37650"/>
    <cellStyle name="Total 20 4 9" xfId="37651"/>
    <cellStyle name="Total 20 5" xfId="7519"/>
    <cellStyle name="Total 20 5 10" xfId="37652"/>
    <cellStyle name="Total 20 5 2" xfId="7520"/>
    <cellStyle name="Total 20 5 2 2" xfId="37654"/>
    <cellStyle name="Total 20 5 2 3" xfId="37655"/>
    <cellStyle name="Total 20 5 2 4" xfId="37653"/>
    <cellStyle name="Total 20 5 3" xfId="37656"/>
    <cellStyle name="Total 20 5 3 2" xfId="37657"/>
    <cellStyle name="Total 20 5 4" xfId="37658"/>
    <cellStyle name="Total 20 5 4 2" xfId="37659"/>
    <cellStyle name="Total 20 5 5" xfId="37660"/>
    <cellStyle name="Total 20 5 6" xfId="37661"/>
    <cellStyle name="Total 20 5 7" xfId="37662"/>
    <cellStyle name="Total 20 5 8" xfId="37663"/>
    <cellStyle name="Total 20 5 9" xfId="37664"/>
    <cellStyle name="Total 20 6" xfId="7521"/>
    <cellStyle name="Total 20 6 2" xfId="37666"/>
    <cellStyle name="Total 20 6 2 2" xfId="37667"/>
    <cellStyle name="Total 20 6 3" xfId="37668"/>
    <cellStyle name="Total 20 6 3 2" xfId="37669"/>
    <cellStyle name="Total 20 6 4" xfId="37670"/>
    <cellStyle name="Total 20 6 5" xfId="37671"/>
    <cellStyle name="Total 20 6 6" xfId="37672"/>
    <cellStyle name="Total 20 6 7" xfId="37665"/>
    <cellStyle name="Total 20 7" xfId="7522"/>
    <cellStyle name="Total 20 7 2" xfId="37674"/>
    <cellStyle name="Total 20 7 3" xfId="37673"/>
    <cellStyle name="Total 20 8" xfId="8453"/>
    <cellStyle name="Total 20 9" xfId="37675"/>
    <cellStyle name="Total 21" xfId="2903"/>
    <cellStyle name="Total 21 10" xfId="37676"/>
    <cellStyle name="Total 21 11" xfId="37677"/>
    <cellStyle name="Total 21 2" xfId="7523"/>
    <cellStyle name="Total 21 2 2" xfId="37679"/>
    <cellStyle name="Total 21 2 2 2" xfId="37680"/>
    <cellStyle name="Total 21 2 2 2 2" xfId="37681"/>
    <cellStyle name="Total 21 2 2 2 3" xfId="37682"/>
    <cellStyle name="Total 21 2 2 3" xfId="37683"/>
    <cellStyle name="Total 21 2 2 3 2" xfId="37684"/>
    <cellStyle name="Total 21 2 2 4" xfId="37685"/>
    <cellStyle name="Total 21 2 2 4 2" xfId="37686"/>
    <cellStyle name="Total 21 2 2 5" xfId="37687"/>
    <cellStyle name="Total 21 2 2 6" xfId="37688"/>
    <cellStyle name="Total 21 2 2 7" xfId="37689"/>
    <cellStyle name="Total 21 2 2 8" xfId="37690"/>
    <cellStyle name="Total 21 2 2 9" xfId="37691"/>
    <cellStyle name="Total 21 2 3" xfId="37692"/>
    <cellStyle name="Total 21 2 3 2" xfId="37693"/>
    <cellStyle name="Total 21 2 3 2 2" xfId="37694"/>
    <cellStyle name="Total 21 2 3 2 3" xfId="37695"/>
    <cellStyle name="Total 21 2 3 3" xfId="37696"/>
    <cellStyle name="Total 21 2 3 3 2" xfId="37697"/>
    <cellStyle name="Total 21 2 3 4" xfId="37698"/>
    <cellStyle name="Total 21 2 3 5" xfId="37699"/>
    <cellStyle name="Total 21 2 3 6" xfId="37700"/>
    <cellStyle name="Total 21 2 4" xfId="37701"/>
    <cellStyle name="Total 21 2 4 2" xfId="37702"/>
    <cellStyle name="Total 21 2 4 3" xfId="37703"/>
    <cellStyle name="Total 21 2 5" xfId="37704"/>
    <cellStyle name="Total 21 2 6" xfId="37705"/>
    <cellStyle name="Total 21 2 7" xfId="37706"/>
    <cellStyle name="Total 21 2 8" xfId="37707"/>
    <cellStyle name="Total 21 2 9" xfId="37678"/>
    <cellStyle name="Total 21 3" xfId="7524"/>
    <cellStyle name="Total 21 3 2" xfId="37709"/>
    <cellStyle name="Total 21 3 2 2" xfId="37710"/>
    <cellStyle name="Total 21 3 2 2 2" xfId="37711"/>
    <cellStyle name="Total 21 3 2 3" xfId="37712"/>
    <cellStyle name="Total 21 3 2 3 2" xfId="37713"/>
    <cellStyle name="Total 21 3 2 4" xfId="37714"/>
    <cellStyle name="Total 21 3 2 4 2" xfId="37715"/>
    <cellStyle name="Total 21 3 2 5" xfId="37716"/>
    <cellStyle name="Total 21 3 2 6" xfId="37717"/>
    <cellStyle name="Total 21 3 2 7" xfId="37718"/>
    <cellStyle name="Total 21 3 2 8" xfId="37719"/>
    <cellStyle name="Total 21 3 2 9" xfId="37720"/>
    <cellStyle name="Total 21 3 3" xfId="37721"/>
    <cellStyle name="Total 21 3 3 2" xfId="37722"/>
    <cellStyle name="Total 21 3 3 2 2" xfId="37723"/>
    <cellStyle name="Total 21 3 3 3" xfId="37724"/>
    <cellStyle name="Total 21 3 3 3 2" xfId="37725"/>
    <cellStyle name="Total 21 3 3 4" xfId="37726"/>
    <cellStyle name="Total 21 3 3 5" xfId="37727"/>
    <cellStyle name="Total 21 3 3 6" xfId="37728"/>
    <cellStyle name="Total 21 3 4" xfId="37729"/>
    <cellStyle name="Total 21 3 4 2" xfId="37730"/>
    <cellStyle name="Total 21 3 5" xfId="37731"/>
    <cellStyle name="Total 21 3 6" xfId="37732"/>
    <cellStyle name="Total 21 3 7" xfId="37733"/>
    <cellStyle name="Total 21 3 8" xfId="37734"/>
    <cellStyle name="Total 21 3 9" xfId="37708"/>
    <cellStyle name="Total 21 4" xfId="7525"/>
    <cellStyle name="Total 21 4 10" xfId="37735"/>
    <cellStyle name="Total 21 4 2" xfId="7526"/>
    <cellStyle name="Total 21 4 2 2" xfId="37737"/>
    <cellStyle name="Total 21 4 2 3" xfId="37738"/>
    <cellStyle name="Total 21 4 2 4" xfId="37736"/>
    <cellStyle name="Total 21 4 3" xfId="37739"/>
    <cellStyle name="Total 21 4 3 2" xfId="37740"/>
    <cellStyle name="Total 21 4 4" xfId="37741"/>
    <cellStyle name="Total 21 4 4 2" xfId="37742"/>
    <cellStyle name="Total 21 4 5" xfId="37743"/>
    <cellStyle name="Total 21 4 6" xfId="37744"/>
    <cellStyle name="Total 21 4 7" xfId="37745"/>
    <cellStyle name="Total 21 4 8" xfId="37746"/>
    <cellStyle name="Total 21 4 9" xfId="37747"/>
    <cellStyle name="Total 21 5" xfId="7527"/>
    <cellStyle name="Total 21 5 10" xfId="37748"/>
    <cellStyle name="Total 21 5 2" xfId="7528"/>
    <cellStyle name="Total 21 5 2 2" xfId="37750"/>
    <cellStyle name="Total 21 5 2 3" xfId="37751"/>
    <cellStyle name="Total 21 5 2 4" xfId="37749"/>
    <cellStyle name="Total 21 5 3" xfId="37752"/>
    <cellStyle name="Total 21 5 3 2" xfId="37753"/>
    <cellStyle name="Total 21 5 4" xfId="37754"/>
    <cellStyle name="Total 21 5 4 2" xfId="37755"/>
    <cellStyle name="Total 21 5 5" xfId="37756"/>
    <cellStyle name="Total 21 5 6" xfId="37757"/>
    <cellStyle name="Total 21 5 7" xfId="37758"/>
    <cellStyle name="Total 21 5 8" xfId="37759"/>
    <cellStyle name="Total 21 5 9" xfId="37760"/>
    <cellStyle name="Total 21 6" xfId="7529"/>
    <cellStyle name="Total 21 6 2" xfId="37762"/>
    <cellStyle name="Total 21 6 2 2" xfId="37763"/>
    <cellStyle name="Total 21 6 3" xfId="37764"/>
    <cellStyle name="Total 21 6 3 2" xfId="37765"/>
    <cellStyle name="Total 21 6 4" xfId="37766"/>
    <cellStyle name="Total 21 6 5" xfId="37767"/>
    <cellStyle name="Total 21 6 6" xfId="37768"/>
    <cellStyle name="Total 21 6 7" xfId="37761"/>
    <cellStyle name="Total 21 7" xfId="7530"/>
    <cellStyle name="Total 21 7 2" xfId="37770"/>
    <cellStyle name="Total 21 7 3" xfId="37769"/>
    <cellStyle name="Total 21 8" xfId="8454"/>
    <cellStyle name="Total 21 9" xfId="37771"/>
    <cellStyle name="Total 22" xfId="2904"/>
    <cellStyle name="Total 22 10" xfId="37772"/>
    <cellStyle name="Total 22 11" xfId="37773"/>
    <cellStyle name="Total 22 2" xfId="7531"/>
    <cellStyle name="Total 22 2 2" xfId="37775"/>
    <cellStyle name="Total 22 2 2 2" xfId="37776"/>
    <cellStyle name="Total 22 2 2 2 2" xfId="37777"/>
    <cellStyle name="Total 22 2 2 2 3" xfId="37778"/>
    <cellStyle name="Total 22 2 2 3" xfId="37779"/>
    <cellStyle name="Total 22 2 2 3 2" xfId="37780"/>
    <cellStyle name="Total 22 2 2 4" xfId="37781"/>
    <cellStyle name="Total 22 2 2 4 2" xfId="37782"/>
    <cellStyle name="Total 22 2 2 5" xfId="37783"/>
    <cellStyle name="Total 22 2 2 6" xfId="37784"/>
    <cellStyle name="Total 22 2 2 7" xfId="37785"/>
    <cellStyle name="Total 22 2 2 8" xfId="37786"/>
    <cellStyle name="Total 22 2 2 9" xfId="37787"/>
    <cellStyle name="Total 22 2 3" xfId="37788"/>
    <cellStyle name="Total 22 2 3 2" xfId="37789"/>
    <cellStyle name="Total 22 2 3 2 2" xfId="37790"/>
    <cellStyle name="Total 22 2 3 2 3" xfId="37791"/>
    <cellStyle name="Total 22 2 3 3" xfId="37792"/>
    <cellStyle name="Total 22 2 3 3 2" xfId="37793"/>
    <cellStyle name="Total 22 2 3 4" xfId="37794"/>
    <cellStyle name="Total 22 2 3 5" xfId="37795"/>
    <cellStyle name="Total 22 2 3 6" xfId="37796"/>
    <cellStyle name="Total 22 2 4" xfId="37797"/>
    <cellStyle name="Total 22 2 4 2" xfId="37798"/>
    <cellStyle name="Total 22 2 4 3" xfId="37799"/>
    <cellStyle name="Total 22 2 5" xfId="37800"/>
    <cellStyle name="Total 22 2 6" xfId="37801"/>
    <cellStyle name="Total 22 2 7" xfId="37802"/>
    <cellStyle name="Total 22 2 8" xfId="37803"/>
    <cellStyle name="Total 22 2 9" xfId="37774"/>
    <cellStyle name="Total 22 3" xfId="7532"/>
    <cellStyle name="Total 22 3 2" xfId="37805"/>
    <cellStyle name="Total 22 3 2 2" xfId="37806"/>
    <cellStyle name="Total 22 3 2 2 2" xfId="37807"/>
    <cellStyle name="Total 22 3 2 3" xfId="37808"/>
    <cellStyle name="Total 22 3 2 3 2" xfId="37809"/>
    <cellStyle name="Total 22 3 2 4" xfId="37810"/>
    <cellStyle name="Total 22 3 2 4 2" xfId="37811"/>
    <cellStyle name="Total 22 3 2 5" xfId="37812"/>
    <cellStyle name="Total 22 3 2 6" xfId="37813"/>
    <cellStyle name="Total 22 3 2 7" xfId="37814"/>
    <cellStyle name="Total 22 3 2 8" xfId="37815"/>
    <cellStyle name="Total 22 3 2 9" xfId="37816"/>
    <cellStyle name="Total 22 3 3" xfId="37817"/>
    <cellStyle name="Total 22 3 3 2" xfId="37818"/>
    <cellStyle name="Total 22 3 3 2 2" xfId="37819"/>
    <cellStyle name="Total 22 3 3 3" xfId="37820"/>
    <cellStyle name="Total 22 3 3 3 2" xfId="37821"/>
    <cellStyle name="Total 22 3 3 4" xfId="37822"/>
    <cellStyle name="Total 22 3 3 5" xfId="37823"/>
    <cellStyle name="Total 22 3 3 6" xfId="37824"/>
    <cellStyle name="Total 22 3 4" xfId="37825"/>
    <cellStyle name="Total 22 3 4 2" xfId="37826"/>
    <cellStyle name="Total 22 3 5" xfId="37827"/>
    <cellStyle name="Total 22 3 6" xfId="37828"/>
    <cellStyle name="Total 22 3 7" xfId="37829"/>
    <cellStyle name="Total 22 3 8" xfId="37830"/>
    <cellStyle name="Total 22 3 9" xfId="37804"/>
    <cellStyle name="Total 22 4" xfId="7533"/>
    <cellStyle name="Total 22 4 10" xfId="37831"/>
    <cellStyle name="Total 22 4 2" xfId="7534"/>
    <cellStyle name="Total 22 4 2 2" xfId="37833"/>
    <cellStyle name="Total 22 4 2 3" xfId="37834"/>
    <cellStyle name="Total 22 4 2 4" xfId="37832"/>
    <cellStyle name="Total 22 4 3" xfId="37835"/>
    <cellStyle name="Total 22 4 3 2" xfId="37836"/>
    <cellStyle name="Total 22 4 4" xfId="37837"/>
    <cellStyle name="Total 22 4 4 2" xfId="37838"/>
    <cellStyle name="Total 22 4 5" xfId="37839"/>
    <cellStyle name="Total 22 4 6" xfId="37840"/>
    <cellStyle name="Total 22 4 7" xfId="37841"/>
    <cellStyle name="Total 22 4 8" xfId="37842"/>
    <cellStyle name="Total 22 4 9" xfId="37843"/>
    <cellStyle name="Total 22 5" xfId="7535"/>
    <cellStyle name="Total 22 5 10" xfId="37844"/>
    <cellStyle name="Total 22 5 2" xfId="7536"/>
    <cellStyle name="Total 22 5 2 2" xfId="37846"/>
    <cellStyle name="Total 22 5 2 3" xfId="37847"/>
    <cellStyle name="Total 22 5 2 4" xfId="37845"/>
    <cellStyle name="Total 22 5 3" xfId="37848"/>
    <cellStyle name="Total 22 5 3 2" xfId="37849"/>
    <cellStyle name="Total 22 5 4" xfId="37850"/>
    <cellStyle name="Total 22 5 4 2" xfId="37851"/>
    <cellStyle name="Total 22 5 5" xfId="37852"/>
    <cellStyle name="Total 22 5 6" xfId="37853"/>
    <cellStyle name="Total 22 5 7" xfId="37854"/>
    <cellStyle name="Total 22 5 8" xfId="37855"/>
    <cellStyle name="Total 22 5 9" xfId="37856"/>
    <cellStyle name="Total 22 6" xfId="7537"/>
    <cellStyle name="Total 22 6 2" xfId="37858"/>
    <cellStyle name="Total 22 6 2 2" xfId="37859"/>
    <cellStyle name="Total 22 6 3" xfId="37860"/>
    <cellStyle name="Total 22 6 3 2" xfId="37861"/>
    <cellStyle name="Total 22 6 4" xfId="37862"/>
    <cellStyle name="Total 22 6 5" xfId="37863"/>
    <cellStyle name="Total 22 6 6" xfId="37864"/>
    <cellStyle name="Total 22 6 7" xfId="37857"/>
    <cellStyle name="Total 22 7" xfId="7538"/>
    <cellStyle name="Total 22 7 2" xfId="37866"/>
    <cellStyle name="Total 22 7 3" xfId="37865"/>
    <cellStyle name="Total 22 8" xfId="8455"/>
    <cellStyle name="Total 22 9" xfId="37867"/>
    <cellStyle name="Total 23" xfId="2905"/>
    <cellStyle name="Total 23 10" xfId="37868"/>
    <cellStyle name="Total 23 11" xfId="37869"/>
    <cellStyle name="Total 23 2" xfId="7539"/>
    <cellStyle name="Total 23 2 2" xfId="37871"/>
    <cellStyle name="Total 23 2 2 2" xfId="37872"/>
    <cellStyle name="Total 23 2 2 2 2" xfId="37873"/>
    <cellStyle name="Total 23 2 2 2 3" xfId="37874"/>
    <cellStyle name="Total 23 2 2 3" xfId="37875"/>
    <cellStyle name="Total 23 2 2 3 2" xfId="37876"/>
    <cellStyle name="Total 23 2 2 4" xfId="37877"/>
    <cellStyle name="Total 23 2 2 4 2" xfId="37878"/>
    <cellStyle name="Total 23 2 2 5" xfId="37879"/>
    <cellStyle name="Total 23 2 2 6" xfId="37880"/>
    <cellStyle name="Total 23 2 2 7" xfId="37881"/>
    <cellStyle name="Total 23 2 2 8" xfId="37882"/>
    <cellStyle name="Total 23 2 2 9" xfId="37883"/>
    <cellStyle name="Total 23 2 3" xfId="37884"/>
    <cellStyle name="Total 23 2 3 2" xfId="37885"/>
    <cellStyle name="Total 23 2 3 2 2" xfId="37886"/>
    <cellStyle name="Total 23 2 3 2 3" xfId="37887"/>
    <cellStyle name="Total 23 2 3 3" xfId="37888"/>
    <cellStyle name="Total 23 2 3 3 2" xfId="37889"/>
    <cellStyle name="Total 23 2 3 4" xfId="37890"/>
    <cellStyle name="Total 23 2 3 5" xfId="37891"/>
    <cellStyle name="Total 23 2 3 6" xfId="37892"/>
    <cellStyle name="Total 23 2 4" xfId="37893"/>
    <cellStyle name="Total 23 2 4 2" xfId="37894"/>
    <cellStyle name="Total 23 2 4 3" xfId="37895"/>
    <cellStyle name="Total 23 2 5" xfId="37896"/>
    <cellStyle name="Total 23 2 6" xfId="37897"/>
    <cellStyle name="Total 23 2 7" xfId="37898"/>
    <cellStyle name="Total 23 2 8" xfId="37899"/>
    <cellStyle name="Total 23 2 9" xfId="37870"/>
    <cellStyle name="Total 23 3" xfId="7540"/>
    <cellStyle name="Total 23 3 2" xfId="37901"/>
    <cellStyle name="Total 23 3 2 2" xfId="37902"/>
    <cellStyle name="Total 23 3 2 2 2" xfId="37903"/>
    <cellStyle name="Total 23 3 2 3" xfId="37904"/>
    <cellStyle name="Total 23 3 2 3 2" xfId="37905"/>
    <cellStyle name="Total 23 3 2 4" xfId="37906"/>
    <cellStyle name="Total 23 3 2 4 2" xfId="37907"/>
    <cellStyle name="Total 23 3 2 5" xfId="37908"/>
    <cellStyle name="Total 23 3 2 6" xfId="37909"/>
    <cellStyle name="Total 23 3 2 7" xfId="37910"/>
    <cellStyle name="Total 23 3 2 8" xfId="37911"/>
    <cellStyle name="Total 23 3 2 9" xfId="37912"/>
    <cellStyle name="Total 23 3 3" xfId="37913"/>
    <cellStyle name="Total 23 3 3 2" xfId="37914"/>
    <cellStyle name="Total 23 3 3 2 2" xfId="37915"/>
    <cellStyle name="Total 23 3 3 3" xfId="37916"/>
    <cellStyle name="Total 23 3 3 3 2" xfId="37917"/>
    <cellStyle name="Total 23 3 3 4" xfId="37918"/>
    <cellStyle name="Total 23 3 3 5" xfId="37919"/>
    <cellStyle name="Total 23 3 3 6" xfId="37920"/>
    <cellStyle name="Total 23 3 4" xfId="37921"/>
    <cellStyle name="Total 23 3 4 2" xfId="37922"/>
    <cellStyle name="Total 23 3 5" xfId="37923"/>
    <cellStyle name="Total 23 3 6" xfId="37924"/>
    <cellStyle name="Total 23 3 7" xfId="37925"/>
    <cellStyle name="Total 23 3 8" xfId="37926"/>
    <cellStyle name="Total 23 3 9" xfId="37900"/>
    <cellStyle name="Total 23 4" xfId="7541"/>
    <cellStyle name="Total 23 4 10" xfId="37927"/>
    <cellStyle name="Total 23 4 2" xfId="7542"/>
    <cellStyle name="Total 23 4 2 2" xfId="37929"/>
    <cellStyle name="Total 23 4 2 3" xfId="37930"/>
    <cellStyle name="Total 23 4 2 4" xfId="37928"/>
    <cellStyle name="Total 23 4 3" xfId="37931"/>
    <cellStyle name="Total 23 4 3 2" xfId="37932"/>
    <cellStyle name="Total 23 4 4" xfId="37933"/>
    <cellStyle name="Total 23 4 4 2" xfId="37934"/>
    <cellStyle name="Total 23 4 5" xfId="37935"/>
    <cellStyle name="Total 23 4 6" xfId="37936"/>
    <cellStyle name="Total 23 4 7" xfId="37937"/>
    <cellStyle name="Total 23 4 8" xfId="37938"/>
    <cellStyle name="Total 23 4 9" xfId="37939"/>
    <cellStyle name="Total 23 5" xfId="7543"/>
    <cellStyle name="Total 23 5 10" xfId="37940"/>
    <cellStyle name="Total 23 5 2" xfId="7544"/>
    <cellStyle name="Total 23 5 2 2" xfId="37942"/>
    <cellStyle name="Total 23 5 2 3" xfId="37943"/>
    <cellStyle name="Total 23 5 2 4" xfId="37941"/>
    <cellStyle name="Total 23 5 3" xfId="37944"/>
    <cellStyle name="Total 23 5 3 2" xfId="37945"/>
    <cellStyle name="Total 23 5 4" xfId="37946"/>
    <cellStyle name="Total 23 5 4 2" xfId="37947"/>
    <cellStyle name="Total 23 5 5" xfId="37948"/>
    <cellStyle name="Total 23 5 6" xfId="37949"/>
    <cellStyle name="Total 23 5 7" xfId="37950"/>
    <cellStyle name="Total 23 5 8" xfId="37951"/>
    <cellStyle name="Total 23 5 9" xfId="37952"/>
    <cellStyle name="Total 23 6" xfId="7545"/>
    <cellStyle name="Total 23 6 2" xfId="37954"/>
    <cellStyle name="Total 23 6 2 2" xfId="37955"/>
    <cellStyle name="Total 23 6 3" xfId="37956"/>
    <cellStyle name="Total 23 6 3 2" xfId="37957"/>
    <cellStyle name="Total 23 6 4" xfId="37958"/>
    <cellStyle name="Total 23 6 5" xfId="37959"/>
    <cellStyle name="Total 23 6 6" xfId="37960"/>
    <cellStyle name="Total 23 6 7" xfId="37953"/>
    <cellStyle name="Total 23 7" xfId="7546"/>
    <cellStyle name="Total 23 7 2" xfId="37962"/>
    <cellStyle name="Total 23 7 3" xfId="37961"/>
    <cellStyle name="Total 23 8" xfId="8456"/>
    <cellStyle name="Total 23 9" xfId="37963"/>
    <cellStyle name="Total 24" xfId="2906"/>
    <cellStyle name="Total 24 10" xfId="37964"/>
    <cellStyle name="Total 24 11" xfId="37965"/>
    <cellStyle name="Total 24 2" xfId="7547"/>
    <cellStyle name="Total 24 2 2" xfId="37967"/>
    <cellStyle name="Total 24 2 2 2" xfId="37968"/>
    <cellStyle name="Total 24 2 2 2 2" xfId="37969"/>
    <cellStyle name="Total 24 2 2 2 3" xfId="37970"/>
    <cellStyle name="Total 24 2 2 3" xfId="37971"/>
    <cellStyle name="Total 24 2 2 3 2" xfId="37972"/>
    <cellStyle name="Total 24 2 2 4" xfId="37973"/>
    <cellStyle name="Total 24 2 2 4 2" xfId="37974"/>
    <cellStyle name="Total 24 2 2 5" xfId="37975"/>
    <cellStyle name="Total 24 2 2 6" xfId="37976"/>
    <cellStyle name="Total 24 2 2 7" xfId="37977"/>
    <cellStyle name="Total 24 2 2 8" xfId="37978"/>
    <cellStyle name="Total 24 2 2 9" xfId="37979"/>
    <cellStyle name="Total 24 2 3" xfId="37980"/>
    <cellStyle name="Total 24 2 3 2" xfId="37981"/>
    <cellStyle name="Total 24 2 3 2 2" xfId="37982"/>
    <cellStyle name="Total 24 2 3 2 3" xfId="37983"/>
    <cellStyle name="Total 24 2 3 3" xfId="37984"/>
    <cellStyle name="Total 24 2 3 3 2" xfId="37985"/>
    <cellStyle name="Total 24 2 3 4" xfId="37986"/>
    <cellStyle name="Total 24 2 3 5" xfId="37987"/>
    <cellStyle name="Total 24 2 3 6" xfId="37988"/>
    <cellStyle name="Total 24 2 4" xfId="37989"/>
    <cellStyle name="Total 24 2 4 2" xfId="37990"/>
    <cellStyle name="Total 24 2 4 3" xfId="37991"/>
    <cellStyle name="Total 24 2 5" xfId="37992"/>
    <cellStyle name="Total 24 2 6" xfId="37993"/>
    <cellStyle name="Total 24 2 7" xfId="37994"/>
    <cellStyle name="Total 24 2 8" xfId="37995"/>
    <cellStyle name="Total 24 2 9" xfId="37966"/>
    <cellStyle name="Total 24 3" xfId="7548"/>
    <cellStyle name="Total 24 3 2" xfId="37997"/>
    <cellStyle name="Total 24 3 2 2" xfId="37998"/>
    <cellStyle name="Total 24 3 2 2 2" xfId="37999"/>
    <cellStyle name="Total 24 3 2 3" xfId="38000"/>
    <cellStyle name="Total 24 3 2 3 2" xfId="38001"/>
    <cellStyle name="Total 24 3 2 4" xfId="38002"/>
    <cellStyle name="Total 24 3 2 4 2" xfId="38003"/>
    <cellStyle name="Total 24 3 2 5" xfId="38004"/>
    <cellStyle name="Total 24 3 2 6" xfId="38005"/>
    <cellStyle name="Total 24 3 2 7" xfId="38006"/>
    <cellStyle name="Total 24 3 2 8" xfId="38007"/>
    <cellStyle name="Total 24 3 2 9" xfId="38008"/>
    <cellStyle name="Total 24 3 3" xfId="38009"/>
    <cellStyle name="Total 24 3 3 2" xfId="38010"/>
    <cellStyle name="Total 24 3 3 2 2" xfId="38011"/>
    <cellStyle name="Total 24 3 3 3" xfId="38012"/>
    <cellStyle name="Total 24 3 3 3 2" xfId="38013"/>
    <cellStyle name="Total 24 3 3 4" xfId="38014"/>
    <cellStyle name="Total 24 3 3 5" xfId="38015"/>
    <cellStyle name="Total 24 3 3 6" xfId="38016"/>
    <cellStyle name="Total 24 3 4" xfId="38017"/>
    <cellStyle name="Total 24 3 4 2" xfId="38018"/>
    <cellStyle name="Total 24 3 5" xfId="38019"/>
    <cellStyle name="Total 24 3 6" xfId="38020"/>
    <cellStyle name="Total 24 3 7" xfId="38021"/>
    <cellStyle name="Total 24 3 8" xfId="38022"/>
    <cellStyle name="Total 24 3 9" xfId="37996"/>
    <cellStyle name="Total 24 4" xfId="7549"/>
    <cellStyle name="Total 24 4 10" xfId="38023"/>
    <cellStyle name="Total 24 4 2" xfId="7550"/>
    <cellStyle name="Total 24 4 2 2" xfId="38025"/>
    <cellStyle name="Total 24 4 2 3" xfId="38026"/>
    <cellStyle name="Total 24 4 2 4" xfId="38024"/>
    <cellStyle name="Total 24 4 3" xfId="38027"/>
    <cellStyle name="Total 24 4 3 2" xfId="38028"/>
    <cellStyle name="Total 24 4 4" xfId="38029"/>
    <cellStyle name="Total 24 4 4 2" xfId="38030"/>
    <cellStyle name="Total 24 4 5" xfId="38031"/>
    <cellStyle name="Total 24 4 6" xfId="38032"/>
    <cellStyle name="Total 24 4 7" xfId="38033"/>
    <cellStyle name="Total 24 4 8" xfId="38034"/>
    <cellStyle name="Total 24 4 9" xfId="38035"/>
    <cellStyle name="Total 24 5" xfId="7551"/>
    <cellStyle name="Total 24 5 10" xfId="38036"/>
    <cellStyle name="Total 24 5 2" xfId="7552"/>
    <cellStyle name="Total 24 5 2 2" xfId="38038"/>
    <cellStyle name="Total 24 5 2 3" xfId="38039"/>
    <cellStyle name="Total 24 5 2 4" xfId="38037"/>
    <cellStyle name="Total 24 5 3" xfId="38040"/>
    <cellStyle name="Total 24 5 3 2" xfId="38041"/>
    <cellStyle name="Total 24 5 4" xfId="38042"/>
    <cellStyle name="Total 24 5 4 2" xfId="38043"/>
    <cellStyle name="Total 24 5 5" xfId="38044"/>
    <cellStyle name="Total 24 5 6" xfId="38045"/>
    <cellStyle name="Total 24 5 7" xfId="38046"/>
    <cellStyle name="Total 24 5 8" xfId="38047"/>
    <cellStyle name="Total 24 5 9" xfId="38048"/>
    <cellStyle name="Total 24 6" xfId="7553"/>
    <cellStyle name="Total 24 6 2" xfId="38050"/>
    <cellStyle name="Total 24 6 2 2" xfId="38051"/>
    <cellStyle name="Total 24 6 3" xfId="38052"/>
    <cellStyle name="Total 24 6 3 2" xfId="38053"/>
    <cellStyle name="Total 24 6 4" xfId="38054"/>
    <cellStyle name="Total 24 6 5" xfId="38055"/>
    <cellStyle name="Total 24 6 6" xfId="38056"/>
    <cellStyle name="Total 24 6 7" xfId="38049"/>
    <cellStyle name="Total 24 7" xfId="7554"/>
    <cellStyle name="Total 24 7 2" xfId="38058"/>
    <cellStyle name="Total 24 7 3" xfId="38057"/>
    <cellStyle name="Total 24 8" xfId="8457"/>
    <cellStyle name="Total 24 9" xfId="38059"/>
    <cellStyle name="Total 25" xfId="2907"/>
    <cellStyle name="Total 25 10" xfId="38060"/>
    <cellStyle name="Total 25 11" xfId="38061"/>
    <cellStyle name="Total 25 2" xfId="7555"/>
    <cellStyle name="Total 25 2 2" xfId="38063"/>
    <cellStyle name="Total 25 2 2 2" xfId="38064"/>
    <cellStyle name="Total 25 2 2 2 2" xfId="38065"/>
    <cellStyle name="Total 25 2 2 2 3" xfId="38066"/>
    <cellStyle name="Total 25 2 2 3" xfId="38067"/>
    <cellStyle name="Total 25 2 2 3 2" xfId="38068"/>
    <cellStyle name="Total 25 2 2 4" xfId="38069"/>
    <cellStyle name="Total 25 2 2 4 2" xfId="38070"/>
    <cellStyle name="Total 25 2 2 5" xfId="38071"/>
    <cellStyle name="Total 25 2 2 6" xfId="38072"/>
    <cellStyle name="Total 25 2 2 7" xfId="38073"/>
    <cellStyle name="Total 25 2 2 8" xfId="38074"/>
    <cellStyle name="Total 25 2 2 9" xfId="38075"/>
    <cellStyle name="Total 25 2 3" xfId="38076"/>
    <cellStyle name="Total 25 2 3 2" xfId="38077"/>
    <cellStyle name="Total 25 2 3 2 2" xfId="38078"/>
    <cellStyle name="Total 25 2 3 2 3" xfId="38079"/>
    <cellStyle name="Total 25 2 3 3" xfId="38080"/>
    <cellStyle name="Total 25 2 3 3 2" xfId="38081"/>
    <cellStyle name="Total 25 2 3 4" xfId="38082"/>
    <cellStyle name="Total 25 2 3 5" xfId="38083"/>
    <cellStyle name="Total 25 2 3 6" xfId="38084"/>
    <cellStyle name="Total 25 2 4" xfId="38085"/>
    <cellStyle name="Total 25 2 4 2" xfId="38086"/>
    <cellStyle name="Total 25 2 4 3" xfId="38087"/>
    <cellStyle name="Total 25 2 5" xfId="38088"/>
    <cellStyle name="Total 25 2 6" xfId="38089"/>
    <cellStyle name="Total 25 2 7" xfId="38090"/>
    <cellStyle name="Total 25 2 8" xfId="38091"/>
    <cellStyle name="Total 25 2 9" xfId="38062"/>
    <cellStyle name="Total 25 3" xfId="7556"/>
    <cellStyle name="Total 25 3 2" xfId="38093"/>
    <cellStyle name="Total 25 3 2 2" xfId="38094"/>
    <cellStyle name="Total 25 3 2 2 2" xfId="38095"/>
    <cellStyle name="Total 25 3 2 3" xfId="38096"/>
    <cellStyle name="Total 25 3 2 3 2" xfId="38097"/>
    <cellStyle name="Total 25 3 2 4" xfId="38098"/>
    <cellStyle name="Total 25 3 2 4 2" xfId="38099"/>
    <cellStyle name="Total 25 3 2 5" xfId="38100"/>
    <cellStyle name="Total 25 3 2 6" xfId="38101"/>
    <cellStyle name="Total 25 3 2 7" xfId="38102"/>
    <cellStyle name="Total 25 3 2 8" xfId="38103"/>
    <cellStyle name="Total 25 3 2 9" xfId="38104"/>
    <cellStyle name="Total 25 3 3" xfId="38105"/>
    <cellStyle name="Total 25 3 3 2" xfId="38106"/>
    <cellStyle name="Total 25 3 3 2 2" xfId="38107"/>
    <cellStyle name="Total 25 3 3 3" xfId="38108"/>
    <cellStyle name="Total 25 3 3 3 2" xfId="38109"/>
    <cellStyle name="Total 25 3 3 4" xfId="38110"/>
    <cellStyle name="Total 25 3 3 5" xfId="38111"/>
    <cellStyle name="Total 25 3 3 6" xfId="38112"/>
    <cellStyle name="Total 25 3 4" xfId="38113"/>
    <cellStyle name="Total 25 3 4 2" xfId="38114"/>
    <cellStyle name="Total 25 3 5" xfId="38115"/>
    <cellStyle name="Total 25 3 6" xfId="38116"/>
    <cellStyle name="Total 25 3 7" xfId="38117"/>
    <cellStyle name="Total 25 3 8" xfId="38118"/>
    <cellStyle name="Total 25 3 9" xfId="38092"/>
    <cellStyle name="Total 25 4" xfId="7557"/>
    <cellStyle name="Total 25 4 10" xfId="38119"/>
    <cellStyle name="Total 25 4 2" xfId="7558"/>
    <cellStyle name="Total 25 4 2 2" xfId="38121"/>
    <cellStyle name="Total 25 4 2 3" xfId="38122"/>
    <cellStyle name="Total 25 4 2 4" xfId="38120"/>
    <cellStyle name="Total 25 4 3" xfId="38123"/>
    <cellStyle name="Total 25 4 3 2" xfId="38124"/>
    <cellStyle name="Total 25 4 4" xfId="38125"/>
    <cellStyle name="Total 25 4 4 2" xfId="38126"/>
    <cellStyle name="Total 25 4 5" xfId="38127"/>
    <cellStyle name="Total 25 4 6" xfId="38128"/>
    <cellStyle name="Total 25 4 7" xfId="38129"/>
    <cellStyle name="Total 25 4 8" xfId="38130"/>
    <cellStyle name="Total 25 4 9" xfId="38131"/>
    <cellStyle name="Total 25 5" xfId="7559"/>
    <cellStyle name="Total 25 5 10" xfId="38132"/>
    <cellStyle name="Total 25 5 2" xfId="7560"/>
    <cellStyle name="Total 25 5 2 2" xfId="38134"/>
    <cellStyle name="Total 25 5 2 3" xfId="38135"/>
    <cellStyle name="Total 25 5 2 4" xfId="38133"/>
    <cellStyle name="Total 25 5 3" xfId="38136"/>
    <cellStyle name="Total 25 5 3 2" xfId="38137"/>
    <cellStyle name="Total 25 5 4" xfId="38138"/>
    <cellStyle name="Total 25 5 4 2" xfId="38139"/>
    <cellStyle name="Total 25 5 5" xfId="38140"/>
    <cellStyle name="Total 25 5 6" xfId="38141"/>
    <cellStyle name="Total 25 5 7" xfId="38142"/>
    <cellStyle name="Total 25 5 8" xfId="38143"/>
    <cellStyle name="Total 25 5 9" xfId="38144"/>
    <cellStyle name="Total 25 6" xfId="7561"/>
    <cellStyle name="Total 25 6 2" xfId="38146"/>
    <cellStyle name="Total 25 6 2 2" xfId="38147"/>
    <cellStyle name="Total 25 6 3" xfId="38148"/>
    <cellStyle name="Total 25 6 3 2" xfId="38149"/>
    <cellStyle name="Total 25 6 4" xfId="38150"/>
    <cellStyle name="Total 25 6 5" xfId="38151"/>
    <cellStyle name="Total 25 6 6" xfId="38152"/>
    <cellStyle name="Total 25 6 7" xfId="38145"/>
    <cellStyle name="Total 25 7" xfId="7562"/>
    <cellStyle name="Total 25 7 2" xfId="38154"/>
    <cellStyle name="Total 25 7 3" xfId="38153"/>
    <cellStyle name="Total 25 8" xfId="8458"/>
    <cellStyle name="Total 25 9" xfId="38155"/>
    <cellStyle name="Total 26" xfId="2908"/>
    <cellStyle name="Total 26 10" xfId="38156"/>
    <cellStyle name="Total 26 11" xfId="38157"/>
    <cellStyle name="Total 26 2" xfId="7563"/>
    <cellStyle name="Total 26 2 2" xfId="38159"/>
    <cellStyle name="Total 26 2 2 2" xfId="38160"/>
    <cellStyle name="Total 26 2 2 2 2" xfId="38161"/>
    <cellStyle name="Total 26 2 2 2 3" xfId="38162"/>
    <cellStyle name="Total 26 2 2 3" xfId="38163"/>
    <cellStyle name="Total 26 2 2 3 2" xfId="38164"/>
    <cellStyle name="Total 26 2 2 4" xfId="38165"/>
    <cellStyle name="Total 26 2 2 4 2" xfId="38166"/>
    <cellStyle name="Total 26 2 2 5" xfId="38167"/>
    <cellStyle name="Total 26 2 2 6" xfId="38168"/>
    <cellStyle name="Total 26 2 2 7" xfId="38169"/>
    <cellStyle name="Total 26 2 2 8" xfId="38170"/>
    <cellStyle name="Total 26 2 2 9" xfId="38171"/>
    <cellStyle name="Total 26 2 3" xfId="38172"/>
    <cellStyle name="Total 26 2 3 2" xfId="38173"/>
    <cellStyle name="Total 26 2 3 2 2" xfId="38174"/>
    <cellStyle name="Total 26 2 3 2 3" xfId="38175"/>
    <cellStyle name="Total 26 2 3 3" xfId="38176"/>
    <cellStyle name="Total 26 2 3 3 2" xfId="38177"/>
    <cellStyle name="Total 26 2 3 4" xfId="38178"/>
    <cellStyle name="Total 26 2 3 5" xfId="38179"/>
    <cellStyle name="Total 26 2 3 6" xfId="38180"/>
    <cellStyle name="Total 26 2 4" xfId="38181"/>
    <cellStyle name="Total 26 2 4 2" xfId="38182"/>
    <cellStyle name="Total 26 2 4 3" xfId="38183"/>
    <cellStyle name="Total 26 2 5" xfId="38184"/>
    <cellStyle name="Total 26 2 6" xfId="38185"/>
    <cellStyle name="Total 26 2 7" xfId="38186"/>
    <cellStyle name="Total 26 2 8" xfId="38187"/>
    <cellStyle name="Total 26 2 9" xfId="38158"/>
    <cellStyle name="Total 26 3" xfId="7564"/>
    <cellStyle name="Total 26 3 2" xfId="38189"/>
    <cellStyle name="Total 26 3 2 2" xfId="38190"/>
    <cellStyle name="Total 26 3 2 2 2" xfId="38191"/>
    <cellStyle name="Total 26 3 2 3" xfId="38192"/>
    <cellStyle name="Total 26 3 2 3 2" xfId="38193"/>
    <cellStyle name="Total 26 3 2 4" xfId="38194"/>
    <cellStyle name="Total 26 3 2 4 2" xfId="38195"/>
    <cellStyle name="Total 26 3 2 5" xfId="38196"/>
    <cellStyle name="Total 26 3 2 6" xfId="38197"/>
    <cellStyle name="Total 26 3 2 7" xfId="38198"/>
    <cellStyle name="Total 26 3 2 8" xfId="38199"/>
    <cellStyle name="Total 26 3 2 9" xfId="38200"/>
    <cellStyle name="Total 26 3 3" xfId="38201"/>
    <cellStyle name="Total 26 3 3 2" xfId="38202"/>
    <cellStyle name="Total 26 3 3 2 2" xfId="38203"/>
    <cellStyle name="Total 26 3 3 3" xfId="38204"/>
    <cellStyle name="Total 26 3 3 3 2" xfId="38205"/>
    <cellStyle name="Total 26 3 3 4" xfId="38206"/>
    <cellStyle name="Total 26 3 3 5" xfId="38207"/>
    <cellStyle name="Total 26 3 3 6" xfId="38208"/>
    <cellStyle name="Total 26 3 4" xfId="38209"/>
    <cellStyle name="Total 26 3 4 2" xfId="38210"/>
    <cellStyle name="Total 26 3 5" xfId="38211"/>
    <cellStyle name="Total 26 3 6" xfId="38212"/>
    <cellStyle name="Total 26 3 7" xfId="38213"/>
    <cellStyle name="Total 26 3 8" xfId="38214"/>
    <cellStyle name="Total 26 3 9" xfId="38188"/>
    <cellStyle name="Total 26 4" xfId="7565"/>
    <cellStyle name="Total 26 4 10" xfId="38215"/>
    <cellStyle name="Total 26 4 2" xfId="7566"/>
    <cellStyle name="Total 26 4 2 2" xfId="38217"/>
    <cellStyle name="Total 26 4 2 3" xfId="38218"/>
    <cellStyle name="Total 26 4 2 4" xfId="38216"/>
    <cellStyle name="Total 26 4 3" xfId="38219"/>
    <cellStyle name="Total 26 4 3 2" xfId="38220"/>
    <cellStyle name="Total 26 4 4" xfId="38221"/>
    <cellStyle name="Total 26 4 4 2" xfId="38222"/>
    <cellStyle name="Total 26 4 5" xfId="38223"/>
    <cellStyle name="Total 26 4 6" xfId="38224"/>
    <cellStyle name="Total 26 4 7" xfId="38225"/>
    <cellStyle name="Total 26 4 8" xfId="38226"/>
    <cellStyle name="Total 26 4 9" xfId="38227"/>
    <cellStyle name="Total 26 5" xfId="7567"/>
    <cellStyle name="Total 26 5 10" xfId="38228"/>
    <cellStyle name="Total 26 5 2" xfId="7568"/>
    <cellStyle name="Total 26 5 2 2" xfId="38230"/>
    <cellStyle name="Total 26 5 2 3" xfId="38231"/>
    <cellStyle name="Total 26 5 2 4" xfId="38229"/>
    <cellStyle name="Total 26 5 3" xfId="38232"/>
    <cellStyle name="Total 26 5 3 2" xfId="38233"/>
    <cellStyle name="Total 26 5 4" xfId="38234"/>
    <cellStyle name="Total 26 5 4 2" xfId="38235"/>
    <cellStyle name="Total 26 5 5" xfId="38236"/>
    <cellStyle name="Total 26 5 6" xfId="38237"/>
    <cellStyle name="Total 26 5 7" xfId="38238"/>
    <cellStyle name="Total 26 5 8" xfId="38239"/>
    <cellStyle name="Total 26 5 9" xfId="38240"/>
    <cellStyle name="Total 26 6" xfId="7569"/>
    <cellStyle name="Total 26 6 2" xfId="38242"/>
    <cellStyle name="Total 26 6 2 2" xfId="38243"/>
    <cellStyle name="Total 26 6 3" xfId="38244"/>
    <cellStyle name="Total 26 6 3 2" xfId="38245"/>
    <cellStyle name="Total 26 6 4" xfId="38246"/>
    <cellStyle name="Total 26 6 5" xfId="38247"/>
    <cellStyle name="Total 26 6 6" xfId="38248"/>
    <cellStyle name="Total 26 6 7" xfId="38241"/>
    <cellStyle name="Total 26 7" xfId="7570"/>
    <cellStyle name="Total 26 7 2" xfId="38250"/>
    <cellStyle name="Total 26 7 3" xfId="38249"/>
    <cellStyle name="Total 26 8" xfId="8459"/>
    <cellStyle name="Total 26 9" xfId="38251"/>
    <cellStyle name="Total 27" xfId="2909"/>
    <cellStyle name="Total 27 10" xfId="38252"/>
    <cellStyle name="Total 27 11" xfId="38253"/>
    <cellStyle name="Total 27 2" xfId="7571"/>
    <cellStyle name="Total 27 2 2" xfId="38255"/>
    <cellStyle name="Total 27 2 2 2" xfId="38256"/>
    <cellStyle name="Total 27 2 2 2 2" xfId="38257"/>
    <cellStyle name="Total 27 2 2 2 3" xfId="38258"/>
    <cellStyle name="Total 27 2 2 3" xfId="38259"/>
    <cellStyle name="Total 27 2 2 3 2" xfId="38260"/>
    <cellStyle name="Total 27 2 2 4" xfId="38261"/>
    <cellStyle name="Total 27 2 2 4 2" xfId="38262"/>
    <cellStyle name="Total 27 2 2 5" xfId="38263"/>
    <cellStyle name="Total 27 2 2 6" xfId="38264"/>
    <cellStyle name="Total 27 2 2 7" xfId="38265"/>
    <cellStyle name="Total 27 2 2 8" xfId="38266"/>
    <cellStyle name="Total 27 2 2 9" xfId="38267"/>
    <cellStyle name="Total 27 2 3" xfId="38268"/>
    <cellStyle name="Total 27 2 3 2" xfId="38269"/>
    <cellStyle name="Total 27 2 3 2 2" xfId="38270"/>
    <cellStyle name="Total 27 2 3 2 3" xfId="38271"/>
    <cellStyle name="Total 27 2 3 3" xfId="38272"/>
    <cellStyle name="Total 27 2 3 3 2" xfId="38273"/>
    <cellStyle name="Total 27 2 3 4" xfId="38274"/>
    <cellStyle name="Total 27 2 3 5" xfId="38275"/>
    <cellStyle name="Total 27 2 3 6" xfId="38276"/>
    <cellStyle name="Total 27 2 4" xfId="38277"/>
    <cellStyle name="Total 27 2 4 2" xfId="38278"/>
    <cellStyle name="Total 27 2 4 3" xfId="38279"/>
    <cellStyle name="Total 27 2 5" xfId="38280"/>
    <cellStyle name="Total 27 2 6" xfId="38281"/>
    <cellStyle name="Total 27 2 7" xfId="38282"/>
    <cellStyle name="Total 27 2 8" xfId="38283"/>
    <cellStyle name="Total 27 2 9" xfId="38254"/>
    <cellStyle name="Total 27 3" xfId="7572"/>
    <cellStyle name="Total 27 3 2" xfId="38285"/>
    <cellStyle name="Total 27 3 2 2" xfId="38286"/>
    <cellStyle name="Total 27 3 2 2 2" xfId="38287"/>
    <cellStyle name="Total 27 3 2 3" xfId="38288"/>
    <cellStyle name="Total 27 3 2 3 2" xfId="38289"/>
    <cellStyle name="Total 27 3 2 4" xfId="38290"/>
    <cellStyle name="Total 27 3 2 4 2" xfId="38291"/>
    <cellStyle name="Total 27 3 2 5" xfId="38292"/>
    <cellStyle name="Total 27 3 2 6" xfId="38293"/>
    <cellStyle name="Total 27 3 2 7" xfId="38294"/>
    <cellStyle name="Total 27 3 2 8" xfId="38295"/>
    <cellStyle name="Total 27 3 2 9" xfId="38296"/>
    <cellStyle name="Total 27 3 3" xfId="38297"/>
    <cellStyle name="Total 27 3 3 2" xfId="38298"/>
    <cellStyle name="Total 27 3 3 2 2" xfId="38299"/>
    <cellStyle name="Total 27 3 3 3" xfId="38300"/>
    <cellStyle name="Total 27 3 3 3 2" xfId="38301"/>
    <cellStyle name="Total 27 3 3 4" xfId="38302"/>
    <cellStyle name="Total 27 3 3 5" xfId="38303"/>
    <cellStyle name="Total 27 3 3 6" xfId="38304"/>
    <cellStyle name="Total 27 3 4" xfId="38305"/>
    <cellStyle name="Total 27 3 4 2" xfId="38306"/>
    <cellStyle name="Total 27 3 5" xfId="38307"/>
    <cellStyle name="Total 27 3 6" xfId="38308"/>
    <cellStyle name="Total 27 3 7" xfId="38309"/>
    <cellStyle name="Total 27 3 8" xfId="38310"/>
    <cellStyle name="Total 27 3 9" xfId="38284"/>
    <cellStyle name="Total 27 4" xfId="7573"/>
    <cellStyle name="Total 27 4 10" xfId="38311"/>
    <cellStyle name="Total 27 4 2" xfId="7574"/>
    <cellStyle name="Total 27 4 2 2" xfId="38313"/>
    <cellStyle name="Total 27 4 2 3" xfId="38314"/>
    <cellStyle name="Total 27 4 2 4" xfId="38312"/>
    <cellStyle name="Total 27 4 3" xfId="38315"/>
    <cellStyle name="Total 27 4 3 2" xfId="38316"/>
    <cellStyle name="Total 27 4 4" xfId="38317"/>
    <cellStyle name="Total 27 4 4 2" xfId="38318"/>
    <cellStyle name="Total 27 4 5" xfId="38319"/>
    <cellStyle name="Total 27 4 6" xfId="38320"/>
    <cellStyle name="Total 27 4 7" xfId="38321"/>
    <cellStyle name="Total 27 4 8" xfId="38322"/>
    <cellStyle name="Total 27 4 9" xfId="38323"/>
    <cellStyle name="Total 27 5" xfId="7575"/>
    <cellStyle name="Total 27 5 10" xfId="38324"/>
    <cellStyle name="Total 27 5 2" xfId="7576"/>
    <cellStyle name="Total 27 5 2 2" xfId="38326"/>
    <cellStyle name="Total 27 5 2 3" xfId="38327"/>
    <cellStyle name="Total 27 5 2 4" xfId="38325"/>
    <cellStyle name="Total 27 5 3" xfId="38328"/>
    <cellStyle name="Total 27 5 3 2" xfId="38329"/>
    <cellStyle name="Total 27 5 4" xfId="38330"/>
    <cellStyle name="Total 27 5 4 2" xfId="38331"/>
    <cellStyle name="Total 27 5 5" xfId="38332"/>
    <cellStyle name="Total 27 5 6" xfId="38333"/>
    <cellStyle name="Total 27 5 7" xfId="38334"/>
    <cellStyle name="Total 27 5 8" xfId="38335"/>
    <cellStyle name="Total 27 5 9" xfId="38336"/>
    <cellStyle name="Total 27 6" xfId="7577"/>
    <cellStyle name="Total 27 6 2" xfId="38338"/>
    <cellStyle name="Total 27 6 2 2" xfId="38339"/>
    <cellStyle name="Total 27 6 3" xfId="38340"/>
    <cellStyle name="Total 27 6 3 2" xfId="38341"/>
    <cellStyle name="Total 27 6 4" xfId="38342"/>
    <cellStyle name="Total 27 6 5" xfId="38343"/>
    <cellStyle name="Total 27 6 6" xfId="38344"/>
    <cellStyle name="Total 27 6 7" xfId="38337"/>
    <cellStyle name="Total 27 7" xfId="7578"/>
    <cellStyle name="Total 27 7 2" xfId="38346"/>
    <cellStyle name="Total 27 7 3" xfId="38345"/>
    <cellStyle name="Total 27 8" xfId="8460"/>
    <cellStyle name="Total 27 9" xfId="38347"/>
    <cellStyle name="Total 28" xfId="2910"/>
    <cellStyle name="Total 28 10" xfId="38348"/>
    <cellStyle name="Total 28 11" xfId="38349"/>
    <cellStyle name="Total 28 2" xfId="7579"/>
    <cellStyle name="Total 28 2 2" xfId="38351"/>
    <cellStyle name="Total 28 2 2 2" xfId="38352"/>
    <cellStyle name="Total 28 2 2 2 2" xfId="38353"/>
    <cellStyle name="Total 28 2 2 2 3" xfId="38354"/>
    <cellStyle name="Total 28 2 2 3" xfId="38355"/>
    <cellStyle name="Total 28 2 2 3 2" xfId="38356"/>
    <cellStyle name="Total 28 2 2 4" xfId="38357"/>
    <cellStyle name="Total 28 2 2 4 2" xfId="38358"/>
    <cellStyle name="Total 28 2 2 5" xfId="38359"/>
    <cellStyle name="Total 28 2 2 6" xfId="38360"/>
    <cellStyle name="Total 28 2 2 7" xfId="38361"/>
    <cellStyle name="Total 28 2 2 8" xfId="38362"/>
    <cellStyle name="Total 28 2 2 9" xfId="38363"/>
    <cellStyle name="Total 28 2 3" xfId="38364"/>
    <cellStyle name="Total 28 2 3 2" xfId="38365"/>
    <cellStyle name="Total 28 2 3 2 2" xfId="38366"/>
    <cellStyle name="Total 28 2 3 2 3" xfId="38367"/>
    <cellStyle name="Total 28 2 3 3" xfId="38368"/>
    <cellStyle name="Total 28 2 3 3 2" xfId="38369"/>
    <cellStyle name="Total 28 2 3 4" xfId="38370"/>
    <cellStyle name="Total 28 2 3 5" xfId="38371"/>
    <cellStyle name="Total 28 2 3 6" xfId="38372"/>
    <cellStyle name="Total 28 2 4" xfId="38373"/>
    <cellStyle name="Total 28 2 4 2" xfId="38374"/>
    <cellStyle name="Total 28 2 4 3" xfId="38375"/>
    <cellStyle name="Total 28 2 5" xfId="38376"/>
    <cellStyle name="Total 28 2 6" xfId="38377"/>
    <cellStyle name="Total 28 2 7" xfId="38378"/>
    <cellStyle name="Total 28 2 8" xfId="38379"/>
    <cellStyle name="Total 28 2 9" xfId="38350"/>
    <cellStyle name="Total 28 3" xfId="7580"/>
    <cellStyle name="Total 28 3 2" xfId="38381"/>
    <cellStyle name="Total 28 3 2 2" xfId="38382"/>
    <cellStyle name="Total 28 3 2 2 2" xfId="38383"/>
    <cellStyle name="Total 28 3 2 3" xfId="38384"/>
    <cellStyle name="Total 28 3 2 3 2" xfId="38385"/>
    <cellStyle name="Total 28 3 2 4" xfId="38386"/>
    <cellStyle name="Total 28 3 2 4 2" xfId="38387"/>
    <cellStyle name="Total 28 3 2 5" xfId="38388"/>
    <cellStyle name="Total 28 3 2 6" xfId="38389"/>
    <cellStyle name="Total 28 3 2 7" xfId="38390"/>
    <cellStyle name="Total 28 3 2 8" xfId="38391"/>
    <cellStyle name="Total 28 3 2 9" xfId="38392"/>
    <cellStyle name="Total 28 3 3" xfId="38393"/>
    <cellStyle name="Total 28 3 3 2" xfId="38394"/>
    <cellStyle name="Total 28 3 3 2 2" xfId="38395"/>
    <cellStyle name="Total 28 3 3 3" xfId="38396"/>
    <cellStyle name="Total 28 3 3 3 2" xfId="38397"/>
    <cellStyle name="Total 28 3 3 4" xfId="38398"/>
    <cellStyle name="Total 28 3 3 5" xfId="38399"/>
    <cellStyle name="Total 28 3 3 6" xfId="38400"/>
    <cellStyle name="Total 28 3 4" xfId="38401"/>
    <cellStyle name="Total 28 3 4 2" xfId="38402"/>
    <cellStyle name="Total 28 3 5" xfId="38403"/>
    <cellStyle name="Total 28 3 6" xfId="38404"/>
    <cellStyle name="Total 28 3 7" xfId="38405"/>
    <cellStyle name="Total 28 3 8" xfId="38406"/>
    <cellStyle name="Total 28 3 9" xfId="38380"/>
    <cellStyle name="Total 28 4" xfId="7581"/>
    <cellStyle name="Total 28 4 10" xfId="38407"/>
    <cellStyle name="Total 28 4 2" xfId="7582"/>
    <cellStyle name="Total 28 4 2 2" xfId="38409"/>
    <cellStyle name="Total 28 4 2 3" xfId="38410"/>
    <cellStyle name="Total 28 4 2 4" xfId="38408"/>
    <cellStyle name="Total 28 4 3" xfId="38411"/>
    <cellStyle name="Total 28 4 3 2" xfId="38412"/>
    <cellStyle name="Total 28 4 4" xfId="38413"/>
    <cellStyle name="Total 28 4 4 2" xfId="38414"/>
    <cellStyle name="Total 28 4 5" xfId="38415"/>
    <cellStyle name="Total 28 4 6" xfId="38416"/>
    <cellStyle name="Total 28 4 7" xfId="38417"/>
    <cellStyle name="Total 28 4 8" xfId="38418"/>
    <cellStyle name="Total 28 4 9" xfId="38419"/>
    <cellStyle name="Total 28 5" xfId="7583"/>
    <cellStyle name="Total 28 5 10" xfId="38420"/>
    <cellStyle name="Total 28 5 2" xfId="7584"/>
    <cellStyle name="Total 28 5 2 2" xfId="38422"/>
    <cellStyle name="Total 28 5 2 3" xfId="38423"/>
    <cellStyle name="Total 28 5 2 4" xfId="38421"/>
    <cellStyle name="Total 28 5 3" xfId="38424"/>
    <cellStyle name="Total 28 5 3 2" xfId="38425"/>
    <cellStyle name="Total 28 5 4" xfId="38426"/>
    <cellStyle name="Total 28 5 4 2" xfId="38427"/>
    <cellStyle name="Total 28 5 5" xfId="38428"/>
    <cellStyle name="Total 28 5 6" xfId="38429"/>
    <cellStyle name="Total 28 5 7" xfId="38430"/>
    <cellStyle name="Total 28 5 8" xfId="38431"/>
    <cellStyle name="Total 28 5 9" xfId="38432"/>
    <cellStyle name="Total 28 6" xfId="7585"/>
    <cellStyle name="Total 28 6 2" xfId="38434"/>
    <cellStyle name="Total 28 6 2 2" xfId="38435"/>
    <cellStyle name="Total 28 6 3" xfId="38436"/>
    <cellStyle name="Total 28 6 3 2" xfId="38437"/>
    <cellStyle name="Total 28 6 4" xfId="38438"/>
    <cellStyle name="Total 28 6 5" xfId="38439"/>
    <cellStyle name="Total 28 6 6" xfId="38440"/>
    <cellStyle name="Total 28 6 7" xfId="38433"/>
    <cellStyle name="Total 28 7" xfId="7586"/>
    <cellStyle name="Total 28 7 2" xfId="38442"/>
    <cellStyle name="Total 28 7 3" xfId="38441"/>
    <cellStyle name="Total 28 8" xfId="8461"/>
    <cellStyle name="Total 28 9" xfId="38443"/>
    <cellStyle name="Total 29" xfId="2911"/>
    <cellStyle name="Total 29 10" xfId="38444"/>
    <cellStyle name="Total 29 11" xfId="38445"/>
    <cellStyle name="Total 29 2" xfId="7587"/>
    <cellStyle name="Total 29 2 2" xfId="38447"/>
    <cellStyle name="Total 29 2 2 2" xfId="38448"/>
    <cellStyle name="Total 29 2 2 2 2" xfId="38449"/>
    <cellStyle name="Total 29 2 2 2 3" xfId="38450"/>
    <cellStyle name="Total 29 2 2 3" xfId="38451"/>
    <cellStyle name="Total 29 2 2 3 2" xfId="38452"/>
    <cellStyle name="Total 29 2 2 4" xfId="38453"/>
    <cellStyle name="Total 29 2 2 4 2" xfId="38454"/>
    <cellStyle name="Total 29 2 2 5" xfId="38455"/>
    <cellStyle name="Total 29 2 2 6" xfId="38456"/>
    <cellStyle name="Total 29 2 2 7" xfId="38457"/>
    <cellStyle name="Total 29 2 2 8" xfId="38458"/>
    <cellStyle name="Total 29 2 2 9" xfId="38459"/>
    <cellStyle name="Total 29 2 3" xfId="38460"/>
    <cellStyle name="Total 29 2 3 2" xfId="38461"/>
    <cellStyle name="Total 29 2 3 2 2" xfId="38462"/>
    <cellStyle name="Total 29 2 3 2 3" xfId="38463"/>
    <cellStyle name="Total 29 2 3 3" xfId="38464"/>
    <cellStyle name="Total 29 2 3 3 2" xfId="38465"/>
    <cellStyle name="Total 29 2 3 4" xfId="38466"/>
    <cellStyle name="Total 29 2 3 5" xfId="38467"/>
    <cellStyle name="Total 29 2 3 6" xfId="38468"/>
    <cellStyle name="Total 29 2 4" xfId="38469"/>
    <cellStyle name="Total 29 2 4 2" xfId="38470"/>
    <cellStyle name="Total 29 2 4 3" xfId="38471"/>
    <cellStyle name="Total 29 2 5" xfId="38472"/>
    <cellStyle name="Total 29 2 6" xfId="38473"/>
    <cellStyle name="Total 29 2 7" xfId="38474"/>
    <cellStyle name="Total 29 2 8" xfId="38475"/>
    <cellStyle name="Total 29 2 9" xfId="38446"/>
    <cellStyle name="Total 29 3" xfId="7588"/>
    <cellStyle name="Total 29 3 2" xfId="38477"/>
    <cellStyle name="Total 29 3 2 2" xfId="38478"/>
    <cellStyle name="Total 29 3 2 2 2" xfId="38479"/>
    <cellStyle name="Total 29 3 2 3" xfId="38480"/>
    <cellStyle name="Total 29 3 2 3 2" xfId="38481"/>
    <cellStyle name="Total 29 3 2 4" xfId="38482"/>
    <cellStyle name="Total 29 3 2 4 2" xfId="38483"/>
    <cellStyle name="Total 29 3 2 5" xfId="38484"/>
    <cellStyle name="Total 29 3 2 6" xfId="38485"/>
    <cellStyle name="Total 29 3 2 7" xfId="38486"/>
    <cellStyle name="Total 29 3 2 8" xfId="38487"/>
    <cellStyle name="Total 29 3 2 9" xfId="38488"/>
    <cellStyle name="Total 29 3 3" xfId="38489"/>
    <cellStyle name="Total 29 3 3 2" xfId="38490"/>
    <cellStyle name="Total 29 3 3 2 2" xfId="38491"/>
    <cellStyle name="Total 29 3 3 3" xfId="38492"/>
    <cellStyle name="Total 29 3 3 3 2" xfId="38493"/>
    <cellStyle name="Total 29 3 3 4" xfId="38494"/>
    <cellStyle name="Total 29 3 3 5" xfId="38495"/>
    <cellStyle name="Total 29 3 3 6" xfId="38496"/>
    <cellStyle name="Total 29 3 4" xfId="38497"/>
    <cellStyle name="Total 29 3 4 2" xfId="38498"/>
    <cellStyle name="Total 29 3 5" xfId="38499"/>
    <cellStyle name="Total 29 3 6" xfId="38500"/>
    <cellStyle name="Total 29 3 7" xfId="38501"/>
    <cellStyle name="Total 29 3 8" xfId="38502"/>
    <cellStyle name="Total 29 3 9" xfId="38476"/>
    <cellStyle name="Total 29 4" xfId="7589"/>
    <cellStyle name="Total 29 4 10" xfId="38503"/>
    <cellStyle name="Total 29 4 2" xfId="7590"/>
    <cellStyle name="Total 29 4 2 2" xfId="38505"/>
    <cellStyle name="Total 29 4 2 3" xfId="38506"/>
    <cellStyle name="Total 29 4 2 4" xfId="38504"/>
    <cellStyle name="Total 29 4 3" xfId="38507"/>
    <cellStyle name="Total 29 4 3 2" xfId="38508"/>
    <cellStyle name="Total 29 4 4" xfId="38509"/>
    <cellStyle name="Total 29 4 4 2" xfId="38510"/>
    <cellStyle name="Total 29 4 5" xfId="38511"/>
    <cellStyle name="Total 29 4 6" xfId="38512"/>
    <cellStyle name="Total 29 4 7" xfId="38513"/>
    <cellStyle name="Total 29 4 8" xfId="38514"/>
    <cellStyle name="Total 29 4 9" xfId="38515"/>
    <cellStyle name="Total 29 5" xfId="7591"/>
    <cellStyle name="Total 29 5 10" xfId="38516"/>
    <cellStyle name="Total 29 5 2" xfId="7592"/>
    <cellStyle name="Total 29 5 2 2" xfId="38518"/>
    <cellStyle name="Total 29 5 2 3" xfId="38519"/>
    <cellStyle name="Total 29 5 2 4" xfId="38517"/>
    <cellStyle name="Total 29 5 3" xfId="38520"/>
    <cellStyle name="Total 29 5 3 2" xfId="38521"/>
    <cellStyle name="Total 29 5 4" xfId="38522"/>
    <cellStyle name="Total 29 5 4 2" xfId="38523"/>
    <cellStyle name="Total 29 5 5" xfId="38524"/>
    <cellStyle name="Total 29 5 6" xfId="38525"/>
    <cellStyle name="Total 29 5 7" xfId="38526"/>
    <cellStyle name="Total 29 5 8" xfId="38527"/>
    <cellStyle name="Total 29 5 9" xfId="38528"/>
    <cellStyle name="Total 29 6" xfId="7593"/>
    <cellStyle name="Total 29 6 2" xfId="38530"/>
    <cellStyle name="Total 29 6 2 2" xfId="38531"/>
    <cellStyle name="Total 29 6 3" xfId="38532"/>
    <cellStyle name="Total 29 6 3 2" xfId="38533"/>
    <cellStyle name="Total 29 6 4" xfId="38534"/>
    <cellStyle name="Total 29 6 5" xfId="38535"/>
    <cellStyle name="Total 29 6 6" xfId="38536"/>
    <cellStyle name="Total 29 6 7" xfId="38529"/>
    <cellStyle name="Total 29 7" xfId="7594"/>
    <cellStyle name="Total 29 7 2" xfId="38538"/>
    <cellStyle name="Total 29 7 3" xfId="38537"/>
    <cellStyle name="Total 29 8" xfId="8462"/>
    <cellStyle name="Total 29 9" xfId="38539"/>
    <cellStyle name="Total 3" xfId="2346"/>
    <cellStyle name="Total 3 10" xfId="38540"/>
    <cellStyle name="Total 3 11" xfId="38541"/>
    <cellStyle name="Total 3 2" xfId="2347"/>
    <cellStyle name="Total 3 2 2" xfId="2348"/>
    <cellStyle name="Total 3 2 2 2" xfId="8286"/>
    <cellStyle name="Total 3 2 2 2 2" xfId="38542"/>
    <cellStyle name="Total 3 2 2 2 3" xfId="38543"/>
    <cellStyle name="Total 3 2 2 3" xfId="38544"/>
    <cellStyle name="Total 3 2 2 3 2" xfId="38545"/>
    <cellStyle name="Total 3 2 2 4" xfId="38546"/>
    <cellStyle name="Total 3 2 2 4 2" xfId="38547"/>
    <cellStyle name="Total 3 2 2 5" xfId="38548"/>
    <cellStyle name="Total 3 2 2 6" xfId="38549"/>
    <cellStyle name="Total 3 2 2 7" xfId="38550"/>
    <cellStyle name="Total 3 2 2 8" xfId="38551"/>
    <cellStyle name="Total 3 2 2 9" xfId="38552"/>
    <cellStyle name="Total 3 2 3" xfId="7595"/>
    <cellStyle name="Total 3 2 3 2" xfId="38554"/>
    <cellStyle name="Total 3 2 3 2 2" xfId="38555"/>
    <cellStyle name="Total 3 2 3 2 3" xfId="38556"/>
    <cellStyle name="Total 3 2 3 3" xfId="38557"/>
    <cellStyle name="Total 3 2 3 3 2" xfId="38558"/>
    <cellStyle name="Total 3 2 3 4" xfId="38559"/>
    <cellStyle name="Total 3 2 3 5" xfId="38560"/>
    <cellStyle name="Total 3 2 3 6" xfId="38561"/>
    <cellStyle name="Total 3 2 3 7" xfId="38553"/>
    <cellStyle name="Total 3 2 4" xfId="7596"/>
    <cellStyle name="Total 3 2 4 2" xfId="7597"/>
    <cellStyle name="Total 3 2 4 2 2" xfId="38563"/>
    <cellStyle name="Total 3 2 4 3" xfId="38564"/>
    <cellStyle name="Total 3 2 4 4" xfId="38562"/>
    <cellStyle name="Total 3 2 5" xfId="7598"/>
    <cellStyle name="Total 3 2 5 2" xfId="7599"/>
    <cellStyle name="Total 3 2 5 3" xfId="38565"/>
    <cellStyle name="Total 3 2 6" xfId="7600"/>
    <cellStyle name="Total 3 2 6 2" xfId="38566"/>
    <cellStyle name="Total 3 2 7" xfId="7601"/>
    <cellStyle name="Total 3 2 7 2" xfId="38567"/>
    <cellStyle name="Total 3 2 8" xfId="8285"/>
    <cellStyle name="Total 3 3" xfId="2349"/>
    <cellStyle name="Total 3 3 2" xfId="2350"/>
    <cellStyle name="Total 3 3 2 2" xfId="8288"/>
    <cellStyle name="Total 3 3 2 2 2" xfId="38568"/>
    <cellStyle name="Total 3 3 2 3" xfId="38569"/>
    <cellStyle name="Total 3 3 2 3 2" xfId="38570"/>
    <cellStyle name="Total 3 3 2 4" xfId="38571"/>
    <cellStyle name="Total 3 3 2 4 2" xfId="38572"/>
    <cellStyle name="Total 3 3 2 5" xfId="38573"/>
    <cellStyle name="Total 3 3 2 6" xfId="38574"/>
    <cellStyle name="Total 3 3 2 7" xfId="38575"/>
    <cellStyle name="Total 3 3 2 8" xfId="38576"/>
    <cellStyle name="Total 3 3 2 9" xfId="38577"/>
    <cellStyle name="Total 3 3 3" xfId="8287"/>
    <cellStyle name="Total 3 3 3 2" xfId="38578"/>
    <cellStyle name="Total 3 3 3 2 2" xfId="38579"/>
    <cellStyle name="Total 3 3 3 3" xfId="38580"/>
    <cellStyle name="Total 3 3 3 3 2" xfId="38581"/>
    <cellStyle name="Total 3 3 3 4" xfId="38582"/>
    <cellStyle name="Total 3 3 3 5" xfId="38583"/>
    <cellStyle name="Total 3 3 3 6" xfId="38584"/>
    <cellStyle name="Total 3 3 4" xfId="38585"/>
    <cellStyle name="Total 3 3 4 2" xfId="38586"/>
    <cellStyle name="Total 3 3 5" xfId="38587"/>
    <cellStyle name="Total 3 3 6" xfId="38588"/>
    <cellStyle name="Total 3 3 7" xfId="38589"/>
    <cellStyle name="Total 3 3 8" xfId="38590"/>
    <cellStyle name="Total 3 4" xfId="2351"/>
    <cellStyle name="Total 3 4 2" xfId="8289"/>
    <cellStyle name="Total 3 4 2 2" xfId="38591"/>
    <cellStyle name="Total 3 4 2 3" xfId="38592"/>
    <cellStyle name="Total 3 4 3" xfId="38593"/>
    <cellStyle name="Total 3 4 3 2" xfId="38594"/>
    <cellStyle name="Total 3 4 4" xfId="38595"/>
    <cellStyle name="Total 3 4 4 2" xfId="38596"/>
    <cellStyle name="Total 3 4 5" xfId="38597"/>
    <cellStyle name="Total 3 4 6" xfId="38598"/>
    <cellStyle name="Total 3 4 7" xfId="38599"/>
    <cellStyle name="Total 3 4 8" xfId="38600"/>
    <cellStyle name="Total 3 4 9" xfId="38601"/>
    <cellStyle name="Total 3 5" xfId="7602"/>
    <cellStyle name="Total 3 5 10" xfId="38602"/>
    <cellStyle name="Total 3 5 2" xfId="7603"/>
    <cellStyle name="Total 3 5 2 2" xfId="38604"/>
    <cellStyle name="Total 3 5 2 3" xfId="38605"/>
    <cellStyle name="Total 3 5 2 4" xfId="38603"/>
    <cellStyle name="Total 3 5 3" xfId="38606"/>
    <cellStyle name="Total 3 5 3 2" xfId="38607"/>
    <cellStyle name="Total 3 5 4" xfId="38608"/>
    <cellStyle name="Total 3 5 4 2" xfId="38609"/>
    <cellStyle name="Total 3 5 5" xfId="38610"/>
    <cellStyle name="Total 3 5 6" xfId="38611"/>
    <cellStyle name="Total 3 5 7" xfId="38612"/>
    <cellStyle name="Total 3 5 8" xfId="38613"/>
    <cellStyle name="Total 3 5 9" xfId="38614"/>
    <cellStyle name="Total 3 6" xfId="7604"/>
    <cellStyle name="Total 3 6 2" xfId="7605"/>
    <cellStyle name="Total 3 6 2 2" xfId="38617"/>
    <cellStyle name="Total 3 6 2 3" xfId="38616"/>
    <cellStyle name="Total 3 6 3" xfId="38618"/>
    <cellStyle name="Total 3 6 3 2" xfId="38619"/>
    <cellStyle name="Total 3 6 4" xfId="38620"/>
    <cellStyle name="Total 3 6 5" xfId="38621"/>
    <cellStyle name="Total 3 6 6" xfId="38622"/>
    <cellStyle name="Total 3 6 7" xfId="38615"/>
    <cellStyle name="Total 3 7" xfId="7606"/>
    <cellStyle name="Total 3 7 2" xfId="38624"/>
    <cellStyle name="Total 3 7 3" xfId="38623"/>
    <cellStyle name="Total 3 8" xfId="7607"/>
    <cellStyle name="Total 3 8 2" xfId="38625"/>
    <cellStyle name="Total 3 9" xfId="8284"/>
    <cellStyle name="Total 30" xfId="2912"/>
    <cellStyle name="Total 30 10" xfId="38626"/>
    <cellStyle name="Total 30 11" xfId="38627"/>
    <cellStyle name="Total 30 2" xfId="7608"/>
    <cellStyle name="Total 30 2 2" xfId="38629"/>
    <cellStyle name="Total 30 2 2 2" xfId="38630"/>
    <cellStyle name="Total 30 2 2 2 2" xfId="38631"/>
    <cellStyle name="Total 30 2 2 2 3" xfId="38632"/>
    <cellStyle name="Total 30 2 2 3" xfId="38633"/>
    <cellStyle name="Total 30 2 2 3 2" xfId="38634"/>
    <cellStyle name="Total 30 2 2 4" xfId="38635"/>
    <cellStyle name="Total 30 2 2 4 2" xfId="38636"/>
    <cellStyle name="Total 30 2 2 5" xfId="38637"/>
    <cellStyle name="Total 30 2 2 6" xfId="38638"/>
    <cellStyle name="Total 30 2 2 7" xfId="38639"/>
    <cellStyle name="Total 30 2 2 8" xfId="38640"/>
    <cellStyle name="Total 30 2 2 9" xfId="38641"/>
    <cellStyle name="Total 30 2 3" xfId="38642"/>
    <cellStyle name="Total 30 2 3 2" xfId="38643"/>
    <cellStyle name="Total 30 2 3 2 2" xfId="38644"/>
    <cellStyle name="Total 30 2 3 2 3" xfId="38645"/>
    <cellStyle name="Total 30 2 3 3" xfId="38646"/>
    <cellStyle name="Total 30 2 3 3 2" xfId="38647"/>
    <cellStyle name="Total 30 2 3 4" xfId="38648"/>
    <cellStyle name="Total 30 2 3 5" xfId="38649"/>
    <cellStyle name="Total 30 2 3 6" xfId="38650"/>
    <cellStyle name="Total 30 2 4" xfId="38651"/>
    <cellStyle name="Total 30 2 4 2" xfId="38652"/>
    <cellStyle name="Total 30 2 4 3" xfId="38653"/>
    <cellStyle name="Total 30 2 5" xfId="38654"/>
    <cellStyle name="Total 30 2 6" xfId="38655"/>
    <cellStyle name="Total 30 2 7" xfId="38656"/>
    <cellStyle name="Total 30 2 8" xfId="38657"/>
    <cellStyle name="Total 30 2 9" xfId="38628"/>
    <cellStyle name="Total 30 3" xfId="7609"/>
    <cellStyle name="Total 30 3 2" xfId="38659"/>
    <cellStyle name="Total 30 3 2 2" xfId="38660"/>
    <cellStyle name="Total 30 3 2 2 2" xfId="38661"/>
    <cellStyle name="Total 30 3 2 3" xfId="38662"/>
    <cellStyle name="Total 30 3 2 3 2" xfId="38663"/>
    <cellStyle name="Total 30 3 2 4" xfId="38664"/>
    <cellStyle name="Total 30 3 2 4 2" xfId="38665"/>
    <cellStyle name="Total 30 3 2 5" xfId="38666"/>
    <cellStyle name="Total 30 3 2 6" xfId="38667"/>
    <cellStyle name="Total 30 3 2 7" xfId="38668"/>
    <cellStyle name="Total 30 3 2 8" xfId="38669"/>
    <cellStyle name="Total 30 3 2 9" xfId="38670"/>
    <cellStyle name="Total 30 3 3" xfId="38671"/>
    <cellStyle name="Total 30 3 3 2" xfId="38672"/>
    <cellStyle name="Total 30 3 3 2 2" xfId="38673"/>
    <cellStyle name="Total 30 3 3 3" xfId="38674"/>
    <cellStyle name="Total 30 3 3 3 2" xfId="38675"/>
    <cellStyle name="Total 30 3 3 4" xfId="38676"/>
    <cellStyle name="Total 30 3 3 5" xfId="38677"/>
    <cellStyle name="Total 30 3 3 6" xfId="38678"/>
    <cellStyle name="Total 30 3 4" xfId="38679"/>
    <cellStyle name="Total 30 3 4 2" xfId="38680"/>
    <cellStyle name="Total 30 3 5" xfId="38681"/>
    <cellStyle name="Total 30 3 6" xfId="38682"/>
    <cellStyle name="Total 30 3 7" xfId="38683"/>
    <cellStyle name="Total 30 3 8" xfId="38684"/>
    <cellStyle name="Total 30 3 9" xfId="38658"/>
    <cellStyle name="Total 30 4" xfId="7610"/>
    <cellStyle name="Total 30 4 10" xfId="38685"/>
    <cellStyle name="Total 30 4 2" xfId="7611"/>
    <cellStyle name="Total 30 4 2 2" xfId="38687"/>
    <cellStyle name="Total 30 4 2 3" xfId="38688"/>
    <cellStyle name="Total 30 4 2 4" xfId="38686"/>
    <cellStyle name="Total 30 4 3" xfId="38689"/>
    <cellStyle name="Total 30 4 3 2" xfId="38690"/>
    <cellStyle name="Total 30 4 4" xfId="38691"/>
    <cellStyle name="Total 30 4 4 2" xfId="38692"/>
    <cellStyle name="Total 30 4 5" xfId="38693"/>
    <cellStyle name="Total 30 4 6" xfId="38694"/>
    <cellStyle name="Total 30 4 7" xfId="38695"/>
    <cellStyle name="Total 30 4 8" xfId="38696"/>
    <cellStyle name="Total 30 4 9" xfId="38697"/>
    <cellStyle name="Total 30 5" xfId="7612"/>
    <cellStyle name="Total 30 5 10" xfId="38698"/>
    <cellStyle name="Total 30 5 2" xfId="7613"/>
    <cellStyle name="Total 30 5 2 2" xfId="38700"/>
    <cellStyle name="Total 30 5 2 3" xfId="38701"/>
    <cellStyle name="Total 30 5 2 4" xfId="38699"/>
    <cellStyle name="Total 30 5 3" xfId="38702"/>
    <cellStyle name="Total 30 5 3 2" xfId="38703"/>
    <cellStyle name="Total 30 5 4" xfId="38704"/>
    <cellStyle name="Total 30 5 4 2" xfId="38705"/>
    <cellStyle name="Total 30 5 5" xfId="38706"/>
    <cellStyle name="Total 30 5 6" xfId="38707"/>
    <cellStyle name="Total 30 5 7" xfId="38708"/>
    <cellStyle name="Total 30 5 8" xfId="38709"/>
    <cellStyle name="Total 30 5 9" xfId="38710"/>
    <cellStyle name="Total 30 6" xfId="7614"/>
    <cellStyle name="Total 30 6 2" xfId="38712"/>
    <cellStyle name="Total 30 6 2 2" xfId="38713"/>
    <cellStyle name="Total 30 6 3" xfId="38714"/>
    <cellStyle name="Total 30 6 3 2" xfId="38715"/>
    <cellStyle name="Total 30 6 4" xfId="38716"/>
    <cellStyle name="Total 30 6 5" xfId="38717"/>
    <cellStyle name="Total 30 6 6" xfId="38718"/>
    <cellStyle name="Total 30 6 7" xfId="38711"/>
    <cellStyle name="Total 30 7" xfId="7615"/>
    <cellStyle name="Total 30 7 2" xfId="38720"/>
    <cellStyle name="Total 30 7 3" xfId="38719"/>
    <cellStyle name="Total 30 8" xfId="8463"/>
    <cellStyle name="Total 30 9" xfId="38721"/>
    <cellStyle name="Total 31" xfId="2913"/>
    <cellStyle name="Total 31 10" xfId="38722"/>
    <cellStyle name="Total 31 11" xfId="38723"/>
    <cellStyle name="Total 31 2" xfId="7616"/>
    <cellStyle name="Total 31 2 2" xfId="38725"/>
    <cellStyle name="Total 31 2 2 2" xfId="38726"/>
    <cellStyle name="Total 31 2 2 2 2" xfId="38727"/>
    <cellStyle name="Total 31 2 2 2 3" xfId="38728"/>
    <cellStyle name="Total 31 2 2 3" xfId="38729"/>
    <cellStyle name="Total 31 2 2 3 2" xfId="38730"/>
    <cellStyle name="Total 31 2 2 4" xfId="38731"/>
    <cellStyle name="Total 31 2 2 4 2" xfId="38732"/>
    <cellStyle name="Total 31 2 2 5" xfId="38733"/>
    <cellStyle name="Total 31 2 2 6" xfId="38734"/>
    <cellStyle name="Total 31 2 2 7" xfId="38735"/>
    <cellStyle name="Total 31 2 2 8" xfId="38736"/>
    <cellStyle name="Total 31 2 2 9" xfId="38737"/>
    <cellStyle name="Total 31 2 3" xfId="38738"/>
    <cellStyle name="Total 31 2 3 2" xfId="38739"/>
    <cellStyle name="Total 31 2 3 2 2" xfId="38740"/>
    <cellStyle name="Total 31 2 3 2 3" xfId="38741"/>
    <cellStyle name="Total 31 2 3 3" xfId="38742"/>
    <cellStyle name="Total 31 2 3 3 2" xfId="38743"/>
    <cellStyle name="Total 31 2 3 4" xfId="38744"/>
    <cellStyle name="Total 31 2 3 5" xfId="38745"/>
    <cellStyle name="Total 31 2 3 6" xfId="38746"/>
    <cellStyle name="Total 31 2 4" xfId="38747"/>
    <cellStyle name="Total 31 2 4 2" xfId="38748"/>
    <cellStyle name="Total 31 2 4 3" xfId="38749"/>
    <cellStyle name="Total 31 2 5" xfId="38750"/>
    <cellStyle name="Total 31 2 6" xfId="38751"/>
    <cellStyle name="Total 31 2 7" xfId="38752"/>
    <cellStyle name="Total 31 2 8" xfId="38753"/>
    <cellStyle name="Total 31 2 9" xfId="38724"/>
    <cellStyle name="Total 31 3" xfId="7617"/>
    <cellStyle name="Total 31 3 2" xfId="38755"/>
    <cellStyle name="Total 31 3 2 2" xfId="38756"/>
    <cellStyle name="Total 31 3 2 2 2" xfId="38757"/>
    <cellStyle name="Total 31 3 2 3" xfId="38758"/>
    <cellStyle name="Total 31 3 2 3 2" xfId="38759"/>
    <cellStyle name="Total 31 3 2 4" xfId="38760"/>
    <cellStyle name="Total 31 3 2 4 2" xfId="38761"/>
    <cellStyle name="Total 31 3 2 5" xfId="38762"/>
    <cellStyle name="Total 31 3 2 6" xfId="38763"/>
    <cellStyle name="Total 31 3 2 7" xfId="38764"/>
    <cellStyle name="Total 31 3 2 8" xfId="38765"/>
    <cellStyle name="Total 31 3 2 9" xfId="38766"/>
    <cellStyle name="Total 31 3 3" xfId="38767"/>
    <cellStyle name="Total 31 3 3 2" xfId="38768"/>
    <cellStyle name="Total 31 3 3 2 2" xfId="38769"/>
    <cellStyle name="Total 31 3 3 3" xfId="38770"/>
    <cellStyle name="Total 31 3 3 3 2" xfId="38771"/>
    <cellStyle name="Total 31 3 3 4" xfId="38772"/>
    <cellStyle name="Total 31 3 3 5" xfId="38773"/>
    <cellStyle name="Total 31 3 3 6" xfId="38774"/>
    <cellStyle name="Total 31 3 4" xfId="38775"/>
    <cellStyle name="Total 31 3 4 2" xfId="38776"/>
    <cellStyle name="Total 31 3 5" xfId="38777"/>
    <cellStyle name="Total 31 3 6" xfId="38778"/>
    <cellStyle name="Total 31 3 7" xfId="38779"/>
    <cellStyle name="Total 31 3 8" xfId="38780"/>
    <cellStyle name="Total 31 3 9" xfId="38754"/>
    <cellStyle name="Total 31 4" xfId="7618"/>
    <cellStyle name="Total 31 4 10" xfId="38781"/>
    <cellStyle name="Total 31 4 2" xfId="7619"/>
    <cellStyle name="Total 31 4 2 2" xfId="38783"/>
    <cellStyle name="Total 31 4 2 3" xfId="38784"/>
    <cellStyle name="Total 31 4 2 4" xfId="38782"/>
    <cellStyle name="Total 31 4 3" xfId="38785"/>
    <cellStyle name="Total 31 4 3 2" xfId="38786"/>
    <cellStyle name="Total 31 4 4" xfId="38787"/>
    <cellStyle name="Total 31 4 4 2" xfId="38788"/>
    <cellStyle name="Total 31 4 5" xfId="38789"/>
    <cellStyle name="Total 31 4 6" xfId="38790"/>
    <cellStyle name="Total 31 4 7" xfId="38791"/>
    <cellStyle name="Total 31 4 8" xfId="38792"/>
    <cellStyle name="Total 31 4 9" xfId="38793"/>
    <cellStyle name="Total 31 5" xfId="7620"/>
    <cellStyle name="Total 31 5 10" xfId="38794"/>
    <cellStyle name="Total 31 5 2" xfId="7621"/>
    <cellStyle name="Total 31 5 2 2" xfId="38796"/>
    <cellStyle name="Total 31 5 2 3" xfId="38797"/>
    <cellStyle name="Total 31 5 2 4" xfId="38795"/>
    <cellStyle name="Total 31 5 3" xfId="38798"/>
    <cellStyle name="Total 31 5 3 2" xfId="38799"/>
    <cellStyle name="Total 31 5 4" xfId="38800"/>
    <cellStyle name="Total 31 5 4 2" xfId="38801"/>
    <cellStyle name="Total 31 5 5" xfId="38802"/>
    <cellStyle name="Total 31 5 6" xfId="38803"/>
    <cellStyle name="Total 31 5 7" xfId="38804"/>
    <cellStyle name="Total 31 5 8" xfId="38805"/>
    <cellStyle name="Total 31 5 9" xfId="38806"/>
    <cellStyle name="Total 31 6" xfId="7622"/>
    <cellStyle name="Total 31 6 2" xfId="38808"/>
    <cellStyle name="Total 31 6 2 2" xfId="38809"/>
    <cellStyle name="Total 31 6 3" xfId="38810"/>
    <cellStyle name="Total 31 6 3 2" xfId="38811"/>
    <cellStyle name="Total 31 6 4" xfId="38812"/>
    <cellStyle name="Total 31 6 5" xfId="38813"/>
    <cellStyle name="Total 31 6 6" xfId="38814"/>
    <cellStyle name="Total 31 6 7" xfId="38807"/>
    <cellStyle name="Total 31 7" xfId="7623"/>
    <cellStyle name="Total 31 7 2" xfId="38816"/>
    <cellStyle name="Total 31 7 3" xfId="38815"/>
    <cellStyle name="Total 31 8" xfId="8464"/>
    <cellStyle name="Total 31 9" xfId="38817"/>
    <cellStyle name="Total 32" xfId="2914"/>
    <cellStyle name="Total 32 10" xfId="38818"/>
    <cellStyle name="Total 32 11" xfId="38819"/>
    <cellStyle name="Total 32 2" xfId="7624"/>
    <cellStyle name="Total 32 2 2" xfId="38821"/>
    <cellStyle name="Total 32 2 2 2" xfId="38822"/>
    <cellStyle name="Total 32 2 2 2 2" xfId="38823"/>
    <cellStyle name="Total 32 2 2 2 3" xfId="38824"/>
    <cellStyle name="Total 32 2 2 3" xfId="38825"/>
    <cellStyle name="Total 32 2 2 3 2" xfId="38826"/>
    <cellStyle name="Total 32 2 2 4" xfId="38827"/>
    <cellStyle name="Total 32 2 2 4 2" xfId="38828"/>
    <cellStyle name="Total 32 2 2 5" xfId="38829"/>
    <cellStyle name="Total 32 2 2 6" xfId="38830"/>
    <cellStyle name="Total 32 2 2 7" xfId="38831"/>
    <cellStyle name="Total 32 2 2 8" xfId="38832"/>
    <cellStyle name="Total 32 2 2 9" xfId="38833"/>
    <cellStyle name="Total 32 2 3" xfId="38834"/>
    <cellStyle name="Total 32 2 3 2" xfId="38835"/>
    <cellStyle name="Total 32 2 3 2 2" xfId="38836"/>
    <cellStyle name="Total 32 2 3 2 3" xfId="38837"/>
    <cellStyle name="Total 32 2 3 3" xfId="38838"/>
    <cellStyle name="Total 32 2 3 3 2" xfId="38839"/>
    <cellStyle name="Total 32 2 3 4" xfId="38840"/>
    <cellStyle name="Total 32 2 3 5" xfId="38841"/>
    <cellStyle name="Total 32 2 3 6" xfId="38842"/>
    <cellStyle name="Total 32 2 4" xfId="38843"/>
    <cellStyle name="Total 32 2 4 2" xfId="38844"/>
    <cellStyle name="Total 32 2 4 3" xfId="38845"/>
    <cellStyle name="Total 32 2 5" xfId="38846"/>
    <cellStyle name="Total 32 2 6" xfId="38847"/>
    <cellStyle name="Total 32 2 7" xfId="38848"/>
    <cellStyle name="Total 32 2 8" xfId="38849"/>
    <cellStyle name="Total 32 2 9" xfId="38820"/>
    <cellStyle name="Total 32 3" xfId="7625"/>
    <cellStyle name="Total 32 3 2" xfId="38851"/>
    <cellStyle name="Total 32 3 2 2" xfId="38852"/>
    <cellStyle name="Total 32 3 2 2 2" xfId="38853"/>
    <cellStyle name="Total 32 3 2 3" xfId="38854"/>
    <cellStyle name="Total 32 3 2 3 2" xfId="38855"/>
    <cellStyle name="Total 32 3 2 4" xfId="38856"/>
    <cellStyle name="Total 32 3 2 4 2" xfId="38857"/>
    <cellStyle name="Total 32 3 2 5" xfId="38858"/>
    <cellStyle name="Total 32 3 2 6" xfId="38859"/>
    <cellStyle name="Total 32 3 2 7" xfId="38860"/>
    <cellStyle name="Total 32 3 2 8" xfId="38861"/>
    <cellStyle name="Total 32 3 2 9" xfId="38862"/>
    <cellStyle name="Total 32 3 3" xfId="38863"/>
    <cellStyle name="Total 32 3 3 2" xfId="38864"/>
    <cellStyle name="Total 32 3 3 2 2" xfId="38865"/>
    <cellStyle name="Total 32 3 3 3" xfId="38866"/>
    <cellStyle name="Total 32 3 3 3 2" xfId="38867"/>
    <cellStyle name="Total 32 3 3 4" xfId="38868"/>
    <cellStyle name="Total 32 3 3 5" xfId="38869"/>
    <cellStyle name="Total 32 3 3 6" xfId="38870"/>
    <cellStyle name="Total 32 3 4" xfId="38871"/>
    <cellStyle name="Total 32 3 4 2" xfId="38872"/>
    <cellStyle name="Total 32 3 5" xfId="38873"/>
    <cellStyle name="Total 32 3 6" xfId="38874"/>
    <cellStyle name="Total 32 3 7" xfId="38875"/>
    <cellStyle name="Total 32 3 8" xfId="38876"/>
    <cellStyle name="Total 32 3 9" xfId="38850"/>
    <cellStyle name="Total 32 4" xfId="7626"/>
    <cellStyle name="Total 32 4 10" xfId="38877"/>
    <cellStyle name="Total 32 4 2" xfId="7627"/>
    <cellStyle name="Total 32 4 2 2" xfId="38879"/>
    <cellStyle name="Total 32 4 2 3" xfId="38880"/>
    <cellStyle name="Total 32 4 2 4" xfId="38878"/>
    <cellStyle name="Total 32 4 3" xfId="38881"/>
    <cellStyle name="Total 32 4 3 2" xfId="38882"/>
    <cellStyle name="Total 32 4 4" xfId="38883"/>
    <cellStyle name="Total 32 4 4 2" xfId="38884"/>
    <cellStyle name="Total 32 4 5" xfId="38885"/>
    <cellStyle name="Total 32 4 6" xfId="38886"/>
    <cellStyle name="Total 32 4 7" xfId="38887"/>
    <cellStyle name="Total 32 4 8" xfId="38888"/>
    <cellStyle name="Total 32 4 9" xfId="38889"/>
    <cellStyle name="Total 32 5" xfId="7628"/>
    <cellStyle name="Total 32 5 10" xfId="38890"/>
    <cellStyle name="Total 32 5 2" xfId="7629"/>
    <cellStyle name="Total 32 5 2 2" xfId="38892"/>
    <cellStyle name="Total 32 5 2 3" xfId="38893"/>
    <cellStyle name="Total 32 5 2 4" xfId="38891"/>
    <cellStyle name="Total 32 5 3" xfId="38894"/>
    <cellStyle name="Total 32 5 3 2" xfId="38895"/>
    <cellStyle name="Total 32 5 4" xfId="38896"/>
    <cellStyle name="Total 32 5 4 2" xfId="38897"/>
    <cellStyle name="Total 32 5 5" xfId="38898"/>
    <cellStyle name="Total 32 5 6" xfId="38899"/>
    <cellStyle name="Total 32 5 7" xfId="38900"/>
    <cellStyle name="Total 32 5 8" xfId="38901"/>
    <cellStyle name="Total 32 5 9" xfId="38902"/>
    <cellStyle name="Total 32 6" xfId="7630"/>
    <cellStyle name="Total 32 6 2" xfId="38904"/>
    <cellStyle name="Total 32 6 2 2" xfId="38905"/>
    <cellStyle name="Total 32 6 3" xfId="38906"/>
    <cellStyle name="Total 32 6 3 2" xfId="38907"/>
    <cellStyle name="Total 32 6 4" xfId="38908"/>
    <cellStyle name="Total 32 6 5" xfId="38909"/>
    <cellStyle name="Total 32 6 6" xfId="38910"/>
    <cellStyle name="Total 32 6 7" xfId="38903"/>
    <cellStyle name="Total 32 7" xfId="7631"/>
    <cellStyle name="Total 32 7 2" xfId="38912"/>
    <cellStyle name="Total 32 7 3" xfId="38911"/>
    <cellStyle name="Total 32 8" xfId="8465"/>
    <cellStyle name="Total 32 9" xfId="38913"/>
    <cellStyle name="Total 33" xfId="2915"/>
    <cellStyle name="Total 33 10" xfId="38914"/>
    <cellStyle name="Total 33 11" xfId="38915"/>
    <cellStyle name="Total 33 2" xfId="7632"/>
    <cellStyle name="Total 33 2 2" xfId="38917"/>
    <cellStyle name="Total 33 2 2 2" xfId="38918"/>
    <cellStyle name="Total 33 2 2 2 2" xfId="38919"/>
    <cellStyle name="Total 33 2 2 2 3" xfId="38920"/>
    <cellStyle name="Total 33 2 2 3" xfId="38921"/>
    <cellStyle name="Total 33 2 2 3 2" xfId="38922"/>
    <cellStyle name="Total 33 2 2 4" xfId="38923"/>
    <cellStyle name="Total 33 2 2 4 2" xfId="38924"/>
    <cellStyle name="Total 33 2 2 5" xfId="38925"/>
    <cellStyle name="Total 33 2 2 6" xfId="38926"/>
    <cellStyle name="Total 33 2 2 7" xfId="38927"/>
    <cellStyle name="Total 33 2 2 8" xfId="38928"/>
    <cellStyle name="Total 33 2 2 9" xfId="38929"/>
    <cellStyle name="Total 33 2 3" xfId="38930"/>
    <cellStyle name="Total 33 2 3 2" xfId="38931"/>
    <cellStyle name="Total 33 2 3 2 2" xfId="38932"/>
    <cellStyle name="Total 33 2 3 2 3" xfId="38933"/>
    <cellStyle name="Total 33 2 3 3" xfId="38934"/>
    <cellStyle name="Total 33 2 3 3 2" xfId="38935"/>
    <cellStyle name="Total 33 2 3 4" xfId="38936"/>
    <cellStyle name="Total 33 2 3 5" xfId="38937"/>
    <cellStyle name="Total 33 2 3 6" xfId="38938"/>
    <cellStyle name="Total 33 2 4" xfId="38939"/>
    <cellStyle name="Total 33 2 4 2" xfId="38940"/>
    <cellStyle name="Total 33 2 4 3" xfId="38941"/>
    <cellStyle name="Total 33 2 5" xfId="38942"/>
    <cellStyle name="Total 33 2 6" xfId="38943"/>
    <cellStyle name="Total 33 2 7" xfId="38944"/>
    <cellStyle name="Total 33 2 8" xfId="38945"/>
    <cellStyle name="Total 33 2 9" xfId="38916"/>
    <cellStyle name="Total 33 3" xfId="7633"/>
    <cellStyle name="Total 33 3 2" xfId="38947"/>
    <cellStyle name="Total 33 3 2 2" xfId="38948"/>
    <cellStyle name="Total 33 3 2 2 2" xfId="38949"/>
    <cellStyle name="Total 33 3 2 3" xfId="38950"/>
    <cellStyle name="Total 33 3 2 3 2" xfId="38951"/>
    <cellStyle name="Total 33 3 2 4" xfId="38952"/>
    <cellStyle name="Total 33 3 2 4 2" xfId="38953"/>
    <cellStyle name="Total 33 3 2 5" xfId="38954"/>
    <cellStyle name="Total 33 3 2 6" xfId="38955"/>
    <cellStyle name="Total 33 3 2 7" xfId="38956"/>
    <cellStyle name="Total 33 3 2 8" xfId="38957"/>
    <cellStyle name="Total 33 3 2 9" xfId="38958"/>
    <cellStyle name="Total 33 3 3" xfId="38959"/>
    <cellStyle name="Total 33 3 3 2" xfId="38960"/>
    <cellStyle name="Total 33 3 3 2 2" xfId="38961"/>
    <cellStyle name="Total 33 3 3 3" xfId="38962"/>
    <cellStyle name="Total 33 3 3 3 2" xfId="38963"/>
    <cellStyle name="Total 33 3 3 4" xfId="38964"/>
    <cellStyle name="Total 33 3 3 5" xfId="38965"/>
    <cellStyle name="Total 33 3 3 6" xfId="38966"/>
    <cellStyle name="Total 33 3 4" xfId="38967"/>
    <cellStyle name="Total 33 3 4 2" xfId="38968"/>
    <cellStyle name="Total 33 3 5" xfId="38969"/>
    <cellStyle name="Total 33 3 6" xfId="38970"/>
    <cellStyle name="Total 33 3 7" xfId="38971"/>
    <cellStyle name="Total 33 3 8" xfId="38972"/>
    <cellStyle name="Total 33 3 9" xfId="38946"/>
    <cellStyle name="Total 33 4" xfId="7634"/>
    <cellStyle name="Total 33 4 10" xfId="38973"/>
    <cellStyle name="Total 33 4 2" xfId="7635"/>
    <cellStyle name="Total 33 4 2 2" xfId="38975"/>
    <cellStyle name="Total 33 4 2 3" xfId="38976"/>
    <cellStyle name="Total 33 4 2 4" xfId="38974"/>
    <cellStyle name="Total 33 4 3" xfId="38977"/>
    <cellStyle name="Total 33 4 3 2" xfId="38978"/>
    <cellStyle name="Total 33 4 4" xfId="38979"/>
    <cellStyle name="Total 33 4 4 2" xfId="38980"/>
    <cellStyle name="Total 33 4 5" xfId="38981"/>
    <cellStyle name="Total 33 4 6" xfId="38982"/>
    <cellStyle name="Total 33 4 7" xfId="38983"/>
    <cellStyle name="Total 33 4 8" xfId="38984"/>
    <cellStyle name="Total 33 4 9" xfId="38985"/>
    <cellStyle name="Total 33 5" xfId="7636"/>
    <cellStyle name="Total 33 5 10" xfId="38986"/>
    <cellStyle name="Total 33 5 2" xfId="7637"/>
    <cellStyle name="Total 33 5 2 2" xfId="38988"/>
    <cellStyle name="Total 33 5 2 3" xfId="38989"/>
    <cellStyle name="Total 33 5 2 4" xfId="38987"/>
    <cellStyle name="Total 33 5 3" xfId="38990"/>
    <cellStyle name="Total 33 5 3 2" xfId="38991"/>
    <cellStyle name="Total 33 5 4" xfId="38992"/>
    <cellStyle name="Total 33 5 4 2" xfId="38993"/>
    <cellStyle name="Total 33 5 5" xfId="38994"/>
    <cellStyle name="Total 33 5 6" xfId="38995"/>
    <cellStyle name="Total 33 5 7" xfId="38996"/>
    <cellStyle name="Total 33 5 8" xfId="38997"/>
    <cellStyle name="Total 33 5 9" xfId="38998"/>
    <cellStyle name="Total 33 6" xfId="7638"/>
    <cellStyle name="Total 33 6 2" xfId="39000"/>
    <cellStyle name="Total 33 6 2 2" xfId="39001"/>
    <cellStyle name="Total 33 6 3" xfId="39002"/>
    <cellStyle name="Total 33 6 3 2" xfId="39003"/>
    <cellStyle name="Total 33 6 4" xfId="39004"/>
    <cellStyle name="Total 33 6 5" xfId="39005"/>
    <cellStyle name="Total 33 6 6" xfId="39006"/>
    <cellStyle name="Total 33 6 7" xfId="38999"/>
    <cellStyle name="Total 33 7" xfId="7639"/>
    <cellStyle name="Total 33 7 2" xfId="39008"/>
    <cellStyle name="Total 33 7 3" xfId="39007"/>
    <cellStyle name="Total 33 8" xfId="8466"/>
    <cellStyle name="Total 33 9" xfId="39009"/>
    <cellStyle name="Total 34" xfId="2916"/>
    <cellStyle name="Total 34 10" xfId="39010"/>
    <cellStyle name="Total 34 11" xfId="39011"/>
    <cellStyle name="Total 34 2" xfId="7640"/>
    <cellStyle name="Total 34 2 2" xfId="39013"/>
    <cellStyle name="Total 34 2 2 2" xfId="39014"/>
    <cellStyle name="Total 34 2 2 2 2" xfId="39015"/>
    <cellStyle name="Total 34 2 2 2 3" xfId="39016"/>
    <cellStyle name="Total 34 2 2 3" xfId="39017"/>
    <cellStyle name="Total 34 2 2 3 2" xfId="39018"/>
    <cellStyle name="Total 34 2 2 4" xfId="39019"/>
    <cellStyle name="Total 34 2 2 4 2" xfId="39020"/>
    <cellStyle name="Total 34 2 2 5" xfId="39021"/>
    <cellStyle name="Total 34 2 2 6" xfId="39022"/>
    <cellStyle name="Total 34 2 2 7" xfId="39023"/>
    <cellStyle name="Total 34 2 2 8" xfId="39024"/>
    <cellStyle name="Total 34 2 2 9" xfId="39025"/>
    <cellStyle name="Total 34 2 3" xfId="39026"/>
    <cellStyle name="Total 34 2 3 2" xfId="39027"/>
    <cellStyle name="Total 34 2 3 2 2" xfId="39028"/>
    <cellStyle name="Total 34 2 3 2 3" xfId="39029"/>
    <cellStyle name="Total 34 2 3 3" xfId="39030"/>
    <cellStyle name="Total 34 2 3 3 2" xfId="39031"/>
    <cellStyle name="Total 34 2 3 4" xfId="39032"/>
    <cellStyle name="Total 34 2 3 5" xfId="39033"/>
    <cellStyle name="Total 34 2 3 6" xfId="39034"/>
    <cellStyle name="Total 34 2 4" xfId="39035"/>
    <cellStyle name="Total 34 2 4 2" xfId="39036"/>
    <cellStyle name="Total 34 2 4 3" xfId="39037"/>
    <cellStyle name="Total 34 2 5" xfId="39038"/>
    <cellStyle name="Total 34 2 6" xfId="39039"/>
    <cellStyle name="Total 34 2 7" xfId="39040"/>
    <cellStyle name="Total 34 2 8" xfId="39041"/>
    <cellStyle name="Total 34 2 9" xfId="39012"/>
    <cellStyle name="Total 34 3" xfId="7641"/>
    <cellStyle name="Total 34 3 2" xfId="39043"/>
    <cellStyle name="Total 34 3 2 2" xfId="39044"/>
    <cellStyle name="Total 34 3 2 2 2" xfId="39045"/>
    <cellStyle name="Total 34 3 2 3" xfId="39046"/>
    <cellStyle name="Total 34 3 2 3 2" xfId="39047"/>
    <cellStyle name="Total 34 3 2 4" xfId="39048"/>
    <cellStyle name="Total 34 3 2 4 2" xfId="39049"/>
    <cellStyle name="Total 34 3 2 5" xfId="39050"/>
    <cellStyle name="Total 34 3 2 6" xfId="39051"/>
    <cellStyle name="Total 34 3 2 7" xfId="39052"/>
    <cellStyle name="Total 34 3 2 8" xfId="39053"/>
    <cellStyle name="Total 34 3 2 9" xfId="39054"/>
    <cellStyle name="Total 34 3 3" xfId="39055"/>
    <cellStyle name="Total 34 3 3 2" xfId="39056"/>
    <cellStyle name="Total 34 3 3 2 2" xfId="39057"/>
    <cellStyle name="Total 34 3 3 3" xfId="39058"/>
    <cellStyle name="Total 34 3 3 3 2" xfId="39059"/>
    <cellStyle name="Total 34 3 3 4" xfId="39060"/>
    <cellStyle name="Total 34 3 3 5" xfId="39061"/>
    <cellStyle name="Total 34 3 3 6" xfId="39062"/>
    <cellStyle name="Total 34 3 4" xfId="39063"/>
    <cellStyle name="Total 34 3 4 2" xfId="39064"/>
    <cellStyle name="Total 34 3 5" xfId="39065"/>
    <cellStyle name="Total 34 3 6" xfId="39066"/>
    <cellStyle name="Total 34 3 7" xfId="39067"/>
    <cellStyle name="Total 34 3 8" xfId="39068"/>
    <cellStyle name="Total 34 3 9" xfId="39042"/>
    <cellStyle name="Total 34 4" xfId="7642"/>
    <cellStyle name="Total 34 4 10" xfId="39069"/>
    <cellStyle name="Total 34 4 2" xfId="7643"/>
    <cellStyle name="Total 34 4 2 2" xfId="39071"/>
    <cellStyle name="Total 34 4 2 3" xfId="39072"/>
    <cellStyle name="Total 34 4 2 4" xfId="39070"/>
    <cellStyle name="Total 34 4 3" xfId="39073"/>
    <cellStyle name="Total 34 4 3 2" xfId="39074"/>
    <cellStyle name="Total 34 4 4" xfId="39075"/>
    <cellStyle name="Total 34 4 4 2" xfId="39076"/>
    <cellStyle name="Total 34 4 5" xfId="39077"/>
    <cellStyle name="Total 34 4 6" xfId="39078"/>
    <cellStyle name="Total 34 4 7" xfId="39079"/>
    <cellStyle name="Total 34 4 8" xfId="39080"/>
    <cellStyle name="Total 34 4 9" xfId="39081"/>
    <cellStyle name="Total 34 5" xfId="7644"/>
    <cellStyle name="Total 34 5 10" xfId="39082"/>
    <cellStyle name="Total 34 5 2" xfId="7645"/>
    <cellStyle name="Total 34 5 2 2" xfId="39084"/>
    <cellStyle name="Total 34 5 2 3" xfId="39085"/>
    <cellStyle name="Total 34 5 2 4" xfId="39083"/>
    <cellStyle name="Total 34 5 3" xfId="39086"/>
    <cellStyle name="Total 34 5 3 2" xfId="39087"/>
    <cellStyle name="Total 34 5 4" xfId="39088"/>
    <cellStyle name="Total 34 5 4 2" xfId="39089"/>
    <cellStyle name="Total 34 5 5" xfId="39090"/>
    <cellStyle name="Total 34 5 6" xfId="39091"/>
    <cellStyle name="Total 34 5 7" xfId="39092"/>
    <cellStyle name="Total 34 5 8" xfId="39093"/>
    <cellStyle name="Total 34 5 9" xfId="39094"/>
    <cellStyle name="Total 34 6" xfId="7646"/>
    <cellStyle name="Total 34 6 2" xfId="39096"/>
    <cellStyle name="Total 34 6 2 2" xfId="39097"/>
    <cellStyle name="Total 34 6 3" xfId="39098"/>
    <cellStyle name="Total 34 6 3 2" xfId="39099"/>
    <cellStyle name="Total 34 6 4" xfId="39100"/>
    <cellStyle name="Total 34 6 5" xfId="39101"/>
    <cellStyle name="Total 34 6 6" xfId="39102"/>
    <cellStyle name="Total 34 6 7" xfId="39095"/>
    <cellStyle name="Total 34 7" xfId="7647"/>
    <cellStyle name="Total 34 7 2" xfId="39104"/>
    <cellStyle name="Total 34 7 3" xfId="39103"/>
    <cellStyle name="Total 34 8" xfId="8467"/>
    <cellStyle name="Total 34 9" xfId="39105"/>
    <cellStyle name="Total 35" xfId="2917"/>
    <cellStyle name="Total 35 10" xfId="39106"/>
    <cellStyle name="Total 35 11" xfId="39107"/>
    <cellStyle name="Total 35 2" xfId="7648"/>
    <cellStyle name="Total 35 2 2" xfId="39109"/>
    <cellStyle name="Total 35 2 2 2" xfId="39110"/>
    <cellStyle name="Total 35 2 2 2 2" xfId="39111"/>
    <cellStyle name="Total 35 2 2 2 3" xfId="39112"/>
    <cellStyle name="Total 35 2 2 3" xfId="39113"/>
    <cellStyle name="Total 35 2 2 3 2" xfId="39114"/>
    <cellStyle name="Total 35 2 2 4" xfId="39115"/>
    <cellStyle name="Total 35 2 2 4 2" xfId="39116"/>
    <cellStyle name="Total 35 2 2 5" xfId="39117"/>
    <cellStyle name="Total 35 2 2 6" xfId="39118"/>
    <cellStyle name="Total 35 2 2 7" xfId="39119"/>
    <cellStyle name="Total 35 2 2 8" xfId="39120"/>
    <cellStyle name="Total 35 2 2 9" xfId="39121"/>
    <cellStyle name="Total 35 2 3" xfId="39122"/>
    <cellStyle name="Total 35 2 3 2" xfId="39123"/>
    <cellStyle name="Total 35 2 3 2 2" xfId="39124"/>
    <cellStyle name="Total 35 2 3 2 3" xfId="39125"/>
    <cellStyle name="Total 35 2 3 3" xfId="39126"/>
    <cellStyle name="Total 35 2 3 3 2" xfId="39127"/>
    <cellStyle name="Total 35 2 3 4" xfId="39128"/>
    <cellStyle name="Total 35 2 3 5" xfId="39129"/>
    <cellStyle name="Total 35 2 3 6" xfId="39130"/>
    <cellStyle name="Total 35 2 4" xfId="39131"/>
    <cellStyle name="Total 35 2 4 2" xfId="39132"/>
    <cellStyle name="Total 35 2 4 3" xfId="39133"/>
    <cellStyle name="Total 35 2 5" xfId="39134"/>
    <cellStyle name="Total 35 2 6" xfId="39135"/>
    <cellStyle name="Total 35 2 7" xfId="39136"/>
    <cellStyle name="Total 35 2 8" xfId="39137"/>
    <cellStyle name="Total 35 2 9" xfId="39108"/>
    <cellStyle name="Total 35 3" xfId="7649"/>
    <cellStyle name="Total 35 3 2" xfId="39139"/>
    <cellStyle name="Total 35 3 2 2" xfId="39140"/>
    <cellStyle name="Total 35 3 2 2 2" xfId="39141"/>
    <cellStyle name="Total 35 3 2 3" xfId="39142"/>
    <cellStyle name="Total 35 3 2 3 2" xfId="39143"/>
    <cellStyle name="Total 35 3 2 4" xfId="39144"/>
    <cellStyle name="Total 35 3 2 4 2" xfId="39145"/>
    <cellStyle name="Total 35 3 2 5" xfId="39146"/>
    <cellStyle name="Total 35 3 2 6" xfId="39147"/>
    <cellStyle name="Total 35 3 2 7" xfId="39148"/>
    <cellStyle name="Total 35 3 2 8" xfId="39149"/>
    <cellStyle name="Total 35 3 2 9" xfId="39150"/>
    <cellStyle name="Total 35 3 3" xfId="39151"/>
    <cellStyle name="Total 35 3 3 2" xfId="39152"/>
    <cellStyle name="Total 35 3 3 2 2" xfId="39153"/>
    <cellStyle name="Total 35 3 3 3" xfId="39154"/>
    <cellStyle name="Total 35 3 3 3 2" xfId="39155"/>
    <cellStyle name="Total 35 3 3 4" xfId="39156"/>
    <cellStyle name="Total 35 3 3 5" xfId="39157"/>
    <cellStyle name="Total 35 3 3 6" xfId="39158"/>
    <cellStyle name="Total 35 3 4" xfId="39159"/>
    <cellStyle name="Total 35 3 4 2" xfId="39160"/>
    <cellStyle name="Total 35 3 5" xfId="39161"/>
    <cellStyle name="Total 35 3 6" xfId="39162"/>
    <cellStyle name="Total 35 3 7" xfId="39163"/>
    <cellStyle name="Total 35 3 8" xfId="39164"/>
    <cellStyle name="Total 35 3 9" xfId="39138"/>
    <cellStyle name="Total 35 4" xfId="7650"/>
    <cellStyle name="Total 35 4 10" xfId="39165"/>
    <cellStyle name="Total 35 4 2" xfId="7651"/>
    <cellStyle name="Total 35 4 2 2" xfId="39167"/>
    <cellStyle name="Total 35 4 2 3" xfId="39168"/>
    <cellStyle name="Total 35 4 2 4" xfId="39166"/>
    <cellStyle name="Total 35 4 3" xfId="39169"/>
    <cellStyle name="Total 35 4 3 2" xfId="39170"/>
    <cellStyle name="Total 35 4 4" xfId="39171"/>
    <cellStyle name="Total 35 4 4 2" xfId="39172"/>
    <cellStyle name="Total 35 4 5" xfId="39173"/>
    <cellStyle name="Total 35 4 6" xfId="39174"/>
    <cellStyle name="Total 35 4 7" xfId="39175"/>
    <cellStyle name="Total 35 4 8" xfId="39176"/>
    <cellStyle name="Total 35 4 9" xfId="39177"/>
    <cellStyle name="Total 35 5" xfId="7652"/>
    <cellStyle name="Total 35 5 10" xfId="39178"/>
    <cellStyle name="Total 35 5 2" xfId="7653"/>
    <cellStyle name="Total 35 5 2 2" xfId="39180"/>
    <cellStyle name="Total 35 5 2 3" xfId="39181"/>
    <cellStyle name="Total 35 5 2 4" xfId="39179"/>
    <cellStyle name="Total 35 5 3" xfId="39182"/>
    <cellStyle name="Total 35 5 3 2" xfId="39183"/>
    <cellStyle name="Total 35 5 4" xfId="39184"/>
    <cellStyle name="Total 35 5 4 2" xfId="39185"/>
    <cellStyle name="Total 35 5 5" xfId="39186"/>
    <cellStyle name="Total 35 5 6" xfId="39187"/>
    <cellStyle name="Total 35 5 7" xfId="39188"/>
    <cellStyle name="Total 35 5 8" xfId="39189"/>
    <cellStyle name="Total 35 5 9" xfId="39190"/>
    <cellStyle name="Total 35 6" xfId="7654"/>
    <cellStyle name="Total 35 6 2" xfId="39192"/>
    <cellStyle name="Total 35 6 2 2" xfId="39193"/>
    <cellStyle name="Total 35 6 3" xfId="39194"/>
    <cellStyle name="Total 35 6 3 2" xfId="39195"/>
    <cellStyle name="Total 35 6 4" xfId="39196"/>
    <cellStyle name="Total 35 6 5" xfId="39197"/>
    <cellStyle name="Total 35 6 6" xfId="39198"/>
    <cellStyle name="Total 35 6 7" xfId="39191"/>
    <cellStyle name="Total 35 7" xfId="7655"/>
    <cellStyle name="Total 35 7 2" xfId="39200"/>
    <cellStyle name="Total 35 7 3" xfId="39199"/>
    <cellStyle name="Total 35 8" xfId="8468"/>
    <cellStyle name="Total 35 9" xfId="39201"/>
    <cellStyle name="Total 36" xfId="2918"/>
    <cellStyle name="Total 36 10" xfId="39202"/>
    <cellStyle name="Total 36 11" xfId="39203"/>
    <cellStyle name="Total 36 2" xfId="7656"/>
    <cellStyle name="Total 36 2 2" xfId="39205"/>
    <cellStyle name="Total 36 2 2 2" xfId="39206"/>
    <cellStyle name="Total 36 2 2 2 2" xfId="39207"/>
    <cellStyle name="Total 36 2 2 2 3" xfId="39208"/>
    <cellStyle name="Total 36 2 2 3" xfId="39209"/>
    <cellStyle name="Total 36 2 2 3 2" xfId="39210"/>
    <cellStyle name="Total 36 2 2 4" xfId="39211"/>
    <cellStyle name="Total 36 2 2 4 2" xfId="39212"/>
    <cellStyle name="Total 36 2 2 5" xfId="39213"/>
    <cellStyle name="Total 36 2 2 6" xfId="39214"/>
    <cellStyle name="Total 36 2 2 7" xfId="39215"/>
    <cellStyle name="Total 36 2 2 8" xfId="39216"/>
    <cellStyle name="Total 36 2 2 9" xfId="39217"/>
    <cellStyle name="Total 36 2 3" xfId="39218"/>
    <cellStyle name="Total 36 2 3 2" xfId="39219"/>
    <cellStyle name="Total 36 2 3 2 2" xfId="39220"/>
    <cellStyle name="Total 36 2 3 2 3" xfId="39221"/>
    <cellStyle name="Total 36 2 3 3" xfId="39222"/>
    <cellStyle name="Total 36 2 3 3 2" xfId="39223"/>
    <cellStyle name="Total 36 2 3 4" xfId="39224"/>
    <cellStyle name="Total 36 2 3 5" xfId="39225"/>
    <cellStyle name="Total 36 2 3 6" xfId="39226"/>
    <cellStyle name="Total 36 2 4" xfId="39227"/>
    <cellStyle name="Total 36 2 4 2" xfId="39228"/>
    <cellStyle name="Total 36 2 4 3" xfId="39229"/>
    <cellStyle name="Total 36 2 5" xfId="39230"/>
    <cellStyle name="Total 36 2 6" xfId="39231"/>
    <cellStyle name="Total 36 2 7" xfId="39232"/>
    <cellStyle name="Total 36 2 8" xfId="39233"/>
    <cellStyle name="Total 36 2 9" xfId="39204"/>
    <cellStyle name="Total 36 3" xfId="7657"/>
    <cellStyle name="Total 36 3 2" xfId="39235"/>
    <cellStyle name="Total 36 3 2 2" xfId="39236"/>
    <cellStyle name="Total 36 3 2 2 2" xfId="39237"/>
    <cellStyle name="Total 36 3 2 3" xfId="39238"/>
    <cellStyle name="Total 36 3 2 3 2" xfId="39239"/>
    <cellStyle name="Total 36 3 2 4" xfId="39240"/>
    <cellStyle name="Total 36 3 2 4 2" xfId="39241"/>
    <cellStyle name="Total 36 3 2 5" xfId="39242"/>
    <cellStyle name="Total 36 3 2 6" xfId="39243"/>
    <cellStyle name="Total 36 3 2 7" xfId="39244"/>
    <cellStyle name="Total 36 3 2 8" xfId="39245"/>
    <cellStyle name="Total 36 3 2 9" xfId="39246"/>
    <cellStyle name="Total 36 3 3" xfId="39247"/>
    <cellStyle name="Total 36 3 3 2" xfId="39248"/>
    <cellStyle name="Total 36 3 3 2 2" xfId="39249"/>
    <cellStyle name="Total 36 3 3 3" xfId="39250"/>
    <cellStyle name="Total 36 3 3 3 2" xfId="39251"/>
    <cellStyle name="Total 36 3 3 4" xfId="39252"/>
    <cellStyle name="Total 36 3 3 5" xfId="39253"/>
    <cellStyle name="Total 36 3 3 6" xfId="39254"/>
    <cellStyle name="Total 36 3 4" xfId="39255"/>
    <cellStyle name="Total 36 3 4 2" xfId="39256"/>
    <cellStyle name="Total 36 3 5" xfId="39257"/>
    <cellStyle name="Total 36 3 6" xfId="39258"/>
    <cellStyle name="Total 36 3 7" xfId="39259"/>
    <cellStyle name="Total 36 3 8" xfId="39260"/>
    <cellStyle name="Total 36 3 9" xfId="39234"/>
    <cellStyle name="Total 36 4" xfId="7658"/>
    <cellStyle name="Total 36 4 10" xfId="39261"/>
    <cellStyle name="Total 36 4 2" xfId="7659"/>
    <cellStyle name="Total 36 4 2 2" xfId="39263"/>
    <cellStyle name="Total 36 4 2 3" xfId="39264"/>
    <cellStyle name="Total 36 4 2 4" xfId="39262"/>
    <cellStyle name="Total 36 4 3" xfId="39265"/>
    <cellStyle name="Total 36 4 3 2" xfId="39266"/>
    <cellStyle name="Total 36 4 4" xfId="39267"/>
    <cellStyle name="Total 36 4 4 2" xfId="39268"/>
    <cellStyle name="Total 36 4 5" xfId="39269"/>
    <cellStyle name="Total 36 4 6" xfId="39270"/>
    <cellStyle name="Total 36 4 7" xfId="39271"/>
    <cellStyle name="Total 36 4 8" xfId="39272"/>
    <cellStyle name="Total 36 4 9" xfId="39273"/>
    <cellStyle name="Total 36 5" xfId="7660"/>
    <cellStyle name="Total 36 5 10" xfId="39274"/>
    <cellStyle name="Total 36 5 2" xfId="7661"/>
    <cellStyle name="Total 36 5 2 2" xfId="39276"/>
    <cellStyle name="Total 36 5 2 3" xfId="39277"/>
    <cellStyle name="Total 36 5 2 4" xfId="39275"/>
    <cellStyle name="Total 36 5 3" xfId="39278"/>
    <cellStyle name="Total 36 5 3 2" xfId="39279"/>
    <cellStyle name="Total 36 5 4" xfId="39280"/>
    <cellStyle name="Total 36 5 4 2" xfId="39281"/>
    <cellStyle name="Total 36 5 5" xfId="39282"/>
    <cellStyle name="Total 36 5 6" xfId="39283"/>
    <cellStyle name="Total 36 5 7" xfId="39284"/>
    <cellStyle name="Total 36 5 8" xfId="39285"/>
    <cellStyle name="Total 36 5 9" xfId="39286"/>
    <cellStyle name="Total 36 6" xfId="7662"/>
    <cellStyle name="Total 36 6 2" xfId="39288"/>
    <cellStyle name="Total 36 6 2 2" xfId="39289"/>
    <cellStyle name="Total 36 6 3" xfId="39290"/>
    <cellStyle name="Total 36 6 3 2" xfId="39291"/>
    <cellStyle name="Total 36 6 4" xfId="39292"/>
    <cellStyle name="Total 36 6 5" xfId="39293"/>
    <cellStyle name="Total 36 6 6" xfId="39294"/>
    <cellStyle name="Total 36 6 7" xfId="39287"/>
    <cellStyle name="Total 36 7" xfId="7663"/>
    <cellStyle name="Total 36 7 2" xfId="39296"/>
    <cellStyle name="Total 36 7 3" xfId="39295"/>
    <cellStyle name="Total 36 8" xfId="8469"/>
    <cellStyle name="Total 36 9" xfId="39297"/>
    <cellStyle name="Total 37" xfId="2919"/>
    <cellStyle name="Total 37 10" xfId="39298"/>
    <cellStyle name="Total 37 11" xfId="39299"/>
    <cellStyle name="Total 37 2" xfId="7664"/>
    <cellStyle name="Total 37 2 2" xfId="39301"/>
    <cellStyle name="Total 37 2 2 2" xfId="39302"/>
    <cellStyle name="Total 37 2 2 2 2" xfId="39303"/>
    <cellStyle name="Total 37 2 2 2 3" xfId="39304"/>
    <cellStyle name="Total 37 2 2 3" xfId="39305"/>
    <cellStyle name="Total 37 2 2 3 2" xfId="39306"/>
    <cellStyle name="Total 37 2 2 4" xfId="39307"/>
    <cellStyle name="Total 37 2 2 4 2" xfId="39308"/>
    <cellStyle name="Total 37 2 2 5" xfId="39309"/>
    <cellStyle name="Total 37 2 2 6" xfId="39310"/>
    <cellStyle name="Total 37 2 2 7" xfId="39311"/>
    <cellStyle name="Total 37 2 2 8" xfId="39312"/>
    <cellStyle name="Total 37 2 2 9" xfId="39313"/>
    <cellStyle name="Total 37 2 3" xfId="39314"/>
    <cellStyle name="Total 37 2 3 2" xfId="39315"/>
    <cellStyle name="Total 37 2 3 2 2" xfId="39316"/>
    <cellStyle name="Total 37 2 3 2 3" xfId="39317"/>
    <cellStyle name="Total 37 2 3 3" xfId="39318"/>
    <cellStyle name="Total 37 2 3 3 2" xfId="39319"/>
    <cellStyle name="Total 37 2 3 4" xfId="39320"/>
    <cellStyle name="Total 37 2 3 5" xfId="39321"/>
    <cellStyle name="Total 37 2 3 6" xfId="39322"/>
    <cellStyle name="Total 37 2 4" xfId="39323"/>
    <cellStyle name="Total 37 2 4 2" xfId="39324"/>
    <cellStyle name="Total 37 2 4 3" xfId="39325"/>
    <cellStyle name="Total 37 2 5" xfId="39326"/>
    <cellStyle name="Total 37 2 6" xfId="39327"/>
    <cellStyle name="Total 37 2 7" xfId="39328"/>
    <cellStyle name="Total 37 2 8" xfId="39329"/>
    <cellStyle name="Total 37 2 9" xfId="39300"/>
    <cellStyle name="Total 37 3" xfId="7665"/>
    <cellStyle name="Total 37 3 2" xfId="39331"/>
    <cellStyle name="Total 37 3 2 2" xfId="39332"/>
    <cellStyle name="Total 37 3 2 2 2" xfId="39333"/>
    <cellStyle name="Total 37 3 2 3" xfId="39334"/>
    <cellStyle name="Total 37 3 2 3 2" xfId="39335"/>
    <cellStyle name="Total 37 3 2 4" xfId="39336"/>
    <cellStyle name="Total 37 3 2 4 2" xfId="39337"/>
    <cellStyle name="Total 37 3 2 5" xfId="39338"/>
    <cellStyle name="Total 37 3 2 6" xfId="39339"/>
    <cellStyle name="Total 37 3 2 7" xfId="39340"/>
    <cellStyle name="Total 37 3 2 8" xfId="39341"/>
    <cellStyle name="Total 37 3 2 9" xfId="39342"/>
    <cellStyle name="Total 37 3 3" xfId="39343"/>
    <cellStyle name="Total 37 3 3 2" xfId="39344"/>
    <cellStyle name="Total 37 3 3 2 2" xfId="39345"/>
    <cellStyle name="Total 37 3 3 3" xfId="39346"/>
    <cellStyle name="Total 37 3 3 3 2" xfId="39347"/>
    <cellStyle name="Total 37 3 3 4" xfId="39348"/>
    <cellStyle name="Total 37 3 3 5" xfId="39349"/>
    <cellStyle name="Total 37 3 3 6" xfId="39350"/>
    <cellStyle name="Total 37 3 4" xfId="39351"/>
    <cellStyle name="Total 37 3 4 2" xfId="39352"/>
    <cellStyle name="Total 37 3 5" xfId="39353"/>
    <cellStyle name="Total 37 3 6" xfId="39354"/>
    <cellStyle name="Total 37 3 7" xfId="39355"/>
    <cellStyle name="Total 37 3 8" xfId="39356"/>
    <cellStyle name="Total 37 3 9" xfId="39330"/>
    <cellStyle name="Total 37 4" xfId="7666"/>
    <cellStyle name="Total 37 4 10" xfId="39357"/>
    <cellStyle name="Total 37 4 2" xfId="7667"/>
    <cellStyle name="Total 37 4 2 2" xfId="39359"/>
    <cellStyle name="Total 37 4 2 3" xfId="39360"/>
    <cellStyle name="Total 37 4 2 4" xfId="39358"/>
    <cellStyle name="Total 37 4 3" xfId="39361"/>
    <cellStyle name="Total 37 4 3 2" xfId="39362"/>
    <cellStyle name="Total 37 4 4" xfId="39363"/>
    <cellStyle name="Total 37 4 4 2" xfId="39364"/>
    <cellStyle name="Total 37 4 5" xfId="39365"/>
    <cellStyle name="Total 37 4 6" xfId="39366"/>
    <cellStyle name="Total 37 4 7" xfId="39367"/>
    <cellStyle name="Total 37 4 8" xfId="39368"/>
    <cellStyle name="Total 37 4 9" xfId="39369"/>
    <cellStyle name="Total 37 5" xfId="7668"/>
    <cellStyle name="Total 37 5 10" xfId="39370"/>
    <cellStyle name="Total 37 5 2" xfId="7669"/>
    <cellStyle name="Total 37 5 2 2" xfId="39372"/>
    <cellStyle name="Total 37 5 2 3" xfId="39373"/>
    <cellStyle name="Total 37 5 2 4" xfId="39371"/>
    <cellStyle name="Total 37 5 3" xfId="39374"/>
    <cellStyle name="Total 37 5 3 2" xfId="39375"/>
    <cellStyle name="Total 37 5 4" xfId="39376"/>
    <cellStyle name="Total 37 5 4 2" xfId="39377"/>
    <cellStyle name="Total 37 5 5" xfId="39378"/>
    <cellStyle name="Total 37 5 6" xfId="39379"/>
    <cellStyle name="Total 37 5 7" xfId="39380"/>
    <cellStyle name="Total 37 5 8" xfId="39381"/>
    <cellStyle name="Total 37 5 9" xfId="39382"/>
    <cellStyle name="Total 37 6" xfId="7670"/>
    <cellStyle name="Total 37 6 2" xfId="39384"/>
    <cellStyle name="Total 37 6 2 2" xfId="39385"/>
    <cellStyle name="Total 37 6 3" xfId="39386"/>
    <cellStyle name="Total 37 6 3 2" xfId="39387"/>
    <cellStyle name="Total 37 6 4" xfId="39388"/>
    <cellStyle name="Total 37 6 5" xfId="39389"/>
    <cellStyle name="Total 37 6 6" xfId="39390"/>
    <cellStyle name="Total 37 6 7" xfId="39383"/>
    <cellStyle name="Total 37 7" xfId="7671"/>
    <cellStyle name="Total 37 7 2" xfId="39392"/>
    <cellStyle name="Total 37 7 3" xfId="39391"/>
    <cellStyle name="Total 37 8" xfId="8470"/>
    <cellStyle name="Total 37 9" xfId="39393"/>
    <cellStyle name="Total 38" xfId="2337"/>
    <cellStyle name="Total 38 10" xfId="39395"/>
    <cellStyle name="Total 38 11" xfId="39396"/>
    <cellStyle name="Total 38 12" xfId="39394"/>
    <cellStyle name="Total 38 2" xfId="7672"/>
    <cellStyle name="Total 38 2 2" xfId="39397"/>
    <cellStyle name="Total 38 2 2 2" xfId="39398"/>
    <cellStyle name="Total 38 2 2 2 2" xfId="39399"/>
    <cellStyle name="Total 38 2 2 3" xfId="39400"/>
    <cellStyle name="Total 38 2 2 3 2" xfId="39401"/>
    <cellStyle name="Total 38 2 2 4" xfId="39402"/>
    <cellStyle name="Total 38 2 2 4 2" xfId="39403"/>
    <cellStyle name="Total 38 2 2 5" xfId="39404"/>
    <cellStyle name="Total 38 2 2 6" xfId="39405"/>
    <cellStyle name="Total 38 2 2 7" xfId="39406"/>
    <cellStyle name="Total 38 2 2 8" xfId="39407"/>
    <cellStyle name="Total 38 2 2 9" xfId="39408"/>
    <cellStyle name="Total 38 3" xfId="7673"/>
    <cellStyle name="Total 38 3 10" xfId="39409"/>
    <cellStyle name="Total 38 3 2" xfId="7674"/>
    <cellStyle name="Total 38 3 2 2" xfId="39411"/>
    <cellStyle name="Total 38 3 2 3" xfId="39410"/>
    <cellStyle name="Total 38 3 3" xfId="39412"/>
    <cellStyle name="Total 38 3 3 2" xfId="39413"/>
    <cellStyle name="Total 38 3 4" xfId="39414"/>
    <cellStyle name="Total 38 3 4 2" xfId="39415"/>
    <cellStyle name="Total 38 3 5" xfId="39416"/>
    <cellStyle name="Total 38 3 6" xfId="39417"/>
    <cellStyle name="Total 38 3 7" xfId="39418"/>
    <cellStyle name="Total 38 3 8" xfId="39419"/>
    <cellStyle name="Total 38 3 9" xfId="39420"/>
    <cellStyle name="Total 38 4" xfId="7675"/>
    <cellStyle name="Total 38 4 10" xfId="39421"/>
    <cellStyle name="Total 38 4 2" xfId="39422"/>
    <cellStyle name="Total 38 4 2 2" xfId="39423"/>
    <cellStyle name="Total 38 4 3" xfId="39424"/>
    <cellStyle name="Total 38 4 3 2" xfId="39425"/>
    <cellStyle name="Total 38 4 4" xfId="39426"/>
    <cellStyle name="Total 38 4 4 2" xfId="39427"/>
    <cellStyle name="Total 38 4 5" xfId="39428"/>
    <cellStyle name="Total 38 4 6" xfId="39429"/>
    <cellStyle name="Total 38 4 7" xfId="39430"/>
    <cellStyle name="Total 38 4 8" xfId="39431"/>
    <cellStyle name="Total 38 4 9" xfId="39432"/>
    <cellStyle name="Total 38 5" xfId="7676"/>
    <cellStyle name="Total 38 5 10" xfId="39433"/>
    <cellStyle name="Total 38 5 2" xfId="39434"/>
    <cellStyle name="Total 38 5 2 2" xfId="39435"/>
    <cellStyle name="Total 38 5 3" xfId="39436"/>
    <cellStyle name="Total 38 5 3 2" xfId="39437"/>
    <cellStyle name="Total 38 5 4" xfId="39438"/>
    <cellStyle name="Total 38 5 4 2" xfId="39439"/>
    <cellStyle name="Total 38 5 5" xfId="39440"/>
    <cellStyle name="Total 38 5 6" xfId="39441"/>
    <cellStyle name="Total 38 5 7" xfId="39442"/>
    <cellStyle name="Total 38 5 8" xfId="39443"/>
    <cellStyle name="Total 38 5 9" xfId="39444"/>
    <cellStyle name="Total 38 6" xfId="7677"/>
    <cellStyle name="Total 38 6 2" xfId="7678"/>
    <cellStyle name="Total 38 6 2 2" xfId="39447"/>
    <cellStyle name="Total 38 6 2 3" xfId="39446"/>
    <cellStyle name="Total 38 6 3" xfId="39448"/>
    <cellStyle name="Total 38 6 3 2" xfId="39449"/>
    <cellStyle name="Total 38 6 4" xfId="39450"/>
    <cellStyle name="Total 38 6 5" xfId="39451"/>
    <cellStyle name="Total 38 6 6" xfId="39452"/>
    <cellStyle name="Total 38 6 7" xfId="39445"/>
    <cellStyle name="Total 38 7" xfId="7679"/>
    <cellStyle name="Total 38 7 2" xfId="7680"/>
    <cellStyle name="Total 38 7 2 2" xfId="39454"/>
    <cellStyle name="Total 38 7 3" xfId="39453"/>
    <cellStyle name="Total 38 8" xfId="39455"/>
    <cellStyle name="Total 38 9" xfId="39456"/>
    <cellStyle name="Total 39" xfId="7846"/>
    <cellStyle name="Total 39 2" xfId="39458"/>
    <cellStyle name="Total 39 3" xfId="39459"/>
    <cellStyle name="Total 39 4" xfId="39457"/>
    <cellStyle name="Total 4" xfId="2352"/>
    <cellStyle name="Total 4 10" xfId="39460"/>
    <cellStyle name="Total 4 11" xfId="39461"/>
    <cellStyle name="Total 4 2" xfId="2353"/>
    <cellStyle name="Total 4 2 2" xfId="2354"/>
    <cellStyle name="Total 4 2 2 2" xfId="8292"/>
    <cellStyle name="Total 4 2 2 2 2" xfId="39462"/>
    <cellStyle name="Total 4 2 2 2 3" xfId="39463"/>
    <cellStyle name="Total 4 2 2 3" xfId="39464"/>
    <cellStyle name="Total 4 2 2 3 2" xfId="39465"/>
    <cellStyle name="Total 4 2 2 4" xfId="39466"/>
    <cellStyle name="Total 4 2 2 4 2" xfId="39467"/>
    <cellStyle name="Total 4 2 2 5" xfId="39468"/>
    <cellStyle name="Total 4 2 2 6" xfId="39469"/>
    <cellStyle name="Total 4 2 2 7" xfId="39470"/>
    <cellStyle name="Total 4 2 2 8" xfId="39471"/>
    <cellStyle name="Total 4 2 2 9" xfId="39472"/>
    <cellStyle name="Total 4 2 3" xfId="7681"/>
    <cellStyle name="Total 4 2 3 2" xfId="39474"/>
    <cellStyle name="Total 4 2 3 2 2" xfId="39475"/>
    <cellStyle name="Total 4 2 3 2 3" xfId="39476"/>
    <cellStyle name="Total 4 2 3 3" xfId="39477"/>
    <cellStyle name="Total 4 2 3 3 2" xfId="39478"/>
    <cellStyle name="Total 4 2 3 4" xfId="39479"/>
    <cellStyle name="Total 4 2 3 5" xfId="39480"/>
    <cellStyle name="Total 4 2 3 6" xfId="39481"/>
    <cellStyle name="Total 4 2 3 7" xfId="39473"/>
    <cellStyle name="Total 4 2 4" xfId="7682"/>
    <cellStyle name="Total 4 2 4 2" xfId="7683"/>
    <cellStyle name="Total 4 2 4 2 2" xfId="39483"/>
    <cellStyle name="Total 4 2 4 3" xfId="39484"/>
    <cellStyle name="Total 4 2 4 4" xfId="39482"/>
    <cellStyle name="Total 4 2 5" xfId="7684"/>
    <cellStyle name="Total 4 2 5 2" xfId="7685"/>
    <cellStyle name="Total 4 2 5 3" xfId="39485"/>
    <cellStyle name="Total 4 2 6" xfId="7686"/>
    <cellStyle name="Total 4 2 6 2" xfId="39486"/>
    <cellStyle name="Total 4 2 7" xfId="7687"/>
    <cellStyle name="Total 4 2 7 2" xfId="39487"/>
    <cellStyle name="Total 4 2 8" xfId="8291"/>
    <cellStyle name="Total 4 3" xfId="2355"/>
    <cellStyle name="Total 4 3 2" xfId="2356"/>
    <cellStyle name="Total 4 3 2 2" xfId="8294"/>
    <cellStyle name="Total 4 3 2 2 2" xfId="39488"/>
    <cellStyle name="Total 4 3 2 3" xfId="39489"/>
    <cellStyle name="Total 4 3 2 3 2" xfId="39490"/>
    <cellStyle name="Total 4 3 2 4" xfId="39491"/>
    <cellStyle name="Total 4 3 2 4 2" xfId="39492"/>
    <cellStyle name="Total 4 3 2 5" xfId="39493"/>
    <cellStyle name="Total 4 3 2 6" xfId="39494"/>
    <cellStyle name="Total 4 3 2 7" xfId="39495"/>
    <cellStyle name="Total 4 3 2 8" xfId="39496"/>
    <cellStyle name="Total 4 3 2 9" xfId="39497"/>
    <cellStyle name="Total 4 3 3" xfId="8293"/>
    <cellStyle name="Total 4 3 3 2" xfId="39498"/>
    <cellStyle name="Total 4 3 3 2 2" xfId="39499"/>
    <cellStyle name="Total 4 3 3 3" xfId="39500"/>
    <cellStyle name="Total 4 3 3 3 2" xfId="39501"/>
    <cellStyle name="Total 4 3 3 4" xfId="39502"/>
    <cellStyle name="Total 4 3 3 5" xfId="39503"/>
    <cellStyle name="Total 4 3 3 6" xfId="39504"/>
    <cellStyle name="Total 4 3 4" xfId="39505"/>
    <cellStyle name="Total 4 3 4 2" xfId="39506"/>
    <cellStyle name="Total 4 3 5" xfId="39507"/>
    <cellStyle name="Total 4 3 6" xfId="39508"/>
    <cellStyle name="Total 4 3 7" xfId="39509"/>
    <cellStyle name="Total 4 3 8" xfId="39510"/>
    <cellStyle name="Total 4 4" xfId="2357"/>
    <cellStyle name="Total 4 4 2" xfId="8295"/>
    <cellStyle name="Total 4 4 2 2" xfId="39511"/>
    <cellStyle name="Total 4 4 2 3" xfId="39512"/>
    <cellStyle name="Total 4 4 3" xfId="39513"/>
    <cellStyle name="Total 4 4 3 2" xfId="39514"/>
    <cellStyle name="Total 4 4 4" xfId="39515"/>
    <cellStyle name="Total 4 4 4 2" xfId="39516"/>
    <cellStyle name="Total 4 4 5" xfId="39517"/>
    <cellStyle name="Total 4 4 6" xfId="39518"/>
    <cellStyle name="Total 4 4 7" xfId="39519"/>
    <cellStyle name="Total 4 4 8" xfId="39520"/>
    <cellStyle name="Total 4 4 9" xfId="39521"/>
    <cellStyle name="Total 4 5" xfId="7688"/>
    <cellStyle name="Total 4 5 10" xfId="39522"/>
    <cellStyle name="Total 4 5 2" xfId="7689"/>
    <cellStyle name="Total 4 5 2 2" xfId="39524"/>
    <cellStyle name="Total 4 5 2 3" xfId="39525"/>
    <cellStyle name="Total 4 5 2 4" xfId="39523"/>
    <cellStyle name="Total 4 5 3" xfId="39526"/>
    <cellStyle name="Total 4 5 3 2" xfId="39527"/>
    <cellStyle name="Total 4 5 4" xfId="39528"/>
    <cellStyle name="Total 4 5 4 2" xfId="39529"/>
    <cellStyle name="Total 4 5 5" xfId="39530"/>
    <cellStyle name="Total 4 5 6" xfId="39531"/>
    <cellStyle name="Total 4 5 7" xfId="39532"/>
    <cellStyle name="Total 4 5 8" xfId="39533"/>
    <cellStyle name="Total 4 5 9" xfId="39534"/>
    <cellStyle name="Total 4 6" xfId="7690"/>
    <cellStyle name="Total 4 6 2" xfId="7691"/>
    <cellStyle name="Total 4 6 2 2" xfId="39537"/>
    <cellStyle name="Total 4 6 2 3" xfId="39536"/>
    <cellStyle name="Total 4 6 3" xfId="39538"/>
    <cellStyle name="Total 4 6 3 2" xfId="39539"/>
    <cellStyle name="Total 4 6 4" xfId="39540"/>
    <cellStyle name="Total 4 6 5" xfId="39541"/>
    <cellStyle name="Total 4 6 6" xfId="39542"/>
    <cellStyle name="Total 4 6 7" xfId="39535"/>
    <cellStyle name="Total 4 7" xfId="7692"/>
    <cellStyle name="Total 4 7 2" xfId="39544"/>
    <cellStyle name="Total 4 7 3" xfId="39543"/>
    <cellStyle name="Total 4 8" xfId="7693"/>
    <cellStyle name="Total 4 8 2" xfId="39545"/>
    <cellStyle name="Total 4 9" xfId="8290"/>
    <cellStyle name="Total 40" xfId="8275"/>
    <cellStyle name="Total 5" xfId="2358"/>
    <cellStyle name="Total 5 10" xfId="39546"/>
    <cellStyle name="Total 5 11" xfId="39547"/>
    <cellStyle name="Total 5 2" xfId="2359"/>
    <cellStyle name="Total 5 2 2" xfId="7694"/>
    <cellStyle name="Total 5 2 2 10" xfId="39548"/>
    <cellStyle name="Total 5 2 2 2" xfId="39549"/>
    <cellStyle name="Total 5 2 2 2 2" xfId="39550"/>
    <cellStyle name="Total 5 2 2 2 3" xfId="39551"/>
    <cellStyle name="Total 5 2 2 3" xfId="39552"/>
    <cellStyle name="Total 5 2 2 3 2" xfId="39553"/>
    <cellStyle name="Total 5 2 2 4" xfId="39554"/>
    <cellStyle name="Total 5 2 2 4 2" xfId="39555"/>
    <cellStyle name="Total 5 2 2 5" xfId="39556"/>
    <cellStyle name="Total 5 2 2 6" xfId="39557"/>
    <cellStyle name="Total 5 2 2 7" xfId="39558"/>
    <cellStyle name="Total 5 2 2 8" xfId="39559"/>
    <cellStyle name="Total 5 2 2 9" xfId="39560"/>
    <cellStyle name="Total 5 2 3" xfId="7695"/>
    <cellStyle name="Total 5 2 3 2" xfId="39562"/>
    <cellStyle name="Total 5 2 3 2 2" xfId="39563"/>
    <cellStyle name="Total 5 2 3 2 3" xfId="39564"/>
    <cellStyle name="Total 5 2 3 3" xfId="39565"/>
    <cellStyle name="Total 5 2 3 3 2" xfId="39566"/>
    <cellStyle name="Total 5 2 3 4" xfId="39567"/>
    <cellStyle name="Total 5 2 3 5" xfId="39568"/>
    <cellStyle name="Total 5 2 3 6" xfId="39569"/>
    <cellStyle name="Total 5 2 3 7" xfId="39561"/>
    <cellStyle name="Total 5 2 4" xfId="7696"/>
    <cellStyle name="Total 5 2 4 2" xfId="7697"/>
    <cellStyle name="Total 5 2 4 2 2" xfId="39571"/>
    <cellStyle name="Total 5 2 4 3" xfId="39572"/>
    <cellStyle name="Total 5 2 4 4" xfId="39570"/>
    <cellStyle name="Total 5 2 5" xfId="7698"/>
    <cellStyle name="Total 5 2 5 2" xfId="7699"/>
    <cellStyle name="Total 5 2 5 3" xfId="39573"/>
    <cellStyle name="Total 5 2 6" xfId="7700"/>
    <cellStyle name="Total 5 2 6 2" xfId="39574"/>
    <cellStyle name="Total 5 2 7" xfId="7701"/>
    <cellStyle name="Total 5 2 7 2" xfId="39575"/>
    <cellStyle name="Total 5 2 8" xfId="8297"/>
    <cellStyle name="Total 5 3" xfId="7702"/>
    <cellStyle name="Total 5 3 2" xfId="39577"/>
    <cellStyle name="Total 5 3 2 2" xfId="39578"/>
    <cellStyle name="Total 5 3 2 2 2" xfId="39579"/>
    <cellStyle name="Total 5 3 2 3" xfId="39580"/>
    <cellStyle name="Total 5 3 2 3 2" xfId="39581"/>
    <cellStyle name="Total 5 3 2 4" xfId="39582"/>
    <cellStyle name="Total 5 3 2 4 2" xfId="39583"/>
    <cellStyle name="Total 5 3 2 5" xfId="39584"/>
    <cellStyle name="Total 5 3 2 6" xfId="39585"/>
    <cellStyle name="Total 5 3 2 7" xfId="39586"/>
    <cellStyle name="Total 5 3 2 8" xfId="39587"/>
    <cellStyle name="Total 5 3 2 9" xfId="39588"/>
    <cellStyle name="Total 5 3 3" xfId="39589"/>
    <cellStyle name="Total 5 3 3 2" xfId="39590"/>
    <cellStyle name="Total 5 3 3 2 2" xfId="39591"/>
    <cellStyle name="Total 5 3 3 3" xfId="39592"/>
    <cellStyle name="Total 5 3 3 3 2" xfId="39593"/>
    <cellStyle name="Total 5 3 3 4" xfId="39594"/>
    <cellStyle name="Total 5 3 3 5" xfId="39595"/>
    <cellStyle name="Total 5 3 3 6" xfId="39596"/>
    <cellStyle name="Total 5 3 4" xfId="39597"/>
    <cellStyle name="Total 5 3 4 2" xfId="39598"/>
    <cellStyle name="Total 5 3 5" xfId="39599"/>
    <cellStyle name="Total 5 3 6" xfId="39600"/>
    <cellStyle name="Total 5 3 7" xfId="39601"/>
    <cellStyle name="Total 5 3 8" xfId="39602"/>
    <cellStyle name="Total 5 3 9" xfId="39576"/>
    <cellStyle name="Total 5 4" xfId="7703"/>
    <cellStyle name="Total 5 4 10" xfId="39603"/>
    <cellStyle name="Total 5 4 2" xfId="39604"/>
    <cellStyle name="Total 5 4 2 2" xfId="39605"/>
    <cellStyle name="Total 5 4 2 3" xfId="39606"/>
    <cellStyle name="Total 5 4 3" xfId="39607"/>
    <cellStyle name="Total 5 4 3 2" xfId="39608"/>
    <cellStyle name="Total 5 4 4" xfId="39609"/>
    <cellStyle name="Total 5 4 4 2" xfId="39610"/>
    <cellStyle name="Total 5 4 5" xfId="39611"/>
    <cellStyle name="Total 5 4 6" xfId="39612"/>
    <cellStyle name="Total 5 4 7" xfId="39613"/>
    <cellStyle name="Total 5 4 8" xfId="39614"/>
    <cellStyle name="Total 5 4 9" xfId="39615"/>
    <cellStyle name="Total 5 5" xfId="7704"/>
    <cellStyle name="Total 5 5 10" xfId="39616"/>
    <cellStyle name="Total 5 5 2" xfId="7705"/>
    <cellStyle name="Total 5 5 2 2" xfId="39618"/>
    <cellStyle name="Total 5 5 2 3" xfId="39619"/>
    <cellStyle name="Total 5 5 2 4" xfId="39617"/>
    <cellStyle name="Total 5 5 3" xfId="39620"/>
    <cellStyle name="Total 5 5 3 2" xfId="39621"/>
    <cellStyle name="Total 5 5 4" xfId="39622"/>
    <cellStyle name="Total 5 5 4 2" xfId="39623"/>
    <cellStyle name="Total 5 5 5" xfId="39624"/>
    <cellStyle name="Total 5 5 6" xfId="39625"/>
    <cellStyle name="Total 5 5 7" xfId="39626"/>
    <cellStyle name="Total 5 5 8" xfId="39627"/>
    <cellStyle name="Total 5 5 9" xfId="39628"/>
    <cellStyle name="Total 5 6" xfId="7706"/>
    <cellStyle name="Total 5 6 2" xfId="7707"/>
    <cellStyle name="Total 5 6 2 2" xfId="39631"/>
    <cellStyle name="Total 5 6 2 3" xfId="39630"/>
    <cellStyle name="Total 5 6 3" xfId="39632"/>
    <cellStyle name="Total 5 6 3 2" xfId="39633"/>
    <cellStyle name="Total 5 6 4" xfId="39634"/>
    <cellStyle name="Total 5 6 5" xfId="39635"/>
    <cellStyle name="Total 5 6 6" xfId="39636"/>
    <cellStyle name="Total 5 6 7" xfId="39629"/>
    <cellStyle name="Total 5 7" xfId="7708"/>
    <cellStyle name="Total 5 7 2" xfId="39638"/>
    <cellStyle name="Total 5 7 3" xfId="39637"/>
    <cellStyle name="Total 5 8" xfId="7709"/>
    <cellStyle name="Total 5 8 2" xfId="39639"/>
    <cellStyle name="Total 5 9" xfId="8296"/>
    <cellStyle name="Total 6" xfId="2360"/>
    <cellStyle name="Total 6 10" xfId="39640"/>
    <cellStyle name="Total 6 11" xfId="39641"/>
    <cellStyle name="Total 6 2" xfId="2361"/>
    <cellStyle name="Total 6 2 10" xfId="39642"/>
    <cellStyle name="Total 6 2 2" xfId="2362"/>
    <cellStyle name="Total 6 2 2 10" xfId="39643"/>
    <cellStyle name="Total 6 2 2 2" xfId="7711"/>
    <cellStyle name="Total 6 2 2 2 2" xfId="39645"/>
    <cellStyle name="Total 6 2 2 2 3" xfId="39646"/>
    <cellStyle name="Total 6 2 2 2 4" xfId="39644"/>
    <cellStyle name="Total 6 2 2 3" xfId="8299"/>
    <cellStyle name="Total 6 2 2 3 2" xfId="39648"/>
    <cellStyle name="Total 6 2 2 3 3" xfId="39647"/>
    <cellStyle name="Total 6 2 2 4" xfId="39649"/>
    <cellStyle name="Total 6 2 2 4 2" xfId="39650"/>
    <cellStyle name="Total 6 2 2 5" xfId="39651"/>
    <cellStyle name="Total 6 2 2 6" xfId="39652"/>
    <cellStyle name="Total 6 2 2 7" xfId="39653"/>
    <cellStyle name="Total 6 2 2 8" xfId="39654"/>
    <cellStyle name="Total 6 2 2 9" xfId="39655"/>
    <cellStyle name="Total 6 2 3" xfId="7712"/>
    <cellStyle name="Total 6 2 3 2" xfId="39657"/>
    <cellStyle name="Total 6 2 3 2 2" xfId="39658"/>
    <cellStyle name="Total 6 2 3 2 3" xfId="39659"/>
    <cellStyle name="Total 6 2 3 3" xfId="39660"/>
    <cellStyle name="Total 6 2 3 3 2" xfId="39661"/>
    <cellStyle name="Total 6 2 3 4" xfId="39662"/>
    <cellStyle name="Total 6 2 3 5" xfId="39663"/>
    <cellStyle name="Total 6 2 3 6" xfId="39664"/>
    <cellStyle name="Total 6 2 3 7" xfId="39656"/>
    <cellStyle name="Total 6 2 4" xfId="7713"/>
    <cellStyle name="Total 6 2 4 2" xfId="7714"/>
    <cellStyle name="Total 6 2 4 2 2" xfId="39666"/>
    <cellStyle name="Total 6 2 4 3" xfId="39667"/>
    <cellStyle name="Total 6 2 4 4" xfId="39665"/>
    <cellStyle name="Total 6 2 5" xfId="7715"/>
    <cellStyle name="Total 6 2 5 2" xfId="7716"/>
    <cellStyle name="Total 6 2 5 3" xfId="39668"/>
    <cellStyle name="Total 6 2 6" xfId="7717"/>
    <cellStyle name="Total 6 2 6 2" xfId="39669"/>
    <cellStyle name="Total 6 2 7" xfId="7718"/>
    <cellStyle name="Total 6 2 7 2" xfId="39670"/>
    <cellStyle name="Total 6 2 8" xfId="7710"/>
    <cellStyle name="Total 6 2 8 2" xfId="39671"/>
    <cellStyle name="Total 6 2 9" xfId="8298"/>
    <cellStyle name="Total 6 3" xfId="2363"/>
    <cellStyle name="Total 6 3 2" xfId="7719"/>
    <cellStyle name="Total 6 3 2 10" xfId="39673"/>
    <cellStyle name="Total 6 3 2 2" xfId="39674"/>
    <cellStyle name="Total 6 3 2 2 2" xfId="39675"/>
    <cellStyle name="Total 6 3 2 3" xfId="39676"/>
    <cellStyle name="Total 6 3 2 3 2" xfId="39677"/>
    <cellStyle name="Total 6 3 2 4" xfId="39678"/>
    <cellStyle name="Total 6 3 2 4 2" xfId="39679"/>
    <cellStyle name="Total 6 3 2 5" xfId="39680"/>
    <cellStyle name="Total 6 3 2 6" xfId="39681"/>
    <cellStyle name="Total 6 3 2 7" xfId="39682"/>
    <cellStyle name="Total 6 3 2 8" xfId="39683"/>
    <cellStyle name="Total 6 3 2 9" xfId="39684"/>
    <cellStyle name="Total 6 3 3" xfId="8300"/>
    <cellStyle name="Total 6 3 3 2" xfId="39686"/>
    <cellStyle name="Total 6 3 3 2 2" xfId="39687"/>
    <cellStyle name="Total 6 3 3 3" xfId="39688"/>
    <cellStyle name="Total 6 3 3 3 2" xfId="39689"/>
    <cellStyle name="Total 6 3 3 4" xfId="39690"/>
    <cellStyle name="Total 6 3 3 5" xfId="39691"/>
    <cellStyle name="Total 6 3 3 6" xfId="39692"/>
    <cellStyle name="Total 6 3 3 7" xfId="39685"/>
    <cellStyle name="Total 6 3 4" xfId="39693"/>
    <cellStyle name="Total 6 3 4 2" xfId="39694"/>
    <cellStyle name="Total 6 3 5" xfId="39695"/>
    <cellStyle name="Total 6 3 6" xfId="39696"/>
    <cellStyle name="Total 6 3 7" xfId="39697"/>
    <cellStyle name="Total 6 3 8" xfId="39698"/>
    <cellStyle name="Total 6 3 9" xfId="39672"/>
    <cellStyle name="Total 6 4" xfId="2364"/>
    <cellStyle name="Total 6 4 10" xfId="39699"/>
    <cellStyle name="Total 6 4 2" xfId="7720"/>
    <cellStyle name="Total 6 4 2 2" xfId="39701"/>
    <cellStyle name="Total 6 4 2 3" xfId="39702"/>
    <cellStyle name="Total 6 4 2 4" xfId="39700"/>
    <cellStyle name="Total 6 4 3" xfId="39703"/>
    <cellStyle name="Total 6 4 3 2" xfId="39704"/>
    <cellStyle name="Total 6 4 4" xfId="39705"/>
    <cellStyle name="Total 6 4 4 2" xfId="39706"/>
    <cellStyle name="Total 6 4 5" xfId="39707"/>
    <cellStyle name="Total 6 4 6" xfId="39708"/>
    <cellStyle name="Total 6 4 7" xfId="39709"/>
    <cellStyle name="Total 6 4 8" xfId="39710"/>
    <cellStyle name="Total 6 4 9" xfId="39711"/>
    <cellStyle name="Total 6 5" xfId="2920"/>
    <cellStyle name="Total 6 5 2" xfId="7721"/>
    <cellStyle name="Total 6 5 2 2" xfId="39713"/>
    <cellStyle name="Total 6 5 2 3" xfId="39714"/>
    <cellStyle name="Total 6 5 2 4" xfId="39712"/>
    <cellStyle name="Total 6 5 3" xfId="8471"/>
    <cellStyle name="Total 6 5 3 2" xfId="39715"/>
    <cellStyle name="Total 6 5 4" xfId="39716"/>
    <cellStyle name="Total 6 5 4 2" xfId="39717"/>
    <cellStyle name="Total 6 5 5" xfId="39718"/>
    <cellStyle name="Total 6 5 6" xfId="39719"/>
    <cellStyle name="Total 6 5 7" xfId="39720"/>
    <cellStyle name="Total 6 5 8" xfId="39721"/>
    <cellStyle name="Total 6 5 9" xfId="39722"/>
    <cellStyle name="Total 6 6" xfId="7722"/>
    <cellStyle name="Total 6 6 2" xfId="7723"/>
    <cellStyle name="Total 6 6 2 2" xfId="39725"/>
    <cellStyle name="Total 6 6 2 3" xfId="39724"/>
    <cellStyle name="Total 6 6 3" xfId="39726"/>
    <cellStyle name="Total 6 6 3 2" xfId="39727"/>
    <cellStyle name="Total 6 6 4" xfId="39728"/>
    <cellStyle name="Total 6 6 5" xfId="39729"/>
    <cellStyle name="Total 6 6 6" xfId="39730"/>
    <cellStyle name="Total 6 6 7" xfId="39723"/>
    <cellStyle name="Total 6 7" xfId="7724"/>
    <cellStyle name="Total 6 7 2" xfId="39732"/>
    <cellStyle name="Total 6 7 3" xfId="39731"/>
    <cellStyle name="Total 6 8" xfId="7725"/>
    <cellStyle name="Total 6 8 2" xfId="39733"/>
    <cellStyle name="Total 6 9" xfId="39734"/>
    <cellStyle name="Total 7" xfId="2365"/>
    <cellStyle name="Total 7 10" xfId="39735"/>
    <cellStyle name="Total 7 11" xfId="39736"/>
    <cellStyle name="Total 7 2" xfId="2366"/>
    <cellStyle name="Total 7 2 10" xfId="39737"/>
    <cellStyle name="Total 7 2 2" xfId="7727"/>
    <cellStyle name="Total 7 2 2 10" xfId="39738"/>
    <cellStyle name="Total 7 2 2 2" xfId="39739"/>
    <cellStyle name="Total 7 2 2 2 2" xfId="39740"/>
    <cellStyle name="Total 7 2 2 2 3" xfId="39741"/>
    <cellStyle name="Total 7 2 2 3" xfId="39742"/>
    <cellStyle name="Total 7 2 2 3 2" xfId="39743"/>
    <cellStyle name="Total 7 2 2 4" xfId="39744"/>
    <cellStyle name="Total 7 2 2 4 2" xfId="39745"/>
    <cellStyle name="Total 7 2 2 5" xfId="39746"/>
    <cellStyle name="Total 7 2 2 6" xfId="39747"/>
    <cellStyle name="Total 7 2 2 7" xfId="39748"/>
    <cellStyle name="Total 7 2 2 8" xfId="39749"/>
    <cellStyle name="Total 7 2 2 9" xfId="39750"/>
    <cellStyle name="Total 7 2 3" xfId="7728"/>
    <cellStyle name="Total 7 2 3 2" xfId="39752"/>
    <cellStyle name="Total 7 2 3 2 2" xfId="39753"/>
    <cellStyle name="Total 7 2 3 2 3" xfId="39754"/>
    <cellStyle name="Total 7 2 3 3" xfId="39755"/>
    <cellStyle name="Total 7 2 3 3 2" xfId="39756"/>
    <cellStyle name="Total 7 2 3 4" xfId="39757"/>
    <cellStyle name="Total 7 2 3 5" xfId="39758"/>
    <cellStyle name="Total 7 2 3 6" xfId="39759"/>
    <cellStyle name="Total 7 2 3 7" xfId="39751"/>
    <cellStyle name="Total 7 2 4" xfId="7729"/>
    <cellStyle name="Total 7 2 4 2" xfId="7730"/>
    <cellStyle name="Total 7 2 4 2 2" xfId="39761"/>
    <cellStyle name="Total 7 2 4 3" xfId="39762"/>
    <cellStyle name="Total 7 2 4 4" xfId="39760"/>
    <cellStyle name="Total 7 2 5" xfId="7731"/>
    <cellStyle name="Total 7 2 5 2" xfId="7732"/>
    <cellStyle name="Total 7 2 5 3" xfId="39763"/>
    <cellStyle name="Total 7 2 6" xfId="7733"/>
    <cellStyle name="Total 7 2 6 2" xfId="39764"/>
    <cellStyle name="Total 7 2 7" xfId="7734"/>
    <cellStyle name="Total 7 2 7 2" xfId="39765"/>
    <cellStyle name="Total 7 2 8" xfId="7726"/>
    <cellStyle name="Total 7 2 8 2" xfId="39766"/>
    <cellStyle name="Total 7 2 9" xfId="8302"/>
    <cellStyle name="Total 7 3" xfId="2921"/>
    <cellStyle name="Total 7 3 2" xfId="8472"/>
    <cellStyle name="Total 7 3 2 2" xfId="39767"/>
    <cellStyle name="Total 7 3 2 2 2" xfId="39768"/>
    <cellStyle name="Total 7 3 2 3" xfId="39769"/>
    <cellStyle name="Total 7 3 2 3 2" xfId="39770"/>
    <cellStyle name="Total 7 3 2 4" xfId="39771"/>
    <cellStyle name="Total 7 3 2 4 2" xfId="39772"/>
    <cellStyle name="Total 7 3 2 5" xfId="39773"/>
    <cellStyle name="Total 7 3 2 6" xfId="39774"/>
    <cellStyle name="Total 7 3 2 7" xfId="39775"/>
    <cellStyle name="Total 7 3 2 8" xfId="39776"/>
    <cellStyle name="Total 7 3 2 9" xfId="39777"/>
    <cellStyle name="Total 7 3 3" xfId="39778"/>
    <cellStyle name="Total 7 3 3 2" xfId="39779"/>
    <cellStyle name="Total 7 3 3 2 2" xfId="39780"/>
    <cellStyle name="Total 7 3 3 3" xfId="39781"/>
    <cellStyle name="Total 7 3 3 3 2" xfId="39782"/>
    <cellStyle name="Total 7 3 3 4" xfId="39783"/>
    <cellStyle name="Total 7 3 3 5" xfId="39784"/>
    <cellStyle name="Total 7 3 3 6" xfId="39785"/>
    <cellStyle name="Total 7 3 4" xfId="39786"/>
    <cellStyle name="Total 7 3 4 2" xfId="39787"/>
    <cellStyle name="Total 7 3 5" xfId="39788"/>
    <cellStyle name="Total 7 3 6" xfId="39789"/>
    <cellStyle name="Total 7 3 7" xfId="39790"/>
    <cellStyle name="Total 7 3 8" xfId="39791"/>
    <cellStyle name="Total 7 4" xfId="7735"/>
    <cellStyle name="Total 7 4 10" xfId="39792"/>
    <cellStyle name="Total 7 4 2" xfId="39793"/>
    <cellStyle name="Total 7 4 2 2" xfId="39794"/>
    <cellStyle name="Total 7 4 2 3" xfId="39795"/>
    <cellStyle name="Total 7 4 3" xfId="39796"/>
    <cellStyle name="Total 7 4 3 2" xfId="39797"/>
    <cellStyle name="Total 7 4 4" xfId="39798"/>
    <cellStyle name="Total 7 4 4 2" xfId="39799"/>
    <cellStyle name="Total 7 4 5" xfId="39800"/>
    <cellStyle name="Total 7 4 6" xfId="39801"/>
    <cellStyle name="Total 7 4 7" xfId="39802"/>
    <cellStyle name="Total 7 4 8" xfId="39803"/>
    <cellStyle name="Total 7 4 9" xfId="39804"/>
    <cellStyle name="Total 7 5" xfId="7736"/>
    <cellStyle name="Total 7 5 10" xfId="39805"/>
    <cellStyle name="Total 7 5 2" xfId="7737"/>
    <cellStyle name="Total 7 5 2 2" xfId="39807"/>
    <cellStyle name="Total 7 5 2 3" xfId="39808"/>
    <cellStyle name="Total 7 5 2 4" xfId="39806"/>
    <cellStyle name="Total 7 5 3" xfId="39809"/>
    <cellStyle name="Total 7 5 3 2" xfId="39810"/>
    <cellStyle name="Total 7 5 4" xfId="39811"/>
    <cellStyle name="Total 7 5 4 2" xfId="39812"/>
    <cellStyle name="Total 7 5 5" xfId="39813"/>
    <cellStyle name="Total 7 5 6" xfId="39814"/>
    <cellStyle name="Total 7 5 7" xfId="39815"/>
    <cellStyle name="Total 7 5 8" xfId="39816"/>
    <cellStyle name="Total 7 5 9" xfId="39817"/>
    <cellStyle name="Total 7 6" xfId="7738"/>
    <cellStyle name="Total 7 6 2" xfId="7739"/>
    <cellStyle name="Total 7 6 2 2" xfId="39820"/>
    <cellStyle name="Total 7 6 2 3" xfId="39819"/>
    <cellStyle name="Total 7 6 3" xfId="39821"/>
    <cellStyle name="Total 7 6 3 2" xfId="39822"/>
    <cellStyle name="Total 7 6 4" xfId="39823"/>
    <cellStyle name="Total 7 6 5" xfId="39824"/>
    <cellStyle name="Total 7 6 6" xfId="39825"/>
    <cellStyle name="Total 7 6 7" xfId="39818"/>
    <cellStyle name="Total 7 7" xfId="7740"/>
    <cellStyle name="Total 7 7 2" xfId="39827"/>
    <cellStyle name="Total 7 7 3" xfId="39826"/>
    <cellStyle name="Total 7 8" xfId="7741"/>
    <cellStyle name="Total 7 8 2" xfId="39828"/>
    <cellStyle name="Total 7 9" xfId="8301"/>
    <cellStyle name="Total 7 9 2" xfId="39829"/>
    <cellStyle name="Total 8" xfId="2367"/>
    <cellStyle name="Total 8 10" xfId="39830"/>
    <cellStyle name="Total 8 11" xfId="39831"/>
    <cellStyle name="Total 8 2" xfId="2368"/>
    <cellStyle name="Total 8 2 10" xfId="39832"/>
    <cellStyle name="Total 8 2 2" xfId="7743"/>
    <cellStyle name="Total 8 2 2 10" xfId="39833"/>
    <cellStyle name="Total 8 2 2 2" xfId="39834"/>
    <cellStyle name="Total 8 2 2 2 2" xfId="39835"/>
    <cellStyle name="Total 8 2 2 2 3" xfId="39836"/>
    <cellStyle name="Total 8 2 2 3" xfId="39837"/>
    <cellStyle name="Total 8 2 2 3 2" xfId="39838"/>
    <cellStyle name="Total 8 2 2 4" xfId="39839"/>
    <cellStyle name="Total 8 2 2 4 2" xfId="39840"/>
    <cellStyle name="Total 8 2 2 5" xfId="39841"/>
    <cellStyle name="Total 8 2 2 6" xfId="39842"/>
    <cellStyle name="Total 8 2 2 7" xfId="39843"/>
    <cellStyle name="Total 8 2 2 8" xfId="39844"/>
    <cellStyle name="Total 8 2 2 9" xfId="39845"/>
    <cellStyle name="Total 8 2 3" xfId="7744"/>
    <cellStyle name="Total 8 2 3 2" xfId="39847"/>
    <cellStyle name="Total 8 2 3 2 2" xfId="39848"/>
    <cellStyle name="Total 8 2 3 2 3" xfId="39849"/>
    <cellStyle name="Total 8 2 3 3" xfId="39850"/>
    <cellStyle name="Total 8 2 3 3 2" xfId="39851"/>
    <cellStyle name="Total 8 2 3 4" xfId="39852"/>
    <cellStyle name="Total 8 2 3 5" xfId="39853"/>
    <cellStyle name="Total 8 2 3 6" xfId="39854"/>
    <cellStyle name="Total 8 2 3 7" xfId="39846"/>
    <cellStyle name="Total 8 2 4" xfId="7745"/>
    <cellStyle name="Total 8 2 4 2" xfId="7746"/>
    <cellStyle name="Total 8 2 4 2 2" xfId="39856"/>
    <cellStyle name="Total 8 2 4 3" xfId="39857"/>
    <cellStyle name="Total 8 2 4 4" xfId="39855"/>
    <cellStyle name="Total 8 2 5" xfId="7747"/>
    <cellStyle name="Total 8 2 5 2" xfId="7748"/>
    <cellStyle name="Total 8 2 5 3" xfId="39858"/>
    <cellStyle name="Total 8 2 6" xfId="7749"/>
    <cellStyle name="Total 8 2 6 2" xfId="39859"/>
    <cellStyle name="Total 8 2 7" xfId="7750"/>
    <cellStyle name="Total 8 2 7 2" xfId="39860"/>
    <cellStyle name="Total 8 2 8" xfId="7742"/>
    <cellStyle name="Total 8 2 8 2" xfId="39861"/>
    <cellStyle name="Total 8 2 9" xfId="8304"/>
    <cellStyle name="Total 8 3" xfId="2922"/>
    <cellStyle name="Total 8 3 2" xfId="8473"/>
    <cellStyle name="Total 8 3 2 2" xfId="39862"/>
    <cellStyle name="Total 8 3 2 2 2" xfId="39863"/>
    <cellStyle name="Total 8 3 2 3" xfId="39864"/>
    <cellStyle name="Total 8 3 2 3 2" xfId="39865"/>
    <cellStyle name="Total 8 3 2 4" xfId="39866"/>
    <cellStyle name="Total 8 3 2 4 2" xfId="39867"/>
    <cellStyle name="Total 8 3 2 5" xfId="39868"/>
    <cellStyle name="Total 8 3 2 6" xfId="39869"/>
    <cellStyle name="Total 8 3 2 7" xfId="39870"/>
    <cellStyle name="Total 8 3 2 8" xfId="39871"/>
    <cellStyle name="Total 8 3 2 9" xfId="39872"/>
    <cellStyle name="Total 8 3 3" xfId="39873"/>
    <cellStyle name="Total 8 3 3 2" xfId="39874"/>
    <cellStyle name="Total 8 3 3 2 2" xfId="39875"/>
    <cellStyle name="Total 8 3 3 3" xfId="39876"/>
    <cellStyle name="Total 8 3 3 3 2" xfId="39877"/>
    <cellStyle name="Total 8 3 3 4" xfId="39878"/>
    <cellStyle name="Total 8 3 3 5" xfId="39879"/>
    <cellStyle name="Total 8 3 3 6" xfId="39880"/>
    <cellStyle name="Total 8 3 4" xfId="39881"/>
    <cellStyle name="Total 8 3 4 2" xfId="39882"/>
    <cellStyle name="Total 8 3 5" xfId="39883"/>
    <cellStyle name="Total 8 3 6" xfId="39884"/>
    <cellStyle name="Total 8 3 7" xfId="39885"/>
    <cellStyle name="Total 8 3 8" xfId="39886"/>
    <cellStyle name="Total 8 4" xfId="7751"/>
    <cellStyle name="Total 8 4 10" xfId="39887"/>
    <cellStyle name="Total 8 4 2" xfId="39888"/>
    <cellStyle name="Total 8 4 2 2" xfId="39889"/>
    <cellStyle name="Total 8 4 2 3" xfId="39890"/>
    <cellStyle name="Total 8 4 3" xfId="39891"/>
    <cellStyle name="Total 8 4 3 2" xfId="39892"/>
    <cellStyle name="Total 8 4 4" xfId="39893"/>
    <cellStyle name="Total 8 4 4 2" xfId="39894"/>
    <cellStyle name="Total 8 4 5" xfId="39895"/>
    <cellStyle name="Total 8 4 6" xfId="39896"/>
    <cellStyle name="Total 8 4 7" xfId="39897"/>
    <cellStyle name="Total 8 4 8" xfId="39898"/>
    <cellStyle name="Total 8 4 9" xfId="39899"/>
    <cellStyle name="Total 8 5" xfId="7752"/>
    <cellStyle name="Total 8 5 10" xfId="39900"/>
    <cellStyle name="Total 8 5 2" xfId="7753"/>
    <cellStyle name="Total 8 5 2 2" xfId="39902"/>
    <cellStyle name="Total 8 5 2 3" xfId="39903"/>
    <cellStyle name="Total 8 5 2 4" xfId="39901"/>
    <cellStyle name="Total 8 5 3" xfId="39904"/>
    <cellStyle name="Total 8 5 3 2" xfId="39905"/>
    <cellStyle name="Total 8 5 4" xfId="39906"/>
    <cellStyle name="Total 8 5 4 2" xfId="39907"/>
    <cellStyle name="Total 8 5 5" xfId="39908"/>
    <cellStyle name="Total 8 5 6" xfId="39909"/>
    <cellStyle name="Total 8 5 7" xfId="39910"/>
    <cellStyle name="Total 8 5 8" xfId="39911"/>
    <cellStyle name="Total 8 5 9" xfId="39912"/>
    <cellStyle name="Total 8 6" xfId="7754"/>
    <cellStyle name="Total 8 6 2" xfId="7755"/>
    <cellStyle name="Total 8 6 2 2" xfId="39915"/>
    <cellStyle name="Total 8 6 2 3" xfId="39914"/>
    <cellStyle name="Total 8 6 3" xfId="39916"/>
    <cellStyle name="Total 8 6 3 2" xfId="39917"/>
    <cellStyle name="Total 8 6 4" xfId="39918"/>
    <cellStyle name="Total 8 6 5" xfId="39919"/>
    <cellStyle name="Total 8 6 6" xfId="39920"/>
    <cellStyle name="Total 8 6 7" xfId="39913"/>
    <cellStyle name="Total 8 7" xfId="7756"/>
    <cellStyle name="Total 8 7 2" xfId="39922"/>
    <cellStyle name="Total 8 7 3" xfId="39921"/>
    <cellStyle name="Total 8 8" xfId="7757"/>
    <cellStyle name="Total 8 8 2" xfId="39923"/>
    <cellStyle name="Total 8 9" xfId="8303"/>
    <cellStyle name="Total 8 9 2" xfId="39924"/>
    <cellStyle name="Total 9" xfId="2369"/>
    <cellStyle name="Total 9 10" xfId="39925"/>
    <cellStyle name="Total 9 11" xfId="39926"/>
    <cellStyle name="Total 9 2" xfId="2923"/>
    <cellStyle name="Total 9 2 2" xfId="7758"/>
    <cellStyle name="Total 9 2 2 10" xfId="39927"/>
    <cellStyle name="Total 9 2 2 2" xfId="39928"/>
    <cellStyle name="Total 9 2 2 2 2" xfId="39929"/>
    <cellStyle name="Total 9 2 2 2 3" xfId="39930"/>
    <cellStyle name="Total 9 2 2 3" xfId="39931"/>
    <cellStyle name="Total 9 2 2 3 2" xfId="39932"/>
    <cellStyle name="Total 9 2 2 4" xfId="39933"/>
    <cellStyle name="Total 9 2 2 4 2" xfId="39934"/>
    <cellStyle name="Total 9 2 2 5" xfId="39935"/>
    <cellStyle name="Total 9 2 2 6" xfId="39936"/>
    <cellStyle name="Total 9 2 2 7" xfId="39937"/>
    <cellStyle name="Total 9 2 2 8" xfId="39938"/>
    <cellStyle name="Total 9 2 2 9" xfId="39939"/>
    <cellStyle name="Total 9 2 3" xfId="7759"/>
    <cellStyle name="Total 9 2 3 2" xfId="39941"/>
    <cellStyle name="Total 9 2 3 2 2" xfId="39942"/>
    <cellStyle name="Total 9 2 3 2 3" xfId="39943"/>
    <cellStyle name="Total 9 2 3 3" xfId="39944"/>
    <cellStyle name="Total 9 2 3 3 2" xfId="39945"/>
    <cellStyle name="Total 9 2 3 4" xfId="39946"/>
    <cellStyle name="Total 9 2 3 5" xfId="39947"/>
    <cellStyle name="Total 9 2 3 6" xfId="39948"/>
    <cellStyle name="Total 9 2 3 7" xfId="39940"/>
    <cellStyle name="Total 9 2 4" xfId="7760"/>
    <cellStyle name="Total 9 2 4 2" xfId="7761"/>
    <cellStyle name="Total 9 2 4 2 2" xfId="39950"/>
    <cellStyle name="Total 9 2 4 3" xfId="39951"/>
    <cellStyle name="Total 9 2 4 4" xfId="39949"/>
    <cellStyle name="Total 9 2 5" xfId="7762"/>
    <cellStyle name="Total 9 2 5 2" xfId="7763"/>
    <cellStyle name="Total 9 2 5 3" xfId="39952"/>
    <cellStyle name="Total 9 2 6" xfId="7764"/>
    <cellStyle name="Total 9 2 6 2" xfId="39953"/>
    <cellStyle name="Total 9 2 7" xfId="7765"/>
    <cellStyle name="Total 9 2 7 2" xfId="39954"/>
    <cellStyle name="Total 9 2 8" xfId="8474"/>
    <cellStyle name="Total 9 3" xfId="7766"/>
    <cellStyle name="Total 9 3 2" xfId="39956"/>
    <cellStyle name="Total 9 3 2 2" xfId="39957"/>
    <cellStyle name="Total 9 3 2 2 2" xfId="39958"/>
    <cellStyle name="Total 9 3 2 3" xfId="39959"/>
    <cellStyle name="Total 9 3 2 3 2" xfId="39960"/>
    <cellStyle name="Total 9 3 2 4" xfId="39961"/>
    <cellStyle name="Total 9 3 2 4 2" xfId="39962"/>
    <cellStyle name="Total 9 3 2 5" xfId="39963"/>
    <cellStyle name="Total 9 3 2 6" xfId="39964"/>
    <cellStyle name="Total 9 3 2 7" xfId="39965"/>
    <cellStyle name="Total 9 3 2 8" xfId="39966"/>
    <cellStyle name="Total 9 3 2 9" xfId="39967"/>
    <cellStyle name="Total 9 3 3" xfId="39968"/>
    <cellStyle name="Total 9 3 3 2" xfId="39969"/>
    <cellStyle name="Total 9 3 3 2 2" xfId="39970"/>
    <cellStyle name="Total 9 3 3 3" xfId="39971"/>
    <cellStyle name="Total 9 3 3 3 2" xfId="39972"/>
    <cellStyle name="Total 9 3 3 4" xfId="39973"/>
    <cellStyle name="Total 9 3 3 5" xfId="39974"/>
    <cellStyle name="Total 9 3 3 6" xfId="39975"/>
    <cellStyle name="Total 9 3 4" xfId="39976"/>
    <cellStyle name="Total 9 3 4 2" xfId="39977"/>
    <cellStyle name="Total 9 3 5" xfId="39978"/>
    <cellStyle name="Total 9 3 6" xfId="39979"/>
    <cellStyle name="Total 9 3 7" xfId="39980"/>
    <cellStyle name="Total 9 3 8" xfId="39981"/>
    <cellStyle name="Total 9 3 9" xfId="39955"/>
    <cellStyle name="Total 9 4" xfId="7767"/>
    <cellStyle name="Total 9 4 10" xfId="39982"/>
    <cellStyle name="Total 9 4 2" xfId="39983"/>
    <cellStyle name="Total 9 4 2 2" xfId="39984"/>
    <cellStyle name="Total 9 4 2 3" xfId="39985"/>
    <cellStyle name="Total 9 4 3" xfId="39986"/>
    <cellStyle name="Total 9 4 3 2" xfId="39987"/>
    <cellStyle name="Total 9 4 4" xfId="39988"/>
    <cellStyle name="Total 9 4 4 2" xfId="39989"/>
    <cellStyle name="Total 9 4 5" xfId="39990"/>
    <cellStyle name="Total 9 4 6" xfId="39991"/>
    <cellStyle name="Total 9 4 7" xfId="39992"/>
    <cellStyle name="Total 9 4 8" xfId="39993"/>
    <cellStyle name="Total 9 4 9" xfId="39994"/>
    <cellStyle name="Total 9 5" xfId="7768"/>
    <cellStyle name="Total 9 5 10" xfId="39995"/>
    <cellStyle name="Total 9 5 2" xfId="7769"/>
    <cellStyle name="Total 9 5 2 2" xfId="39997"/>
    <cellStyle name="Total 9 5 2 3" xfId="39998"/>
    <cellStyle name="Total 9 5 2 4" xfId="39996"/>
    <cellStyle name="Total 9 5 3" xfId="39999"/>
    <cellStyle name="Total 9 5 3 2" xfId="40000"/>
    <cellStyle name="Total 9 5 4" xfId="40001"/>
    <cellStyle name="Total 9 5 4 2" xfId="40002"/>
    <cellStyle name="Total 9 5 5" xfId="40003"/>
    <cellStyle name="Total 9 5 6" xfId="40004"/>
    <cellStyle name="Total 9 5 7" xfId="40005"/>
    <cellStyle name="Total 9 5 8" xfId="40006"/>
    <cellStyle name="Total 9 5 9" xfId="40007"/>
    <cellStyle name="Total 9 6" xfId="7770"/>
    <cellStyle name="Total 9 6 2" xfId="7771"/>
    <cellStyle name="Total 9 6 2 2" xfId="40010"/>
    <cellStyle name="Total 9 6 2 3" xfId="40009"/>
    <cellStyle name="Total 9 6 3" xfId="40011"/>
    <cellStyle name="Total 9 6 3 2" xfId="40012"/>
    <cellStyle name="Total 9 6 4" xfId="40013"/>
    <cellStyle name="Total 9 6 5" xfId="40014"/>
    <cellStyle name="Total 9 6 6" xfId="40015"/>
    <cellStyle name="Total 9 6 7" xfId="40008"/>
    <cellStyle name="Total 9 7" xfId="7772"/>
    <cellStyle name="Total 9 7 2" xfId="40017"/>
    <cellStyle name="Total 9 7 3" xfId="40016"/>
    <cellStyle name="Total 9 8" xfId="7773"/>
    <cellStyle name="Total 9 8 2" xfId="40018"/>
    <cellStyle name="Total 9 9" xfId="8305"/>
    <cellStyle name="Total 9 9 2" xfId="40019"/>
    <cellStyle name="TotCol - Style5" xfId="2370"/>
    <cellStyle name="TotCol - Style7" xfId="2924"/>
    <cellStyle name="TotRow - Style4" xfId="2371"/>
    <cellStyle name="TotRow - Style4 2" xfId="2372"/>
    <cellStyle name="TotRow - Style4 2 2" xfId="2373"/>
    <cellStyle name="TotRow - Style4 2 2 2" xfId="8308"/>
    <cellStyle name="TotRow - Style4 2 2 2 2" xfId="40020"/>
    <cellStyle name="TotRow - Style4 2 2 2 2 2" xfId="40021"/>
    <cellStyle name="TotRow - Style4 2 2 2 3" xfId="40022"/>
    <cellStyle name="TotRow - Style4 2 2 3" xfId="40023"/>
    <cellStyle name="TotRow - Style4 2 2 3 2" xfId="40024"/>
    <cellStyle name="TotRow - Style4 2 2 3 2 2" xfId="40025"/>
    <cellStyle name="TotRow - Style4 2 2 3 3" xfId="40026"/>
    <cellStyle name="TotRow - Style4 2 2 4" xfId="40027"/>
    <cellStyle name="TotRow - Style4 2 2 4 2" xfId="40028"/>
    <cellStyle name="TotRow - Style4 2 2 4 2 2" xfId="40029"/>
    <cellStyle name="TotRow - Style4 2 2 4 3" xfId="40030"/>
    <cellStyle name="TotRow - Style4 2 2 5" xfId="40031"/>
    <cellStyle name="TotRow - Style4 2 2 5 2" xfId="40032"/>
    <cellStyle name="TotRow - Style4 2 2 6" xfId="40033"/>
    <cellStyle name="TotRow - Style4 2 2 7" xfId="40034"/>
    <cellStyle name="TotRow - Style4 2 2 8" xfId="40035"/>
    <cellStyle name="TotRow - Style4 2 3" xfId="8307"/>
    <cellStyle name="TotRow - Style4 2 3 2" xfId="40036"/>
    <cellStyle name="TotRow - Style4 2 3 2 2" xfId="40037"/>
    <cellStyle name="TotRow - Style4 2 3 2 2 2" xfId="40038"/>
    <cellStyle name="TotRow - Style4 2 3 2 3" xfId="40039"/>
    <cellStyle name="TotRow - Style4 2 3 3" xfId="40040"/>
    <cellStyle name="TotRow - Style4 2 3 3 2" xfId="40041"/>
    <cellStyle name="TotRow - Style4 2 3 3 2 2" xfId="40042"/>
    <cellStyle name="TotRow - Style4 2 3 3 3" xfId="40043"/>
    <cellStyle name="TotRow - Style4 2 3 4" xfId="40044"/>
    <cellStyle name="TotRow - Style4 2 3 4 2" xfId="40045"/>
    <cellStyle name="TotRow - Style4 2 3 4 3" xfId="40046"/>
    <cellStyle name="TotRow - Style4 2 3 4 4" xfId="40047"/>
    <cellStyle name="TotRow - Style4 2 3 5" xfId="40048"/>
    <cellStyle name="TotRow - Style4 2 3 5 2" xfId="40049"/>
    <cellStyle name="TotRow - Style4 2 3 6" xfId="40050"/>
    <cellStyle name="TotRow - Style4 2 4" xfId="40051"/>
    <cellStyle name="TotRow - Style4 2 4 2" xfId="40052"/>
    <cellStyle name="TotRow - Style4 2 4 2 2" xfId="40053"/>
    <cellStyle name="TotRow - Style4 2 4 2 3" xfId="40054"/>
    <cellStyle name="TotRow - Style4 2 4 2 4" xfId="40055"/>
    <cellStyle name="TotRow - Style4 2 4 3" xfId="40056"/>
    <cellStyle name="TotRow - Style4 2 4 3 2" xfId="40057"/>
    <cellStyle name="TotRow - Style4 2 4 3 3" xfId="40058"/>
    <cellStyle name="TotRow - Style4 2 4 3 4" xfId="40059"/>
    <cellStyle name="TotRow - Style4 2 4 4" xfId="40060"/>
    <cellStyle name="TotRow - Style4 2 4 5" xfId="40061"/>
    <cellStyle name="TotRow - Style4 2 4 6" xfId="40062"/>
    <cellStyle name="TotRow - Style4 2 5" xfId="40063"/>
    <cellStyle name="TotRow - Style4 2 5 2" xfId="40064"/>
    <cellStyle name="TotRow - Style4 2 5 2 2" xfId="40065"/>
    <cellStyle name="TotRow - Style4 2 5 2 3" xfId="40066"/>
    <cellStyle name="TotRow - Style4 2 5 2 4" xfId="40067"/>
    <cellStyle name="TotRow - Style4 2 5 3" xfId="40068"/>
    <cellStyle name="TotRow - Style4 2 5 3 2" xfId="40069"/>
    <cellStyle name="TotRow - Style4 2 5 3 3" xfId="40070"/>
    <cellStyle name="TotRow - Style4 2 5 3 4" xfId="40071"/>
    <cellStyle name="TotRow - Style4 2 5 4" xfId="40072"/>
    <cellStyle name="TotRow - Style4 2 5 5" xfId="40073"/>
    <cellStyle name="TotRow - Style4 2 5 6" xfId="40074"/>
    <cellStyle name="TotRow - Style4 2 6" xfId="40075"/>
    <cellStyle name="TotRow - Style4 2 6 2" xfId="40076"/>
    <cellStyle name="TotRow - Style4 2 6 3" xfId="40077"/>
    <cellStyle name="TotRow - Style4 2 6 4" xfId="40078"/>
    <cellStyle name="TotRow - Style4 2 7" xfId="40079"/>
    <cellStyle name="TotRow - Style4 2 7 2" xfId="40080"/>
    <cellStyle name="TotRow - Style4 2 7 3" xfId="40081"/>
    <cellStyle name="TotRow - Style4 2 7 4" xfId="40082"/>
    <cellStyle name="TotRow - Style4 2 8" xfId="40083"/>
    <cellStyle name="TotRow - Style4 2 9" xfId="40084"/>
    <cellStyle name="TotRow - Style4 3" xfId="2374"/>
    <cellStyle name="TotRow - Style4 3 2" xfId="2375"/>
    <cellStyle name="TotRow - Style4 3 2 2" xfId="8310"/>
    <cellStyle name="TotRow - Style4 3 2 2 2" xfId="40085"/>
    <cellStyle name="TotRow - Style4 3 2 2 2 2" xfId="40086"/>
    <cellStyle name="TotRow - Style4 3 2 2 3" xfId="40087"/>
    <cellStyle name="TotRow - Style4 3 2 3" xfId="40088"/>
    <cellStyle name="TotRow - Style4 3 2 3 2" xfId="40089"/>
    <cellStyle name="TotRow - Style4 3 2 3 2 2" xfId="40090"/>
    <cellStyle name="TotRow - Style4 3 2 3 3" xfId="40091"/>
    <cellStyle name="TotRow - Style4 3 2 4" xfId="40092"/>
    <cellStyle name="TotRow - Style4 3 2 4 2" xfId="40093"/>
    <cellStyle name="TotRow - Style4 3 2 4 3" xfId="40094"/>
    <cellStyle name="TotRow - Style4 3 2 5" xfId="40095"/>
    <cellStyle name="TotRow - Style4 3 2 6" xfId="40096"/>
    <cellStyle name="TotRow - Style4 3 2 7" xfId="40097"/>
    <cellStyle name="TotRow - Style4 3 2 8" xfId="40098"/>
    <cellStyle name="TotRow - Style4 3 3" xfId="8309"/>
    <cellStyle name="TotRow - Style4 3 3 2" xfId="40099"/>
    <cellStyle name="TotRow - Style4 3 3 2 2" xfId="40100"/>
    <cellStyle name="TotRow - Style4 3 3 2 3" xfId="40101"/>
    <cellStyle name="TotRow - Style4 3 3 3" xfId="40102"/>
    <cellStyle name="TotRow - Style4 3 3 3 2" xfId="40103"/>
    <cellStyle name="TotRow - Style4 3 3 4" xfId="40104"/>
    <cellStyle name="TotRow - Style4 3 3 5" xfId="40105"/>
    <cellStyle name="TotRow - Style4 3 3 6" xfId="40106"/>
    <cellStyle name="TotRow - Style4 3 4" xfId="40107"/>
    <cellStyle name="TotRow - Style4 3 4 2" xfId="40108"/>
    <cellStyle name="TotRow - Style4 3 4 3" xfId="40109"/>
    <cellStyle name="TotRow - Style4 3 4 4" xfId="40110"/>
    <cellStyle name="TotRow - Style4 3 5" xfId="40111"/>
    <cellStyle name="TotRow - Style4 3 5 2" xfId="40112"/>
    <cellStyle name="TotRow - Style4 3 5 3" xfId="40113"/>
    <cellStyle name="TotRow - Style4 3 5 4" xfId="40114"/>
    <cellStyle name="TotRow - Style4 3 6" xfId="40115"/>
    <cellStyle name="TotRow - Style4 3 7" xfId="40116"/>
    <cellStyle name="TotRow - Style4 4" xfId="2376"/>
    <cellStyle name="TotRow - Style4 4 2" xfId="7774"/>
    <cellStyle name="TotRow - Style4 4 2 2" xfId="40118"/>
    <cellStyle name="TotRow - Style4 4 2 2 2" xfId="40119"/>
    <cellStyle name="TotRow - Style4 4 2 3" xfId="40120"/>
    <cellStyle name="TotRow - Style4 4 2 4" xfId="40117"/>
    <cellStyle name="TotRow - Style4 4 3" xfId="8311"/>
    <cellStyle name="TotRow - Style4 4 3 2" xfId="40121"/>
    <cellStyle name="TotRow - Style4 4 3 2 2" xfId="40122"/>
    <cellStyle name="TotRow - Style4 4 3 3" xfId="40123"/>
    <cellStyle name="TotRow - Style4 4 4" xfId="40124"/>
    <cellStyle name="TotRow - Style4 4 4 2" xfId="40125"/>
    <cellStyle name="TotRow - Style4 4 4 2 2" xfId="40126"/>
    <cellStyle name="TotRow - Style4 4 4 3" xfId="40127"/>
    <cellStyle name="TotRow - Style4 4 5" xfId="40128"/>
    <cellStyle name="TotRow - Style4 4 5 2" xfId="40129"/>
    <cellStyle name="TotRow - Style4 4 6" xfId="40130"/>
    <cellStyle name="TotRow - Style4 4 7" xfId="40131"/>
    <cellStyle name="TotRow - Style4 4 8" xfId="40132"/>
    <cellStyle name="TotRow - Style4 5" xfId="7775"/>
    <cellStyle name="TotRow - Style4 5 2" xfId="7776"/>
    <cellStyle name="TotRow - Style4 5 2 2" xfId="40135"/>
    <cellStyle name="TotRow - Style4 5 2 2 2" xfId="40136"/>
    <cellStyle name="TotRow - Style4 5 2 3" xfId="40137"/>
    <cellStyle name="TotRow - Style4 5 2 4" xfId="40134"/>
    <cellStyle name="TotRow - Style4 5 3" xfId="40138"/>
    <cellStyle name="TotRow - Style4 5 3 2" xfId="40139"/>
    <cellStyle name="TotRow - Style4 5 3 2 2" xfId="40140"/>
    <cellStyle name="TotRow - Style4 5 3 3" xfId="40141"/>
    <cellStyle name="TotRow - Style4 5 4" xfId="40142"/>
    <cellStyle name="TotRow - Style4 5 4 2" xfId="40143"/>
    <cellStyle name="TotRow - Style4 5 4 2 2" xfId="40144"/>
    <cellStyle name="TotRow - Style4 5 4 3" xfId="40145"/>
    <cellStyle name="TotRow - Style4 5 5" xfId="40146"/>
    <cellStyle name="TotRow - Style4 5 5 2" xfId="40147"/>
    <cellStyle name="TotRow - Style4 5 6" xfId="40148"/>
    <cellStyle name="TotRow - Style4 5 7" xfId="40149"/>
    <cellStyle name="TotRow - Style4 5 8" xfId="40150"/>
    <cellStyle name="TotRow - Style4 5 9" xfId="40133"/>
    <cellStyle name="TotRow - Style4 6" xfId="7777"/>
    <cellStyle name="TotRow - Style4 6 2" xfId="40152"/>
    <cellStyle name="TotRow - Style4 6 2 2" xfId="40153"/>
    <cellStyle name="TotRow - Style4 6 2 3" xfId="40154"/>
    <cellStyle name="TotRow - Style4 6 3" xfId="40155"/>
    <cellStyle name="TotRow - Style4 6 3 2" xfId="40156"/>
    <cellStyle name="TotRow - Style4 6 4" xfId="40157"/>
    <cellStyle name="TotRow - Style4 6 5" xfId="40158"/>
    <cellStyle name="TotRow - Style4 6 6" xfId="40159"/>
    <cellStyle name="TotRow - Style4 6 7" xfId="40151"/>
    <cellStyle name="TotRow - Style4 7" xfId="7778"/>
    <cellStyle name="TotRow - Style4 7 2" xfId="40161"/>
    <cellStyle name="TotRow - Style4 7 3" xfId="40162"/>
    <cellStyle name="TotRow - Style4 7 4" xfId="40163"/>
    <cellStyle name="TotRow - Style4 7 5" xfId="40160"/>
    <cellStyle name="TotRow - Style4 8" xfId="7847"/>
    <cellStyle name="TotRow - Style4 8 2" xfId="40165"/>
    <cellStyle name="TotRow - Style4 8 3" xfId="40164"/>
    <cellStyle name="TotRow - Style4 9" xfId="8306"/>
    <cellStyle name="TotRow - Style8" xfId="2925"/>
    <cellStyle name="TotRow - Style8 2" xfId="7779"/>
    <cellStyle name="TotRow - Style8 2 10" xfId="40166"/>
    <cellStyle name="TotRow - Style8 2 2" xfId="40167"/>
    <cellStyle name="TotRow - Style8 2 2 2" xfId="40168"/>
    <cellStyle name="TotRow - Style8 2 2 2 2" xfId="40169"/>
    <cellStyle name="TotRow - Style8 2 2 2 2 2" xfId="40170"/>
    <cellStyle name="TotRow - Style8 2 2 2 3" xfId="40171"/>
    <cellStyle name="TotRow - Style8 2 2 3" xfId="40172"/>
    <cellStyle name="TotRow - Style8 2 2 3 2" xfId="40173"/>
    <cellStyle name="TotRow - Style8 2 2 3 2 2" xfId="40174"/>
    <cellStyle name="TotRow - Style8 2 2 3 3" xfId="40175"/>
    <cellStyle name="TotRow - Style8 2 2 4" xfId="40176"/>
    <cellStyle name="TotRow - Style8 2 2 4 2" xfId="40177"/>
    <cellStyle name="TotRow - Style8 2 2 4 2 2" xfId="40178"/>
    <cellStyle name="TotRow - Style8 2 2 4 3" xfId="40179"/>
    <cellStyle name="TotRow - Style8 2 2 5" xfId="40180"/>
    <cellStyle name="TotRow - Style8 2 2 5 2" xfId="40181"/>
    <cellStyle name="TotRow - Style8 2 2 6" xfId="40182"/>
    <cellStyle name="TotRow - Style8 2 2 7" xfId="40183"/>
    <cellStyle name="TotRow - Style8 2 2 8" xfId="40184"/>
    <cellStyle name="TotRow - Style8 2 3" xfId="40185"/>
    <cellStyle name="TotRow - Style8 2 3 2" xfId="40186"/>
    <cellStyle name="TotRow - Style8 2 3 2 2" xfId="40187"/>
    <cellStyle name="TotRow - Style8 2 3 2 2 2" xfId="40188"/>
    <cellStyle name="TotRow - Style8 2 3 2 3" xfId="40189"/>
    <cellStyle name="TotRow - Style8 2 3 3" xfId="40190"/>
    <cellStyle name="TotRow - Style8 2 3 3 2" xfId="40191"/>
    <cellStyle name="TotRow - Style8 2 3 3 2 2" xfId="40192"/>
    <cellStyle name="TotRow - Style8 2 3 3 3" xfId="40193"/>
    <cellStyle name="TotRow - Style8 2 3 4" xfId="40194"/>
    <cellStyle name="TotRow - Style8 2 3 4 2" xfId="40195"/>
    <cellStyle name="TotRow - Style8 2 3 4 3" xfId="40196"/>
    <cellStyle name="TotRow - Style8 2 3 4 4" xfId="40197"/>
    <cellStyle name="TotRow - Style8 2 3 5" xfId="40198"/>
    <cellStyle name="TotRow - Style8 2 3 5 2" xfId="40199"/>
    <cellStyle name="TotRow - Style8 2 3 6" xfId="40200"/>
    <cellStyle name="TotRow - Style8 2 4" xfId="40201"/>
    <cellStyle name="TotRow - Style8 2 4 2" xfId="40202"/>
    <cellStyle name="TotRow - Style8 2 4 2 2" xfId="40203"/>
    <cellStyle name="TotRow - Style8 2 4 2 3" xfId="40204"/>
    <cellStyle name="TotRow - Style8 2 4 2 4" xfId="40205"/>
    <cellStyle name="TotRow - Style8 2 4 3" xfId="40206"/>
    <cellStyle name="TotRow - Style8 2 4 3 2" xfId="40207"/>
    <cellStyle name="TotRow - Style8 2 4 3 3" xfId="40208"/>
    <cellStyle name="TotRow - Style8 2 4 3 4" xfId="40209"/>
    <cellStyle name="TotRow - Style8 2 4 4" xfId="40210"/>
    <cellStyle name="TotRow - Style8 2 4 5" xfId="40211"/>
    <cellStyle name="TotRow - Style8 2 4 6" xfId="40212"/>
    <cellStyle name="TotRow - Style8 2 5" xfId="40213"/>
    <cellStyle name="TotRow - Style8 2 5 2" xfId="40214"/>
    <cellStyle name="TotRow - Style8 2 5 2 2" xfId="40215"/>
    <cellStyle name="TotRow - Style8 2 5 2 3" xfId="40216"/>
    <cellStyle name="TotRow - Style8 2 5 2 4" xfId="40217"/>
    <cellStyle name="TotRow - Style8 2 5 3" xfId="40218"/>
    <cellStyle name="TotRow - Style8 2 5 3 2" xfId="40219"/>
    <cellStyle name="TotRow - Style8 2 5 3 3" xfId="40220"/>
    <cellStyle name="TotRow - Style8 2 5 3 4" xfId="40221"/>
    <cellStyle name="TotRow - Style8 2 5 4" xfId="40222"/>
    <cellStyle name="TotRow - Style8 2 5 5" xfId="40223"/>
    <cellStyle name="TotRow - Style8 2 5 6" xfId="40224"/>
    <cellStyle name="TotRow - Style8 2 6" xfId="40225"/>
    <cellStyle name="TotRow - Style8 2 6 2" xfId="40226"/>
    <cellStyle name="TotRow - Style8 2 6 3" xfId="40227"/>
    <cellStyle name="TotRow - Style8 2 6 4" xfId="40228"/>
    <cellStyle name="TotRow - Style8 2 7" xfId="40229"/>
    <cellStyle name="TotRow - Style8 2 7 2" xfId="40230"/>
    <cellStyle name="TotRow - Style8 2 7 3" xfId="40231"/>
    <cellStyle name="TotRow - Style8 2 7 4" xfId="40232"/>
    <cellStyle name="TotRow - Style8 2 8" xfId="40233"/>
    <cellStyle name="TotRow - Style8 2 9" xfId="40234"/>
    <cellStyle name="TotRow - Style8 3" xfId="7780"/>
    <cellStyle name="TotRow - Style8 3 2" xfId="40236"/>
    <cellStyle name="TotRow - Style8 3 2 2" xfId="40237"/>
    <cellStyle name="TotRow - Style8 3 2 2 2" xfId="40238"/>
    <cellStyle name="TotRow - Style8 3 2 2 2 2" xfId="40239"/>
    <cellStyle name="TotRow - Style8 3 2 2 3" xfId="40240"/>
    <cellStyle name="TotRow - Style8 3 2 3" xfId="40241"/>
    <cellStyle name="TotRow - Style8 3 2 3 2" xfId="40242"/>
    <cellStyle name="TotRow - Style8 3 2 3 2 2" xfId="40243"/>
    <cellStyle name="TotRow - Style8 3 2 3 3" xfId="40244"/>
    <cellStyle name="TotRow - Style8 3 2 4" xfId="40245"/>
    <cellStyle name="TotRow - Style8 3 2 4 2" xfId="40246"/>
    <cellStyle name="TotRow - Style8 3 2 4 3" xfId="40247"/>
    <cellStyle name="TotRow - Style8 3 2 5" xfId="40248"/>
    <cellStyle name="TotRow - Style8 3 2 6" xfId="40249"/>
    <cellStyle name="TotRow - Style8 3 2 7" xfId="40250"/>
    <cellStyle name="TotRow - Style8 3 2 8" xfId="40251"/>
    <cellStyle name="TotRow - Style8 3 3" xfId="40252"/>
    <cellStyle name="TotRow - Style8 3 3 2" xfId="40253"/>
    <cellStyle name="TotRow - Style8 3 3 2 2" xfId="40254"/>
    <cellStyle name="TotRow - Style8 3 3 2 3" xfId="40255"/>
    <cellStyle name="TotRow - Style8 3 3 3" xfId="40256"/>
    <cellStyle name="TotRow - Style8 3 3 3 2" xfId="40257"/>
    <cellStyle name="TotRow - Style8 3 3 4" xfId="40258"/>
    <cellStyle name="TotRow - Style8 3 3 5" xfId="40259"/>
    <cellStyle name="TotRow - Style8 3 3 6" xfId="40260"/>
    <cellStyle name="TotRow - Style8 3 4" xfId="40261"/>
    <cellStyle name="TotRow - Style8 3 4 2" xfId="40262"/>
    <cellStyle name="TotRow - Style8 3 4 3" xfId="40263"/>
    <cellStyle name="TotRow - Style8 3 4 4" xfId="40264"/>
    <cellStyle name="TotRow - Style8 3 5" xfId="40265"/>
    <cellStyle name="TotRow - Style8 3 5 2" xfId="40266"/>
    <cellStyle name="TotRow - Style8 3 5 3" xfId="40267"/>
    <cellStyle name="TotRow - Style8 3 5 4" xfId="40268"/>
    <cellStyle name="TotRow - Style8 3 6" xfId="40269"/>
    <cellStyle name="TotRow - Style8 3 7" xfId="40270"/>
    <cellStyle name="TotRow - Style8 3 8" xfId="40235"/>
    <cellStyle name="TotRow - Style8 4" xfId="7781"/>
    <cellStyle name="TotRow - Style8 4 2" xfId="7782"/>
    <cellStyle name="TotRow - Style8 4 2 2" xfId="40273"/>
    <cellStyle name="TotRow - Style8 4 2 2 2" xfId="40274"/>
    <cellStyle name="TotRow - Style8 4 2 3" xfId="40275"/>
    <cellStyle name="TotRow - Style8 4 2 4" xfId="40272"/>
    <cellStyle name="TotRow - Style8 4 3" xfId="40276"/>
    <cellStyle name="TotRow - Style8 4 3 2" xfId="40277"/>
    <cellStyle name="TotRow - Style8 4 3 2 2" xfId="40278"/>
    <cellStyle name="TotRow - Style8 4 3 3" xfId="40279"/>
    <cellStyle name="TotRow - Style8 4 4" xfId="40280"/>
    <cellStyle name="TotRow - Style8 4 4 2" xfId="40281"/>
    <cellStyle name="TotRow - Style8 4 4 2 2" xfId="40282"/>
    <cellStyle name="TotRow - Style8 4 4 3" xfId="40283"/>
    <cellStyle name="TotRow - Style8 4 5" xfId="40284"/>
    <cellStyle name="TotRow - Style8 4 5 2" xfId="40285"/>
    <cellStyle name="TotRow - Style8 4 6" xfId="40286"/>
    <cellStyle name="TotRow - Style8 4 7" xfId="40287"/>
    <cellStyle name="TotRow - Style8 4 8" xfId="40288"/>
    <cellStyle name="TotRow - Style8 4 9" xfId="40271"/>
    <cellStyle name="TotRow - Style8 5" xfId="7783"/>
    <cellStyle name="TotRow - Style8 5 2" xfId="7784"/>
    <cellStyle name="TotRow - Style8 5 2 2" xfId="40291"/>
    <cellStyle name="TotRow - Style8 5 2 2 2" xfId="40292"/>
    <cellStyle name="TotRow - Style8 5 2 3" xfId="40293"/>
    <cellStyle name="TotRow - Style8 5 2 4" xfId="40290"/>
    <cellStyle name="TotRow - Style8 5 3" xfId="40294"/>
    <cellStyle name="TotRow - Style8 5 3 2" xfId="40295"/>
    <cellStyle name="TotRow - Style8 5 3 2 2" xfId="40296"/>
    <cellStyle name="TotRow - Style8 5 3 3" xfId="40297"/>
    <cellStyle name="TotRow - Style8 5 4" xfId="40298"/>
    <cellStyle name="TotRow - Style8 5 4 2" xfId="40299"/>
    <cellStyle name="TotRow - Style8 5 4 2 2" xfId="40300"/>
    <cellStyle name="TotRow - Style8 5 4 3" xfId="40301"/>
    <cellStyle name="TotRow - Style8 5 5" xfId="40302"/>
    <cellStyle name="TotRow - Style8 5 5 2" xfId="40303"/>
    <cellStyle name="TotRow - Style8 5 6" xfId="40304"/>
    <cellStyle name="TotRow - Style8 5 7" xfId="40305"/>
    <cellStyle name="TotRow - Style8 5 8" xfId="40306"/>
    <cellStyle name="TotRow - Style8 5 9" xfId="40289"/>
    <cellStyle name="TotRow - Style8 6" xfId="7785"/>
    <cellStyle name="TotRow - Style8 6 2" xfId="40308"/>
    <cellStyle name="TotRow - Style8 6 2 2" xfId="40309"/>
    <cellStyle name="TotRow - Style8 6 2 3" xfId="40310"/>
    <cellStyle name="TotRow - Style8 6 3" xfId="40311"/>
    <cellStyle name="TotRow - Style8 6 3 2" xfId="40312"/>
    <cellStyle name="TotRow - Style8 6 4" xfId="40313"/>
    <cellStyle name="TotRow - Style8 6 5" xfId="40314"/>
    <cellStyle name="TotRow - Style8 6 6" xfId="40315"/>
    <cellStyle name="TotRow - Style8 6 7" xfId="40307"/>
    <cellStyle name="TotRow - Style8 7" xfId="7786"/>
    <cellStyle name="TotRow - Style8 7 2" xfId="40317"/>
    <cellStyle name="TotRow - Style8 7 3" xfId="40318"/>
    <cellStyle name="TotRow - Style8 7 4" xfId="40319"/>
    <cellStyle name="TotRow - Style8 7 5" xfId="40316"/>
    <cellStyle name="TotRow - Style8 8" xfId="8475"/>
    <cellStyle name="TotRow - Style8 8 2" xfId="40320"/>
    <cellStyle name="TotRow - Style8 9" xfId="40321"/>
    <cellStyle name="Tusental (0)_pldt" xfId="2377"/>
    <cellStyle name="Tusental_pldt" xfId="2378"/>
    <cellStyle name="V" xfId="7787"/>
    <cellStyle name="Value" xfId="2379"/>
    <cellStyle name="Value 2" xfId="2380"/>
    <cellStyle name="Valuta (0)_pldt" xfId="2381"/>
    <cellStyle name="Valuta_pldt" xfId="2382"/>
    <cellStyle name="Währung [0]_BINV" xfId="2926"/>
    <cellStyle name="Währung_BINV" xfId="2927"/>
    <cellStyle name="Warning Text 10" xfId="7788"/>
    <cellStyle name="Warning Text 11" xfId="7789"/>
    <cellStyle name="Warning Text 12" xfId="7790"/>
    <cellStyle name="Warning Text 13" xfId="7791"/>
    <cellStyle name="Warning Text 14" xfId="7792"/>
    <cellStyle name="Warning Text 15" xfId="7793"/>
    <cellStyle name="Warning Text 16" xfId="7794"/>
    <cellStyle name="Warning Text 17" xfId="7795"/>
    <cellStyle name="Warning Text 18" xfId="40322"/>
    <cellStyle name="Warning Text 2" xfId="2384"/>
    <cellStyle name="Warning Text 2 2" xfId="2385"/>
    <cellStyle name="Warning Text 2 2 2" xfId="7796"/>
    <cellStyle name="Warning Text 2 3" xfId="7797"/>
    <cellStyle name="Warning Text 3" xfId="2386"/>
    <cellStyle name="Warning Text 4" xfId="2387"/>
    <cellStyle name="Warning Text 5" xfId="2388"/>
    <cellStyle name="Warning Text 6" xfId="2389"/>
    <cellStyle name="Warning Text 6 2" xfId="7798"/>
    <cellStyle name="Warning Text 7" xfId="2383"/>
    <cellStyle name="Warning Text 8" xfId="7799"/>
    <cellStyle name="Warning Text 9" xfId="7800"/>
    <cellStyle name="?_Sheet3" xfId="40377"/>
    <cellStyle name="桁区切り [0.00]_Final Yamada 2004 2005 June AUDIT - cost of goods manuf " xfId="40378"/>
    <cellStyle name="桁区切り_RESULTS" xfId="2390"/>
    <cellStyle name="標準_Book1" xfId="2391"/>
    <cellStyle name="通貨 [0.00]_RESULTS" xfId="2392"/>
    <cellStyle name="通貨_RESULTS" xfId="2393"/>
  </cellStyles>
  <dxfs count="0"/>
  <tableStyles count="0" defaultTableStyle="TableStyleMedium9" defaultPivotStyle="PivotStyleLight16"/>
  <colors>
    <mruColors>
      <color rgb="FF7A1818"/>
      <color rgb="FFA32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3.xml"/><Relationship Id="rId84" Type="http://schemas.openxmlformats.org/officeDocument/2006/relationships/externalLink" Target="externalLinks/externalLink34.xml"/><Relationship Id="rId138" Type="http://schemas.openxmlformats.org/officeDocument/2006/relationships/externalLink" Target="externalLinks/externalLink88.xml"/><Relationship Id="rId159" Type="http://schemas.openxmlformats.org/officeDocument/2006/relationships/externalLink" Target="externalLinks/externalLink109.xml"/><Relationship Id="rId170" Type="http://schemas.openxmlformats.org/officeDocument/2006/relationships/externalLink" Target="externalLinks/externalLink120.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3.xml"/><Relationship Id="rId74" Type="http://schemas.openxmlformats.org/officeDocument/2006/relationships/externalLink" Target="externalLinks/externalLink24.xml"/><Relationship Id="rId128" Type="http://schemas.openxmlformats.org/officeDocument/2006/relationships/externalLink" Target="externalLinks/externalLink78.xml"/><Relationship Id="rId149" Type="http://schemas.openxmlformats.org/officeDocument/2006/relationships/externalLink" Target="externalLinks/externalLink99.xml"/><Relationship Id="rId5" Type="http://schemas.openxmlformats.org/officeDocument/2006/relationships/worksheet" Target="worksheets/sheet5.xml"/><Relationship Id="rId95" Type="http://schemas.openxmlformats.org/officeDocument/2006/relationships/externalLink" Target="externalLinks/externalLink45.xml"/><Relationship Id="rId160" Type="http://schemas.openxmlformats.org/officeDocument/2006/relationships/externalLink" Target="externalLinks/externalLink110.xml"/><Relationship Id="rId181"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4.xml"/><Relationship Id="rId118" Type="http://schemas.openxmlformats.org/officeDocument/2006/relationships/externalLink" Target="externalLinks/externalLink68.xml"/><Relationship Id="rId139" Type="http://schemas.openxmlformats.org/officeDocument/2006/relationships/externalLink" Target="externalLinks/externalLink89.xml"/><Relationship Id="rId85" Type="http://schemas.openxmlformats.org/officeDocument/2006/relationships/externalLink" Target="externalLinks/externalLink35.xml"/><Relationship Id="rId150" Type="http://schemas.openxmlformats.org/officeDocument/2006/relationships/externalLink" Target="externalLinks/externalLink100.xml"/><Relationship Id="rId171" Type="http://schemas.openxmlformats.org/officeDocument/2006/relationships/externalLink" Target="externalLinks/externalLink12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8.xml"/><Relationship Id="rId129" Type="http://schemas.openxmlformats.org/officeDocument/2006/relationships/externalLink" Target="externalLinks/externalLink79.xml"/><Relationship Id="rId54" Type="http://schemas.openxmlformats.org/officeDocument/2006/relationships/externalLink" Target="externalLinks/externalLink4.xml"/><Relationship Id="rId75" Type="http://schemas.openxmlformats.org/officeDocument/2006/relationships/externalLink" Target="externalLinks/externalLink25.xml"/><Relationship Id="rId96" Type="http://schemas.openxmlformats.org/officeDocument/2006/relationships/externalLink" Target="externalLinks/externalLink46.xml"/><Relationship Id="rId140" Type="http://schemas.openxmlformats.org/officeDocument/2006/relationships/externalLink" Target="externalLinks/externalLink90.xml"/><Relationship Id="rId161" Type="http://schemas.openxmlformats.org/officeDocument/2006/relationships/externalLink" Target="externalLinks/externalLink111.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69.xml"/><Relationship Id="rId44" Type="http://schemas.openxmlformats.org/officeDocument/2006/relationships/worksheet" Target="worksheets/sheet44.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130" Type="http://schemas.openxmlformats.org/officeDocument/2006/relationships/externalLink" Target="externalLinks/externalLink80.xml"/><Relationship Id="rId135" Type="http://schemas.openxmlformats.org/officeDocument/2006/relationships/externalLink" Target="externalLinks/externalLink85.xml"/><Relationship Id="rId151" Type="http://schemas.openxmlformats.org/officeDocument/2006/relationships/externalLink" Target="externalLinks/externalLink101.xml"/><Relationship Id="rId156" Type="http://schemas.openxmlformats.org/officeDocument/2006/relationships/externalLink" Target="externalLinks/externalLink106.xml"/><Relationship Id="rId177" Type="http://schemas.openxmlformats.org/officeDocument/2006/relationships/externalLink" Target="externalLinks/externalLink127.xml"/><Relationship Id="rId172" Type="http://schemas.openxmlformats.org/officeDocument/2006/relationships/externalLink" Target="externalLinks/externalLink1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141" Type="http://schemas.openxmlformats.org/officeDocument/2006/relationships/externalLink" Target="externalLinks/externalLink91.xml"/><Relationship Id="rId146" Type="http://schemas.openxmlformats.org/officeDocument/2006/relationships/externalLink" Target="externalLinks/externalLink96.xml"/><Relationship Id="rId167" Type="http://schemas.openxmlformats.org/officeDocument/2006/relationships/externalLink" Target="externalLinks/externalLink117.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162" Type="http://schemas.openxmlformats.org/officeDocument/2006/relationships/externalLink" Target="externalLinks/externalLink1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131" Type="http://schemas.openxmlformats.org/officeDocument/2006/relationships/externalLink" Target="externalLinks/externalLink81.xml"/><Relationship Id="rId136" Type="http://schemas.openxmlformats.org/officeDocument/2006/relationships/externalLink" Target="externalLinks/externalLink86.xml"/><Relationship Id="rId157" Type="http://schemas.openxmlformats.org/officeDocument/2006/relationships/externalLink" Target="externalLinks/externalLink107.xml"/><Relationship Id="rId178" Type="http://schemas.openxmlformats.org/officeDocument/2006/relationships/externalLink" Target="externalLinks/externalLink128.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52" Type="http://schemas.openxmlformats.org/officeDocument/2006/relationships/externalLink" Target="externalLinks/externalLink102.xml"/><Relationship Id="rId173" Type="http://schemas.openxmlformats.org/officeDocument/2006/relationships/externalLink" Target="externalLinks/externalLink1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26" Type="http://schemas.openxmlformats.org/officeDocument/2006/relationships/externalLink" Target="externalLinks/externalLink76.xml"/><Relationship Id="rId147" Type="http://schemas.openxmlformats.org/officeDocument/2006/relationships/externalLink" Target="externalLinks/externalLink97.xml"/><Relationship Id="rId168" Type="http://schemas.openxmlformats.org/officeDocument/2006/relationships/externalLink" Target="externalLinks/externalLink118.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142" Type="http://schemas.openxmlformats.org/officeDocument/2006/relationships/externalLink" Target="externalLinks/externalLink92.xml"/><Relationship Id="rId163" Type="http://schemas.openxmlformats.org/officeDocument/2006/relationships/externalLink" Target="externalLinks/externalLink1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7.xml"/><Relationship Id="rId116" Type="http://schemas.openxmlformats.org/officeDocument/2006/relationships/externalLink" Target="externalLinks/externalLink66.xml"/><Relationship Id="rId137" Type="http://schemas.openxmlformats.org/officeDocument/2006/relationships/externalLink" Target="externalLinks/externalLink87.xml"/><Relationship Id="rId158" Type="http://schemas.openxmlformats.org/officeDocument/2006/relationships/externalLink" Target="externalLinks/externalLink10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2.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111" Type="http://schemas.openxmlformats.org/officeDocument/2006/relationships/externalLink" Target="externalLinks/externalLink61.xml"/><Relationship Id="rId132" Type="http://schemas.openxmlformats.org/officeDocument/2006/relationships/externalLink" Target="externalLinks/externalLink82.xml"/><Relationship Id="rId153" Type="http://schemas.openxmlformats.org/officeDocument/2006/relationships/externalLink" Target="externalLinks/externalLink103.xml"/><Relationship Id="rId174" Type="http://schemas.openxmlformats.org/officeDocument/2006/relationships/externalLink" Target="externalLinks/externalLink12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27" Type="http://schemas.openxmlformats.org/officeDocument/2006/relationships/externalLink" Target="externalLinks/externalLink7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143" Type="http://schemas.openxmlformats.org/officeDocument/2006/relationships/externalLink" Target="externalLinks/externalLink93.xml"/><Relationship Id="rId148" Type="http://schemas.openxmlformats.org/officeDocument/2006/relationships/externalLink" Target="externalLinks/externalLink98.xml"/><Relationship Id="rId164" Type="http://schemas.openxmlformats.org/officeDocument/2006/relationships/externalLink" Target="externalLinks/externalLink114.xml"/><Relationship Id="rId169" Type="http://schemas.openxmlformats.org/officeDocument/2006/relationships/externalLink" Target="externalLinks/externalLink11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8.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33" Type="http://schemas.openxmlformats.org/officeDocument/2006/relationships/externalLink" Target="externalLinks/externalLink83.xml"/><Relationship Id="rId154" Type="http://schemas.openxmlformats.org/officeDocument/2006/relationships/externalLink" Target="externalLinks/externalLink104.xml"/><Relationship Id="rId175" Type="http://schemas.openxmlformats.org/officeDocument/2006/relationships/externalLink" Target="externalLinks/externalLink12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8.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44" Type="http://schemas.openxmlformats.org/officeDocument/2006/relationships/externalLink" Target="externalLinks/externalLink94.xml"/><Relationship Id="rId90" Type="http://schemas.openxmlformats.org/officeDocument/2006/relationships/externalLink" Target="externalLinks/externalLink40.xml"/><Relationship Id="rId165" Type="http://schemas.openxmlformats.org/officeDocument/2006/relationships/externalLink" Target="externalLinks/externalLink11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9.xml"/><Relationship Id="rId113" Type="http://schemas.openxmlformats.org/officeDocument/2006/relationships/externalLink" Target="externalLinks/externalLink63.xml"/><Relationship Id="rId134" Type="http://schemas.openxmlformats.org/officeDocument/2006/relationships/externalLink" Target="externalLinks/externalLink84.xml"/><Relationship Id="rId80" Type="http://schemas.openxmlformats.org/officeDocument/2006/relationships/externalLink" Target="externalLinks/externalLink30.xml"/><Relationship Id="rId155" Type="http://schemas.openxmlformats.org/officeDocument/2006/relationships/externalLink" Target="externalLinks/externalLink105.xml"/><Relationship Id="rId176" Type="http://schemas.openxmlformats.org/officeDocument/2006/relationships/externalLink" Target="externalLinks/externalLink12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9.xml"/><Relationship Id="rId103" Type="http://schemas.openxmlformats.org/officeDocument/2006/relationships/externalLink" Target="externalLinks/externalLink53.xml"/><Relationship Id="rId124" Type="http://schemas.openxmlformats.org/officeDocument/2006/relationships/externalLink" Target="externalLinks/externalLink74.xml"/><Relationship Id="rId70" Type="http://schemas.openxmlformats.org/officeDocument/2006/relationships/externalLink" Target="externalLinks/externalLink20.xml"/><Relationship Id="rId91" Type="http://schemas.openxmlformats.org/officeDocument/2006/relationships/externalLink" Target="externalLinks/externalLink41.xml"/><Relationship Id="rId145" Type="http://schemas.openxmlformats.org/officeDocument/2006/relationships/externalLink" Target="externalLinks/externalLink95.xml"/><Relationship Id="rId166" Type="http://schemas.openxmlformats.org/officeDocument/2006/relationships/externalLink" Target="externalLinks/externalLink11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21168</xdr:colOff>
          <xdr:row>13</xdr:row>
          <xdr:rowOff>7056</xdr:rowOff>
        </xdr:from>
        <xdr:to>
          <xdr:col>61</xdr:col>
          <xdr:colOff>551039</xdr:colOff>
          <xdr:row>48</xdr:row>
          <xdr:rowOff>155222</xdr:rowOff>
        </xdr:to>
        <xdr:pic>
          <xdr:nvPicPr>
            <xdr:cNvPr id="128290" name="Picture 1"/>
            <xdr:cNvPicPr>
              <a:picLocks noChangeAspect="1" noChangeArrowheads="1"/>
              <a:extLst>
                <a:ext uri="{84589F7E-364E-4C9E-8A38-B11213B215E9}">
                  <a14:cameraTool cellRange="RP!$B$3:$L$54" spid="_x0000_s128676"/>
                </a:ext>
              </a:extLst>
            </xdr:cNvPicPr>
          </xdr:nvPicPr>
          <xdr:blipFill>
            <a:blip xmlns:r="http://schemas.openxmlformats.org/officeDocument/2006/relationships" r:embed="rId1"/>
            <a:srcRect/>
            <a:stretch>
              <a:fillRect/>
            </a:stretch>
          </xdr:blipFill>
          <xdr:spPr bwMode="auto">
            <a:xfrm>
              <a:off x="11994446" y="2250723"/>
              <a:ext cx="6026150" cy="535516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381000</xdr:colOff>
          <xdr:row>0</xdr:row>
          <xdr:rowOff>0</xdr:rowOff>
        </xdr:from>
        <xdr:to>
          <xdr:col>26</xdr:col>
          <xdr:colOff>171450</xdr:colOff>
          <xdr:row>31</xdr:row>
          <xdr:rowOff>6350</xdr:rowOff>
        </xdr:to>
        <xdr:pic>
          <xdr:nvPicPr>
            <xdr:cNvPr id="88610" name="Picture 5"/>
            <xdr:cNvPicPr>
              <a:picLocks noChangeAspect="1" noChangeArrowheads="1"/>
              <a:extLst>
                <a:ext uri="{84589F7E-364E-4C9E-8A38-B11213B215E9}">
                  <a14:cameraTool cellRange="RP!$B$3:$L$54" spid="_x0000_s88999"/>
                </a:ext>
              </a:extLst>
            </xdr:cNvPicPr>
          </xdr:nvPicPr>
          <xdr:blipFill>
            <a:blip xmlns:r="http://schemas.openxmlformats.org/officeDocument/2006/relationships" r:embed="rId1"/>
            <a:srcRect/>
            <a:stretch>
              <a:fillRect/>
            </a:stretch>
          </xdr:blipFill>
          <xdr:spPr bwMode="auto">
            <a:xfrm>
              <a:off x="14297025" y="0"/>
              <a:ext cx="6048375" cy="5695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0</xdr:colOff>
      <xdr:row>35</xdr:row>
      <xdr:rowOff>0</xdr:rowOff>
    </xdr:from>
    <xdr:to>
      <xdr:col>10</xdr:col>
      <xdr:colOff>0</xdr:colOff>
      <xdr:row>35</xdr:row>
      <xdr:rowOff>24385</xdr:rowOff>
    </xdr:to>
    <xdr:sp macro="" textlink="">
      <xdr:nvSpPr>
        <xdr:cNvPr id="2" name="Text Box 3"/>
        <xdr:cNvSpPr txBox="1">
          <a:spLocks noChangeArrowheads="1"/>
        </xdr:cNvSpPr>
      </xdr:nvSpPr>
      <xdr:spPr bwMode="auto">
        <a:xfrm>
          <a:off x="10134600" y="15116175"/>
          <a:ext cx="28575" cy="76201"/>
        </a:xfrm>
        <a:prstGeom prst="rect">
          <a:avLst/>
        </a:prstGeom>
        <a:noFill/>
        <a:ln>
          <a:noFill/>
        </a:ln>
        <a:extLst/>
      </xdr:spPr>
      <xdr:txBody>
        <a:bodyPr vertOverflow="clip" wrap="square" lIns="27432" tIns="22860" rIns="27432" bIns="0" anchor="t" upright="1"/>
        <a:lstStyle/>
        <a:p>
          <a:pPr algn="just" rtl="0">
            <a:defRPr sz="1000"/>
          </a:pPr>
          <a:r>
            <a:rPr lang="en-US" sz="900" b="0" i="0" u="none" strike="noStrike" baseline="0">
              <a:solidFill>
                <a:srgbClr val="000000"/>
              </a:solidFill>
              <a:latin typeface="Arial"/>
              <a:cs typeface="Arial"/>
            </a:rPr>
            <a:t>The Finance Act, 2008 introduced an amendment to the Workers’ Welfare Fund (WWF) Ordinance, 1971, whereby the definition of “industrial establishment” was amended to include therein, any establishment to which the West Pakistan Shops and Establishment Ordinance, 1969 (Ordinance of 1969) applies. Management Company of the Fund, based on a legal advice obtained through Mutual Funds Association of Pakistan (MUFAP) was of a firm view that Collective Investment Scheme (CIS) were not establishments and therefore, the WWF Ordinance should not be applicable to such schemes. The MUFAP had also filed a constitutional petition in the High Court of Sindh (the Court) on behalf of the members, challenging the applicability of WWF to the CIS. The said petition was dismissed by the Court vide its order dated May 25, 2010 on the main ground that the MUFAP (Petitioner) could not be held entitled to maintain a petition in respect of its members as it was not the aggrieved party.  The Judgment  recognises that the Trusts are covered by the scope of the definition of commercial establishment as contained in Ordinance of 1969 and, therefore, mutual funds and other funds appear to be covered unless it can be established that they fall with in the scope of exemption set out in Section 5 (1)(iii) of the Ordinance of 1969 i.e. the Trusts not run for profit or in the course of business does not make any profit. This could be examined when the aggrieved parties directly approached the Court for redressal.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1085850</xdr:colOff>
      <xdr:row>1</xdr:row>
      <xdr:rowOff>0</xdr:rowOff>
    </xdr:from>
    <xdr:to>
      <xdr:col>4</xdr:col>
      <xdr:colOff>476250</xdr:colOff>
      <xdr:row>2</xdr:row>
      <xdr:rowOff>104775</xdr:rowOff>
    </xdr:to>
    <xdr:pic>
      <xdr:nvPicPr>
        <xdr:cNvPr id="2379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161925"/>
          <a:ext cx="1524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k-khifsr01\audit05\-acc\Documents%20and%20Settings\papa\Local%20Settings\Temporary%20Internet%20Files\Content.IE5\1ZZ5VT7C\WINDOWS\TEMP\Farooq\DATA\ACCOUNTS\2001\IGI-Insurance(InvestmentNo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Faraz%20H~\2005\AKHMCF\Revenue%20and%20Receivables\cllient%20sch.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pk-khifsr01\AUDIT\AUDIT\Working%20papers\AMZ%20Funds\2008\AMZ%20Plus%20Income%20Fund\Accounts\Clients%20accounts\APIF_Financial_Statement_June_30,_2008%201507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AKHMCF%20Revenue%20and%20Receivables\Attached%20Portions%20-%20AKU\Client%20Schedules\Medical%20Students%20(Local)%20-%20December%2031,%2020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For%20Sana%20-%20Updated\PPF%20Accounts%20June%202015%20-%20Updated%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211.2.210\Current%20Data\mohsraza\AppData\Local\Deloitte.DA4\Docs\5000003222\2482382867500000979\23800.01%20Equity%20Investment.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ile-srv\Departments\mohsraza\AppData\Local\Deloitte.DA4\Docs\5000003222\2482382867500000979\23800.01%20Equity%20Investment.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211.2.210\Current%20Data\Zohaib.Kamran\Desktop\FAAF%20-%20For%20the%20half%20year%20ended%2031%20December%202017.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ile-srv\Departments\Zohaib.Kamran\Desktop\FAAF%20-%20For%20the%20half%20year%20ended%2031%20December%202017.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Users\muhammad.saqib\AppData\Local\Microsoft\Windows\Temporary%20Internet%20Files\Content.Outlook\9XMYT7WI\Worksheet%20in%202234%20%20PSAF%20FS%20June%2030,%20201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211.2.210\Current%20Data\Users\muhammad.saqib\AppData\Local\Microsoft\Windows\Temporary%20Internet%20Files\Content.Outlook\9XMYT7WI\Worksheet%20in%202234%20%20PSAF%20FS%20June%2030,%202014.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140%20Investments%20at%20fair%20value%20through%20profit%20or%20loss%20-%20held%20for%20trading"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Worksheet%20in%205241%20Substantive%20Verifiaction%20of%20Investment%20in%20Marketable%20Securities-HFT"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3423%20Remuneration%20of%20the%20trustee"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ileserver\Audit\half%20reveiw%2031%20Dec%202010\finalization\BF\Finalization\Prelim-Final%20Analytical%20Review-%20B%20F%20Modarab.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ile-srv\Departments\Fund%20Accounting\Operations\Printing\Annual%202020\Accounts%20SECP%20-%20EXCEL\Pakistan%20Stock%20Market%20Fun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84.8.137\Audit%20C\Users\srafat001\Desktop\Accounts%20HY%202015%20(NAFA%20ISF)%20V23%20after%20consistancy.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formatted%20accounts\Audit%20C\audit%20c\Documents%20and%20Settings\ext.auditor\Desktop\Audit%202010%20(ly%20workings)\NAFA%20Government%20Securities%20Liquid%20Fund\Audit%202009\Accounts\Final%20Accounts%20200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84.8.137\Audit%20C\Users\mmemon007\Desktop\Element%20Income%20final%20NISF%20v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DOCUME~1\ALEEM~1.KHA\LOCALS~1\Temp\NMF-After%20Reiniti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DOCUME~1\ALI~1.ASA\LOCALS~1\Temp\notesE8DBF2\Client%20Schedules\Medical%20Students%20(Local)%20-%20December%2031,%20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k-khifsr01\AuditB06\Accounts-kp\stand%20alone\2005\December%202005\Intialed%20Accounts%20from%20AFF\dom%20c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k-khifsr01\AUDIT\Audit%202009\Merck%20Marker%20(Private)%20Limited\Accounts\Formatted%2001%20feb%202010\Final%20Accounts%20-%20MPPL%202009%20-%20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Aff1\affc\WINDOWS\TEMP\My%20Documents\er\AUG03\My%20Documents\fmmfmsl\FMMdec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INDOWS\BS300603-QTR-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kkhifsr01\Audit\audit\Audit\Audit_new\Audit11\MCB%20Dynamic%20Stock%20Fund\Working%20Papers\MCB%2031st%20Dec%202011\Accounts\Documents%20and%20Settings\m.farrukh\My%20Documents\Half%20Yearly%20Audit%202008-2009\Quarterly%20Accounts\APSF\APSF%20%20FS%20310309%20(Final%20Draf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WINDOWS\TEMP\Farooq\DATA\ACCOUNTS\2001\IGI-Insurance(InvestmentNo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rianfernan\In%20&amp;%20Out\WINDOWS\TEMP\Farooq\DATA\ACCOUNTS\2001\IGI-Insurance(InvestmentNo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kpptrainee\NJI\WINDOWS\TEMP\Farooq\DATA\ACCOUNTS\2001\IGI-Insurance(InvestmentNo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akrand\users_2006_2007\Ahsan\Personal\BasicFinancialAnalysisModel(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ileserver\new%20audit%202\alfalh%20GHP\finalization\BF\Finalization\Prelim-Final%20Analytical%20Review-%20B%20F%20Modara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Documents%20and%20Settings\Saad1\Desktop\AKU\Kashif\Schedules%20from%20client\trav"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ACCOUNTS\fin_2000\JFOL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WINDOWS\BS300603-CYRU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rv\Departments\AIF\Users\usama\Downloads\Documents%20and%20Settings\Administrator\Desktop\MJ-MBF\Income\PHARMATEC%202005\Sameer\3800%20-%20Operating%20assets\Work\Fixed%20Assets\FXA%20Subsidiary%20Record\T-ADD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ocuments%20and%20Settings\hbhatda\Desktop\IGI\Other%20clients\IGI%20Insurance%20Limited\Accounts\Accounts%20Final\Accounts%20IGI%20-%20June%2030%202008%20(Formatted)%207%20Aug%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k-khifsr01\audit\Documents%20and%20Settings\RaviPrakash\Desktop\TOD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0.1.10\Printing\Users\salman.hashmi\AppData\Local\Microsoft\Windows\Temporary%20Internet%20Files\Content.Outlook\26SIRXB6\ferguson\Documents%20and%20Settings\muhammad.khorasani\Desktop\Templates\investments\TOC%20Template_investment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hmed-ali\Clientdata\iqbal%20sharif%20back%20up\E%20%20back\OVS%2003\June%2003\Book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iqbal%20sharif%20back%20up\E%20%20back\OVS%2003\June%2003\Book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192.168.1.4\Umair%20Work\DOCUME~1\SAUD~1.AHM\LOCALS~1\TEMP\WEEKLY\WEEKLY-2006\June-2006\New%20weekly-17-June-20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211.2.210\Current%20Data\Users\Beena.Mazhar\Desktop\MCB%20Funds\AHDDF\MCB%20DCFIF%20Accounts%20June%202018%20(05.09.2018)%20-%20Initiall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Users\zohaib.hassan\AppData\Local\Microsoft\Windows\INetCache\Content.Outlook\MZR4NZUH\PIF%20DEC%2031,2015.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ile-srv\Departments\moiz.tanveer\AppData\Local\Deloitte.DA4\Docs\Temp\5000003225\2462263359800000515\2233%20FISGF%20FS%202016.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ahore\public\General\Audit\IZ\Income%20Fixed%20Assets%20head%20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hmed-ali\clientdata\Ali%20Hussain\Loan%20&amp;%20Advances-Branches%20wise%20Detail\SOC%20-%20Dec'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lahore\public\General\Audit\IZ\'AAIG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TRANS"/>
      <sheetName val="Graph - Commentory"/>
      <sheetName val="Graph - Board of Director"/>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Grouping"/>
      <sheetName val="Detail"/>
      <sheetName val="Top Sheet"/>
      <sheetName val="Shares-AFS"/>
      <sheetName val="Tickmarks"/>
      <sheetName val="TB"/>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FOLDER~1"/>
      <sheetName val="RC-0997"/>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Notes 1-25"/>
      <sheetName val="Summary"/>
      <sheetName val="Travelling Data"/>
      <sheetName val="Data Sheet"/>
      <sheetName val="Travelling DV"/>
      <sheetName val="Revenue-Fire-Marine-Motor"/>
      <sheetName val="acct"/>
      <sheetName val="DS"/>
      <sheetName val="KeyData"/>
      <sheetName val="Sheet2"/>
      <sheetName val="FP Analysis"/>
      <sheetName val="PAYROLL TZS"/>
      <sheetName val="Accounts"/>
      <sheetName val="Lead Sheet"/>
      <sheetName val="Segment Wise"/>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PopList"/>
      <sheetName val="SUMM-2"/>
      <sheetName val="Reference"/>
      <sheetName val="FX"/>
      <sheetName val="Financial analysis (CFO)"/>
      <sheetName val="뜃맟뭁돽띿맟?-BLDG"/>
      <sheetName val="Pivot values"/>
      <sheetName val="DO Thatta 19-20"/>
      <sheetName val="Pivot_values"/>
      <sheetName val=" System note"/>
      <sheetName val="TB-HHGR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 val="AT&amp;T"/>
      <sheetName val="AT&amp;T Canada"/>
      <sheetName val="Bell Nexxia"/>
      <sheetName val="Global Crossing revised"/>
      <sheetName val="Sprint"/>
      <sheetName val="NORMAL"/>
      <sheetName val="Credit Risk _CR2_"/>
      <sheetName val="A"/>
      <sheetName val="furniture"/>
      <sheetName val="PUR&amp;SAL"/>
      <sheetName val="Actualization_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FEb"/>
      <sheetName val="I-B"/>
      <sheetName val="I-BR"/>
      <sheetName val="Lookups"/>
      <sheetName val="SOA "/>
      <sheetName val="OUTSTANDING FX-SWAP"/>
      <sheetName val="BS-OVS"/>
      <sheetName val="woRKING"/>
      <sheetName val="Main1"/>
      <sheetName val="Updated  Rates"/>
      <sheetName val="Sheet4"/>
      <sheetName val="Legend"/>
      <sheetName val="Sheet1"/>
      <sheetName val="Quetta_Rice"/>
      <sheetName val="Top_summary"/>
      <sheetName val="Grid_DEC"/>
      <sheetName val="December_06"/>
      <sheetName val="November_06"/>
      <sheetName val="SOA_"/>
      <sheetName val="OUTSTANDING_FX-SWAP"/>
      <sheetName val="Updated_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AC-CODES"/>
      <sheetName val="INCOME 2004"/>
      <sheetName val="Cash Flow  HOH"/>
      <sheetName val="12"/>
      <sheetName val="Links"/>
      <sheetName val="FundsNW"/>
      <sheetName val="GP Analysis"/>
      <sheetName val="POWER"/>
      <sheetName val="Macro1"/>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certification"/>
      <sheetName val="Balance Sheet"/>
      <sheetName val="Income Statement"/>
      <sheetName val="Distribution statement"/>
      <sheetName val="UHF"/>
      <sheetName val="Cash Flow"/>
      <sheetName val="Notes 8-15"/>
      <sheetName val="Notes 1 - 7.1.1"/>
      <sheetName val="Notes 7.1.4 - 5"/>
      <sheetName val="Note 7.1.2-7.1.3.1"/>
      <sheetName val="Notes 16-19"/>
      <sheetName val="Lead"/>
      <sheetName val="Notes 7.1.2-7"/>
      <sheetName val="Notes 7.1.1.1-2"/>
      <sheetName val="Adjust-entry"/>
      <sheetName val="Notes 19.1"/>
      <sheetName val="Note 20-21"/>
      <sheetName val="Note 22-25"/>
      <sheetName val="Notes 27-28"/>
    </sheetNames>
    <sheetDataSet>
      <sheetData sheetId="0"/>
      <sheetData sheetId="1"/>
      <sheetData sheetId="2"/>
      <sheetData sheetId="3"/>
      <sheetData sheetId="4"/>
      <sheetData sheetId="5"/>
      <sheetData sheetId="6"/>
      <sheetData sheetId="7"/>
      <sheetData sheetId="8"/>
      <sheetData sheetId="9"/>
      <sheetData sheetId="10"/>
      <sheetData sheetId="11">
        <row r="2">
          <cell r="D2" t="str">
            <v>June 30, 2008</v>
          </cell>
        </row>
        <row r="4">
          <cell r="D4">
            <v>50</v>
          </cell>
        </row>
        <row r="5">
          <cell r="D5">
            <v>7740</v>
          </cell>
        </row>
        <row r="6">
          <cell r="D6">
            <v>10</v>
          </cell>
        </row>
        <row r="7">
          <cell r="D7">
            <v>50</v>
          </cell>
        </row>
        <row r="8">
          <cell r="D8">
            <v>49</v>
          </cell>
        </row>
        <row r="9">
          <cell r="D9">
            <v>47</v>
          </cell>
        </row>
        <row r="10">
          <cell r="D10">
            <v>3227</v>
          </cell>
        </row>
        <row r="11">
          <cell r="D11">
            <v>55</v>
          </cell>
        </row>
        <row r="12">
          <cell r="D12">
            <v>50</v>
          </cell>
        </row>
        <row r="13">
          <cell r="D13">
            <v>33</v>
          </cell>
        </row>
        <row r="14">
          <cell r="D14">
            <v>52</v>
          </cell>
        </row>
        <row r="15">
          <cell r="D15">
            <v>50</v>
          </cell>
        </row>
        <row r="16">
          <cell r="D16">
            <v>141311</v>
          </cell>
        </row>
        <row r="17">
          <cell r="D17">
            <v>152724</v>
          </cell>
        </row>
        <row r="19">
          <cell r="D19">
            <v>60</v>
          </cell>
        </row>
        <row r="20">
          <cell r="D20">
            <v>60</v>
          </cell>
        </row>
        <row r="22">
          <cell r="D22">
            <v>400000</v>
          </cell>
        </row>
        <row r="23">
          <cell r="D23">
            <v>1170000</v>
          </cell>
        </row>
        <row r="24">
          <cell r="D24">
            <v>0</v>
          </cell>
        </row>
        <row r="25">
          <cell r="D25">
            <v>0</v>
          </cell>
        </row>
        <row r="26">
          <cell r="D26">
            <v>0</v>
          </cell>
        </row>
        <row r="27">
          <cell r="D27">
            <v>0</v>
          </cell>
        </row>
        <row r="28">
          <cell r="D28">
            <v>1570000</v>
          </cell>
        </row>
        <row r="30">
          <cell r="D30">
            <v>267569</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267569</v>
          </cell>
        </row>
        <row r="51">
          <cell r="D51">
            <v>0</v>
          </cell>
        </row>
        <row r="52">
          <cell r="D52">
            <v>0</v>
          </cell>
        </row>
        <row r="53">
          <cell r="D53">
            <v>0</v>
          </cell>
        </row>
        <row r="54">
          <cell r="D54">
            <v>0</v>
          </cell>
        </row>
        <row r="55">
          <cell r="D55">
            <v>0</v>
          </cell>
        </row>
        <row r="56">
          <cell r="D56">
            <v>0</v>
          </cell>
        </row>
        <row r="57">
          <cell r="D57">
            <v>0</v>
          </cell>
        </row>
        <row r="58">
          <cell r="D58">
            <v>0</v>
          </cell>
        </row>
        <row r="59">
          <cell r="D59">
            <v>0</v>
          </cell>
        </row>
        <row r="60">
          <cell r="D60">
            <v>0</v>
          </cell>
        </row>
        <row r="61">
          <cell r="D61">
            <v>0</v>
          </cell>
        </row>
        <row r="62">
          <cell r="D62">
            <v>0</v>
          </cell>
        </row>
        <row r="63">
          <cell r="D63">
            <v>0</v>
          </cell>
        </row>
        <row r="64">
          <cell r="D64">
            <v>0</v>
          </cell>
        </row>
        <row r="65">
          <cell r="D65">
            <v>0</v>
          </cell>
        </row>
        <row r="66">
          <cell r="D66">
            <v>3046</v>
          </cell>
        </row>
        <row r="67">
          <cell r="D67">
            <v>7497</v>
          </cell>
        </row>
        <row r="68">
          <cell r="D68">
            <v>10543</v>
          </cell>
        </row>
        <row r="70">
          <cell r="D70">
            <v>34000</v>
          </cell>
        </row>
        <row r="71">
          <cell r="D71">
            <v>34000</v>
          </cell>
        </row>
        <row r="73">
          <cell r="D73">
            <v>0</v>
          </cell>
        </row>
        <row r="74">
          <cell r="D74">
            <v>0</v>
          </cell>
        </row>
        <row r="76">
          <cell r="D76">
            <v>0</v>
          </cell>
        </row>
        <row r="77">
          <cell r="D77">
            <v>100000</v>
          </cell>
        </row>
        <row r="78">
          <cell r="D78">
            <v>50000</v>
          </cell>
        </row>
        <row r="79">
          <cell r="D79">
            <v>200000</v>
          </cell>
        </row>
        <row r="80">
          <cell r="D80">
            <v>350000</v>
          </cell>
        </row>
        <row r="82">
          <cell r="D82">
            <v>0</v>
          </cell>
        </row>
        <row r="83">
          <cell r="D83">
            <v>0</v>
          </cell>
        </row>
        <row r="84">
          <cell r="D84">
            <v>0</v>
          </cell>
        </row>
        <row r="85">
          <cell r="D85">
            <v>0</v>
          </cell>
        </row>
        <row r="86">
          <cell r="D86">
            <v>0</v>
          </cell>
        </row>
        <row r="87">
          <cell r="D87">
            <v>0</v>
          </cell>
        </row>
        <row r="88">
          <cell r="D88">
            <v>0</v>
          </cell>
        </row>
        <row r="89">
          <cell r="D89">
            <v>0</v>
          </cell>
        </row>
        <row r="90">
          <cell r="D90">
            <v>5072</v>
          </cell>
        </row>
        <row r="91">
          <cell r="D91">
            <v>41152</v>
          </cell>
        </row>
        <row r="92">
          <cell r="D92">
            <v>0</v>
          </cell>
        </row>
        <row r="93">
          <cell r="D93">
            <v>126987</v>
          </cell>
        </row>
        <row r="94">
          <cell r="D94">
            <v>0</v>
          </cell>
        </row>
        <row r="95">
          <cell r="D95">
            <v>0</v>
          </cell>
        </row>
        <row r="96">
          <cell r="D96">
            <v>0</v>
          </cell>
        </row>
        <row r="97">
          <cell r="D97">
            <v>194853</v>
          </cell>
        </row>
        <row r="98">
          <cell r="D98">
            <v>25265</v>
          </cell>
        </row>
        <row r="99">
          <cell r="D99">
            <v>0</v>
          </cell>
        </row>
        <row r="100">
          <cell r="D100">
            <v>47419</v>
          </cell>
        </row>
        <row r="101">
          <cell r="D101">
            <v>0</v>
          </cell>
        </row>
        <row r="102">
          <cell r="D102">
            <v>0</v>
          </cell>
        </row>
        <row r="103">
          <cell r="D103">
            <v>60300</v>
          </cell>
        </row>
        <row r="104">
          <cell r="D104">
            <v>101750</v>
          </cell>
        </row>
        <row r="105">
          <cell r="D105">
            <v>25576</v>
          </cell>
        </row>
        <row r="106">
          <cell r="D106">
            <v>99580</v>
          </cell>
        </row>
        <row r="107">
          <cell r="D107">
            <v>0</v>
          </cell>
        </row>
        <row r="108">
          <cell r="D108">
            <v>35182</v>
          </cell>
        </row>
        <row r="109">
          <cell r="D109">
            <v>0</v>
          </cell>
        </row>
        <row r="110">
          <cell r="D110">
            <v>763136</v>
          </cell>
        </row>
        <row r="112">
          <cell r="D112">
            <v>0</v>
          </cell>
        </row>
        <row r="113">
          <cell r="D113">
            <v>0</v>
          </cell>
        </row>
        <row r="114">
          <cell r="D114">
            <v>0</v>
          </cell>
        </row>
        <row r="115">
          <cell r="D115">
            <v>0</v>
          </cell>
        </row>
        <row r="116">
          <cell r="D116">
            <v>0</v>
          </cell>
        </row>
        <row r="117">
          <cell r="D117">
            <v>0</v>
          </cell>
        </row>
        <row r="118">
          <cell r="D118">
            <v>0</v>
          </cell>
        </row>
        <row r="119">
          <cell r="D119">
            <v>0</v>
          </cell>
        </row>
        <row r="120">
          <cell r="D120">
            <v>0</v>
          </cell>
        </row>
        <row r="121">
          <cell r="D121">
            <v>0</v>
          </cell>
        </row>
        <row r="122">
          <cell r="D122">
            <v>0</v>
          </cell>
        </row>
        <row r="123">
          <cell r="D123">
            <v>0</v>
          </cell>
        </row>
        <row r="124">
          <cell r="D124">
            <v>0</v>
          </cell>
        </row>
        <row r="125">
          <cell r="D125">
            <v>0</v>
          </cell>
        </row>
        <row r="126">
          <cell r="D126">
            <v>0</v>
          </cell>
        </row>
        <row r="127">
          <cell r="D127">
            <v>0</v>
          </cell>
        </row>
        <row r="128">
          <cell r="D128">
            <v>0</v>
          </cell>
        </row>
        <row r="129">
          <cell r="D129">
            <v>0</v>
          </cell>
        </row>
        <row r="130">
          <cell r="D130">
            <v>0</v>
          </cell>
        </row>
        <row r="131">
          <cell r="D131">
            <v>0</v>
          </cell>
        </row>
        <row r="132">
          <cell r="D132">
            <v>0</v>
          </cell>
        </row>
        <row r="133">
          <cell r="D133">
            <v>0</v>
          </cell>
        </row>
        <row r="134">
          <cell r="D134">
            <v>0</v>
          </cell>
        </row>
        <row r="135">
          <cell r="D135">
            <v>0</v>
          </cell>
        </row>
        <row r="136">
          <cell r="D136">
            <v>0</v>
          </cell>
        </row>
        <row r="137">
          <cell r="D137">
            <v>0</v>
          </cell>
        </row>
        <row r="138">
          <cell r="D138">
            <v>0</v>
          </cell>
        </row>
        <row r="139">
          <cell r="D139">
            <v>0</v>
          </cell>
        </row>
        <row r="140">
          <cell r="D140">
            <v>0</v>
          </cell>
        </row>
        <row r="141">
          <cell r="D141">
            <v>0</v>
          </cell>
        </row>
        <row r="142">
          <cell r="D142">
            <v>0</v>
          </cell>
        </row>
        <row r="143">
          <cell r="D143">
            <v>2583</v>
          </cell>
        </row>
        <row r="144">
          <cell r="D144">
            <v>0</v>
          </cell>
        </row>
        <row r="145">
          <cell r="D145">
            <v>0</v>
          </cell>
        </row>
        <row r="146">
          <cell r="D146">
            <v>0</v>
          </cell>
        </row>
        <row r="147">
          <cell r="D147">
            <v>0</v>
          </cell>
        </row>
        <row r="148">
          <cell r="D148">
            <v>0</v>
          </cell>
        </row>
        <row r="149">
          <cell r="D149">
            <v>0</v>
          </cell>
        </row>
        <row r="150">
          <cell r="D150">
            <v>0</v>
          </cell>
        </row>
        <row r="151">
          <cell r="D151">
            <v>0</v>
          </cell>
        </row>
        <row r="152">
          <cell r="D152">
            <v>2583</v>
          </cell>
        </row>
        <row r="154">
          <cell r="D154">
            <v>0</v>
          </cell>
        </row>
        <row r="155">
          <cell r="D155">
            <v>0</v>
          </cell>
        </row>
        <row r="156">
          <cell r="D156">
            <v>0</v>
          </cell>
        </row>
        <row r="158">
          <cell r="D158">
            <v>0</v>
          </cell>
        </row>
        <row r="160">
          <cell r="D160">
            <v>75045</v>
          </cell>
        </row>
        <row r="161">
          <cell r="D161">
            <v>60402</v>
          </cell>
        </row>
        <row r="162">
          <cell r="D162">
            <v>50200</v>
          </cell>
        </row>
        <row r="163">
          <cell r="D163">
            <v>120868</v>
          </cell>
        </row>
        <row r="164">
          <cell r="D164">
            <v>226305</v>
          </cell>
        </row>
        <row r="165">
          <cell r="D165">
            <v>96822</v>
          </cell>
        </row>
        <row r="166">
          <cell r="D166">
            <v>152175</v>
          </cell>
        </row>
        <row r="167">
          <cell r="D167">
            <v>75563</v>
          </cell>
        </row>
        <row r="168">
          <cell r="D168">
            <v>857380</v>
          </cell>
        </row>
        <row r="170">
          <cell r="D170">
            <v>0</v>
          </cell>
        </row>
        <row r="171">
          <cell r="D171">
            <v>0</v>
          </cell>
        </row>
        <row r="172">
          <cell r="D172">
            <v>0</v>
          </cell>
        </row>
        <row r="173">
          <cell r="D173">
            <v>48154</v>
          </cell>
        </row>
        <row r="174">
          <cell r="D174">
            <v>49941</v>
          </cell>
        </row>
        <row r="175">
          <cell r="D175">
            <v>0</v>
          </cell>
        </row>
        <row r="176">
          <cell r="D176">
            <v>0</v>
          </cell>
        </row>
        <row r="177">
          <cell r="D177">
            <v>0</v>
          </cell>
        </row>
        <row r="178">
          <cell r="D178">
            <v>24901</v>
          </cell>
        </row>
        <row r="179">
          <cell r="D179">
            <v>9681</v>
          </cell>
        </row>
        <row r="180">
          <cell r="D180">
            <v>132677</v>
          </cell>
        </row>
        <row r="182">
          <cell r="D182">
            <v>200000</v>
          </cell>
        </row>
        <row r="183">
          <cell r="D183">
            <v>150000</v>
          </cell>
        </row>
        <row r="184">
          <cell r="D184">
            <v>200000</v>
          </cell>
        </row>
        <row r="185">
          <cell r="D185">
            <v>0</v>
          </cell>
        </row>
        <row r="186">
          <cell r="D186">
            <v>200000</v>
          </cell>
        </row>
        <row r="187">
          <cell r="D187">
            <v>750000</v>
          </cell>
        </row>
        <row r="189">
          <cell r="D189">
            <v>207</v>
          </cell>
        </row>
        <row r="190">
          <cell r="D190">
            <v>389</v>
          </cell>
        </row>
        <row r="191">
          <cell r="D191">
            <v>0</v>
          </cell>
        </row>
        <row r="192">
          <cell r="D192">
            <v>0</v>
          </cell>
        </row>
        <row r="193">
          <cell r="D193">
            <v>2</v>
          </cell>
        </row>
        <row r="194">
          <cell r="D194">
            <v>0</v>
          </cell>
        </row>
        <row r="195">
          <cell r="D195">
            <v>0</v>
          </cell>
        </row>
        <row r="196">
          <cell r="D196">
            <v>0</v>
          </cell>
        </row>
        <row r="197">
          <cell r="D197">
            <v>126</v>
          </cell>
        </row>
        <row r="198">
          <cell r="D198">
            <v>41077</v>
          </cell>
        </row>
        <row r="199">
          <cell r="D199">
            <v>16</v>
          </cell>
        </row>
        <row r="200">
          <cell r="D200">
            <v>0</v>
          </cell>
        </row>
        <row r="201">
          <cell r="D201">
            <v>0</v>
          </cell>
        </row>
        <row r="202">
          <cell r="D202">
            <v>0</v>
          </cell>
        </row>
        <row r="203">
          <cell r="D203">
            <v>0</v>
          </cell>
        </row>
        <row r="204">
          <cell r="D204">
            <v>41817</v>
          </cell>
        </row>
        <row r="206">
          <cell r="D206">
            <v>138</v>
          </cell>
        </row>
        <row r="207">
          <cell r="D207">
            <v>138</v>
          </cell>
        </row>
        <row r="209">
          <cell r="D209">
            <v>0</v>
          </cell>
        </row>
        <row r="210">
          <cell r="D210">
            <v>0</v>
          </cell>
        </row>
        <row r="211">
          <cell r="D211">
            <v>110</v>
          </cell>
        </row>
        <row r="212">
          <cell r="D212">
            <v>0</v>
          </cell>
        </row>
        <row r="213">
          <cell r="D213">
            <v>0</v>
          </cell>
        </row>
        <row r="214">
          <cell r="D214">
            <v>0</v>
          </cell>
        </row>
        <row r="215">
          <cell r="D215">
            <v>0</v>
          </cell>
        </row>
        <row r="216">
          <cell r="D216">
            <v>0</v>
          </cell>
        </row>
        <row r="217">
          <cell r="D217">
            <v>0</v>
          </cell>
        </row>
        <row r="218">
          <cell r="D218">
            <v>0</v>
          </cell>
        </row>
        <row r="219">
          <cell r="D219">
            <v>0</v>
          </cell>
        </row>
        <row r="220">
          <cell r="D220">
            <v>0</v>
          </cell>
        </row>
        <row r="221">
          <cell r="D221">
            <v>0</v>
          </cell>
        </row>
        <row r="222">
          <cell r="D222">
            <v>0</v>
          </cell>
        </row>
        <row r="223">
          <cell r="D223">
            <v>0</v>
          </cell>
        </row>
        <row r="224">
          <cell r="D224">
            <v>0</v>
          </cell>
        </row>
        <row r="225">
          <cell r="D225">
            <v>110</v>
          </cell>
        </row>
        <row r="227">
          <cell r="D227">
            <v>3462</v>
          </cell>
        </row>
        <row r="228">
          <cell r="D228">
            <v>87</v>
          </cell>
        </row>
        <row r="229">
          <cell r="D229">
            <v>0</v>
          </cell>
        </row>
        <row r="230">
          <cell r="D230">
            <v>3549</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74</v>
          </cell>
        </row>
        <row r="241">
          <cell r="D241">
            <v>1475</v>
          </cell>
        </row>
        <row r="242">
          <cell r="D242">
            <v>0</v>
          </cell>
        </row>
        <row r="243">
          <cell r="D243">
            <v>1933</v>
          </cell>
        </row>
        <row r="244">
          <cell r="D244">
            <v>0</v>
          </cell>
        </row>
        <row r="245">
          <cell r="D245">
            <v>0</v>
          </cell>
        </row>
        <row r="246">
          <cell r="D246">
            <v>0</v>
          </cell>
        </row>
        <row r="247">
          <cell r="D247">
            <v>2496</v>
          </cell>
        </row>
        <row r="248">
          <cell r="D248">
            <v>1430</v>
          </cell>
        </row>
        <row r="249">
          <cell r="D249">
            <v>0</v>
          </cell>
        </row>
        <row r="250">
          <cell r="D250">
            <v>1897</v>
          </cell>
        </row>
        <row r="251">
          <cell r="D251">
            <v>0</v>
          </cell>
        </row>
        <row r="252">
          <cell r="D252">
            <v>0</v>
          </cell>
        </row>
        <row r="253">
          <cell r="D253">
            <v>970</v>
          </cell>
        </row>
        <row r="254">
          <cell r="D254">
            <v>908</v>
          </cell>
        </row>
        <row r="255">
          <cell r="D255">
            <v>2895</v>
          </cell>
        </row>
        <row r="256">
          <cell r="D256">
            <v>0</v>
          </cell>
        </row>
        <row r="257">
          <cell r="D257">
            <v>511</v>
          </cell>
        </row>
        <row r="258">
          <cell r="D258">
            <v>3466</v>
          </cell>
        </row>
        <row r="259">
          <cell r="D259">
            <v>268</v>
          </cell>
        </row>
        <row r="260">
          <cell r="D260">
            <v>18323</v>
          </cell>
        </row>
        <row r="262">
          <cell r="D262">
            <v>1594</v>
          </cell>
        </row>
        <row r="263">
          <cell r="D263">
            <v>2005</v>
          </cell>
        </row>
        <row r="264">
          <cell r="D264">
            <v>0</v>
          </cell>
        </row>
        <row r="265">
          <cell r="D265">
            <v>3768</v>
          </cell>
        </row>
        <row r="266">
          <cell r="D266">
            <v>8952</v>
          </cell>
        </row>
        <row r="267">
          <cell r="D267">
            <v>0</v>
          </cell>
        </row>
        <row r="268">
          <cell r="D268">
            <v>0</v>
          </cell>
        </row>
        <row r="269">
          <cell r="D269">
            <v>0</v>
          </cell>
        </row>
        <row r="270">
          <cell r="D270">
            <v>0</v>
          </cell>
        </row>
        <row r="271">
          <cell r="D271">
            <v>0</v>
          </cell>
        </row>
        <row r="272">
          <cell r="D272">
            <v>0</v>
          </cell>
        </row>
        <row r="273">
          <cell r="D273">
            <v>0</v>
          </cell>
        </row>
        <row r="274">
          <cell r="D274">
            <v>917</v>
          </cell>
        </row>
        <row r="275">
          <cell r="D275">
            <v>0</v>
          </cell>
        </row>
        <row r="276">
          <cell r="D276">
            <v>17236</v>
          </cell>
        </row>
        <row r="278">
          <cell r="D278">
            <v>957</v>
          </cell>
        </row>
        <row r="279">
          <cell r="D279">
            <v>1356</v>
          </cell>
        </row>
        <row r="280">
          <cell r="D280">
            <v>1734</v>
          </cell>
        </row>
        <row r="281">
          <cell r="D281">
            <v>3496</v>
          </cell>
        </row>
        <row r="282">
          <cell r="D282">
            <v>2296</v>
          </cell>
        </row>
        <row r="283">
          <cell r="D283">
            <v>435</v>
          </cell>
        </row>
        <row r="284">
          <cell r="D284">
            <v>9375</v>
          </cell>
        </row>
        <row r="285">
          <cell r="D285">
            <v>8786</v>
          </cell>
        </row>
        <row r="286">
          <cell r="D286">
            <v>327</v>
          </cell>
        </row>
        <row r="287">
          <cell r="D287">
            <v>28762</v>
          </cell>
        </row>
        <row r="289">
          <cell r="D289">
            <v>0</v>
          </cell>
        </row>
        <row r="290">
          <cell r="D290">
            <v>0</v>
          </cell>
        </row>
        <row r="292">
          <cell r="D292">
            <v>100</v>
          </cell>
        </row>
        <row r="293">
          <cell r="D293">
            <v>100</v>
          </cell>
        </row>
        <row r="295">
          <cell r="D295">
            <v>3500</v>
          </cell>
        </row>
        <row r="296">
          <cell r="D296">
            <v>3500</v>
          </cell>
        </row>
        <row r="298">
          <cell r="D298">
            <v>0</v>
          </cell>
        </row>
        <row r="299">
          <cell r="D299">
            <v>0</v>
          </cell>
        </row>
        <row r="301">
          <cell r="D301">
            <v>0</v>
          </cell>
        </row>
        <row r="302">
          <cell r="D302">
            <v>0</v>
          </cell>
        </row>
        <row r="303">
          <cell r="D303">
            <v>0</v>
          </cell>
        </row>
        <row r="304">
          <cell r="D304">
            <v>0</v>
          </cell>
        </row>
        <row r="305">
          <cell r="D305">
            <v>0</v>
          </cell>
        </row>
        <row r="306">
          <cell r="D306">
            <v>0</v>
          </cell>
        </row>
        <row r="307">
          <cell r="D307">
            <v>828</v>
          </cell>
        </row>
        <row r="308">
          <cell r="D308">
            <v>248</v>
          </cell>
        </row>
        <row r="309">
          <cell r="D309">
            <v>1076</v>
          </cell>
        </row>
        <row r="311">
          <cell r="D311">
            <v>1008</v>
          </cell>
        </row>
        <row r="312">
          <cell r="D312">
            <v>1008</v>
          </cell>
        </row>
        <row r="314">
          <cell r="D314">
            <v>-34495</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-34495</v>
          </cell>
        </row>
        <row r="334">
          <cell r="D334">
            <v>-4633</v>
          </cell>
        </row>
        <row r="335">
          <cell r="D335">
            <v>-4633</v>
          </cell>
        </row>
        <row r="337">
          <cell r="D337">
            <v>-55</v>
          </cell>
        </row>
        <row r="338">
          <cell r="D338">
            <v>0</v>
          </cell>
        </row>
        <row r="339">
          <cell r="D339">
            <v>-55</v>
          </cell>
        </row>
        <row r="341">
          <cell r="D341">
            <v>-443</v>
          </cell>
        </row>
        <row r="342">
          <cell r="D342">
            <v>-443</v>
          </cell>
        </row>
        <row r="344">
          <cell r="D344">
            <v>-25</v>
          </cell>
        </row>
        <row r="345">
          <cell r="D345">
            <v>-25</v>
          </cell>
        </row>
        <row r="347">
          <cell r="D347">
            <v>-5771</v>
          </cell>
        </row>
        <row r="348">
          <cell r="D348">
            <v>-5771</v>
          </cell>
        </row>
        <row r="350">
          <cell r="D350">
            <v>15</v>
          </cell>
        </row>
        <row r="351">
          <cell r="D351">
            <v>15</v>
          </cell>
        </row>
        <row r="353">
          <cell r="D353">
            <v>-175</v>
          </cell>
        </row>
        <row r="354">
          <cell r="D354">
            <v>0</v>
          </cell>
        </row>
        <row r="355">
          <cell r="D355">
            <v>-175</v>
          </cell>
        </row>
        <row r="357">
          <cell r="D357">
            <v>0</v>
          </cell>
        </row>
        <row r="359">
          <cell r="D359">
            <v>0</v>
          </cell>
        </row>
        <row r="360">
          <cell r="D360">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-3</v>
          </cell>
        </row>
        <row r="386">
          <cell r="D386">
            <v>0</v>
          </cell>
        </row>
        <row r="387">
          <cell r="D387">
            <v>-174</v>
          </cell>
        </row>
        <row r="388">
          <cell r="D388">
            <v>0</v>
          </cell>
        </row>
        <row r="389">
          <cell r="D389">
            <v>0</v>
          </cell>
        </row>
        <row r="390">
          <cell r="D390">
            <v>0</v>
          </cell>
        </row>
        <row r="391">
          <cell r="D391">
            <v>0</v>
          </cell>
        </row>
        <row r="392">
          <cell r="D392">
            <v>0</v>
          </cell>
        </row>
        <row r="393">
          <cell r="D393">
            <v>0</v>
          </cell>
        </row>
        <row r="394">
          <cell r="D394">
            <v>-7</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-184</v>
          </cell>
        </row>
        <row r="439">
          <cell r="D439">
            <v>-75</v>
          </cell>
        </row>
        <row r="440">
          <cell r="D440">
            <v>-54989</v>
          </cell>
        </row>
        <row r="441">
          <cell r="D441">
            <v>0</v>
          </cell>
        </row>
        <row r="442">
          <cell r="D442">
            <v>-11</v>
          </cell>
        </row>
        <row r="443">
          <cell r="D443">
            <v>-98</v>
          </cell>
        </row>
        <row r="444">
          <cell r="D444">
            <v>-69</v>
          </cell>
        </row>
        <row r="445">
          <cell r="D445">
            <v>-19</v>
          </cell>
        </row>
        <row r="446">
          <cell r="D446">
            <v>-2283</v>
          </cell>
        </row>
        <row r="447">
          <cell r="D447">
            <v>0</v>
          </cell>
        </row>
        <row r="448">
          <cell r="D448">
            <v>-57</v>
          </cell>
        </row>
        <row r="449">
          <cell r="D449">
            <v>0</v>
          </cell>
        </row>
        <row r="450">
          <cell r="D450">
            <v>0</v>
          </cell>
        </row>
        <row r="451">
          <cell r="D451">
            <v>-57601</v>
          </cell>
        </row>
        <row r="453">
          <cell r="D453">
            <v>-4537717</v>
          </cell>
        </row>
        <row r="454">
          <cell r="D454">
            <v>-20436</v>
          </cell>
        </row>
        <row r="455">
          <cell r="D455">
            <v>213282</v>
          </cell>
        </row>
        <row r="456">
          <cell r="D456">
            <v>-4254</v>
          </cell>
        </row>
        <row r="457">
          <cell r="D457">
            <v>-4349125</v>
          </cell>
        </row>
        <row r="459">
          <cell r="D459">
            <v>-4343</v>
          </cell>
        </row>
        <row r="460">
          <cell r="D460">
            <v>0</v>
          </cell>
        </row>
        <row r="461">
          <cell r="D461">
            <v>-134</v>
          </cell>
        </row>
        <row r="462">
          <cell r="D462">
            <v>-51533</v>
          </cell>
        </row>
        <row r="463">
          <cell r="D463">
            <v>-3060</v>
          </cell>
        </row>
        <row r="464">
          <cell r="D464">
            <v>0</v>
          </cell>
        </row>
        <row r="465">
          <cell r="D465">
            <v>-45</v>
          </cell>
        </row>
        <row r="466">
          <cell r="D466">
            <v>-194</v>
          </cell>
        </row>
        <row r="467">
          <cell r="D467">
            <v>-261</v>
          </cell>
        </row>
        <row r="468">
          <cell r="D468">
            <v>-1302</v>
          </cell>
        </row>
        <row r="469">
          <cell r="D469">
            <v>-60872</v>
          </cell>
        </row>
        <row r="471">
          <cell r="D471">
            <v>0</v>
          </cell>
        </row>
        <row r="472">
          <cell r="D472">
            <v>-4</v>
          </cell>
        </row>
        <row r="473">
          <cell r="D473">
            <v>-1</v>
          </cell>
        </row>
        <row r="474">
          <cell r="D474">
            <v>0</v>
          </cell>
        </row>
        <row r="475">
          <cell r="D475">
            <v>0</v>
          </cell>
        </row>
        <row r="476">
          <cell r="D476">
            <v>-83</v>
          </cell>
        </row>
        <row r="477">
          <cell r="D477">
            <v>0</v>
          </cell>
        </row>
        <row r="478">
          <cell r="D478">
            <v>-3146</v>
          </cell>
        </row>
        <row r="479">
          <cell r="D479">
            <v>0</v>
          </cell>
        </row>
        <row r="480">
          <cell r="D480">
            <v>-7926</v>
          </cell>
        </row>
        <row r="481">
          <cell r="D481">
            <v>-962</v>
          </cell>
        </row>
        <row r="482">
          <cell r="D482">
            <v>-1</v>
          </cell>
        </row>
        <row r="483">
          <cell r="D483">
            <v>0</v>
          </cell>
        </row>
        <row r="484">
          <cell r="D484">
            <v>0</v>
          </cell>
        </row>
        <row r="485">
          <cell r="D485">
            <v>0</v>
          </cell>
        </row>
        <row r="486">
          <cell r="D486">
            <v>0</v>
          </cell>
        </row>
        <row r="487">
          <cell r="D487">
            <v>-95</v>
          </cell>
        </row>
        <row r="488">
          <cell r="D488">
            <v>0</v>
          </cell>
        </row>
        <row r="489">
          <cell r="D489">
            <v>-1694</v>
          </cell>
        </row>
        <row r="490">
          <cell r="D490">
            <v>-10</v>
          </cell>
        </row>
        <row r="491">
          <cell r="D491">
            <v>-940</v>
          </cell>
        </row>
        <row r="492">
          <cell r="D492">
            <v>0</v>
          </cell>
        </row>
        <row r="493">
          <cell r="D493">
            <v>-549</v>
          </cell>
        </row>
        <row r="494">
          <cell r="D494">
            <v>0</v>
          </cell>
        </row>
        <row r="495">
          <cell r="D495">
            <v>0</v>
          </cell>
        </row>
        <row r="496">
          <cell r="D496">
            <v>-12</v>
          </cell>
        </row>
        <row r="497">
          <cell r="D497">
            <v>-2317</v>
          </cell>
        </row>
        <row r="498">
          <cell r="D498">
            <v>-3341</v>
          </cell>
        </row>
        <row r="499">
          <cell r="D499">
            <v>-91</v>
          </cell>
        </row>
        <row r="500">
          <cell r="D500">
            <v>-13</v>
          </cell>
        </row>
        <row r="501">
          <cell r="D501">
            <v>-5758</v>
          </cell>
        </row>
        <row r="502">
          <cell r="D502">
            <v>-7531</v>
          </cell>
        </row>
        <row r="503">
          <cell r="D503">
            <v>-5375</v>
          </cell>
        </row>
        <row r="504">
          <cell r="D504">
            <v>-2083</v>
          </cell>
        </row>
        <row r="505">
          <cell r="D505">
            <v>-59</v>
          </cell>
        </row>
        <row r="506">
          <cell r="D506">
            <v>-136</v>
          </cell>
        </row>
        <row r="507">
          <cell r="D507">
            <v>0</v>
          </cell>
        </row>
        <row r="508">
          <cell r="D508">
            <v>-3451</v>
          </cell>
        </row>
        <row r="509">
          <cell r="D509">
            <v>0</v>
          </cell>
        </row>
        <row r="510">
          <cell r="D510">
            <v>0</v>
          </cell>
        </row>
        <row r="511">
          <cell r="D511">
            <v>0</v>
          </cell>
        </row>
        <row r="512">
          <cell r="D512">
            <v>0</v>
          </cell>
        </row>
        <row r="513">
          <cell r="D513">
            <v>-45578</v>
          </cell>
        </row>
        <row r="515">
          <cell r="D515">
            <v>-4558</v>
          </cell>
        </row>
        <row r="516">
          <cell r="D516">
            <v>-114041</v>
          </cell>
        </row>
        <row r="517">
          <cell r="D517">
            <v>-35398</v>
          </cell>
        </row>
        <row r="518">
          <cell r="D518">
            <v>-17988</v>
          </cell>
        </row>
        <row r="519">
          <cell r="D519">
            <v>-168</v>
          </cell>
        </row>
        <row r="520">
          <cell r="D520">
            <v>-111</v>
          </cell>
        </row>
        <row r="521">
          <cell r="D521">
            <v>-1223</v>
          </cell>
        </row>
        <row r="522">
          <cell r="D522">
            <v>-359</v>
          </cell>
        </row>
        <row r="523">
          <cell r="D523">
            <v>-10830</v>
          </cell>
        </row>
        <row r="524">
          <cell r="D524">
            <v>-1685</v>
          </cell>
        </row>
        <row r="525">
          <cell r="D525">
            <v>-187</v>
          </cell>
        </row>
        <row r="526">
          <cell r="D526">
            <v>-33</v>
          </cell>
        </row>
        <row r="527">
          <cell r="D527">
            <v>-186581</v>
          </cell>
        </row>
        <row r="529">
          <cell r="D529">
            <v>0</v>
          </cell>
        </row>
        <row r="530">
          <cell r="D530">
            <v>-18204</v>
          </cell>
        </row>
        <row r="531">
          <cell r="D531">
            <v>-23853</v>
          </cell>
        </row>
        <row r="532">
          <cell r="D532">
            <v>-1405</v>
          </cell>
        </row>
        <row r="533">
          <cell r="D533">
            <v>-20953</v>
          </cell>
        </row>
        <row r="534">
          <cell r="D534">
            <v>-20704</v>
          </cell>
        </row>
        <row r="535">
          <cell r="D535">
            <v>-85119</v>
          </cell>
        </row>
        <row r="537">
          <cell r="D537">
            <v>0</v>
          </cell>
        </row>
        <row r="538">
          <cell r="D538">
            <v>-353</v>
          </cell>
        </row>
        <row r="539">
          <cell r="D539">
            <v>-6</v>
          </cell>
        </row>
        <row r="540">
          <cell r="D540">
            <v>-273</v>
          </cell>
        </row>
        <row r="541">
          <cell r="D541">
            <v>-434</v>
          </cell>
        </row>
        <row r="542">
          <cell r="D542">
            <v>0</v>
          </cell>
        </row>
        <row r="543">
          <cell r="D543">
            <v>-273</v>
          </cell>
        </row>
        <row r="544">
          <cell r="D544">
            <v>-151</v>
          </cell>
        </row>
        <row r="545">
          <cell r="D545">
            <v>0</v>
          </cell>
        </row>
        <row r="546">
          <cell r="D546">
            <v>-2494</v>
          </cell>
        </row>
        <row r="547">
          <cell r="D547">
            <v>-656</v>
          </cell>
        </row>
        <row r="548">
          <cell r="D548">
            <v>-5017</v>
          </cell>
        </row>
        <row r="549">
          <cell r="D549">
            <v>0</v>
          </cell>
        </row>
        <row r="550">
          <cell r="D550">
            <v>-4744</v>
          </cell>
        </row>
        <row r="551">
          <cell r="D551">
            <v>-1248</v>
          </cell>
        </row>
        <row r="552">
          <cell r="D552">
            <v>-15356</v>
          </cell>
        </row>
        <row r="553">
          <cell r="D553">
            <v>-2842</v>
          </cell>
        </row>
        <row r="554">
          <cell r="D554">
            <v>-12851</v>
          </cell>
        </row>
        <row r="555">
          <cell r="D555">
            <v>-480</v>
          </cell>
        </row>
        <row r="556">
          <cell r="D556">
            <v>-24729</v>
          </cell>
        </row>
        <row r="557">
          <cell r="D557">
            <v>-2843</v>
          </cell>
        </row>
        <row r="558">
          <cell r="D558">
            <v>-9341</v>
          </cell>
        </row>
        <row r="559">
          <cell r="D559">
            <v>-10179</v>
          </cell>
        </row>
        <row r="560">
          <cell r="D560">
            <v>-5447</v>
          </cell>
        </row>
        <row r="561">
          <cell r="D561">
            <v>-1320</v>
          </cell>
        </row>
        <row r="562">
          <cell r="D562">
            <v>-6058</v>
          </cell>
        </row>
        <row r="563">
          <cell r="D563">
            <v>-8834</v>
          </cell>
        </row>
        <row r="564">
          <cell r="D564">
            <v>-2311</v>
          </cell>
        </row>
        <row r="565">
          <cell r="D565">
            <v>-7678</v>
          </cell>
        </row>
        <row r="566">
          <cell r="D566">
            <v>-1973</v>
          </cell>
        </row>
        <row r="567">
          <cell r="D567">
            <v>-1440</v>
          </cell>
        </row>
        <row r="568">
          <cell r="D568">
            <v>-2528</v>
          </cell>
        </row>
        <row r="569">
          <cell r="D569">
            <v>0</v>
          </cell>
        </row>
        <row r="570">
          <cell r="D570">
            <v>-114</v>
          </cell>
        </row>
        <row r="571">
          <cell r="D571">
            <v>-131973</v>
          </cell>
        </row>
        <row r="573">
          <cell r="D573">
            <v>-1723</v>
          </cell>
        </row>
        <row r="574">
          <cell r="D574">
            <v>-85</v>
          </cell>
        </row>
        <row r="575">
          <cell r="D575">
            <v>-1808</v>
          </cell>
        </row>
        <row r="577">
          <cell r="D577">
            <v>-9219</v>
          </cell>
        </row>
        <row r="578">
          <cell r="D578">
            <v>-6923</v>
          </cell>
        </row>
        <row r="579">
          <cell r="D579">
            <v>-4596</v>
          </cell>
        </row>
        <row r="580">
          <cell r="D580">
            <v>-5707</v>
          </cell>
        </row>
        <row r="581">
          <cell r="D581">
            <v>-14196</v>
          </cell>
        </row>
        <row r="582">
          <cell r="D582">
            <v>-6531</v>
          </cell>
        </row>
        <row r="583">
          <cell r="D583">
            <v>-9375</v>
          </cell>
        </row>
        <row r="584">
          <cell r="D584">
            <v>-327</v>
          </cell>
        </row>
        <row r="585">
          <cell r="D585">
            <v>-56874</v>
          </cell>
        </row>
        <row r="587">
          <cell r="D587">
            <v>-1035</v>
          </cell>
        </row>
        <row r="588">
          <cell r="D588">
            <v>-3933</v>
          </cell>
        </row>
        <row r="589">
          <cell r="D589">
            <v>-2140</v>
          </cell>
        </row>
        <row r="590">
          <cell r="D590">
            <v>-5849</v>
          </cell>
        </row>
        <row r="591">
          <cell r="D591">
            <v>-3504</v>
          </cell>
        </row>
        <row r="592">
          <cell r="D592">
            <v>-252</v>
          </cell>
        </row>
        <row r="593">
          <cell r="D593">
            <v>-3275</v>
          </cell>
        </row>
        <row r="594">
          <cell r="D594">
            <v>-2499</v>
          </cell>
        </row>
        <row r="595">
          <cell r="D595">
            <v>-1139</v>
          </cell>
        </row>
        <row r="596">
          <cell r="D596">
            <v>-180</v>
          </cell>
        </row>
        <row r="597">
          <cell r="D597">
            <v>-23806</v>
          </cell>
        </row>
        <row r="599">
          <cell r="D599">
            <v>-4924</v>
          </cell>
        </row>
        <row r="600">
          <cell r="D600">
            <v>-458</v>
          </cell>
        </row>
        <row r="601">
          <cell r="D601">
            <v>-400</v>
          </cell>
        </row>
        <row r="602">
          <cell r="D602">
            <v>-5782</v>
          </cell>
        </row>
        <row r="604">
          <cell r="D604">
            <v>0</v>
          </cell>
        </row>
        <row r="605">
          <cell r="D605">
            <v>-840</v>
          </cell>
        </row>
        <row r="606">
          <cell r="D606">
            <v>0</v>
          </cell>
        </row>
        <row r="607">
          <cell r="D607">
            <v>-34191</v>
          </cell>
        </row>
        <row r="608">
          <cell r="D608">
            <v>-20880</v>
          </cell>
        </row>
        <row r="609">
          <cell r="D609">
            <v>-15008</v>
          </cell>
        </row>
        <row r="610">
          <cell r="D610">
            <v>-56</v>
          </cell>
        </row>
        <row r="611">
          <cell r="D611">
            <v>4635</v>
          </cell>
        </row>
        <row r="612">
          <cell r="D612">
            <v>-529</v>
          </cell>
        </row>
        <row r="613">
          <cell r="D613">
            <v>430</v>
          </cell>
        </row>
        <row r="614">
          <cell r="D614">
            <v>-1222</v>
          </cell>
        </row>
        <row r="615">
          <cell r="D615">
            <v>-67661</v>
          </cell>
        </row>
        <row r="617">
          <cell r="D617">
            <v>0</v>
          </cell>
        </row>
        <row r="618">
          <cell r="D618">
            <v>0</v>
          </cell>
        </row>
        <row r="619">
          <cell r="D619">
            <v>0</v>
          </cell>
        </row>
        <row r="620">
          <cell r="D620">
            <v>0</v>
          </cell>
        </row>
        <row r="621">
          <cell r="D621">
            <v>0</v>
          </cell>
        </row>
        <row r="622">
          <cell r="D622">
            <v>0</v>
          </cell>
        </row>
        <row r="623">
          <cell r="D623">
            <v>0</v>
          </cell>
        </row>
        <row r="624">
          <cell r="D624">
            <v>0</v>
          </cell>
        </row>
        <row r="625">
          <cell r="D625">
            <v>0</v>
          </cell>
        </row>
        <row r="626">
          <cell r="D626">
            <v>0</v>
          </cell>
        </row>
        <row r="627">
          <cell r="D627">
            <v>0</v>
          </cell>
        </row>
        <row r="628">
          <cell r="D628">
            <v>0</v>
          </cell>
        </row>
        <row r="629">
          <cell r="D629">
            <v>0</v>
          </cell>
        </row>
        <row r="630">
          <cell r="D630">
            <v>0</v>
          </cell>
        </row>
        <row r="631">
          <cell r="D631">
            <v>0</v>
          </cell>
        </row>
        <row r="632">
          <cell r="D632">
            <v>0</v>
          </cell>
        </row>
        <row r="633">
          <cell r="D633">
            <v>0</v>
          </cell>
        </row>
        <row r="634">
          <cell r="D634">
            <v>0</v>
          </cell>
        </row>
        <row r="635">
          <cell r="D635">
            <v>0</v>
          </cell>
        </row>
        <row r="636">
          <cell r="D636">
            <v>0</v>
          </cell>
        </row>
        <row r="637">
          <cell r="D637">
            <v>0</v>
          </cell>
        </row>
        <row r="638">
          <cell r="D638">
            <v>0</v>
          </cell>
        </row>
        <row r="639">
          <cell r="D639">
            <v>0</v>
          </cell>
        </row>
        <row r="640">
          <cell r="D640">
            <v>0</v>
          </cell>
        </row>
        <row r="641">
          <cell r="D641">
            <v>0</v>
          </cell>
        </row>
        <row r="642">
          <cell r="D642">
            <v>0</v>
          </cell>
        </row>
        <row r="643">
          <cell r="D643">
            <v>0</v>
          </cell>
        </row>
        <row r="644">
          <cell r="D644">
            <v>0</v>
          </cell>
        </row>
        <row r="645">
          <cell r="D645">
            <v>0</v>
          </cell>
        </row>
        <row r="646">
          <cell r="D646">
            <v>0</v>
          </cell>
        </row>
        <row r="647">
          <cell r="D647">
            <v>0</v>
          </cell>
        </row>
        <row r="649">
          <cell r="D649">
            <v>-433</v>
          </cell>
        </row>
        <row r="650">
          <cell r="D650">
            <v>8313</v>
          </cell>
        </row>
        <row r="651">
          <cell r="D651">
            <v>0</v>
          </cell>
        </row>
        <row r="652">
          <cell r="D652">
            <v>0</v>
          </cell>
        </row>
        <row r="653">
          <cell r="D653">
            <v>0</v>
          </cell>
        </row>
        <row r="654">
          <cell r="D654">
            <v>7880</v>
          </cell>
        </row>
        <row r="656">
          <cell r="D656">
            <v>0</v>
          </cell>
        </row>
        <row r="658">
          <cell r="D658">
            <v>72156</v>
          </cell>
        </row>
        <row r="659">
          <cell r="D659">
            <v>72156</v>
          </cell>
        </row>
        <row r="661">
          <cell r="D661">
            <v>6773</v>
          </cell>
        </row>
        <row r="662">
          <cell r="D662">
            <v>6773</v>
          </cell>
        </row>
        <row r="664">
          <cell r="D664">
            <v>5771</v>
          </cell>
        </row>
        <row r="665">
          <cell r="D665">
            <v>5771</v>
          </cell>
        </row>
        <row r="667">
          <cell r="D667">
            <v>155</v>
          </cell>
        </row>
        <row r="668">
          <cell r="D668">
            <v>58</v>
          </cell>
        </row>
        <row r="669">
          <cell r="D669">
            <v>25</v>
          </cell>
        </row>
        <row r="670">
          <cell r="D670">
            <v>238</v>
          </cell>
        </row>
        <row r="672">
          <cell r="D672">
            <v>3454</v>
          </cell>
        </row>
        <row r="673">
          <cell r="D673">
            <v>7061</v>
          </cell>
        </row>
        <row r="674">
          <cell r="D674">
            <v>520</v>
          </cell>
        </row>
        <row r="675">
          <cell r="D675">
            <v>0</v>
          </cell>
        </row>
        <row r="676">
          <cell r="D676">
            <v>0</v>
          </cell>
        </row>
        <row r="677">
          <cell r="D677">
            <v>1405</v>
          </cell>
        </row>
        <row r="678">
          <cell r="D678">
            <v>0</v>
          </cell>
        </row>
        <row r="679">
          <cell r="D679">
            <v>1</v>
          </cell>
        </row>
        <row r="680">
          <cell r="D680">
            <v>0</v>
          </cell>
        </row>
        <row r="681">
          <cell r="D681">
            <v>0</v>
          </cell>
        </row>
        <row r="682">
          <cell r="D682">
            <v>0</v>
          </cell>
        </row>
        <row r="683">
          <cell r="D683">
            <v>0</v>
          </cell>
        </row>
        <row r="684">
          <cell r="D684">
            <v>0</v>
          </cell>
        </row>
        <row r="685">
          <cell r="D685">
            <v>0</v>
          </cell>
        </row>
        <row r="686">
          <cell r="D686">
            <v>0</v>
          </cell>
        </row>
        <row r="687">
          <cell r="D687">
            <v>7</v>
          </cell>
        </row>
        <row r="688">
          <cell r="D688">
            <v>0</v>
          </cell>
        </row>
        <row r="689">
          <cell r="D689">
            <v>15</v>
          </cell>
        </row>
        <row r="690">
          <cell r="D690">
            <v>0</v>
          </cell>
        </row>
        <row r="691">
          <cell r="D691">
            <v>0</v>
          </cell>
        </row>
        <row r="692">
          <cell r="D692">
            <v>0</v>
          </cell>
        </row>
        <row r="693">
          <cell r="D693">
            <v>0</v>
          </cell>
        </row>
        <row r="694">
          <cell r="D694">
            <v>0</v>
          </cell>
        </row>
        <row r="695">
          <cell r="D695">
            <v>0</v>
          </cell>
        </row>
        <row r="696">
          <cell r="D696">
            <v>0</v>
          </cell>
        </row>
        <row r="697">
          <cell r="D697">
            <v>0</v>
          </cell>
        </row>
        <row r="698">
          <cell r="D698">
            <v>0</v>
          </cell>
        </row>
        <row r="699">
          <cell r="D699">
            <v>1932</v>
          </cell>
        </row>
        <row r="700">
          <cell r="D700">
            <v>43</v>
          </cell>
        </row>
        <row r="701">
          <cell r="D701">
            <v>775</v>
          </cell>
        </row>
        <row r="702">
          <cell r="D702">
            <v>191</v>
          </cell>
        </row>
        <row r="703">
          <cell r="D703">
            <v>2164</v>
          </cell>
        </row>
        <row r="704">
          <cell r="D704">
            <v>17568</v>
          </cell>
        </row>
        <row r="706">
          <cell r="D706">
            <v>406</v>
          </cell>
        </row>
        <row r="707">
          <cell r="D707">
            <v>0</v>
          </cell>
        </row>
        <row r="708">
          <cell r="D708">
            <v>170</v>
          </cell>
        </row>
        <row r="709">
          <cell r="D709">
            <v>32</v>
          </cell>
        </row>
        <row r="710">
          <cell r="D710">
            <v>35</v>
          </cell>
        </row>
        <row r="711">
          <cell r="D711">
            <v>375</v>
          </cell>
        </row>
        <row r="712">
          <cell r="D712">
            <v>42</v>
          </cell>
        </row>
        <row r="713">
          <cell r="D713">
            <v>108</v>
          </cell>
        </row>
        <row r="714">
          <cell r="D714">
            <v>172</v>
          </cell>
        </row>
        <row r="715">
          <cell r="D715">
            <v>73</v>
          </cell>
        </row>
        <row r="716">
          <cell r="D716">
            <v>75</v>
          </cell>
        </row>
        <row r="717">
          <cell r="D717">
            <v>1488</v>
          </cell>
        </row>
        <row r="719">
          <cell r="D719">
            <v>381</v>
          </cell>
        </row>
        <row r="720">
          <cell r="D720">
            <v>381</v>
          </cell>
        </row>
        <row r="722">
          <cell r="D722">
            <v>0</v>
          </cell>
        </row>
        <row r="723">
          <cell r="D723">
            <v>0</v>
          </cell>
        </row>
      </sheetData>
      <sheetData sheetId="12"/>
      <sheetData sheetId="13"/>
      <sheetData sheetId="14"/>
      <sheetData sheetId="15"/>
      <sheetData sheetId="16"/>
      <sheetData sheetId="17"/>
      <sheetData sheetId="1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nt²"/>
      <sheetName val="nt__2"/>
      <sheetName val="nt__3"/>
      <sheetName val="nt__4"/>
      <sheetName val="A"/>
      <sheetName val="CliftonMain-1003-P&amp;L"/>
      <sheetName val="CliftonMain-1003-EXP"/>
      <sheetName val="SALARY"/>
      <sheetName val="Parameters"/>
      <sheetName val="broker sheet-2"/>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acc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PDF1"/>
      <sheetName val="2000_ Projects Summary"/>
      <sheetName val="Notes _2_"/>
      <sheetName val="PL_Million_"/>
      <sheetName val="Fin_Histo_PL"/>
      <sheetName val="Deposit"/>
      <sheetName val="Non-Statistical Sampling"/>
      <sheetName val="REV VAR INC"/>
      <sheetName val="Sheet5"/>
      <sheetName val="Augbkp98"/>
      <sheetName val="Statement of Claims"/>
      <sheetName val="Revenue-Fire-Marine-Motor"/>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PPC-ORD DTL"/>
      <sheetName val="会社別"/>
      <sheetName val="Lead"/>
      <sheetName val="Note Line"/>
      <sheetName val="SETUP"/>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New Employ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Code"/>
      <sheetName val="A-C CODE &amp; NAM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Sheet3"/>
      <sheetName val="Institutions List"/>
      <sheetName val="Stat. Changes Equity"/>
      <sheetName val="Notes 7 - 23"/>
      <sheetName val="E"/>
      <sheetName val="Notes__2_1"/>
      <sheetName val="P&amp;L_Commentary"/>
      <sheetName val="Non-Statistical_Sampling1"/>
      <sheetName val="SOURCE"/>
      <sheetName val="UK"/>
      <sheetName val="New Employee"/>
      <sheetName val="NED09-10 SW"/>
      <sheetName val="Lead"/>
      <sheetName val="Support"/>
      <sheetName val="revenue-fire-marine-motor"/>
      <sheetName val="navlun_cetveli"/>
      <sheetName val="INIT"/>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RiskSim Summary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broker sheet-2"/>
      <sheetName val="N-Debts"/>
      <sheetName val="S-Rental"/>
      <sheetName val="T-Debts"/>
      <sheetName val="Abu_Dhabi"/>
      <sheetName val="TOTAL_OVS_BRS_ST_AUG_02"/>
      <sheetName val="A-C_CODE_&amp;_NAME"/>
      <sheetName val="OUTSTANDING_FX-SWAP"/>
      <sheetName val="Stancom_29"/>
      <sheetName val="1-bwb(cb)"/>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 INC"/>
      <sheetName val="CFS"/>
      <sheetName val="SOMPF"/>
      <sheetName val="SIC"/>
      <sheetName val="SIP"/>
      <sheetName val="AFS"/>
      <sheetName val="DT HFT"/>
      <sheetName val="GIS"/>
      <sheetName val="DT AFS"/>
      <sheetName val="PIBs"/>
      <sheetName val="T-Bills (DT)"/>
      <sheetName val="MM TBills "/>
      <sheetName val="T-Bills (MM)"/>
      <sheetName val="Form 8"/>
      <sheetName val="Form 9"/>
      <sheetName val="Form 10"/>
      <sheetName val="1-2.2"/>
      <sheetName val="1-12"/>
      <sheetName val="13-16"/>
      <sheetName val="17-17.1.2"/>
      <sheetName val="17.1.2"/>
      <sheetName val="17.1.3-17.2"/>
      <sheetName val="17.3"/>
      <sheetName val="17.4 (2014)"/>
      <sheetName val="17.4 (2013)"/>
      <sheetName val="18.4 (2012)"/>
      <sheetName val="18.5-23"/>
      <sheetName val="Complainces - Od and Td"/>
      <sheetName val="tb-2014"/>
      <sheetName val="Lead"/>
      <sheetName val="WWF"/>
      <sheetName val="Tax Provision"/>
      <sheetName val="Links"/>
      <sheetName val="Tickmarks"/>
      <sheetName val="NAV match"/>
      <sheetName val="tb-2015"/>
    </sheetNames>
    <sheetDataSet>
      <sheetData sheetId="0">
        <row r="13">
          <cell r="K13">
            <v>44824742</v>
          </cell>
        </row>
      </sheetData>
      <sheetData sheetId="1">
        <row r="28">
          <cell r="E28">
            <v>19636495</v>
          </cell>
        </row>
      </sheetData>
      <sheetData sheetId="2" refreshError="1"/>
      <sheetData sheetId="3" refreshError="1"/>
      <sheetData sheetId="4" refreshError="1"/>
      <sheetData sheetId="5">
        <row r="15">
          <cell r="D15">
            <v>79262747</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F2" t="str">
            <v>Preliminary</v>
          </cell>
        </row>
      </sheetData>
      <sheetData sheetId="32" refreshError="1"/>
      <sheetData sheetId="33" refreshError="1"/>
      <sheetData sheetId="34">
        <row r="1">
          <cell r="F1" t="str">
            <v>Preliminary</v>
          </cell>
        </row>
      </sheetData>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 val="Investments - PnL"/>
      <sheetName val="Sheet4"/>
    </sheetNames>
    <sheetDataSet>
      <sheetData sheetId="0"/>
      <sheetData sheetId="1"/>
      <sheetData sheetId="2"/>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Tickmarks"/>
    </sheetNames>
    <sheetDataSet>
      <sheetData sheetId="0" refreshError="1"/>
      <sheetData sheetId="1">
        <row r="14">
          <cell r="Y14">
            <v>0</v>
          </cell>
        </row>
      </sheetData>
      <sheetData sheetId="2" refreshError="1"/>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June09"/>
      <sheetName val="Verification Purchases"/>
      <sheetName val="Verification of Sales"/>
      <sheetName val="Dividend"/>
      <sheetName val="Tickmarks"/>
      <sheetName val="Movement"/>
      <sheetName val="MOvement Sched."/>
    </sheetNames>
    <sheetDataSet>
      <sheetData sheetId="0" refreshError="1"/>
      <sheetData sheetId="1" refreshError="1"/>
      <sheetData sheetId="2">
        <row r="3">
          <cell r="E3">
            <v>966404653</v>
          </cell>
        </row>
      </sheetData>
      <sheetData sheetId="3" refreshError="1"/>
      <sheetData sheetId="4" refreshError="1"/>
      <sheetData sheetId="5" refreshError="1"/>
      <sheetData sheetId="6"/>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S5"/>
      <sheetName val="Tickmarks"/>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TRAN"/>
      <sheetName val="7-38"/>
      <sheetName val="BS"/>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Sheet3"/>
      <sheetName val="Parameters"/>
      <sheetName val="Schedule "/>
      <sheetName val="Depreciation working-09"/>
      <sheetName val="dep on wdv"/>
      <sheetName val="disposal of assets"/>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Market Rates"/>
      <sheetName val="Sheet4"/>
      <sheetName val="Macro1"/>
      <sheetName val="INPUT"/>
      <sheetName val="Ranges"/>
      <sheetName val="BSDOMOVS"/>
      <sheetName val="BS-OVS"/>
      <sheetName val="RC-099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WORKERS"/>
      <sheetName val="TBPRICE"/>
    </sheetNames>
    <sheetDataSet>
      <sheetData sheetId="0" refreshError="1"/>
      <sheetData sheetId="1" refreshError="1"/>
      <sheetData sheetId="2">
        <row r="8">
          <cell r="E8" t="str">
            <v>Practice US C Corporation</v>
          </cell>
        </row>
        <row r="27">
          <cell r="F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UHF"/>
      <sheetName val="OCI"/>
      <sheetName val="CFs"/>
      <sheetName val="UHF New V2"/>
      <sheetName val="Notes 1-6"/>
      <sheetName val="Sheet5"/>
      <sheetName val="6.1"/>
      <sheetName val="6.1.2"/>
      <sheetName val="6.2-6.3"/>
      <sheetName val="7-16"/>
      <sheetName val="17-17.1"/>
      <sheetName val="17.2-17.3"/>
      <sheetName val="UHF New"/>
      <sheetName val="UHF OLD"/>
      <sheetName val="Sheet4"/>
      <sheetName val="Sheet3"/>
      <sheetName val="18.1.1-18.1.3"/>
      <sheetName val="18-18.1.1"/>
      <sheetName val="18.2-19"/>
      <sheetName val="20"/>
      <sheetName val="21"/>
      <sheetName val="18-22"/>
      <sheetName val="CF Working"/>
      <sheetName val="TB-31 Dec"/>
      <sheetName val="22-24"/>
      <sheetName val="RP"/>
      <sheetName val="TB MCBPSM"/>
      <sheetName val="Sheet2"/>
      <sheetName val="Sheet1"/>
      <sheetName val="Trial Balance"/>
    </sheetNames>
    <sheetDataSet>
      <sheetData sheetId="0">
        <row r="38">
          <cell r="F38">
            <v>77.423048084791645</v>
          </cell>
        </row>
      </sheetData>
      <sheetData sheetId="1"/>
      <sheetData sheetId="2"/>
      <sheetData sheetId="3"/>
      <sheetData sheetId="4"/>
      <sheetData sheetId="5">
        <row r="1">
          <cell r="A1" t="str">
            <v>MCB PAKISTAN STOCK MARKET FUND</v>
          </cell>
          <cell r="B1">
            <v>0</v>
          </cell>
          <cell r="C1">
            <v>0</v>
          </cell>
          <cell r="D1">
            <v>0</v>
          </cell>
          <cell r="E1">
            <v>0</v>
          </cell>
          <cell r="F1">
            <v>0</v>
          </cell>
          <cell r="G1">
            <v>0</v>
          </cell>
          <cell r="H1">
            <v>0</v>
          </cell>
          <cell r="I1">
            <v>0</v>
          </cell>
          <cell r="J1">
            <v>0</v>
          </cell>
        </row>
      </sheetData>
      <sheetData sheetId="6">
        <row r="509">
          <cell r="J509">
            <v>351866</v>
          </cell>
        </row>
      </sheetData>
      <sheetData sheetId="7"/>
      <sheetData sheetId="8"/>
      <sheetData sheetId="9"/>
      <sheetData sheetId="10">
        <row r="32">
          <cell r="I32">
            <v>0</v>
          </cell>
        </row>
        <row r="82">
          <cell r="G8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2011"/>
      <sheetName val="BS"/>
      <sheetName val="P&amp;L"/>
      <sheetName val="CI"/>
      <sheetName val="DS"/>
      <sheetName val="UHF"/>
      <sheetName val="CFs"/>
      <sheetName val="Note 1-5"/>
      <sheetName val="Note 1-5 (2)"/>
      <sheetName val="5.1-5.3 (3)"/>
      <sheetName val="5.1-5.3"/>
      <sheetName val="5.4-8"/>
      <sheetName val="5.3-15"/>
      <sheetName val="UHF Quarter"/>
      <sheetName val="CF Working"/>
      <sheetName val="RP Working Quarter"/>
      <sheetName val="5.1-5.3 (2)"/>
      <sheetName val="20-25.1.2"/>
      <sheetName val="25.1.3-25.2"/>
      <sheetName val="Note 25.2.1-30.1"/>
      <sheetName val="Element of Income (client)"/>
      <sheetName val="Element income final"/>
      <sheetName val="Element income final 2015"/>
      <sheetName val="CFs Quarter"/>
      <sheetName val="P&amp;L Quarter"/>
      <sheetName val="DS Quarter"/>
      <sheetName val="CI Quarter"/>
      <sheetName val="Element income final - abid"/>
      <sheetName val="TB"/>
      <sheetName val="29-31.3"/>
      <sheetName val="credit 2011"/>
      <sheetName val="bank rating"/>
      <sheetName val="Element of Income "/>
      <sheetName val="Element working"/>
      <sheetName val="Set off"/>
      <sheetName val="Trial Balance"/>
      <sheetName val="investment topsheet"/>
      <sheetName val="invst Control Sheet"/>
    </sheetNames>
    <sheetDataSet>
      <sheetData sheetId="0"/>
      <sheetData sheetId="1"/>
      <sheetData sheetId="2">
        <row r="15">
          <cell r="A15" t="str">
            <v>Unrealised (diminution) / appreciation on re-measurement of investments</v>
          </cell>
        </row>
        <row r="16">
          <cell r="A16" t="str">
            <v>classified as 'financial assets at fair value through profit or loss' - net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sheetName val="Income-Statement"/>
      <sheetName val="Statement of CI"/>
      <sheetName val="Distribution"/>
      <sheetName val="funds' movement"/>
      <sheetName val="Cash Flow "/>
      <sheetName val="CASH FLOW WORKIN"/>
      <sheetName val="Note 1-4"/>
      <sheetName val="Note 5"/>
      <sheetName val="Note 6-18.6"/>
      <sheetName val="Note 21-24"/>
      <sheetName val="Note 24"/>
      <sheetName val="Adjustment"/>
      <sheetName val="Cash FLow Working"/>
      <sheetName val="trail balance"/>
      <sheetName val="trail balance (2)"/>
      <sheetName val="Yield working"/>
      <sheetName val="Maturity workings"/>
      <sheetName val="Maturity basis"/>
      <sheetName val="Sheet1"/>
      <sheetName val="TB"/>
      <sheetName val="Set-Up"/>
      <sheetName val="maturities &amp; yield risk portion"/>
      <sheetName val="preliminary exp maturity"/>
      <sheetName val="inv disclosure client"/>
      <sheetName val="inv disclosure cost"/>
      <sheetName val="Note 5 cost"/>
      <sheetName val="preliminary exp maturity (2)"/>
    </sheetNames>
    <sheetDataSet>
      <sheetData sheetId="0" refreshError="1">
        <row r="9">
          <cell r="F9">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 income final"/>
      <sheetName val="Redeem -Element"/>
      <sheetName val="Sales Element (H.S)"/>
      <sheetName val="Redeem -Element (2)"/>
      <sheetName val="Sales Element (H.S) (2)"/>
    </sheetNames>
    <sheetDataSet>
      <sheetData sheetId="0" refreshError="1"/>
      <sheetData sheetId="1">
        <row r="2">
          <cell r="B2" t="str">
            <v>July 1 to July 15</v>
          </cell>
        </row>
        <row r="1286">
          <cell r="I1286">
            <v>94535218.95159997</v>
          </cell>
        </row>
      </sheetData>
      <sheetData sheetId="2">
        <row r="3">
          <cell r="B3" t="str">
            <v>July 16 to Dec 31</v>
          </cell>
        </row>
        <row r="1783">
          <cell r="N1783">
            <v>153308337.9352999</v>
          </cell>
        </row>
      </sheetData>
      <sheetData sheetId="3">
        <row r="452">
          <cell r="I452">
            <v>37793195.065500006</v>
          </cell>
        </row>
      </sheetData>
      <sheetData sheetId="4">
        <row r="1065">
          <cell r="N1065">
            <v>44868502.886300005</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ment"/>
      <sheetName val="Comp Income"/>
      <sheetName val="Distribution"/>
      <sheetName val="Movement"/>
      <sheetName val="Cash Flow"/>
      <sheetName val="Cash FLow Working"/>
      <sheetName val="Notes 1-5.2"/>
      <sheetName val="final portfolio "/>
      <sheetName val="Note 5.2.2-9.1"/>
      <sheetName val="Sheet2"/>
      <sheetName val="Note 11-21.6"/>
      <sheetName val="Sheet3"/>
      <sheetName val="Note 22-25.1.2"/>
      <sheetName val="Note 25.1.2"/>
      <sheetName val="Note 25.1.3-25.3"/>
      <sheetName val="Note 26-29"/>
      <sheetName val="TB - 30 June"/>
      <sheetName val="Bank balance Top Sheet"/>
      <sheetName val="Profit and Dividend Rec TS"/>
      <sheetName val="ADVANCES TopSheet "/>
      <sheetName val="FLOATATION TS"/>
      <sheetName val="Payables Top Sheet"/>
      <sheetName val="Income TopSheet"/>
      <sheetName val="Expenses Top Sheet"/>
      <sheetName val="Investment Top Sheet"/>
      <sheetName val="Front End Load"/>
      <sheetName val="Sheet1"/>
      <sheetName val="Stat of Comp Income"/>
      <sheetName val="Credit Rating"/>
      <sheetName val="Brokerage"/>
      <sheetName val="ik rupee change"/>
      <sheetName val="Maturity working"/>
      <sheetName val="TB"/>
      <sheetName val="Set-Up"/>
    </sheetNames>
    <sheetDataSet>
      <sheetData sheetId="0" refreshError="1">
        <row r="20">
          <cell r="A20" t="str">
            <v>Payable to the Trustee</v>
          </cell>
        </row>
        <row r="35">
          <cell r="F35">
            <v>106362407.7969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34-38.2"/>
      <sheetName val="OtherKPI"/>
      <sheetName val="PL Notes"/>
      <sheetName val="Variance Analysis"/>
      <sheetName val="Advert &amp; sales promo"/>
      <sheetName val="P&amp;L (2)"/>
      <sheetName val="BS-03-00"/>
      <sheetName val="OP_INCOME2"/>
      <sheetName val="O_CHS2"/>
      <sheetName val="DEF_TAX2"/>
      <sheetName val="NORMAL_(2)2"/>
      <sheetName val="last_qrt20012"/>
      <sheetName val="11-15"/>
      <sheetName val="Data"/>
      <sheetName val="STOM-Data"/>
      <sheetName val="Prices"/>
      <sheetName val="Job Titles"/>
      <sheetName val="june2003statury"/>
      <sheetName val="A"/>
      <sheetName val="/´bd_x0000__x0000_/_x0000_0"/>
      <sheetName val="Balance Sheet Main"/>
      <sheetName val="sayfa 3"/>
      <sheetName val="Assumptions"/>
      <sheetName val="t-card format"/>
      <sheetName val="OP_INCOME3"/>
      <sheetName val="O_CHS3"/>
      <sheetName val="DEF_TAX3"/>
      <sheetName val="NORMAL_(2)3"/>
      <sheetName val="last_qrt20013"/>
      <sheetName val="PL_Notes"/>
      <sheetName val="Variance_Analysis"/>
      <sheetName val="Advert_&amp;_sales_promo"/>
      <sheetName val="P&amp;L_(2)"/>
      <sheetName val="34-38_2"/>
      <sheetName val="EJ-16.1 PG Inv Breakup"/>
      <sheetName val="adm "/>
      <sheetName val="notes"/>
      <sheetName val="fin inst"/>
      <sheetName val="RM-imported"/>
      <sheetName val="Brookes-stocks"/>
      <sheetName val="Revenue-Fire-Marine-Motor"/>
      <sheetName val=" Summary"/>
      <sheetName val="P&amp;L"/>
      <sheetName val="Job_Titles"/>
      <sheetName val="MAIN"/>
    </sheetNames>
    <sheetDataSet>
      <sheetData sheetId="0">
        <row r="29">
          <cell r="E29">
            <v>29055726</v>
          </cell>
        </row>
      </sheetData>
      <sheetData sheetId="1">
        <row r="29">
          <cell r="E29">
            <v>29055726</v>
          </cell>
        </row>
      </sheetData>
      <sheetData sheetId="2">
        <row r="29">
          <cell r="E29">
            <v>29055726</v>
          </cell>
        </row>
      </sheetData>
      <sheetData sheetId="3">
        <row r="29">
          <cell r="E29">
            <v>29055726</v>
          </cell>
        </row>
      </sheetData>
      <sheetData sheetId="4">
        <row r="29">
          <cell r="E29">
            <v>29055726</v>
          </cell>
        </row>
      </sheetData>
      <sheetData sheetId="5">
        <row r="29">
          <cell r="E29">
            <v>29055726</v>
          </cell>
        </row>
      </sheetData>
      <sheetData sheetId="6">
        <row r="29">
          <cell r="E29">
            <v>29055726</v>
          </cell>
        </row>
      </sheetData>
      <sheetData sheetId="7">
        <row r="29">
          <cell r="E29">
            <v>29055726</v>
          </cell>
        </row>
      </sheetData>
      <sheetData sheetId="8">
        <row r="29">
          <cell r="E29">
            <v>29055726</v>
          </cell>
        </row>
      </sheetData>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sheetData sheetId="1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ow r="29">
          <cell r="E29">
            <v>29055726</v>
          </cell>
        </row>
      </sheetData>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row r="29">
          <cell r="E29">
            <v>29055726</v>
          </cell>
        </row>
      </sheetData>
      <sheetData sheetId="54">
        <row r="29">
          <cell r="E29">
            <v>29055726</v>
          </cell>
        </row>
      </sheetData>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bubbleDATA"/>
      <sheetName val="KWTDetail"/>
      <sheetName val="INCOME-EXP"/>
      <sheetName val="Actualization_Details"/>
      <sheetName val="EJ-16.1 PG Inv Breakup"/>
      <sheetName val="Stocks-01"/>
      <sheetName val="Cost Centre Compariso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LOCAL STUDENTS"/>
      <sheetName val="Others"/>
      <sheetName val="Stancom 29"/>
      <sheetName val="Code"/>
      <sheetName val="AL9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 val=""/>
      <sheetName val="Disposals"/>
      <sheetName val="Link with Kibor"/>
      <sheetName val="Link with Advances"/>
      <sheetName val="P &amp; L"/>
      <sheetName val="EMOF Portfolio"/>
      <sheetName val="Notes4-8_22"/>
      <sheetName val="last_qrt20012"/>
      <sheetName val="last_qrt20002"/>
      <sheetName val="Data_Validation_List1"/>
      <sheetName val="Min_Tax1"/>
      <sheetName val="Current_Tax1"/>
      <sheetName val="Historical_Losses_(2)1"/>
      <sheetName val="Credit_Review"/>
      <sheetName val="1st_QuarterAccounts"/>
      <sheetName val="CWS1"/>
      <sheetName val="CWSSUM1"/>
      <sheetName val="TKT"/>
      <sheetName val="TKTSUM"/>
      <sheetName val="Sheet2"/>
      <sheetName val="CLV assumptions"/>
      <sheetName val="Custom_LLR"/>
      <sheetName val="LLR"/>
      <sheetName val="DATA"/>
      <sheetName val="CF wrking"/>
      <sheetName val="Grouping"/>
      <sheetName val="(E-1)-Lead Sheet"/>
      <sheetName val="Cash Flow  HOH"/>
      <sheetName val=" Travel Club"/>
      <sheetName val="Child"/>
      <sheetName val="(A-1)-Lead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Tables"/>
      <sheetName val="Rating"/>
      <sheetName val="34-38.2"/>
      <sheetName val="PIB&amp;A_G_ZURICH2"/>
      <sheetName val="Abu_Dhabi"/>
      <sheetName val="5_TO_36"/>
      <sheetName val="Note 9.2.4-9.2.7"/>
      <sheetName val="II- INV CO"/>
      <sheetName val="30-34"/>
      <sheetName val="15-16"/>
      <sheetName val="Sum"/>
      <sheetName val="I-B"/>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SCRR+CRR"/>
      <sheetName val="N-OUR"/>
      <sheetName val="PKRV"/>
      <sheetName val="Updated  Rates"/>
      <sheetName val="Ranges"/>
      <sheetName val="Data-904"/>
      <sheetName val="Bahrain Final"/>
      <sheetName val="Salary2007"/>
      <sheetName val="LS-UAE"/>
      <sheetName val="I_B"/>
      <sheetName val="I_BR"/>
      <sheetName val="RC-0997"/>
      <sheetName val="Deposits"/>
      <sheetName val="LOCAL STUDENTS"/>
      <sheetName val="29-30"/>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V-OTHER ASSETS "/>
      <sheetName val="BS-DOM"/>
      <sheetName val="BS-OVS"/>
      <sheetName val="BSCOMBINED "/>
      <sheetName val="#REF"/>
      <sheetName val="T-BILL"/>
      <sheetName val="I-BR"/>
      <sheetName val="List"/>
      <sheetName val="Sheet1"/>
      <sheetName val="AL905"/>
      <sheetName val="Abu Dhabi"/>
      <sheetName val="1-bwb(cb)"/>
      <sheetName val="INPUT"/>
      <sheetName val="29-30"/>
      <sheetName val="Lookups"/>
      <sheetName val="DD110"/>
      <sheetName val="FEb"/>
      <sheetName val="PARTWISE BREAKUP"/>
      <sheetName val="Sheet4"/>
      <sheetName val="Sheet2"/>
      <sheetName val="Lists"/>
      <sheetName val="Implied Rate"/>
      <sheetName val="A-C CODE &amp; NAME"/>
      <sheetName val="actual (2)"/>
      <sheetName val="I-B"/>
    </sheetNames>
    <sheetDataSet>
      <sheetData sheetId="0">
        <row r="140">
          <cell r="I140">
            <v>-9419269.4538429994</v>
          </cell>
        </row>
      </sheetData>
      <sheetData sheetId="1"/>
      <sheetData sheetId="2">
        <row r="140">
          <cell r="I140">
            <v>-9419269.4538429994</v>
          </cell>
        </row>
        <row r="177">
          <cell r="I177">
            <v>39476829171.10128</v>
          </cell>
        </row>
        <row r="182">
          <cell r="I182">
            <v>74718888.259252995</v>
          </cell>
        </row>
        <row r="193">
          <cell r="I193">
            <v>79956479.800536931</v>
          </cell>
        </row>
        <row r="196">
          <cell r="I196">
            <v>2633790152.157959</v>
          </cell>
        </row>
        <row r="197">
          <cell r="I197">
            <v>6599648252.119422</v>
          </cell>
        </row>
        <row r="198">
          <cell r="I198">
            <v>463566743.09803283</v>
          </cell>
        </row>
        <row r="199">
          <cell r="I199">
            <v>6367721.818</v>
          </cell>
        </row>
        <row r="200">
          <cell r="I200">
            <v>95192233.803413495</v>
          </cell>
        </row>
        <row r="201">
          <cell r="I201">
            <v>51267040.075999998</v>
          </cell>
        </row>
        <row r="207">
          <cell r="I207">
            <v>317107479.20281661</v>
          </cell>
        </row>
        <row r="209">
          <cell r="I209">
            <v>110807297.04154299</v>
          </cell>
        </row>
        <row r="214">
          <cell r="I214">
            <v>21149381.779200003</v>
          </cell>
        </row>
        <row r="215">
          <cell r="I215">
            <v>73022605.164682999</v>
          </cell>
        </row>
        <row r="216">
          <cell r="I216">
            <v>69670823.155003294</v>
          </cell>
        </row>
        <row r="225">
          <cell r="I225">
            <v>194377888288.28598</v>
          </cell>
        </row>
        <row r="227">
          <cell r="I227">
            <v>50072068724.377579</v>
          </cell>
        </row>
        <row r="233">
          <cell r="I233">
            <v>8162134108.7328329</v>
          </cell>
        </row>
        <row r="236">
          <cell r="I236">
            <v>6596108605.3126411</v>
          </cell>
        </row>
        <row r="239">
          <cell r="I239">
            <v>21721232244.269104</v>
          </cell>
        </row>
        <row r="240">
          <cell r="I240">
            <v>65740342829.488098</v>
          </cell>
        </row>
        <row r="241">
          <cell r="I241">
            <v>87461575073.757202</v>
          </cell>
        </row>
        <row r="242">
          <cell r="I242">
            <v>-21721232244.269104</v>
          </cell>
        </row>
        <row r="256">
          <cell r="I256">
            <v>573620076.34338379</v>
          </cell>
        </row>
        <row r="279">
          <cell r="I279">
            <v>609810626.86105835</v>
          </cell>
        </row>
        <row r="281">
          <cell r="I281">
            <v>629352970.96508241</v>
          </cell>
        </row>
        <row r="284">
          <cell r="I284">
            <v>135928861.80949962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tatement of Comp Income "/>
      <sheetName val="Cash Flow"/>
      <sheetName val="Statement of equity"/>
      <sheetName val="Notes 1-3"/>
      <sheetName val="4-4.1.2"/>
      <sheetName val="4.2 to 13"/>
      <sheetName val="13.1 to 15.2"/>
      <sheetName val="16 to 20.2"/>
      <sheetName val="21"/>
      <sheetName val="IFRS 7(1)"/>
      <sheetName val="IFRS-7(2)"/>
      <sheetName val="Cash flow working"/>
      <sheetName val="5 to 14 - Pend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Corporate"/>
      <sheetName val="Middle Market"/>
      <sheetName val="SME"/>
      <sheetName val="Scoping"/>
      <sheetName val="INV"/>
      <sheetName val="Parameters"/>
      <sheetName val="note_4,5"/>
      <sheetName val="Parameter"/>
      <sheetName val="MTPF July 2015"/>
      <sheetName val="GL Breakup"/>
      <sheetName val="GIE Breakup"/>
      <sheetName val="Data"/>
      <sheetName val="AC GL Avg Balances"/>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Lead"/>
      <sheetName val="3_2"/>
      <sheetName val="ACC LIST"/>
    </sheetNames>
    <sheetDataSet>
      <sheetData sheetId="0">
        <row r="604">
          <cell r="Q604">
            <v>261393</v>
          </cell>
        </row>
      </sheetData>
      <sheetData sheetId="1" refreshError="1"/>
      <sheetData sheetId="2">
        <row r="604">
          <cell r="Q604">
            <v>261393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604">
          <cell r="Q604">
            <v>261393</v>
          </cell>
        </row>
      </sheetData>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 val="Sheet4"/>
      <sheetName val="Tables"/>
      <sheetName val="Rating"/>
      <sheetName val="Investments"/>
      <sheetName val="MAY 1240001"/>
      <sheetName val="BS_final2"/>
      <sheetName val="BS_DEC022"/>
      <sheetName val="PL_DEC022"/>
      <sheetName val="notes_DEC022"/>
      <sheetName val="pl_NOTES2"/>
      <sheetName val="MAY_1240001"/>
      <sheetName val="bs&amp;Pl"/>
      <sheetName val="NORMAL"/>
      <sheetName val="A"/>
      <sheetName val="Data"/>
      <sheetName val="admin cross"/>
      <sheetName val="Manu Crss"/>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Data Sheet - Financials"/>
      <sheetName val="Data Sheet - Others"/>
      <sheetName val="Adj"/>
      <sheetName val="Term Deposits"/>
      <sheetName val="admin_cross"/>
      <sheetName val="Manu_Crs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22 - 23.1 (C)"/>
      <sheetName val="PROFIT AND LOSS LEADS"/>
      <sheetName val="Balance Sheet Main"/>
    </sheetNames>
    <sheetDataSet>
      <sheetData sheetId="0"/>
      <sheetData sheetId="1" refreshError="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efreshError="1">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efreshError="1">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efreshError="1">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efreshError="1">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efreshError="1">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efreshError="1">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efreshError="1">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efreshError="1">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efreshError="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efreshError="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efreshError="1">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efreshError="1">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efreshError="1">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efreshError="1">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9">
          <cell r="B49" t="str">
            <v>Working of Net Sales summary</v>
          </cell>
        </row>
        <row r="51">
          <cell r="B51" t="str">
            <v>Per Unit - Net Sales in Rupee</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5">
          <cell r="B75" t="str">
            <v>Total Net Sales in Rupees</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C97">
            <v>778036086.95652175</v>
          </cell>
        </row>
        <row r="98">
          <cell r="C98">
            <v>778036086.95652175</v>
          </cell>
        </row>
        <row r="99">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C100">
            <v>-97533913.043478251</v>
          </cell>
        </row>
        <row r="102">
          <cell r="B102" t="str">
            <v>Per Unit  - Documents cost in Rupees</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4">
          <cell r="B124" t="str">
            <v>Per Unit  - Govt Levies in Rupees</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7">
          <cell r="B147" t="str">
            <v>PER UNIT - CKD &amp; DUTY COST</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8">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sheetData sheetId="58"/>
      <sheetData sheetId="59"/>
      <sheetData sheetId="60"/>
      <sheetData sheetId="61"/>
      <sheetData sheetId="62"/>
      <sheetData sheetId="63"/>
      <sheetData sheetId="64"/>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BS final"/>
      <sheetName val="PL"/>
      <sheetName val="Sheet1"/>
      <sheetName val="Dep"/>
      <sheetName val="28"/>
      <sheetName val="BS DEC02"/>
      <sheetName val="PL DEC02"/>
      <sheetName val="notes DEC02"/>
      <sheetName val="pl NOTES"/>
      <sheetName val="Sheet4"/>
      <sheetName val="Investments"/>
      <sheetName val="MAY 1240001"/>
      <sheetName val="Tables"/>
      <sheetName val="Rating"/>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Note 13.1 &amp; 13.2"/>
      <sheetName val="Disclosure"/>
      <sheetName val="statacc"/>
      <sheetName val="BS_final3"/>
      <sheetName val="BS_DEC023"/>
      <sheetName val="PL_DEC023"/>
      <sheetName val="notes_DEC023"/>
      <sheetName val="pl_NOTES3"/>
      <sheetName val="MAY_12400011"/>
      <sheetName val="Consolidated"/>
      <sheetName val="DATA"/>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Scoping"/>
      <sheetName val="Sheet3"/>
      <sheetName val="Furniture"/>
      <sheetName val="Sheet2"/>
      <sheetName val="A"/>
      <sheetName val="NORMAL"/>
      <sheetName val="bs&amp;Pl"/>
      <sheetName val="admin cross"/>
      <sheetName val="Manu Crss"/>
      <sheetName val="Requirements"/>
      <sheetName val="Storage"/>
      <sheetName val="Financial"/>
      <sheetName val="working"/>
      <sheetName val="Deposit"/>
      <sheetName val="BS"/>
      <sheetName val="BS_final4"/>
      <sheetName val="BS_DEC024"/>
      <sheetName val="PL_DEC024"/>
      <sheetName val="notes_DEC024"/>
      <sheetName val="pl_NOTES4"/>
      <sheetName val="MAY_12400012"/>
      <sheetName val="JSCL_TB"/>
      <sheetName val="Note_13_1_&amp;_13_2"/>
      <sheetName val="dep on disposals"/>
      <sheetName val="Links"/>
      <sheetName val="plan. analytical"/>
      <sheetName val="lp"/>
      <sheetName val="Code"/>
      <sheetName val="DS_details"/>
      <sheetName val="Actual"/>
      <sheetName val="Budget"/>
      <sheetName val="List"/>
      <sheetName val="PrevYear"/>
      <sheetName val="Middle_Market"/>
      <sheetName val="Data Sheet - Financials"/>
      <sheetName val="Data Sheet - Others"/>
      <sheetName val="Adj"/>
      <sheetName val="Elim"/>
      <sheetName val="BS2"/>
      <sheetName val="BS1"/>
      <sheetName val="Abu Dhabi"/>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cct"/>
      <sheetName val="A"/>
      <sheetName val="Adj"/>
      <sheetName val="Elim"/>
      <sheetName val="Balance_Sheet2"/>
      <sheetName val="BSCOMBINED_2"/>
      <sheetName val="Note_1-7-A2"/>
      <sheetName val="Balance_Sheet-A2"/>
      <sheetName val="Cash_flow-A2"/>
      <sheetName val="Changes_in_equity-A2"/>
      <sheetName val="Note_1-72"/>
      <sheetName val="Note_8-112"/>
      <sheetName val="Note_8-11-A2"/>
      <sheetName val="Note_12-152"/>
      <sheetName val="Note_12-15-A2"/>
      <sheetName val="Note16-20_(2)2"/>
      <sheetName val="Note_21_-_232"/>
      <sheetName val="Note_10-10_12"/>
      <sheetName val="Note_10_2-10_72"/>
      <sheetName val="Note_11_-_12_12"/>
      <sheetName val="Note_16_2-182"/>
      <sheetName val="Note_22-232"/>
      <sheetName val="Note_28_1-302"/>
      <sheetName val="Note_37-382"/>
      <sheetName val="Note_24-A2"/>
      <sheetName val="Note_242"/>
      <sheetName val="Note_252"/>
      <sheetName val="Note_25-A2"/>
      <sheetName val="Note_26_2"/>
      <sheetName val="Note_26-A2"/>
      <sheetName val="Note_272"/>
      <sheetName val="Note_282"/>
      <sheetName val="Note_28-A2"/>
      <sheetName val="Note_29-302"/>
      <sheetName val="Note_42_2-442"/>
      <sheetName val="December_06"/>
      <sheetName val="November_06"/>
      <sheetName val="Implied_Rate"/>
      <sheetName val="O_Profit(aferalloc)"/>
      <sheetName val="A-C_CODE_&amp;_NAME"/>
      <sheetName val="RATES"/>
      <sheetName val="BK"/>
      <sheetName val="BR"/>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Sales Analysis"/>
      <sheetName val="Monthly Brandwise Comparison"/>
      <sheetName val="Six Months Brandwise Comparison"/>
      <sheetName val="Sales Analysis Depot Wise"/>
      <sheetName val="Analytical Jul to Dec 2007"/>
      <sheetName val="PBC - Tobacco Sale Local"/>
      <sheetName val="Scoping"/>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BSDOMOV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Bristol Myers Squibb Pakistan</v>
          </cell>
        </row>
      </sheetData>
      <sheetData sheetId="20">
        <row r="1">
          <cell r="B1" t="str">
            <v>Bristol Myers Squibb Pakistan</v>
          </cell>
        </row>
      </sheetData>
      <sheetData sheetId="21">
        <row r="1">
          <cell r="B1" t="str">
            <v>Bristol Myers Squibb Pakistan</v>
          </cell>
        </row>
      </sheetData>
      <sheetData sheetId="22">
        <row r="1">
          <cell r="B1" t="str">
            <v>Bristol Myers Squibb Pakistan</v>
          </cell>
        </row>
      </sheetData>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sheetData sheetId="31">
        <row r="1">
          <cell r="B1" t="str">
            <v>Bristol Myers Squibb Pakistan</v>
          </cell>
        </row>
      </sheetData>
      <sheetData sheetId="32"/>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distribution"/>
      <sheetName val="UHF"/>
      <sheetName val="cash flow"/>
      <sheetName val="CFW"/>
      <sheetName val="Note 1-7.1"/>
      <sheetName val=" note 7.1.1"/>
      <sheetName val=" note 7.2-7.2.1"/>
      <sheetName val="note 7.2.2 -10"/>
      <sheetName val="Related parties 10"/>
      <sheetName val="note 11-12"/>
      <sheetName val="Brea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A"/>
      <sheetName val="Balance_Sheet"/>
      <sheetName val="FG"/>
      <sheetName val="NORMAL"/>
      <sheetName val="Repay IFC A"/>
      <sheetName val="Balance_Sheet1"/>
      <sheetName val="ProfitProv"/>
      <sheetName val="DEAL REGISTER"/>
      <sheetName val="Overview"/>
      <sheetName val="GMS.1"/>
      <sheetName val="Calculation sheet"/>
      <sheetName val="BS-OVS"/>
      <sheetName val="Repay_IFC_A"/>
      <sheetName val="1-bwb(cb)"/>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 val="Overview"/>
      <sheetName val="Drop Down"/>
      <sheetName val="LOCAL STUDENTS"/>
      <sheetName val="BS-OVS"/>
      <sheetName val="CDB-Deposits"/>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Note 4-5"/>
      <sheetName val="adm "/>
      <sheetName val="F&amp;F"/>
      <sheetName val="98aug-M2"/>
      <sheetName val="Revenue-Fire-Marine-Motor"/>
      <sheetName val="Toyota PL ckd"/>
      <sheetName val="TOTAL P&amp;L"/>
      <sheetName val="Input"/>
      <sheetName val="Invetory level"/>
      <sheetName val="Acquirer"/>
      <sheetName val="Combined"/>
      <sheetName val="Target"/>
      <sheetName val="Parts list"/>
      <sheetName val="NORMAL"/>
      <sheetName val="Main 01-02"/>
      <sheetName val="GP_Analysis"/>
      <sheetName val="TAX COM"/>
      <sheetName val="Grouping of adv products"/>
      <sheetName val="Region"/>
      <sheetName val="Notes 1"/>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Investments"/>
      <sheetName val="acct"/>
      <sheetName val="Lead"/>
      <sheetName val="Links"/>
      <sheetName val="IGI-Insurance(InvestmentNot)"/>
      <sheetName val="A"/>
      <sheetName val="NORMAL"/>
      <sheetName val="Credit Risk _CR2_"/>
      <sheetName val="AT&amp;T"/>
      <sheetName val="AT&amp;T Canada"/>
      <sheetName val="Bell Nexxia"/>
      <sheetName val="Global Crossing revised"/>
      <sheetName val="Sprint"/>
      <sheetName val="P&amp;L-P&amp;LApp_1"/>
      <sheetName val="Cash_Flow1"/>
      <sheetName val="Notes_1to71"/>
      <sheetName val="Note_8-101"/>
      <sheetName val="Note_11&amp;11_11"/>
      <sheetName val="Notes_12-151"/>
      <sheetName val="Note_161"/>
      <sheetName val="Note_17-191"/>
      <sheetName val="Classified_Summary_of_Assets1"/>
      <sheetName val="Credit_Risk__CR2_"/>
      <sheetName val="Accts"/>
      <sheetName val="ATTACH1B"/>
      <sheetName val="ATTACH1C"/>
      <sheetName val="note"/>
      <sheetName val="18"/>
      <sheetName val="Aircraft  Fuel"/>
      <sheetName val="Overview"/>
      <sheetName val="Design"/>
      <sheetName val="TOE 2"/>
      <sheetName val="BSDOMOVS"/>
      <sheetName val="Inputs"/>
      <sheetName val="BS"/>
      <sheetName val="PL"/>
      <sheetName val="RiskSim Summary 1"/>
      <sheetName val="SON"/>
      <sheetName val="DEC-05"/>
      <sheetName val="QTY"/>
      <sheetName val="ANA1"/>
      <sheetName val="CALL-L"/>
      <sheetName val="REV-SH "/>
      <sheetName val="Sheet4"/>
      <sheetName val="Op lease adj"/>
      <sheetName val="B.S AND P &amp; L"/>
      <sheetName val="others"/>
      <sheetName val="td"/>
      <sheetName val="cd "/>
      <sheetName val="adp_or"/>
      <sheetName val="c_b"/>
      <sheetName val="rc"/>
      <sheetName val="f_f"/>
      <sheetName val="tax"/>
      <sheetName val="Drop Down"/>
      <sheetName val="08"/>
      <sheetName val="program ve ödeme tablosu "/>
      <sheetName val="DEC-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NORMAL"/>
      <sheetName val="Accts"/>
      <sheetName val="P&amp;L-P&amp;LApp_"/>
      <sheetName val="Cash_Flow"/>
      <sheetName val="Notes_1to7"/>
      <sheetName val="Note_8-10"/>
      <sheetName val="Note_11&amp;11_1"/>
      <sheetName val="Notes_12-15"/>
      <sheetName val="Note_16"/>
      <sheetName val="Note_17-19"/>
      <sheetName val="Classified_Summary_of_Assets"/>
      <sheetName val="ATTACH1B"/>
      <sheetName val="ATTACH1C"/>
      <sheetName val="others"/>
      <sheetName val="td"/>
      <sheetName val="cd "/>
      <sheetName val="adp_or"/>
      <sheetName val="c_b"/>
      <sheetName val="rc"/>
      <sheetName val="f_f"/>
      <sheetName val="tax"/>
      <sheetName val="P&amp;L-P&amp;LApp_1"/>
      <sheetName val="Cash_Flow1"/>
      <sheetName val="Notes_1to71"/>
      <sheetName val="Note_8-101"/>
      <sheetName val="Note_11&amp;11_11"/>
      <sheetName val="Notes_12-151"/>
      <sheetName val="Note_161"/>
      <sheetName val="Note_17-191"/>
      <sheetName val="Classified_Summary_of_Assets1"/>
      <sheetName val="note"/>
      <sheetName val="IGI-Insurance(InvestmentNot)"/>
      <sheetName val="18"/>
      <sheetName val="Investments"/>
      <sheetName val="acct"/>
      <sheetName val="Lead"/>
      <sheetName val="Links"/>
      <sheetName val="Assumptions"/>
      <sheetName val="A"/>
      <sheetName val="budget"/>
      <sheetName val="QTY"/>
      <sheetName val="Sheet4"/>
      <sheetName val="PIB-IPS"/>
      <sheetName val="ANA1"/>
      <sheetName val="CALL-L"/>
      <sheetName val="REV-SH "/>
      <sheetName val="Op lease adj"/>
      <sheetName val="B.S AND P &amp; L"/>
      <sheetName val="Overview"/>
      <sheetName val="Drop Down"/>
      <sheetName val="BS"/>
      <sheetName val="FF"/>
      <sheetName val="5 TO 36"/>
      <sheetName val="Sum_Order_Wise_FY-08~09"/>
      <sheetName val="Balance Sheet"/>
      <sheetName val="AT&amp;T"/>
      <sheetName val="AT&amp;T Canada"/>
      <sheetName val="Bell Nexxia"/>
      <sheetName val="Global Crossing revised"/>
      <sheetName val="Sprint"/>
      <sheetName val="Credit Risk _CR2_"/>
      <sheetName val="FEb"/>
      <sheetName val="08"/>
      <sheetName val="P&amp;L-P&amp;LApp_2"/>
      <sheetName val="Cash_Flow2"/>
      <sheetName val="Notes_1to72"/>
      <sheetName val="Note_8-102"/>
      <sheetName val="Note_11&amp;11_12"/>
      <sheetName val="Notes_12-152"/>
      <sheetName val="Note_162"/>
      <sheetName val="Note_17-192"/>
      <sheetName val="Classified_Summary_of_Assets2"/>
      <sheetName val="SON"/>
      <sheetName val="Order wise"/>
      <sheetName val="Cut Wise"/>
      <sheetName val="Nov-17 Co's (5)"/>
      <sheetName val="PL Wkg"/>
      <sheetName val="Notes-07"/>
      <sheetName val="Notes-04"/>
      <sheetName val="Notes-05"/>
      <sheetName val="Notes-06"/>
      <sheetName val="Notes-08"/>
      <sheetName val="Notes-03"/>
      <sheetName val="sec.6_STD"/>
      <sheetName val="sec.6_LOCAL"/>
      <sheetName val="Credit_Risk__CR2_"/>
      <sheetName val="Aircraft  Fuel"/>
      <sheetName val="Design"/>
      <sheetName val="TOE 2"/>
      <sheetName val="BS-JPN"/>
      <sheetName val="cons"/>
      <sheetName val="Aylık"/>
      <sheetName val="data"/>
      <sheetName val="AL905"/>
      <sheetName val="REV-SH_"/>
      <sheetName val="P&amp;L-P&amp;LApp_3"/>
      <sheetName val="Cash_Flow3"/>
      <sheetName val="Notes_1to73"/>
      <sheetName val="Note_8-103"/>
      <sheetName val="Note_11&amp;11_13"/>
      <sheetName val="Notes_12-153"/>
      <sheetName val="Note_163"/>
      <sheetName val="Note_17-193"/>
      <sheetName val="Classified_Summary_of_Assets3"/>
      <sheetName val="Op_lease_adj"/>
      <sheetName val="B_S_AND_P_&amp;_L"/>
      <sheetName val="cd_"/>
      <sheetName val="Drop_Down"/>
      <sheetName val="AT&amp;T_Canada"/>
      <sheetName val="Bell_Nexxia"/>
      <sheetName val="Global_Crossing_revised"/>
      <sheetName val="RETAIL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A"/>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Data"/>
      <sheetName val="US$"/>
      <sheetName val="Fin Stats"/>
      <sheetName val="Cash Flow"/>
      <sheetName val="Altman Z"/>
      <sheetName val="Summary"/>
      <sheetName val="Data"/>
    </sheetNames>
    <sheetDataSet>
      <sheetData sheetId="0"/>
      <sheetData sheetId="1"/>
      <sheetData sheetId="2">
        <row r="29">
          <cell r="A29">
            <v>0</v>
          </cell>
        </row>
      </sheetData>
      <sheetData sheetId="3"/>
      <sheetData sheetId="4"/>
      <sheetData sheetId="5"/>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10-C Bonus"/>
      <sheetName val="Fotco handling"/>
      <sheetName val="Liability of unbilled expenses"/>
      <sheetName val="warehourse surcharge GR-IR"/>
      <sheetName val="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Note-14"/>
      <sheetName val="Revenue-Fire-Marine-Motor"/>
    </sheetNames>
    <sheetDataSet>
      <sheetData sheetId="0" refreshError="1"/>
      <sheetData sheetId="1" refreshError="1"/>
      <sheetData sheetId="2" refreshError="1">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efreshError="1">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 val="woRKING"/>
      <sheetName val="LOCAL STUDENTS"/>
      <sheetName val="29-30"/>
    </sheetNames>
    <sheetDataSet>
      <sheetData sheetId="0"/>
      <sheetData sheetId="1"/>
      <sheetData sheetId="2"/>
      <sheetData sheetId="3"/>
      <sheetData sheetId="4" refreshError="1">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 val="December 06"/>
      <sheetName val="November 06"/>
      <sheetName val="I-B"/>
      <sheetName val="I-BR"/>
      <sheetName val="34-38.2"/>
    </sheetNames>
    <sheetDataSet>
      <sheetData sheetId="0"/>
      <sheetData sheetId="1"/>
      <sheetData sheetId="2" refreshError="1">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efreshError="1">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efreshError="1">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NORMAL"/>
      <sheetName val="BASIC DATA"/>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ImpPurJournal"/>
      <sheetName val="EXPL-PROD_IEOC"/>
      <sheetName val="EXPL-EXP_IEOC"/>
      <sheetName val="Notes 3 to27"/>
      <sheetName val="BS"/>
      <sheetName val="Recipe"/>
      <sheetName val="Active Washes"/>
      <sheetName val="Requirements"/>
      <sheetName val="CPMLETE TB - original"/>
      <sheetName val="BS FOR PRINT"/>
      <sheetName val="Main 01-02"/>
      <sheetName val="pnsc"/>
      <sheetName val="pur&amp;sal"/>
      <sheetName val="recn"/>
      <sheetName val="PRICE-COMP"/>
      <sheetName val="TOTAL P&amp;L"/>
      <sheetName val="Input"/>
      <sheetName val="Invetory level"/>
      <sheetName val="Fin Stats"/>
      <sheetName val="Sheet3"/>
      <sheetName val="Sheet2"/>
      <sheetName val="BASIC_DATA"/>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v>0</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v>0</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v>0</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_old_"/>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Month End Foreign Currency"/>
      <sheetName val="Revenue-Fire-Marine-Motor"/>
    </sheetNames>
    <sheetDataSet>
      <sheetData sheetId="0" refreshError="1"/>
      <sheetData sheetId="1" refreshError="1"/>
      <sheetData sheetId="2">
        <row r="8">
          <cell r="E8" t="str">
            <v>Practice US C Corporation</v>
          </cell>
        </row>
        <row r="14">
          <cell r="F14">
            <v>5000</v>
          </cell>
        </row>
        <row r="16">
          <cell r="F16">
            <v>0</v>
          </cell>
        </row>
        <row r="17">
          <cell r="F17">
            <v>0</v>
          </cell>
        </row>
        <row r="18">
          <cell r="F18">
            <v>0</v>
          </cell>
        </row>
        <row r="20">
          <cell r="F20">
            <v>5000</v>
          </cell>
        </row>
        <row r="22">
          <cell r="F22">
            <v>5000</v>
          </cell>
        </row>
        <row r="24">
          <cell r="F24">
            <v>0</v>
          </cell>
        </row>
        <row r="27">
          <cell r="F27">
            <v>0</v>
          </cell>
        </row>
        <row r="28">
          <cell r="F28">
            <v>0</v>
          </cell>
        </row>
        <row r="34">
          <cell r="F34">
            <v>0</v>
          </cell>
        </row>
        <row r="43">
          <cell r="F43">
            <v>0</v>
          </cell>
        </row>
        <row r="45">
          <cell r="F45">
            <v>0</v>
          </cell>
        </row>
        <row r="48">
          <cell r="F48">
            <v>37256</v>
          </cell>
        </row>
        <row r="51">
          <cell r="F51">
            <v>365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UH"/>
      <sheetName val="AKU"/>
      <sheetName val="SON"/>
    </sheetNames>
    <sheetDataSet>
      <sheetData sheetId="0">
        <row r="1">
          <cell r="B1" t="str">
            <v>The Aga Khan Hospital and Medical College Foundation</v>
          </cell>
        </row>
        <row r="2">
          <cell r="B2" t="str">
            <v>Finance Division - General Accounting</v>
          </cell>
        </row>
        <row r="3">
          <cell r="B3" t="str">
            <v>Reconciliation / Schedule as of December 31, 2003{Month 13}</v>
          </cell>
        </row>
        <row r="5">
          <cell r="B5" t="str">
            <v>400042*D0000 :Travel Advance</v>
          </cell>
          <cell r="K5" t="str">
            <v xml:space="preserve">Amount in Pak. Rs. </v>
          </cell>
        </row>
        <row r="6">
          <cell r="B6" t="str">
            <v>Particulars</v>
          </cell>
          <cell r="C6" t="str">
            <v>Voucher Ref. #</v>
          </cell>
          <cell r="D6" t="str">
            <v>Voucher Txn. #</v>
          </cell>
          <cell r="E6" t="str">
            <v>Date</v>
          </cell>
          <cell r="F6" t="str">
            <v>Opening Balance</v>
          </cell>
          <cell r="G6" t="str">
            <v>Debit</v>
          </cell>
          <cell r="H6" t="str">
            <v>Credit</v>
          </cell>
          <cell r="I6" t="str">
            <v>Closing Balance</v>
          </cell>
          <cell r="J6" t="str">
            <v>Description</v>
          </cell>
          <cell r="K6" t="str">
            <v>Remarks (if any)</v>
          </cell>
        </row>
        <row r="9">
          <cell r="B9" t="str">
            <v>SIKANDAR LADHANI</v>
          </cell>
          <cell r="C9" t="str">
            <v>LCP427974</v>
          </cell>
          <cell r="D9">
            <v>227206</v>
          </cell>
          <cell r="E9">
            <v>37974</v>
          </cell>
          <cell r="G9">
            <v>6000</v>
          </cell>
          <cell r="I9">
            <v>6000</v>
          </cell>
          <cell r="J9" t="str">
            <v>For Outside Visit</v>
          </cell>
        </row>
        <row r="10">
          <cell r="C10" t="str">
            <v>ADJ404834</v>
          </cell>
          <cell r="D10">
            <v>25523</v>
          </cell>
          <cell r="E10">
            <v>37987</v>
          </cell>
          <cell r="H10">
            <v>4770</v>
          </cell>
          <cell r="I10">
            <v>-4770</v>
          </cell>
          <cell r="J10" t="str">
            <v>Adj a/g trvel adv for Outside Visit</v>
          </cell>
        </row>
        <row r="11">
          <cell r="F11">
            <v>0</v>
          </cell>
          <cell r="G11">
            <v>6000</v>
          </cell>
          <cell r="H11">
            <v>4770</v>
          </cell>
          <cell r="I11">
            <v>1230</v>
          </cell>
        </row>
        <row r="13">
          <cell r="B13" t="str">
            <v>RAEES AHMED</v>
          </cell>
          <cell r="C13" t="str">
            <v>LCP429039</v>
          </cell>
          <cell r="D13">
            <v>228045</v>
          </cell>
          <cell r="E13">
            <v>37986</v>
          </cell>
          <cell r="G13">
            <v>4000</v>
          </cell>
          <cell r="I13">
            <v>4000</v>
          </cell>
          <cell r="J13" t="str">
            <v>Adv for Visit to Quetta</v>
          </cell>
        </row>
        <row r="14">
          <cell r="F14">
            <v>0</v>
          </cell>
          <cell r="G14">
            <v>4000</v>
          </cell>
          <cell r="H14">
            <v>0</v>
          </cell>
          <cell r="I14">
            <v>4000</v>
          </cell>
        </row>
        <row r="17">
          <cell r="E17" t="str">
            <v>TOTAL</v>
          </cell>
          <cell r="F17">
            <v>0</v>
          </cell>
          <cell r="G17">
            <v>10000</v>
          </cell>
          <cell r="H17">
            <v>4770</v>
          </cell>
          <cell r="I17">
            <v>5230</v>
          </cell>
        </row>
      </sheetData>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T"/>
      <sheetName val="CFC"/>
      <sheetName val="BSC"/>
      <sheetName val="PLC"/>
      <sheetName val="TRAN"/>
      <sheetName val="Revenue-Fire-Marine-Motor"/>
      <sheetName val="BS-JPN"/>
      <sheetName val="Assumptions"/>
      <sheetName val="1-bwb(cb)"/>
      <sheetName val="JFOLD"/>
      <sheetName val="Codes"/>
      <sheetName val="ISD Working"/>
      <sheetName val="Parameters"/>
      <sheetName val="Currency"/>
      <sheetName val="GMS.9"/>
      <sheetName val="GMS.1"/>
      <sheetName val="CWIP-BUILDING"/>
      <sheetName val="2009 Party wise"/>
      <sheetName val="U-1.2.1 Sales data Month wise"/>
      <sheetName val="Data"/>
      <sheetName val="BSDOMOVS"/>
      <sheetName val="Travelling"/>
      <sheetName val="P&amp;L Commentary"/>
      <sheetName val="Notes1-5(old)"/>
      <sheetName val="TRIL9900"/>
      <sheetName val="INV"/>
      <sheetName val="AKUH"/>
      <sheetName val="GMS_9"/>
      <sheetName val="GMS_1"/>
      <sheetName val="ISD_Working"/>
      <sheetName val="Sub HMC"/>
      <sheetName val="Rentals-SAM KHI"/>
      <sheetName val="Source"/>
      <sheetName val="RETAIL LEASE"/>
      <sheetName val="Income Statement"/>
      <sheetName val="Balance Sheet"/>
      <sheetName val="Sheet1"/>
      <sheetName val="CP STATytd"/>
      <sheetName val="ISD_Working1"/>
      <sheetName val="GMS_91"/>
      <sheetName val="GMS_11"/>
      <sheetName val="2009_Party_wise"/>
      <sheetName val="U-1_2_1_Sales_data_Month_wise"/>
      <sheetName val="P&amp;L_Commentary"/>
      <sheetName val="Plan"/>
      <sheetName val="Sub_HMC"/>
      <sheetName val="A"/>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INPUT"/>
      <sheetName val="BSDOMOV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Drop Down"/>
      <sheetName val="Cover sheet"/>
      <sheetName val="Consolidated"/>
      <sheetName val="Data Submission"/>
      <sheetName val="Lookup Tables"/>
      <sheetName val="Current Tax"/>
      <sheetName val="Sub HMC"/>
      <sheetName val="TRIL9900"/>
      <sheetName val="T-ADD98"/>
      <sheetName val="books"/>
      <sheetName val="Drop_Down"/>
      <sheetName val="Cover_sheet"/>
      <sheetName val="Current_Tax"/>
      <sheetName val="SON"/>
      <sheetName val="AKUH"/>
      <sheetName val="td"/>
      <sheetName val="cd "/>
      <sheetName val="adp_or"/>
      <sheetName val="c_b"/>
      <sheetName val="rc"/>
      <sheetName val="f_f"/>
      <sheetName val="tax"/>
      <sheetName val="others"/>
      <sheetName val="SH___Match_Manually"/>
      <sheetName val="SH___Prior_Month_Data"/>
      <sheetName val="SAP___Unmatched_Data"/>
      <sheetName val="SAP___Current_Month_Data"/>
      <sheetName val="B-S(p)"/>
      <sheetName val="Acct"/>
      <sheetName val="16"/>
      <sheetName val="CHALLAN"/>
      <sheetName val="Projections"/>
      <sheetName val="Sub_HMC"/>
      <sheetName val="Data_Submission"/>
      <sheetName val="Lookup_Tables"/>
      <sheetName val="Sub_HMC1"/>
      <sheetName val="Data_Submission1"/>
      <sheetName val="Lookup_Tables1"/>
      <sheetName val="Current_Tax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Drop_Down1"/>
      <sheetName val="Cover_sheet1"/>
      <sheetName val="Currency"/>
      <sheetName val="DropDown"/>
      <sheetName val="Non-Statistical Sampling"/>
      <sheetName val="PVG15K(Non-Red)"/>
      <sheetName val="Main"/>
      <sheetName val="B.S AND P &amp; L"/>
      <sheetName val="Raw Combined Trial"/>
      <sheetName val="TDS"/>
      <sheetName val="Balance Sheet"/>
      <sheetName val="Income Statement"/>
      <sheetName val="Data Entry"/>
      <sheetName val="Data Chart"/>
      <sheetName val="Asset Chart"/>
      <sheetName val="Income Chart"/>
      <sheetName val="Cash Flow Statement"/>
      <sheetName val="Input"/>
      <sheetName val="HideSheet"/>
      <sheetName val="Sub_HMC14"/>
      <sheetName val="Data_Submission14"/>
      <sheetName val="Lookup_Tables14"/>
      <sheetName val="Current_Tax14"/>
      <sheetName val="Drop_Down3"/>
      <sheetName val="Cover_sheet3"/>
      <sheetName val="bs&amp;Pl"/>
      <sheetName val="NORMAL"/>
      <sheetName val="Note3-24"/>
      <sheetName val="Parameters"/>
      <sheetName val="Cutt"/>
      <sheetName val="Dec"/>
      <sheetName val="Total"/>
      <sheetName val="11"/>
    </sheetNames>
    <sheetDataSet>
      <sheetData sheetId="0" refreshError="1">
        <row r="5">
          <cell r="BH5" t="str">
            <v>Segment-wise summary of additions for the month</v>
          </cell>
        </row>
        <row r="6">
          <cell r="I6" t="str">
            <v>TECH-OPS</v>
          </cell>
          <cell r="Z6" t="str">
            <v>MARKET</v>
          </cell>
          <cell r="BH6" t="str">
            <v>TOTAL</v>
          </cell>
        </row>
        <row r="7">
          <cell r="B7" t="str">
            <v>S. #</v>
          </cell>
          <cell r="C7" t="str">
            <v>CAR #</v>
          </cell>
          <cell r="D7" t="str">
            <v>PARTICULARS</v>
          </cell>
          <cell r="E7" t="str">
            <v>RUPEES</v>
          </cell>
          <cell r="F7" t="str">
            <v>CATEGORY</v>
          </cell>
          <cell r="G7" t="str">
            <v>SEGMENT</v>
          </cell>
          <cell r="I7" t="str">
            <v>LI</v>
          </cell>
          <cell r="K7" t="str">
            <v>Bld.</v>
          </cell>
          <cell r="M7" t="str">
            <v>BE</v>
          </cell>
          <cell r="O7" t="str">
            <v>P&amp;M</v>
          </cell>
          <cell r="Q7" t="str">
            <v>F&amp;F</v>
          </cell>
          <cell r="S7" t="str">
            <v>OM&amp;E</v>
          </cell>
          <cell r="U7" t="str">
            <v>CE</v>
          </cell>
          <cell r="W7" t="str">
            <v>CWIP</v>
          </cell>
          <cell r="Z7" t="str">
            <v>LI</v>
          </cell>
          <cell r="AB7" t="str">
            <v>Bld.</v>
          </cell>
          <cell r="AD7" t="str">
            <v>BE</v>
          </cell>
          <cell r="AF7" t="str">
            <v>P&amp;M</v>
          </cell>
          <cell r="AH7" t="str">
            <v>F&amp;F</v>
          </cell>
          <cell r="AJ7" t="str">
            <v>OM&amp;E</v>
          </cell>
          <cell r="AL7" t="str">
            <v>CE</v>
          </cell>
          <cell r="AN7" t="str">
            <v>CWIP</v>
          </cell>
          <cell r="BH7" t="str">
            <v>Tech-ops</v>
          </cell>
          <cell r="BJ7" t="str">
            <v>Market</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Augbkp98"/>
      <sheetName val="Note3-24"/>
      <sheetName val="Note-14"/>
      <sheetName val="FE - Summary - STD"/>
      <sheetName val="AL905"/>
      <sheetName val="BS-OVS"/>
      <sheetName val="IE-DEC-06-D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Segment"/>
      <sheetName val="last qrt2001"/>
      <sheetName val="last_qrt2001"/>
      <sheetName val="Final"/>
      <sheetName val="MODEL"/>
      <sheetName val="handout_data"/>
      <sheetName val="Data"/>
      <sheetName val="Control"/>
      <sheetName val="Frontpage"/>
      <sheetName val="Stock"/>
      <sheetName val="Revenue-Fire-Marine-Motor"/>
      <sheetName val="OUTSTANDING_FX-SWAP2"/>
      <sheetName val="A-C_CODE_&amp;_NAME2"/>
      <sheetName val="actual_(2)2"/>
      <sheetName val="B2_STMT2"/>
      <sheetName val="Abu_Dhabi2"/>
      <sheetName val="Implied_Rate2"/>
      <sheetName val="B2_STMT_-_F2"/>
      <sheetName val="Product_&amp;_TL_list1"/>
      <sheetName val="TL_List1"/>
      <sheetName val="II-_INV_CO1"/>
      <sheetName val="Sheet2"/>
      <sheetName val="Sheet1"/>
    </sheetNames>
    <sheetDataSet>
      <sheetData sheetId="0" refreshError="1">
        <row r="8">
          <cell r="O8" t="str">
            <v>||\027\033\068</v>
          </cell>
        </row>
        <row r="16">
          <cell r="L16">
            <v>2300000</v>
          </cell>
          <cell r="Q16" t="e">
            <v>#REF!</v>
          </cell>
          <cell r="Y16">
            <v>0</v>
          </cell>
        </row>
        <row r="17">
          <cell r="L17">
            <v>33660.413</v>
          </cell>
          <cell r="Q17" t="e">
            <v>#REF!</v>
          </cell>
          <cell r="Y17">
            <v>106941.372</v>
          </cell>
        </row>
        <row r="18">
          <cell r="L18">
            <v>0</v>
          </cell>
          <cell r="Q18" t="e">
            <v>#REF!</v>
          </cell>
          <cell r="Y18">
            <v>0</v>
          </cell>
        </row>
        <row r="19">
          <cell r="L19">
            <v>0</v>
          </cell>
          <cell r="Q19" t="e">
            <v>#REF!</v>
          </cell>
          <cell r="Y19">
            <v>1895000</v>
          </cell>
        </row>
        <row r="20">
          <cell r="L20">
            <v>0</v>
          </cell>
          <cell r="Q20" t="e">
            <v>#REF!</v>
          </cell>
          <cell r="Y20">
            <v>0</v>
          </cell>
        </row>
        <row r="21">
          <cell r="L21">
            <v>2817064.3510000003</v>
          </cell>
          <cell r="Q21" t="e">
            <v>#REF!</v>
          </cell>
          <cell r="Y21">
            <v>15963.751</v>
          </cell>
        </row>
        <row r="22">
          <cell r="L22">
            <v>0</v>
          </cell>
          <cell r="Q22" t="e">
            <v>#REF!</v>
          </cell>
          <cell r="Y22">
            <v>0</v>
          </cell>
        </row>
        <row r="23">
          <cell r="L23">
            <v>0</v>
          </cell>
          <cell r="Q23" t="e">
            <v>#REF!</v>
          </cell>
          <cell r="Y23">
            <v>11375.326999999999</v>
          </cell>
        </row>
        <row r="24">
          <cell r="L24">
            <v>0</v>
          </cell>
          <cell r="Q24" t="e">
            <v>#REF!</v>
          </cell>
          <cell r="Y24">
            <v>0</v>
          </cell>
        </row>
        <row r="25">
          <cell r="L25">
            <v>0</v>
          </cell>
          <cell r="Q25" t="e">
            <v>#REF!</v>
          </cell>
          <cell r="Y25">
            <v>0</v>
          </cell>
        </row>
        <row r="26">
          <cell r="L26">
            <v>0</v>
          </cell>
          <cell r="Q26" t="e">
            <v>#REF!</v>
          </cell>
          <cell r="Y26">
            <v>-153169.35200000001</v>
          </cell>
        </row>
        <row r="27">
          <cell r="L27">
            <v>0</v>
          </cell>
          <cell r="Q27" t="e">
            <v>#REF!</v>
          </cell>
          <cell r="Y27">
            <v>13001885.411</v>
          </cell>
        </row>
        <row r="28">
          <cell r="L28">
            <v>0</v>
          </cell>
          <cell r="Q28" t="e">
            <v>#REF!</v>
          </cell>
          <cell r="Y28">
            <v>0</v>
          </cell>
        </row>
        <row r="29">
          <cell r="L29">
            <v>0</v>
          </cell>
          <cell r="Q29" t="e">
            <v>#REF!</v>
          </cell>
          <cell r="Y29">
            <v>2940600</v>
          </cell>
        </row>
        <row r="30">
          <cell r="L30">
            <v>1720250.2149999999</v>
          </cell>
          <cell r="Q30" t="e">
            <v>#REF!</v>
          </cell>
          <cell r="Y30">
            <v>0</v>
          </cell>
        </row>
        <row r="31">
          <cell r="L31">
            <v>52433.093999999997</v>
          </cell>
          <cell r="Q31" t="e">
            <v>#REF!</v>
          </cell>
          <cell r="Y31">
            <v>0</v>
          </cell>
        </row>
        <row r="32">
          <cell r="L32">
            <v>219566.79</v>
          </cell>
          <cell r="Q32" t="e">
            <v>#REF!</v>
          </cell>
          <cell r="Y32">
            <v>592768.07499999995</v>
          </cell>
        </row>
        <row r="33">
          <cell r="L33">
            <v>0</v>
          </cell>
          <cell r="Q33" t="e">
            <v>#REF!</v>
          </cell>
          <cell r="Y33">
            <v>0</v>
          </cell>
        </row>
        <row r="34">
          <cell r="L34">
            <v>40699</v>
          </cell>
          <cell r="Q34" t="e">
            <v>#REF!</v>
          </cell>
          <cell r="Y34">
            <v>0</v>
          </cell>
        </row>
        <row r="35">
          <cell r="L35">
            <v>0</v>
          </cell>
          <cell r="Q35" t="e">
            <v>#REF!</v>
          </cell>
          <cell r="Y35">
            <v>0</v>
          </cell>
        </row>
        <row r="36">
          <cell r="L36">
            <v>36162.53</v>
          </cell>
          <cell r="Q36" t="e">
            <v>#REF!</v>
          </cell>
          <cell r="Y36">
            <v>39693.930999999997</v>
          </cell>
        </row>
        <row r="37">
          <cell r="L37">
            <v>126981.822</v>
          </cell>
          <cell r="Q37" t="e">
            <v>#REF!</v>
          </cell>
          <cell r="Y37">
            <v>4519235.5609999998</v>
          </cell>
        </row>
        <row r="38">
          <cell r="L38">
            <v>0</v>
          </cell>
          <cell r="Q38" t="e">
            <v>#REF!</v>
          </cell>
          <cell r="Y38">
            <v>0</v>
          </cell>
        </row>
        <row r="39">
          <cell r="L39">
            <v>23755.813999999998</v>
          </cell>
          <cell r="Q39" t="e">
            <v>#REF!</v>
          </cell>
          <cell r="Y39">
            <v>252000</v>
          </cell>
        </row>
        <row r="40">
          <cell r="L40">
            <v>0</v>
          </cell>
          <cell r="Q40" t="e">
            <v>#REF!</v>
          </cell>
          <cell r="Y40">
            <v>25000</v>
          </cell>
        </row>
        <row r="41">
          <cell r="L41">
            <v>4080600</v>
          </cell>
          <cell r="Q41" t="e">
            <v>#REF!</v>
          </cell>
          <cell r="Y41">
            <v>1510873.9300000002</v>
          </cell>
        </row>
        <row r="42">
          <cell r="L42">
            <v>0</v>
          </cell>
          <cell r="Q42" t="e">
            <v>#REF!</v>
          </cell>
          <cell r="Y42">
            <v>0</v>
          </cell>
        </row>
        <row r="43">
          <cell r="L43">
            <v>12141.620999999999</v>
          </cell>
          <cell r="Q43" t="e">
            <v>#REF!</v>
          </cell>
          <cell r="Y43">
            <v>4641809.2860000003</v>
          </cell>
        </row>
        <row r="44">
          <cell r="L44">
            <v>0</v>
          </cell>
          <cell r="Q44" t="e">
            <v>#REF!</v>
          </cell>
          <cell r="Y44">
            <v>0</v>
          </cell>
        </row>
        <row r="45">
          <cell r="L45">
            <v>0</v>
          </cell>
          <cell r="Q45" t="e">
            <v>#REF!</v>
          </cell>
          <cell r="Y45">
            <v>0</v>
          </cell>
        </row>
        <row r="46">
          <cell r="L46">
            <v>0</v>
          </cell>
          <cell r="Q46" t="e">
            <v>#REF!</v>
          </cell>
          <cell r="Y46">
            <v>0</v>
          </cell>
        </row>
        <row r="48">
          <cell r="L48">
            <v>1246347.0989999999</v>
          </cell>
          <cell r="Q48" t="e">
            <v>#REF!</v>
          </cell>
          <cell r="Y48">
            <v>3282.598</v>
          </cell>
        </row>
        <row r="49">
          <cell r="L49">
            <v>0</v>
          </cell>
          <cell r="Q49" t="e">
            <v>#REF!</v>
          </cell>
          <cell r="Y49">
            <v>175290.41999999998</v>
          </cell>
        </row>
        <row r="50">
          <cell r="L50">
            <v>0</v>
          </cell>
          <cell r="Q50" t="e">
            <v>#REF!</v>
          </cell>
          <cell r="Y50">
            <v>3488648.6310000001</v>
          </cell>
        </row>
        <row r="51">
          <cell r="L51">
            <v>7169953.6749999998</v>
          </cell>
          <cell r="Q51" t="e">
            <v>#REF!</v>
          </cell>
          <cell r="Y51">
            <v>0</v>
          </cell>
        </row>
        <row r="52">
          <cell r="L52">
            <v>0</v>
          </cell>
          <cell r="Q52" t="e">
            <v>#REF!</v>
          </cell>
          <cell r="Y52">
            <v>31898.387999999999</v>
          </cell>
        </row>
        <row r="53">
          <cell r="L53">
            <v>13759768.784</v>
          </cell>
          <cell r="Q53" t="e">
            <v>#REF!</v>
          </cell>
          <cell r="Y53">
            <v>0</v>
          </cell>
        </row>
        <row r="54">
          <cell r="L54">
            <v>0</v>
          </cell>
          <cell r="Q54" t="e">
            <v>#REF!</v>
          </cell>
          <cell r="Y54">
            <v>732765.84</v>
          </cell>
        </row>
        <row r="55">
          <cell r="L55">
            <v>0</v>
          </cell>
          <cell r="Q55" t="e">
            <v>#REF!</v>
          </cell>
          <cell r="Y55">
            <v>211700</v>
          </cell>
        </row>
        <row r="56">
          <cell r="L56">
            <v>11611.779999999999</v>
          </cell>
          <cell r="Q56" t="e">
            <v>#REF!</v>
          </cell>
          <cell r="Y56">
            <v>47027.165999999997</v>
          </cell>
        </row>
        <row r="57">
          <cell r="L57">
            <v>0</v>
          </cell>
          <cell r="Q57" t="e">
            <v>#REF!</v>
          </cell>
          <cell r="Y57">
            <v>0</v>
          </cell>
        </row>
        <row r="58">
          <cell r="L58">
            <v>0</v>
          </cell>
          <cell r="Q58" t="e">
            <v>#REF!</v>
          </cell>
          <cell r="Y58">
            <v>0</v>
          </cell>
        </row>
        <row r="59">
          <cell r="L59">
            <v>0</v>
          </cell>
          <cell r="Q59" t="e">
            <v>#REF!</v>
          </cell>
          <cell r="Y59">
            <v>0</v>
          </cell>
        </row>
        <row r="60">
          <cell r="L60">
            <v>0</v>
          </cell>
          <cell r="Q60" t="e">
            <v>#REF!</v>
          </cell>
          <cell r="Y60">
            <v>0</v>
          </cell>
        </row>
        <row r="61">
          <cell r="L61">
            <v>0</v>
          </cell>
          <cell r="Q61" t="e">
            <v>#REF!</v>
          </cell>
          <cell r="Y61">
            <v>95017.777000000002</v>
          </cell>
        </row>
        <row r="62">
          <cell r="L62">
            <v>0</v>
          </cell>
          <cell r="Q62" t="e">
            <v>#REF!</v>
          </cell>
          <cell r="Y62">
            <v>3121.0209999999997</v>
          </cell>
        </row>
        <row r="63">
          <cell r="L63">
            <v>177617.62599999999</v>
          </cell>
          <cell r="Q63" t="e">
            <v>#REF!</v>
          </cell>
          <cell r="Y63">
            <v>0</v>
          </cell>
        </row>
        <row r="64">
          <cell r="L64">
            <v>0</v>
          </cell>
          <cell r="Q64" t="e">
            <v>#REF!</v>
          </cell>
          <cell r="Y64">
            <v>311.3</v>
          </cell>
        </row>
        <row r="65">
          <cell r="L65">
            <v>0</v>
          </cell>
          <cell r="Q65" t="e">
            <v>#REF!</v>
          </cell>
          <cell r="Y65">
            <v>0</v>
          </cell>
        </row>
        <row r="66">
          <cell r="L66">
            <v>0</v>
          </cell>
          <cell r="Q66" t="e">
            <v>#REF!</v>
          </cell>
          <cell r="Y66">
            <v>0</v>
          </cell>
        </row>
        <row r="67">
          <cell r="L67">
            <v>0</v>
          </cell>
          <cell r="Q67" t="e">
            <v>#REF!</v>
          </cell>
          <cell r="Y67">
            <v>0</v>
          </cell>
        </row>
        <row r="68">
          <cell r="L68">
            <v>0</v>
          </cell>
          <cell r="Q68" t="e">
            <v>#REF!</v>
          </cell>
          <cell r="Y68">
            <v>0</v>
          </cell>
        </row>
        <row r="69">
          <cell r="L69">
            <v>0</v>
          </cell>
          <cell r="Q69" t="e">
            <v>#REF!</v>
          </cell>
          <cell r="Y69">
            <v>0</v>
          </cell>
        </row>
        <row r="70">
          <cell r="L70">
            <v>524515.14500000002</v>
          </cell>
          <cell r="Q70" t="e">
            <v>#REF!</v>
          </cell>
          <cell r="Y70">
            <v>0</v>
          </cell>
        </row>
        <row r="71">
          <cell r="L71">
            <v>0</v>
          </cell>
          <cell r="Q71" t="e">
            <v>#REF!</v>
          </cell>
          <cell r="Y71">
            <v>0</v>
          </cell>
        </row>
        <row r="72">
          <cell r="L72">
            <v>0</v>
          </cell>
          <cell r="Q72" t="e">
            <v>#REF!</v>
          </cell>
          <cell r="Y72">
            <v>0</v>
          </cell>
        </row>
        <row r="73">
          <cell r="L73">
            <v>0</v>
          </cell>
          <cell r="Q73" t="e">
            <v>#REF!</v>
          </cell>
          <cell r="Y73">
            <v>100</v>
          </cell>
        </row>
        <row r="74">
          <cell r="L74">
            <v>0</v>
          </cell>
          <cell r="Q74" t="e">
            <v>#REF!</v>
          </cell>
          <cell r="Y74">
            <v>0</v>
          </cell>
        </row>
        <row r="75">
          <cell r="L75">
            <v>0</v>
          </cell>
          <cell r="Q75" t="e">
            <v>#REF!</v>
          </cell>
          <cell r="Y75">
            <v>0</v>
          </cell>
        </row>
        <row r="77">
          <cell r="L77">
            <v>0</v>
          </cell>
          <cell r="Q77" t="e">
            <v>#REF!</v>
          </cell>
          <cell r="Y77">
            <v>0</v>
          </cell>
        </row>
        <row r="78">
          <cell r="L78">
            <v>0</v>
          </cell>
          <cell r="Q78" t="e">
            <v>#REF!</v>
          </cell>
          <cell r="Y78">
            <v>0</v>
          </cell>
        </row>
        <row r="79">
          <cell r="L79">
            <v>0</v>
          </cell>
          <cell r="Q79" t="e">
            <v>#REF!</v>
          </cell>
          <cell r="Y79">
            <v>0</v>
          </cell>
        </row>
        <row r="80">
          <cell r="L80">
            <v>0</v>
          </cell>
          <cell r="Q80" t="e">
            <v>#REF!</v>
          </cell>
          <cell r="Y80">
            <v>132817.76799999998</v>
          </cell>
        </row>
        <row r="81">
          <cell r="L81">
            <v>0</v>
          </cell>
          <cell r="Q81" t="e">
            <v>#REF!</v>
          </cell>
          <cell r="Y81">
            <v>0</v>
          </cell>
        </row>
        <row r="82">
          <cell r="L82">
            <v>0</v>
          </cell>
          <cell r="Q82" t="e">
            <v>#REF!</v>
          </cell>
          <cell r="Y82">
            <v>0</v>
          </cell>
        </row>
        <row r="83">
          <cell r="L83">
            <v>0</v>
          </cell>
          <cell r="Q83" t="e">
            <v>#REF!</v>
          </cell>
          <cell r="Y83">
            <v>0</v>
          </cell>
        </row>
        <row r="84">
          <cell r="L84">
            <v>0</v>
          </cell>
          <cell r="Q84" t="e">
            <v>#REF!</v>
          </cell>
          <cell r="Y84">
            <v>0</v>
          </cell>
        </row>
        <row r="85">
          <cell r="L85">
            <v>11593</v>
          </cell>
          <cell r="Q85" t="e">
            <v>#REF!</v>
          </cell>
          <cell r="Y85">
            <v>11593</v>
          </cell>
        </row>
        <row r="86">
          <cell r="L86">
            <v>2396683</v>
          </cell>
          <cell r="Q86" t="e">
            <v>#REF!</v>
          </cell>
          <cell r="Y86">
            <v>2396683</v>
          </cell>
        </row>
        <row r="87">
          <cell r="L87">
            <v>244566</v>
          </cell>
          <cell r="Q87" t="e">
            <v>#REF!</v>
          </cell>
          <cell r="Y87">
            <v>244566</v>
          </cell>
        </row>
        <row r="88">
          <cell r="L88">
            <v>731613.6</v>
          </cell>
          <cell r="Q88" t="e">
            <v>#REF!</v>
          </cell>
          <cell r="Y88">
            <v>731613.6</v>
          </cell>
        </row>
        <row r="89">
          <cell r="L89">
            <v>0</v>
          </cell>
          <cell r="Q89" t="e">
            <v>#REF!</v>
          </cell>
          <cell r="Y89">
            <v>0</v>
          </cell>
        </row>
        <row r="90">
          <cell r="L90">
            <v>17900</v>
          </cell>
          <cell r="Q90" t="e">
            <v>#REF!</v>
          </cell>
          <cell r="Y90">
            <v>17900</v>
          </cell>
        </row>
        <row r="91">
          <cell r="L91">
            <v>0</v>
          </cell>
          <cell r="Q91" t="e">
            <v>#REF!</v>
          </cell>
          <cell r="Y91">
            <v>0</v>
          </cell>
        </row>
        <row r="92">
          <cell r="L92">
            <v>4721528.4210000001</v>
          </cell>
          <cell r="Q92" t="e">
            <v>#REF!</v>
          </cell>
          <cell r="Y92">
            <v>4719039.5659999996</v>
          </cell>
        </row>
        <row r="93">
          <cell r="L93">
            <v>0</v>
          </cell>
          <cell r="Q93" t="e">
            <v>#REF!</v>
          </cell>
          <cell r="Y93">
            <v>0</v>
          </cell>
        </row>
        <row r="94">
          <cell r="L94">
            <v>3732499.0830000001</v>
          </cell>
          <cell r="Q94" t="e">
            <v>#REF!</v>
          </cell>
          <cell r="Y94">
            <v>3766159.4960000003</v>
          </cell>
        </row>
        <row r="95">
          <cell r="L95">
            <v>0</v>
          </cell>
          <cell r="Q95" t="e">
            <v>#REF!</v>
          </cell>
          <cell r="Y95">
            <v>0</v>
          </cell>
        </row>
        <row r="97">
          <cell r="L97" t="str">
            <v>-</v>
          </cell>
          <cell r="Q97" t="str">
            <v>-</v>
          </cell>
          <cell r="Y97" t="str">
            <v>-</v>
          </cell>
        </row>
        <row r="98">
          <cell r="L98">
            <v>46209512.862999998</v>
          </cell>
          <cell r="Q98" t="e">
            <v>#REF!</v>
          </cell>
          <cell r="Y98">
            <v>46209512.863000005</v>
          </cell>
        </row>
        <row r="99">
          <cell r="L99" t="str">
            <v>-</v>
          </cell>
          <cell r="Q99" t="str">
            <v>-</v>
          </cell>
          <cell r="Y99" t="str">
            <v>-</v>
          </cell>
        </row>
        <row r="100">
          <cell r="L100">
            <v>46209512.862999998</v>
          </cell>
          <cell r="Q100" t="e">
            <v>#REF!</v>
          </cell>
          <cell r="Y100">
            <v>46209512.862999998</v>
          </cell>
        </row>
        <row r="101">
          <cell r="L101" t="str">
            <v>-</v>
          </cell>
          <cell r="Q101" t="str">
            <v>-</v>
          </cell>
          <cell r="Y101" t="str">
            <v>-</v>
          </cell>
        </row>
        <row r="102">
          <cell r="L102">
            <v>0</v>
          </cell>
          <cell r="Q102" t="e">
            <v>#REF!</v>
          </cell>
          <cell r="Y102">
            <v>0</v>
          </cell>
        </row>
        <row r="103">
          <cell r="L103" t="str">
            <v>-</v>
          </cell>
          <cell r="Q103" t="str">
            <v>-</v>
          </cell>
          <cell r="Y103" t="str">
            <v>-</v>
          </cell>
        </row>
        <row r="104">
          <cell r="L104">
            <v>28488660.443999998</v>
          </cell>
          <cell r="Q104" t="e">
            <v>#REF!</v>
          </cell>
          <cell r="Y104">
            <v>15679225.751</v>
          </cell>
        </row>
        <row r="105">
          <cell r="L105" t="str">
            <v>-</v>
          </cell>
          <cell r="Q105" t="str">
            <v>-</v>
          </cell>
          <cell r="Y105" t="str">
            <v>-</v>
          </cell>
        </row>
        <row r="112">
          <cell r="O112" t="str">
            <v>||\027\033\068</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14">
          <cell r="A214" t="str">
            <v>||\027\033\068</v>
          </cell>
        </row>
        <row r="216">
          <cell r="O216" t="str">
            <v>||\027\033\068</v>
          </cell>
        </row>
        <row r="224">
          <cell r="L224">
            <v>750000000</v>
          </cell>
          <cell r="S224">
            <v>0</v>
          </cell>
          <cell r="Y224">
            <v>4374151.68</v>
          </cell>
        </row>
        <row r="225">
          <cell r="L225">
            <v>14604455.57</v>
          </cell>
          <cell r="S225">
            <v>238769.23000000004</v>
          </cell>
          <cell r="Y225">
            <v>5513382.3399999999</v>
          </cell>
        </row>
        <row r="226">
          <cell r="L226">
            <v>0</v>
          </cell>
          <cell r="S226">
            <v>0</v>
          </cell>
          <cell r="Y226">
            <v>0</v>
          </cell>
        </row>
        <row r="227">
          <cell r="L227">
            <v>29989300</v>
          </cell>
          <cell r="S227">
            <v>0</v>
          </cell>
          <cell r="Y227">
            <v>275250074.12</v>
          </cell>
        </row>
        <row r="228">
          <cell r="L228">
            <v>5999828.9000000004</v>
          </cell>
          <cell r="S228">
            <v>0</v>
          </cell>
          <cell r="Y228">
            <v>0</v>
          </cell>
        </row>
        <row r="229">
          <cell r="L229">
            <v>78499347.74000001</v>
          </cell>
          <cell r="S229">
            <v>151235.01999999999</v>
          </cell>
          <cell r="Y229">
            <v>3645022.96</v>
          </cell>
        </row>
        <row r="230">
          <cell r="L230">
            <v>76537584</v>
          </cell>
          <cell r="S230">
            <v>603115</v>
          </cell>
          <cell r="Y230">
            <v>1361618.22</v>
          </cell>
        </row>
        <row r="231">
          <cell r="L231">
            <v>0</v>
          </cell>
          <cell r="S231">
            <v>276139.32999999996</v>
          </cell>
          <cell r="Y231">
            <v>-113225000.62</v>
          </cell>
        </row>
        <row r="232">
          <cell r="L232">
            <v>0</v>
          </cell>
          <cell r="S232">
            <v>0</v>
          </cell>
          <cell r="Y232">
            <v>0</v>
          </cell>
        </row>
        <row r="233">
          <cell r="L233">
            <v>0</v>
          </cell>
          <cell r="S233">
            <v>0</v>
          </cell>
          <cell r="Y233">
            <v>0</v>
          </cell>
        </row>
        <row r="234">
          <cell r="L234">
            <v>0</v>
          </cell>
          <cell r="S234">
            <v>48797.74</v>
          </cell>
          <cell r="Y234">
            <v>225408968.98999998</v>
          </cell>
        </row>
        <row r="235">
          <cell r="L235">
            <v>0</v>
          </cell>
          <cell r="S235">
            <v>0</v>
          </cell>
          <cell r="Y235">
            <v>920551908.37</v>
          </cell>
        </row>
        <row r="236">
          <cell r="L236">
            <v>0</v>
          </cell>
          <cell r="S236">
            <v>0</v>
          </cell>
          <cell r="Y236">
            <v>0</v>
          </cell>
        </row>
        <row r="237">
          <cell r="L237">
            <v>0</v>
          </cell>
          <cell r="S237">
            <v>34066668.909999996</v>
          </cell>
          <cell r="Y237">
            <v>0</v>
          </cell>
        </row>
        <row r="238">
          <cell r="L238">
            <v>152302001.98000002</v>
          </cell>
          <cell r="S238">
            <v>0</v>
          </cell>
          <cell r="Y238">
            <v>0</v>
          </cell>
        </row>
        <row r="239">
          <cell r="L239">
            <v>7035630.8899999997</v>
          </cell>
          <cell r="S239">
            <v>0</v>
          </cell>
          <cell r="Y239">
            <v>0</v>
          </cell>
        </row>
        <row r="240">
          <cell r="L240">
            <v>153771425.58000001</v>
          </cell>
          <cell r="S240">
            <v>3564184.18</v>
          </cell>
          <cell r="Y240">
            <v>1060405805.58</v>
          </cell>
        </row>
        <row r="241">
          <cell r="L241">
            <v>0</v>
          </cell>
          <cell r="S241">
            <v>0</v>
          </cell>
          <cell r="Y241">
            <v>0</v>
          </cell>
        </row>
        <row r="242">
          <cell r="L242">
            <v>13405415.34</v>
          </cell>
          <cell r="S242">
            <v>0</v>
          </cell>
          <cell r="Y242">
            <v>0</v>
          </cell>
        </row>
        <row r="243">
          <cell r="L243">
            <v>28733787.93</v>
          </cell>
          <cell r="S243">
            <v>0</v>
          </cell>
          <cell r="Y243">
            <v>0</v>
          </cell>
        </row>
        <row r="244">
          <cell r="L244">
            <v>2923956.48</v>
          </cell>
          <cell r="S244">
            <v>734145.86</v>
          </cell>
          <cell r="Y244">
            <v>1022124.63</v>
          </cell>
        </row>
        <row r="245">
          <cell r="L245">
            <v>8564534.7400000002</v>
          </cell>
          <cell r="S245">
            <v>12152720.940000001</v>
          </cell>
          <cell r="Y245">
            <v>14292870.289999999</v>
          </cell>
        </row>
        <row r="246">
          <cell r="L246">
            <v>0</v>
          </cell>
          <cell r="S246">
            <v>0</v>
          </cell>
          <cell r="Y246">
            <v>0</v>
          </cell>
        </row>
        <row r="247">
          <cell r="L247">
            <v>0</v>
          </cell>
          <cell r="S247">
            <v>0</v>
          </cell>
          <cell r="Y247">
            <v>0</v>
          </cell>
        </row>
        <row r="248">
          <cell r="L248">
            <v>0</v>
          </cell>
          <cell r="S248">
            <v>0</v>
          </cell>
          <cell r="Y248">
            <v>0</v>
          </cell>
        </row>
        <row r="249">
          <cell r="L249">
            <v>0</v>
          </cell>
          <cell r="S249">
            <v>0</v>
          </cell>
          <cell r="Y249">
            <v>2373570.48</v>
          </cell>
        </row>
        <row r="250">
          <cell r="L250">
            <v>0</v>
          </cell>
          <cell r="S250">
            <v>0</v>
          </cell>
          <cell r="Y250">
            <v>0</v>
          </cell>
        </row>
        <row r="251">
          <cell r="L251">
            <v>0</v>
          </cell>
          <cell r="S251">
            <v>0</v>
          </cell>
          <cell r="Y251">
            <v>0</v>
          </cell>
        </row>
        <row r="252">
          <cell r="L252">
            <v>0</v>
          </cell>
          <cell r="S252">
            <v>0</v>
          </cell>
          <cell r="Y252">
            <v>0</v>
          </cell>
        </row>
        <row r="253">
          <cell r="L253">
            <v>0</v>
          </cell>
          <cell r="S253">
            <v>0</v>
          </cell>
          <cell r="Y253">
            <v>0</v>
          </cell>
        </row>
        <row r="254">
          <cell r="L254">
            <v>0</v>
          </cell>
        </row>
        <row r="255">
          <cell r="L255">
            <v>0</v>
          </cell>
          <cell r="S255">
            <v>0</v>
          </cell>
          <cell r="Y255">
            <v>0</v>
          </cell>
        </row>
        <row r="256">
          <cell r="L256">
            <v>262079774.88000003</v>
          </cell>
          <cell r="S256">
            <v>565164.27</v>
          </cell>
          <cell r="Y256">
            <v>51089902.710000001</v>
          </cell>
        </row>
        <row r="257">
          <cell r="L257">
            <v>79878373.549999997</v>
          </cell>
          <cell r="S257">
            <v>92772.11</v>
          </cell>
          <cell r="Y257">
            <v>4039736.7600000002</v>
          </cell>
        </row>
        <row r="258">
          <cell r="L258">
            <v>0</v>
          </cell>
          <cell r="S258">
            <v>17631069.439999998</v>
          </cell>
          <cell r="Y258">
            <v>85487441.75999999</v>
          </cell>
        </row>
        <row r="259">
          <cell r="L259">
            <v>403801973.25</v>
          </cell>
          <cell r="S259">
            <v>0</v>
          </cell>
          <cell r="Y259">
            <v>0</v>
          </cell>
        </row>
        <row r="260">
          <cell r="L260">
            <v>0</v>
          </cell>
          <cell r="S260">
            <v>0</v>
          </cell>
          <cell r="Y260">
            <v>0</v>
          </cell>
        </row>
        <row r="261">
          <cell r="L261">
            <v>468410157.93000001</v>
          </cell>
          <cell r="S261">
            <v>0</v>
          </cell>
          <cell r="Y261">
            <v>0</v>
          </cell>
        </row>
        <row r="262">
          <cell r="L262">
            <v>0</v>
          </cell>
          <cell r="S262">
            <v>980981.79</v>
          </cell>
          <cell r="Y262">
            <v>0</v>
          </cell>
        </row>
        <row r="263">
          <cell r="L263">
            <v>0</v>
          </cell>
          <cell r="S263">
            <v>103160.37</v>
          </cell>
          <cell r="Y263">
            <v>149076.46</v>
          </cell>
        </row>
        <row r="264">
          <cell r="L264">
            <v>4647803.25</v>
          </cell>
          <cell r="S264">
            <v>0</v>
          </cell>
          <cell r="Y264">
            <v>0</v>
          </cell>
        </row>
        <row r="265">
          <cell r="L265">
            <v>1692190.54</v>
          </cell>
          <cell r="S265">
            <v>0</v>
          </cell>
          <cell r="Y265">
            <v>0</v>
          </cell>
        </row>
        <row r="266">
          <cell r="L266">
            <v>711810</v>
          </cell>
          <cell r="S266">
            <v>0</v>
          </cell>
          <cell r="Y266">
            <v>0</v>
          </cell>
        </row>
        <row r="267">
          <cell r="L267">
            <v>62829.71</v>
          </cell>
          <cell r="S267">
            <v>0</v>
          </cell>
          <cell r="Y267">
            <v>0</v>
          </cell>
        </row>
        <row r="268">
          <cell r="L268">
            <v>0</v>
          </cell>
          <cell r="S268">
            <v>293177.40999999997</v>
          </cell>
          <cell r="Y268">
            <v>0</v>
          </cell>
        </row>
        <row r="269">
          <cell r="L269">
            <v>141740</v>
          </cell>
          <cell r="S269">
            <v>147742.65000000002</v>
          </cell>
          <cell r="Y269">
            <v>7773113.0700000003</v>
          </cell>
        </row>
        <row r="270">
          <cell r="L270">
            <v>17670806.59</v>
          </cell>
          <cell r="S270">
            <v>9367.27</v>
          </cell>
          <cell r="Y270">
            <v>484761.88</v>
          </cell>
        </row>
        <row r="271">
          <cell r="L271">
            <v>27223197.699999999</v>
          </cell>
          <cell r="S271">
            <v>1889.69</v>
          </cell>
          <cell r="Y271">
            <v>0</v>
          </cell>
        </row>
        <row r="272">
          <cell r="L272">
            <v>0</v>
          </cell>
          <cell r="S272">
            <v>900</v>
          </cell>
          <cell r="Y272">
            <v>9850</v>
          </cell>
        </row>
        <row r="273">
          <cell r="L273">
            <v>0</v>
          </cell>
          <cell r="S273">
            <v>102405.73</v>
          </cell>
          <cell r="Y273">
            <v>0</v>
          </cell>
        </row>
        <row r="274">
          <cell r="L274">
            <v>0</v>
          </cell>
          <cell r="S274">
            <v>0</v>
          </cell>
          <cell r="Y274">
            <v>0</v>
          </cell>
        </row>
        <row r="275">
          <cell r="L275">
            <v>0</v>
          </cell>
          <cell r="S275">
            <v>0</v>
          </cell>
          <cell r="Y275">
            <v>0</v>
          </cell>
        </row>
        <row r="276">
          <cell r="L276">
            <v>0</v>
          </cell>
          <cell r="S276">
            <v>0</v>
          </cell>
          <cell r="Y276">
            <v>0</v>
          </cell>
        </row>
        <row r="277">
          <cell r="L277">
            <v>0</v>
          </cell>
          <cell r="S277">
            <v>0</v>
          </cell>
          <cell r="Y277">
            <v>0</v>
          </cell>
        </row>
        <row r="278">
          <cell r="L278">
            <v>27988442.219999999</v>
          </cell>
          <cell r="S278">
            <v>37706.78</v>
          </cell>
          <cell r="Y278">
            <v>0</v>
          </cell>
        </row>
        <row r="279">
          <cell r="L279">
            <v>2005965</v>
          </cell>
          <cell r="S279">
            <v>0</v>
          </cell>
          <cell r="Y279">
            <v>0</v>
          </cell>
        </row>
        <row r="280">
          <cell r="L280">
            <v>0</v>
          </cell>
          <cell r="S280">
            <v>0</v>
          </cell>
          <cell r="Y280">
            <v>0</v>
          </cell>
        </row>
        <row r="281">
          <cell r="L281">
            <v>11500000</v>
          </cell>
          <cell r="S281">
            <v>4336</v>
          </cell>
          <cell r="Y281">
            <v>59337.89</v>
          </cell>
        </row>
        <row r="282">
          <cell r="L282">
            <v>0</v>
          </cell>
          <cell r="S282">
            <v>0</v>
          </cell>
          <cell r="Y282">
            <v>0</v>
          </cell>
        </row>
        <row r="283">
          <cell r="L283">
            <v>0</v>
          </cell>
          <cell r="S283">
            <v>0</v>
          </cell>
          <cell r="Y283">
            <v>167240</v>
          </cell>
        </row>
        <row r="285">
          <cell r="L285">
            <v>0</v>
          </cell>
          <cell r="S285">
            <v>-90</v>
          </cell>
          <cell r="Y285">
            <v>7980</v>
          </cell>
        </row>
        <row r="286">
          <cell r="L286">
            <v>0</v>
          </cell>
          <cell r="S286">
            <v>4707.92</v>
          </cell>
          <cell r="Y286">
            <v>1060733.5</v>
          </cell>
        </row>
        <row r="287">
          <cell r="L287">
            <v>0</v>
          </cell>
          <cell r="S287">
            <v>0</v>
          </cell>
          <cell r="Y287">
            <v>1033945.04</v>
          </cell>
        </row>
        <row r="288">
          <cell r="L288">
            <v>0</v>
          </cell>
          <cell r="S288">
            <v>681241.71</v>
          </cell>
          <cell r="Y288">
            <v>39695438.049999997</v>
          </cell>
        </row>
        <row r="289">
          <cell r="L289">
            <v>0</v>
          </cell>
          <cell r="S289">
            <v>0</v>
          </cell>
          <cell r="Y289">
            <v>0</v>
          </cell>
        </row>
        <row r="290">
          <cell r="L290">
            <v>0</v>
          </cell>
          <cell r="S290">
            <v>0</v>
          </cell>
          <cell r="Y290">
            <v>0</v>
          </cell>
        </row>
        <row r="291">
          <cell r="L291">
            <v>0</v>
          </cell>
          <cell r="S291">
            <v>0</v>
          </cell>
          <cell r="Y291">
            <v>0</v>
          </cell>
        </row>
        <row r="292">
          <cell r="L292">
            <v>0</v>
          </cell>
          <cell r="S292">
            <v>0</v>
          </cell>
          <cell r="Y292">
            <v>0</v>
          </cell>
        </row>
        <row r="293">
          <cell r="L293">
            <v>0</v>
          </cell>
          <cell r="S293">
            <v>0</v>
          </cell>
          <cell r="Y293">
            <v>0</v>
          </cell>
        </row>
        <row r="294">
          <cell r="L294">
            <v>34556566.200000003</v>
          </cell>
          <cell r="S294">
            <v>1567851.3699999999</v>
          </cell>
          <cell r="Y294">
            <v>34556566.200000003</v>
          </cell>
        </row>
        <row r="295">
          <cell r="L295">
            <v>23431506</v>
          </cell>
          <cell r="S295">
            <v>50966.06</v>
          </cell>
          <cell r="Y295">
            <v>23431506</v>
          </cell>
        </row>
        <row r="296">
          <cell r="L296">
            <v>43474827</v>
          </cell>
          <cell r="S296">
            <v>0</v>
          </cell>
          <cell r="Y296">
            <v>43474827</v>
          </cell>
        </row>
        <row r="297">
          <cell r="L297">
            <v>0</v>
          </cell>
          <cell r="S297">
            <v>0</v>
          </cell>
          <cell r="Y297">
            <v>0</v>
          </cell>
        </row>
        <row r="298">
          <cell r="L298">
            <v>0</v>
          </cell>
          <cell r="S298">
            <v>0</v>
          </cell>
          <cell r="Y298">
            <v>0</v>
          </cell>
        </row>
        <row r="299">
          <cell r="L299">
            <v>0</v>
          </cell>
          <cell r="S299">
            <v>0</v>
          </cell>
          <cell r="Y299">
            <v>0</v>
          </cell>
        </row>
        <row r="300">
          <cell r="L300">
            <v>5736068.7800000003</v>
          </cell>
          <cell r="S300">
            <v>5525546.4000000004</v>
          </cell>
          <cell r="Y300">
            <v>1354351.37</v>
          </cell>
        </row>
        <row r="301">
          <cell r="L301">
            <v>0</v>
          </cell>
          <cell r="S301">
            <v>0</v>
          </cell>
          <cell r="Y301">
            <v>0</v>
          </cell>
        </row>
        <row r="302">
          <cell r="L302">
            <v>205117839.66</v>
          </cell>
          <cell r="S302">
            <v>2020487.96</v>
          </cell>
          <cell r="Y302">
            <v>247648836.68000004</v>
          </cell>
        </row>
        <row r="303">
          <cell r="L303">
            <v>0</v>
          </cell>
          <cell r="S303">
            <v>0</v>
          </cell>
          <cell r="Y303">
            <v>0</v>
          </cell>
        </row>
        <row r="305">
          <cell r="L305" t="str">
            <v>-</v>
          </cell>
          <cell r="S305" t="str">
            <v>-</v>
          </cell>
          <cell r="Y305" t="str">
            <v>-</v>
          </cell>
        </row>
        <row r="306">
          <cell r="L306">
            <v>2942499141.4099998</v>
          </cell>
          <cell r="S306">
            <v>81657161.140000015</v>
          </cell>
          <cell r="Y306">
            <v>2942499141.4100003</v>
          </cell>
        </row>
        <row r="307">
          <cell r="L307" t="str">
            <v>-</v>
          </cell>
          <cell r="S307" t="str">
            <v>-</v>
          </cell>
          <cell r="Y307" t="str">
            <v>-</v>
          </cell>
        </row>
        <row r="308">
          <cell r="L308">
            <v>2942499141.4100003</v>
          </cell>
          <cell r="S308">
            <v>81657161.140000001</v>
          </cell>
          <cell r="Y308">
            <v>2942499141.4100003</v>
          </cell>
        </row>
        <row r="309">
          <cell r="L309" t="str">
            <v>-</v>
          </cell>
          <cell r="S309" t="str">
            <v>-</v>
          </cell>
          <cell r="Y309" t="str">
            <v>-</v>
          </cell>
        </row>
        <row r="310">
          <cell r="L310">
            <v>0</v>
          </cell>
          <cell r="S310">
            <v>0</v>
          </cell>
          <cell r="Y310">
            <v>0</v>
          </cell>
        </row>
        <row r="311">
          <cell r="L311" t="str">
            <v>-</v>
          </cell>
          <cell r="S311" t="str">
            <v>-</v>
          </cell>
          <cell r="Y311" t="str">
            <v>-</v>
          </cell>
        </row>
        <row r="312">
          <cell r="L312">
            <v>1580907032.55</v>
          </cell>
          <cell r="S312">
            <v>32260014.779999997</v>
          </cell>
          <cell r="Y312">
            <v>158454723.09</v>
          </cell>
        </row>
        <row r="313">
          <cell r="L313" t="str">
            <v>-</v>
          </cell>
          <cell r="S313" t="str">
            <v>-</v>
          </cell>
          <cell r="Y313" t="str">
            <v>-</v>
          </cell>
        </row>
        <row r="318">
          <cell r="A318" t="str">
            <v>||\027\033\068</v>
          </cell>
        </row>
        <row r="320">
          <cell r="O320" t="str">
            <v>||\027\033\068</v>
          </cell>
        </row>
        <row r="326">
          <cell r="F326">
            <v>0</v>
          </cell>
        </row>
        <row r="327">
          <cell r="F327">
            <v>0</v>
          </cell>
        </row>
        <row r="328">
          <cell r="F328">
            <v>0</v>
          </cell>
          <cell r="U328">
            <v>86162.44</v>
          </cell>
        </row>
        <row r="329">
          <cell r="F329">
            <v>0</v>
          </cell>
          <cell r="S329">
            <v>16039</v>
          </cell>
          <cell r="U329">
            <v>1264365.1600000001</v>
          </cell>
        </row>
        <row r="330">
          <cell r="F330">
            <v>0</v>
          </cell>
          <cell r="S330">
            <v>20606965.59</v>
          </cell>
        </row>
        <row r="331">
          <cell r="F331">
            <v>17899376.960000001</v>
          </cell>
        </row>
        <row r="332">
          <cell r="F332">
            <v>0</v>
          </cell>
        </row>
        <row r="333">
          <cell r="F333">
            <v>2028780.7</v>
          </cell>
          <cell r="Q333">
            <v>530671.75</v>
          </cell>
          <cell r="U333">
            <v>6108409.0300000003</v>
          </cell>
        </row>
        <row r="334">
          <cell r="F334">
            <v>1401306.62</v>
          </cell>
          <cell r="Q334">
            <v>1305627.23</v>
          </cell>
          <cell r="U334">
            <v>212610.86</v>
          </cell>
        </row>
        <row r="335">
          <cell r="F335">
            <v>0</v>
          </cell>
          <cell r="S335">
            <v>12448.39</v>
          </cell>
          <cell r="U335">
            <v>259984.08</v>
          </cell>
        </row>
        <row r="336">
          <cell r="F336">
            <v>0</v>
          </cell>
        </row>
        <row r="337">
          <cell r="F337">
            <v>0</v>
          </cell>
        </row>
        <row r="338">
          <cell r="F338">
            <v>0</v>
          </cell>
          <cell r="S338">
            <v>240664.9</v>
          </cell>
          <cell r="U338">
            <v>796103.85999999987</v>
          </cell>
        </row>
        <row r="339">
          <cell r="F339">
            <v>0</v>
          </cell>
          <cell r="Q339">
            <v>31000000</v>
          </cell>
          <cell r="U339">
            <v>82952873</v>
          </cell>
        </row>
        <row r="340">
          <cell r="F340">
            <v>1970946.72</v>
          </cell>
        </row>
        <row r="341">
          <cell r="F341">
            <v>0</v>
          </cell>
          <cell r="Q341">
            <v>2500000</v>
          </cell>
          <cell r="U341">
            <v>78542994</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cell r="U348">
            <v>343410.21</v>
          </cell>
        </row>
        <row r="349">
          <cell r="F349">
            <v>35017.230000000003</v>
          </cell>
          <cell r="Q349">
            <v>1397920.19</v>
          </cell>
          <cell r="S349">
            <v>9674129.5500000007</v>
          </cell>
          <cell r="U349">
            <v>15834994.460000001</v>
          </cell>
        </row>
        <row r="350">
          <cell r="F350">
            <v>0</v>
          </cell>
          <cell r="S350">
            <v>171205.06</v>
          </cell>
          <cell r="U350">
            <v>21684080.039999999</v>
          </cell>
        </row>
        <row r="351">
          <cell r="F351">
            <v>11198546.82</v>
          </cell>
        </row>
        <row r="352">
          <cell r="F352">
            <v>0</v>
          </cell>
          <cell r="Q352">
            <v>75000</v>
          </cell>
        </row>
        <row r="353">
          <cell r="F353">
            <v>552770.66</v>
          </cell>
          <cell r="S353">
            <v>1378370.61</v>
          </cell>
          <cell r="U353">
            <v>16863453.329999998</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cell r="U360">
            <v>2003040.44</v>
          </cell>
        </row>
        <row r="361">
          <cell r="F361">
            <v>7132467.4700000007</v>
          </cell>
          <cell r="Q361">
            <v>24973.42</v>
          </cell>
          <cell r="U361">
            <v>9615763.3800000008</v>
          </cell>
        </row>
        <row r="362">
          <cell r="F362">
            <v>0</v>
          </cell>
          <cell r="Q362">
            <v>3219015.49</v>
          </cell>
          <cell r="S362">
            <v>9404781.0399999991</v>
          </cell>
          <cell r="U362">
            <v>11011197.130000001</v>
          </cell>
        </row>
        <row r="363">
          <cell r="F363">
            <v>5336836.7699999996</v>
          </cell>
        </row>
        <row r="364">
          <cell r="F364">
            <v>0</v>
          </cell>
          <cell r="Q364">
            <v>2185691.7599999998</v>
          </cell>
          <cell r="S364">
            <v>141500</v>
          </cell>
          <cell r="U364">
            <v>1415654</v>
          </cell>
        </row>
        <row r="365">
          <cell r="F365">
            <v>0</v>
          </cell>
        </row>
        <row r="366">
          <cell r="F366">
            <v>0</v>
          </cell>
          <cell r="U366">
            <v>5042124</v>
          </cell>
        </row>
        <row r="367">
          <cell r="F367">
            <v>90736.88</v>
          </cell>
          <cell r="S367">
            <v>253187.86</v>
          </cell>
          <cell r="U367">
            <v>8000</v>
          </cell>
        </row>
        <row r="368">
          <cell r="F368">
            <v>0</v>
          </cell>
          <cell r="U368">
            <v>7543439.2999999998</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cell r="U373">
            <v>509739</v>
          </cell>
        </row>
        <row r="374">
          <cell r="F374">
            <v>0</v>
          </cell>
          <cell r="Q374">
            <v>5830.59</v>
          </cell>
          <cell r="S374">
            <v>935.32</v>
          </cell>
          <cell r="U374">
            <v>178071.21</v>
          </cell>
        </row>
        <row r="375">
          <cell r="F375">
            <v>0</v>
          </cell>
          <cell r="S375">
            <v>301.39999999999998</v>
          </cell>
        </row>
        <row r="376">
          <cell r="F376">
            <v>0</v>
          </cell>
          <cell r="Q376">
            <v>32646.49</v>
          </cell>
          <cell r="S376">
            <v>40</v>
          </cell>
          <cell r="U376">
            <v>12000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cell r="U384">
            <v>4298</v>
          </cell>
        </row>
        <row r="385">
          <cell r="F385">
            <v>0</v>
          </cell>
        </row>
        <row r="386">
          <cell r="Q386">
            <v>110854.95</v>
          </cell>
          <cell r="U386">
            <v>326499</v>
          </cell>
        </row>
        <row r="387">
          <cell r="F387">
            <v>0</v>
          </cell>
          <cell r="U387">
            <v>17500</v>
          </cell>
        </row>
        <row r="388">
          <cell r="F388">
            <v>0</v>
          </cell>
        </row>
        <row r="389">
          <cell r="F389">
            <v>0</v>
          </cell>
          <cell r="S389">
            <v>22.92</v>
          </cell>
        </row>
        <row r="390">
          <cell r="F390">
            <v>0</v>
          </cell>
        </row>
        <row r="391">
          <cell r="F391">
            <v>0</v>
          </cell>
        </row>
        <row r="392">
          <cell r="F392">
            <v>0</v>
          </cell>
          <cell r="Q392">
            <v>19826.55</v>
          </cell>
          <cell r="S392">
            <v>7489549</v>
          </cell>
          <cell r="U392">
            <v>493689</v>
          </cell>
        </row>
        <row r="393">
          <cell r="F393">
            <v>0</v>
          </cell>
        </row>
        <row r="394">
          <cell r="F394">
            <v>0</v>
          </cell>
        </row>
        <row r="395">
          <cell r="F395">
            <v>0</v>
          </cell>
        </row>
        <row r="396">
          <cell r="F396">
            <v>1567851.3699999999</v>
          </cell>
        </row>
        <row r="397">
          <cell r="F397">
            <v>50966.06</v>
          </cell>
          <cell r="Q397">
            <v>0</v>
          </cell>
          <cell r="S397">
            <v>0</v>
          </cell>
          <cell r="U397">
            <v>0</v>
          </cell>
        </row>
        <row r="398">
          <cell r="F398">
            <v>0</v>
          </cell>
          <cell r="Q398">
            <v>18620913</v>
          </cell>
          <cell r="S398">
            <v>764286</v>
          </cell>
          <cell r="U398">
            <v>9687850</v>
          </cell>
        </row>
        <row r="399">
          <cell r="F399">
            <v>0</v>
          </cell>
          <cell r="Q399">
            <v>0</v>
          </cell>
          <cell r="S399">
            <v>10062</v>
          </cell>
          <cell r="U399">
            <v>17466800</v>
          </cell>
        </row>
        <row r="400">
          <cell r="F400">
            <v>0</v>
          </cell>
          <cell r="Q400">
            <v>658954</v>
          </cell>
          <cell r="S400">
            <v>144537</v>
          </cell>
          <cell r="U400">
            <v>15131600</v>
          </cell>
        </row>
        <row r="401">
          <cell r="F401">
            <v>0</v>
          </cell>
          <cell r="Q401">
            <v>0</v>
          </cell>
          <cell r="S401">
            <v>0</v>
          </cell>
          <cell r="U401">
            <v>0</v>
          </cell>
        </row>
        <row r="402">
          <cell r="F402">
            <v>5552534.0899999999</v>
          </cell>
          <cell r="Q402">
            <v>19672</v>
          </cell>
          <cell r="S402">
            <v>0</v>
          </cell>
          <cell r="U402">
            <v>298500</v>
          </cell>
        </row>
        <row r="403">
          <cell r="F403">
            <v>0</v>
          </cell>
        </row>
        <row r="404">
          <cell r="F404">
            <v>4336371.62</v>
          </cell>
        </row>
        <row r="405">
          <cell r="F405">
            <v>0</v>
          </cell>
        </row>
        <row r="406">
          <cell r="Q406">
            <v>2445565.4300000002</v>
          </cell>
          <cell r="S406">
            <v>10306104.33</v>
          </cell>
          <cell r="U406">
            <v>17318973.57</v>
          </cell>
        </row>
        <row r="407">
          <cell r="F407" t="str">
            <v>-</v>
          </cell>
        </row>
        <row r="408">
          <cell r="F408">
            <v>81657161.140000015</v>
          </cell>
        </row>
        <row r="409">
          <cell r="F409" t="str">
            <v>-</v>
          </cell>
          <cell r="Q409" t="str">
            <v>-</v>
          </cell>
          <cell r="S409" t="str">
            <v>-</v>
          </cell>
          <cell r="U409" t="str">
            <v>-</v>
          </cell>
        </row>
        <row r="410">
          <cell r="F410">
            <v>81657161.140000001</v>
          </cell>
          <cell r="Q410">
            <v>67205281.720000014</v>
          </cell>
          <cell r="S410">
            <v>159386762.23000002</v>
          </cell>
          <cell r="U410">
            <v>323034178.50000006</v>
          </cell>
        </row>
        <row r="411">
          <cell r="F411" t="str">
            <v>-</v>
          </cell>
          <cell r="Q411" t="str">
            <v>-</v>
          </cell>
          <cell r="S411" t="str">
            <v>-</v>
          </cell>
          <cell r="U411" t="str">
            <v>-</v>
          </cell>
        </row>
        <row r="412">
          <cell r="F412">
            <v>0</v>
          </cell>
          <cell r="Q412">
            <v>67205281.719999999</v>
          </cell>
          <cell r="S412">
            <v>159386762.22999999</v>
          </cell>
          <cell r="U412">
            <v>323034178.5</v>
          </cell>
        </row>
        <row r="413">
          <cell r="F413" t="str">
            <v>-</v>
          </cell>
          <cell r="Q413" t="str">
            <v>-</v>
          </cell>
          <cell r="S413" t="str">
            <v>-</v>
          </cell>
          <cell r="U413" t="str">
            <v>-</v>
          </cell>
        </row>
        <row r="414">
          <cell r="F414">
            <v>40741635.400000006</v>
          </cell>
          <cell r="Q414">
            <v>0</v>
          </cell>
          <cell r="S414">
            <v>0</v>
          </cell>
          <cell r="U414">
            <v>0</v>
          </cell>
        </row>
        <row r="415">
          <cell r="F415" t="str">
            <v>-</v>
          </cell>
          <cell r="Q415" t="str">
            <v>-</v>
          </cell>
          <cell r="S415" t="str">
            <v>-</v>
          </cell>
          <cell r="U415" t="str">
            <v>-</v>
          </cell>
        </row>
        <row r="416">
          <cell r="Q416">
            <v>9056804.9900000002</v>
          </cell>
          <cell r="S416">
            <v>45656112.729999997</v>
          </cell>
          <cell r="U416">
            <v>91365156.289999992</v>
          </cell>
        </row>
        <row r="417">
          <cell r="Q417" t="str">
            <v>-</v>
          </cell>
          <cell r="S417" t="str">
            <v>-</v>
          </cell>
          <cell r="U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v>0</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2000_ Projects Summary"/>
      <sheetName val="Sheet5"/>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DOMOVS"/>
      <sheetName val="EDP_Euros"/>
      <sheetName val="Iberdrola_Euros"/>
      <sheetName val="BS"/>
      <sheetName val="Non-Statistical Sampling"/>
      <sheetName val="REV VAR INC"/>
      <sheetName val="Segment_new_1"/>
      <sheetName val="Drop_down"/>
      <sheetName val="16-Avg_Sales_Price"/>
      <sheetName val="stdd_costBPCS"/>
      <sheetName val="Statement_of_Claims"/>
      <sheetName val="Revenue-Fire-Marine-Motor"/>
      <sheetName val="Graphs 1"/>
      <sheetName val="Macro1"/>
      <sheetName val="Summary"/>
      <sheetName val="Grouping"/>
      <sheetName val="Notes__2_"/>
      <sheetName val="Non-Statistical_Sampling"/>
      <sheetName val="REV_VAR_INC"/>
      <sheetName val="Report .1"/>
      <sheetName val="Final Accounts 2001As per Audit"/>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Rate Verification"/>
      <sheetName val="Product Wise Breakup"/>
      <sheetName val="Monthly breakup"/>
      <sheetName val="Categoried of Deposit (2)"/>
      <sheetName val="PPC-ORD DTL"/>
      <sheetName val="Abu_Dhabi"/>
      <sheetName val="A-C CODE &amp; NAME"/>
      <sheetName val="会社別"/>
      <sheetName val="B-6"/>
      <sheetName val="Adv to vendor"/>
      <sheetName val="GP Analysis"/>
      <sheetName val="FundsNW"/>
      <sheetName val="Stock in Trade"/>
      <sheetName val="Rentals-SAM KHI"/>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refreshError="1"/>
      <sheetData sheetId="201" refreshError="1"/>
      <sheetData sheetId="202" refreshError="1"/>
      <sheetData sheetId="203" refreshError="1"/>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Equity"/>
      <sheetName val="GD"/>
      <sheetName val="GE"/>
      <sheetName val="GF"/>
      <sheetName val="GG"/>
      <sheetName val="P&amp;L-QTR"/>
      <sheetName val="GD-QTR"/>
      <sheetName val="GE-QTR"/>
      <sheetName val="GF-QTR"/>
      <sheetName val="CF"/>
      <sheetName val="Notes"/>
      <sheetName val="Adjustment"/>
      <sheetName val="Equity (2)"/>
      <sheetName val="Equity_(2)"/>
      <sheetName val="Aylı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Currency"/>
      <sheetName val="DropDown"/>
      <sheetName val="Customize Your Invoice"/>
      <sheetName val="SVR-Interface"/>
      <sheetName val="ImpPurJournal"/>
      <sheetName val="Pharma - Govt"/>
      <sheetName val="Sheet1"/>
      <sheetName val="Detail for BOD approval"/>
      <sheetName val="Classification"/>
      <sheetName val="Notes1-5"/>
      <sheetName val="Cutt"/>
      <sheetName val="Notes"/>
      <sheetName val="TRAN"/>
      <sheetName val="INPUT"/>
      <sheetName val="Bal Project Wise"/>
      <sheetName val="AT&amp;T"/>
      <sheetName val="AT&amp;T Canada"/>
      <sheetName val="Bell Nexxia"/>
      <sheetName val="Local+dil (Ex-stock)"/>
      <sheetName val="Augbkp98"/>
      <sheetName val="Notes1_5"/>
      <sheetName val="CARs' 99 Summary Info. (B&amp;A)"/>
      <sheetName val="ProfitProv"/>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1_5"/>
      <sheetName val="II- INV CO"/>
      <sheetName val="Overview"/>
      <sheetName val="Drop Down"/>
    </sheetNames>
    <sheetDataSet>
      <sheetData sheetId="0">
        <row r="46">
          <cell r="B46">
            <v>9523000</v>
          </cell>
        </row>
      </sheetData>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Links"/>
      <sheetName val="Value In Use - Trea"/>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sheetData sheetId="22"/>
      <sheetData sheetId="23"/>
      <sheetData sheetId="24"/>
      <sheetData sheetId="25" refreshError="1"/>
      <sheetData sheetId="26"/>
      <sheetData sheetId="27"/>
      <sheetData sheetId="28" refreshError="1"/>
      <sheetData sheetId="29" refreshError="1"/>
      <sheetData sheetId="30"/>
      <sheetData sheetId="31"/>
      <sheetData sheetId="32"/>
      <sheetData sheetId="33" refreshError="1"/>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Revenue-Fire-Marine-Motor"/>
      <sheetName val="Add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Cwip"/>
      <sheetName val="Touimi Tarek"/>
      <sheetName val="Elim"/>
      <sheetName val="Specific - Provision Financing"/>
      <sheetName val="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LS-UAE"/>
      <sheetName val="EMOF Portfolio"/>
      <sheetName val="region_wise_recovery5"/>
      <sheetName val="region_wise_stuckup5"/>
      <sheetName val="REV-SH_"/>
      <sheetName val="balance sheet"/>
      <sheetName val="balance_sheet"/>
      <sheetName val="DATA"/>
      <sheetName val="GROUPING"/>
      <sheetName val="SCHEDULES"/>
      <sheetName val="TGL"/>
      <sheetName val="lp"/>
      <sheetName val="Currency"/>
      <sheetName val="settings"/>
      <sheetName val="last qrt2001"/>
      <sheetName val="REV-SH_1"/>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v>0</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est Documentation"/>
      <sheetName val="Detailed Control Testing"/>
      <sheetName val="Drop down"/>
    </sheetNames>
    <sheetDataSet>
      <sheetData sheetId="0" refreshError="1"/>
      <sheetData sheetId="1" refreshError="1"/>
      <sheetData sheetId="2">
        <row r="7">
          <cell r="C7" t="str">
            <v>Multiple times a day</v>
          </cell>
          <cell r="G7" t="str">
            <v>Yes</v>
          </cell>
        </row>
        <row r="8">
          <cell r="C8" t="str">
            <v>Daily</v>
          </cell>
          <cell r="G8" t="str">
            <v>No</v>
          </cell>
        </row>
        <row r="9">
          <cell r="C9" t="str">
            <v>Weekly</v>
          </cell>
          <cell r="G9" t="str">
            <v>N/A</v>
          </cell>
        </row>
        <row r="10">
          <cell r="C10" t="str">
            <v>Monthly</v>
          </cell>
        </row>
        <row r="11">
          <cell r="C11" t="str">
            <v>Quarterly</v>
          </cell>
        </row>
        <row r="12">
          <cell r="C12" t="str">
            <v>Annually</v>
          </cell>
        </row>
        <row r="13">
          <cell r="C13" t="str">
            <v>Other</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ProfitProv"/>
      <sheetName val="Cost_of_sales"/>
      <sheetName val="RevCost_of_sales"/>
      <sheetName val="Fin_Chgs"/>
      <sheetName val="Trade_Debts"/>
      <sheetName val="Loanadv_"/>
      <sheetName val="Other_Rec"/>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rowdata"/>
      <sheetName val="Profit Worksheet"/>
      <sheetName val="statacc"/>
      <sheetName val="Genome"/>
      <sheetName val="BankSmart"/>
      <sheetName val="TDR"/>
      <sheetName val="TermLoan"/>
      <sheetName val="Deposit"/>
      <sheetName val="Abu_Dhabi"/>
      <sheetName val="TOTAL_OVS_BRS_ST_AUG_02"/>
      <sheetName val="Profit_Worksheet"/>
      <sheetName val="Abu_Dhabi1"/>
      <sheetName val="TOTAL_OVS_BRS_ST_AUG_021"/>
      <sheetName val="Profit_Worksheet1"/>
      <sheetName val="FIB"/>
      <sheetName val="Abu_Dhabi2"/>
      <sheetName val="TOTAL_OVS_BRS_ST_AUG_022"/>
      <sheetName val="Profit_Work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sheetData sheetId="22"/>
      <sheetData sheetId="2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Analytics Summar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old"/>
      <sheetName val="OCI"/>
      <sheetName val="DS"/>
      <sheetName val="UHF - Mcb"/>
      <sheetName val="UHF - EY"/>
      <sheetName val="UHF - LY"/>
      <sheetName val="CFS"/>
      <sheetName val="Notes 1-5.1"/>
      <sheetName val="6-6.1.2"/>
      <sheetName val="6.2-6.2.1"/>
      <sheetName val="6.3-6.4.2"/>
      <sheetName val="old tfcs"/>
      <sheetName val="6.4.3-6.4.4"/>
      <sheetName val="6.5"/>
      <sheetName val="7-16"/>
      <sheetName val="13-16"/>
      <sheetName val="16-19"/>
      <sheetName val="19.2"/>
      <sheetName val="19.2 (2)"/>
      <sheetName val="17-17.1"/>
      <sheetName val="17.2-17.3"/>
      <sheetName val="18-18.1.1"/>
      <sheetName val="20-20.2"/>
      <sheetName val="18.1.1-18.1.3"/>
      <sheetName val="18.2-19"/>
      <sheetName val="20"/>
      <sheetName val="21-25"/>
      <sheetName val="TB - Final"/>
      <sheetName val="Lead"/>
      <sheetName val="11-14"/>
      <sheetName val="CF wrkng"/>
      <sheetName val="RP Working"/>
      <sheetName val="UHF Working"/>
      <sheetName val="unitsholding"/>
      <sheetName val="Links"/>
      <sheetName val="Tickmarks"/>
      <sheetName val="Form 7"/>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F2" t="str">
            <v>Preliminary</v>
          </cell>
          <cell r="H2" t="str">
            <v>AJE</v>
          </cell>
          <cell r="I2" t="str">
            <v>Adjusted</v>
          </cell>
          <cell r="J2" t="str">
            <v>RJE</v>
          </cell>
          <cell r="K2" t="str">
            <v>June  2014</v>
          </cell>
          <cell r="M2" t="str">
            <v>30-06-13</v>
          </cell>
        </row>
        <row r="4">
          <cell r="F4">
            <v>613880</v>
          </cell>
          <cell r="H4">
            <v>0</v>
          </cell>
          <cell r="I4">
            <v>613880</v>
          </cell>
          <cell r="J4">
            <v>0</v>
          </cell>
          <cell r="K4">
            <v>613880</v>
          </cell>
          <cell r="M4">
            <v>0</v>
          </cell>
        </row>
        <row r="5">
          <cell r="F5">
            <v>111</v>
          </cell>
          <cell r="H5">
            <v>0</v>
          </cell>
          <cell r="I5">
            <v>111</v>
          </cell>
          <cell r="J5">
            <v>0</v>
          </cell>
          <cell r="K5">
            <v>111</v>
          </cell>
          <cell r="M5">
            <v>0</v>
          </cell>
        </row>
        <row r="6">
          <cell r="F6">
            <v>20397</v>
          </cell>
          <cell r="H6">
            <v>0</v>
          </cell>
          <cell r="I6">
            <v>20397</v>
          </cell>
          <cell r="J6">
            <v>0</v>
          </cell>
          <cell r="K6">
            <v>20397</v>
          </cell>
          <cell r="M6">
            <v>0</v>
          </cell>
        </row>
        <row r="7">
          <cell r="F7">
            <v>1096</v>
          </cell>
          <cell r="H7">
            <v>0</v>
          </cell>
          <cell r="I7">
            <v>1096</v>
          </cell>
          <cell r="J7">
            <v>0</v>
          </cell>
          <cell r="K7">
            <v>1096</v>
          </cell>
          <cell r="M7">
            <v>0</v>
          </cell>
        </row>
        <row r="8">
          <cell r="F8">
            <v>105</v>
          </cell>
          <cell r="H8">
            <v>0</v>
          </cell>
          <cell r="I8">
            <v>105</v>
          </cell>
          <cell r="J8">
            <v>0</v>
          </cell>
          <cell r="K8">
            <v>105</v>
          </cell>
          <cell r="M8">
            <v>0</v>
          </cell>
        </row>
        <row r="9">
          <cell r="F9">
            <v>1602065</v>
          </cell>
          <cell r="H9">
            <v>0</v>
          </cell>
          <cell r="I9">
            <v>1602065</v>
          </cell>
          <cell r="J9">
            <v>0</v>
          </cell>
          <cell r="K9">
            <v>1602065</v>
          </cell>
          <cell r="M9">
            <v>0</v>
          </cell>
        </row>
        <row r="10">
          <cell r="F10">
            <v>1472</v>
          </cell>
          <cell r="H10">
            <v>0</v>
          </cell>
          <cell r="I10">
            <v>1472</v>
          </cell>
          <cell r="J10">
            <v>0</v>
          </cell>
          <cell r="K10">
            <v>1472</v>
          </cell>
          <cell r="M10">
            <v>0</v>
          </cell>
        </row>
        <row r="11">
          <cell r="F11">
            <v>163194</v>
          </cell>
          <cell r="H11">
            <v>0</v>
          </cell>
          <cell r="I11">
            <v>163194</v>
          </cell>
          <cell r="J11">
            <v>0</v>
          </cell>
          <cell r="K11">
            <v>163194</v>
          </cell>
          <cell r="M11">
            <v>0</v>
          </cell>
        </row>
        <row r="12">
          <cell r="F12">
            <v>984</v>
          </cell>
          <cell r="H12">
            <v>0</v>
          </cell>
          <cell r="I12">
            <v>984</v>
          </cell>
          <cell r="J12">
            <v>0</v>
          </cell>
          <cell r="K12">
            <v>984</v>
          </cell>
          <cell r="M12">
            <v>0</v>
          </cell>
        </row>
        <row r="13">
          <cell r="F13">
            <v>24</v>
          </cell>
          <cell r="H13">
            <v>0</v>
          </cell>
          <cell r="I13">
            <v>24</v>
          </cell>
          <cell r="J13">
            <v>0</v>
          </cell>
          <cell r="K13">
            <v>24</v>
          </cell>
          <cell r="M13">
            <v>0</v>
          </cell>
        </row>
        <row r="14">
          <cell r="F14">
            <v>14</v>
          </cell>
          <cell r="H14">
            <v>0</v>
          </cell>
          <cell r="I14">
            <v>14</v>
          </cell>
          <cell r="J14">
            <v>0</v>
          </cell>
          <cell r="K14">
            <v>14</v>
          </cell>
          <cell r="M14">
            <v>0</v>
          </cell>
        </row>
        <row r="15">
          <cell r="F15">
            <v>491</v>
          </cell>
          <cell r="H15">
            <v>0</v>
          </cell>
          <cell r="I15">
            <v>491</v>
          </cell>
          <cell r="J15">
            <v>0</v>
          </cell>
          <cell r="K15">
            <v>491</v>
          </cell>
          <cell r="M15">
            <v>0</v>
          </cell>
        </row>
        <row r="16">
          <cell r="F16">
            <v>793</v>
          </cell>
          <cell r="H16">
            <v>0</v>
          </cell>
          <cell r="I16">
            <v>793</v>
          </cell>
          <cell r="J16">
            <v>0</v>
          </cell>
          <cell r="K16">
            <v>793</v>
          </cell>
          <cell r="M16">
            <v>0</v>
          </cell>
        </row>
        <row r="17">
          <cell r="F17">
            <v>6</v>
          </cell>
          <cell r="H17">
            <v>0</v>
          </cell>
          <cell r="I17">
            <v>6</v>
          </cell>
          <cell r="J17">
            <v>0</v>
          </cell>
          <cell r="K17">
            <v>6</v>
          </cell>
          <cell r="M17">
            <v>0</v>
          </cell>
        </row>
        <row r="18">
          <cell r="F18">
            <v>5</v>
          </cell>
          <cell r="H18">
            <v>0</v>
          </cell>
          <cell r="I18">
            <v>5</v>
          </cell>
          <cell r="J18">
            <v>0</v>
          </cell>
          <cell r="K18">
            <v>5</v>
          </cell>
          <cell r="M18">
            <v>0</v>
          </cell>
        </row>
        <row r="19">
          <cell r="F19">
            <v>0</v>
          </cell>
          <cell r="H19">
            <v>0</v>
          </cell>
          <cell r="I19">
            <v>0</v>
          </cell>
          <cell r="J19">
            <v>0</v>
          </cell>
          <cell r="K19">
            <v>0</v>
          </cell>
          <cell r="M19">
            <v>994</v>
          </cell>
        </row>
        <row r="20">
          <cell r="F20">
            <v>0</v>
          </cell>
          <cell r="H20">
            <v>0</v>
          </cell>
          <cell r="I20">
            <v>0</v>
          </cell>
          <cell r="J20">
            <v>0</v>
          </cell>
          <cell r="K20">
            <v>0</v>
          </cell>
          <cell r="M20">
            <v>252</v>
          </cell>
        </row>
        <row r="21">
          <cell r="F21">
            <v>0</v>
          </cell>
          <cell r="H21">
            <v>0</v>
          </cell>
          <cell r="I21">
            <v>0</v>
          </cell>
          <cell r="J21">
            <v>0</v>
          </cell>
          <cell r="K21">
            <v>0</v>
          </cell>
          <cell r="M21">
            <v>8743</v>
          </cell>
        </row>
        <row r="22">
          <cell r="F22">
            <v>0</v>
          </cell>
          <cell r="H22">
            <v>0</v>
          </cell>
          <cell r="I22">
            <v>0</v>
          </cell>
          <cell r="J22">
            <v>0</v>
          </cell>
          <cell r="K22">
            <v>0</v>
          </cell>
          <cell r="M22">
            <v>644</v>
          </cell>
        </row>
        <row r="23">
          <cell r="F23">
            <v>0</v>
          </cell>
          <cell r="H23">
            <v>0</v>
          </cell>
          <cell r="I23">
            <v>0</v>
          </cell>
          <cell r="J23">
            <v>0</v>
          </cell>
          <cell r="K23">
            <v>0</v>
          </cell>
          <cell r="M23">
            <v>14</v>
          </cell>
        </row>
        <row r="24">
          <cell r="F24">
            <v>0</v>
          </cell>
          <cell r="H24">
            <v>0</v>
          </cell>
          <cell r="I24">
            <v>0</v>
          </cell>
          <cell r="J24">
            <v>0</v>
          </cell>
          <cell r="K24">
            <v>0</v>
          </cell>
          <cell r="M24">
            <v>169619</v>
          </cell>
        </row>
        <row r="25">
          <cell r="F25">
            <v>0</v>
          </cell>
          <cell r="H25">
            <v>0</v>
          </cell>
          <cell r="I25">
            <v>0</v>
          </cell>
          <cell r="J25">
            <v>0</v>
          </cell>
          <cell r="K25">
            <v>0</v>
          </cell>
          <cell r="M25">
            <v>2362</v>
          </cell>
        </row>
        <row r="26">
          <cell r="F26">
            <v>0</v>
          </cell>
          <cell r="H26">
            <v>0</v>
          </cell>
          <cell r="I26">
            <v>0</v>
          </cell>
          <cell r="J26">
            <v>0</v>
          </cell>
          <cell r="K26">
            <v>0</v>
          </cell>
          <cell r="M26">
            <v>200664</v>
          </cell>
        </row>
        <row r="27">
          <cell r="F27">
            <v>0</v>
          </cell>
          <cell r="H27">
            <v>0</v>
          </cell>
          <cell r="I27">
            <v>0</v>
          </cell>
          <cell r="J27">
            <v>0</v>
          </cell>
          <cell r="K27">
            <v>0</v>
          </cell>
          <cell r="M27">
            <v>1549595</v>
          </cell>
        </row>
        <row r="28">
          <cell r="F28">
            <v>0</v>
          </cell>
          <cell r="H28">
            <v>0</v>
          </cell>
          <cell r="I28">
            <v>0</v>
          </cell>
          <cell r="J28">
            <v>0</v>
          </cell>
          <cell r="K28">
            <v>0</v>
          </cell>
          <cell r="M28">
            <v>477616</v>
          </cell>
        </row>
        <row r="29">
          <cell r="F29">
            <v>0</v>
          </cell>
          <cell r="H29">
            <v>0</v>
          </cell>
          <cell r="I29">
            <v>0</v>
          </cell>
          <cell r="J29">
            <v>0</v>
          </cell>
          <cell r="K29">
            <v>0</v>
          </cell>
          <cell r="M29">
            <v>822</v>
          </cell>
        </row>
        <row r="30">
          <cell r="F30">
            <v>0</v>
          </cell>
          <cell r="H30">
            <v>0</v>
          </cell>
          <cell r="I30">
            <v>0</v>
          </cell>
          <cell r="J30">
            <v>0</v>
          </cell>
          <cell r="K30">
            <v>0</v>
          </cell>
          <cell r="M30">
            <v>57042</v>
          </cell>
        </row>
        <row r="31">
          <cell r="F31">
            <v>0</v>
          </cell>
          <cell r="H31">
            <v>0</v>
          </cell>
          <cell r="I31">
            <v>0</v>
          </cell>
          <cell r="J31">
            <v>0</v>
          </cell>
          <cell r="K31">
            <v>0</v>
          </cell>
          <cell r="M31">
            <v>200023</v>
          </cell>
        </row>
        <row r="32">
          <cell r="F32">
            <v>2404637</v>
          </cell>
          <cell r="H32">
            <v>0</v>
          </cell>
          <cell r="I32">
            <v>2404637</v>
          </cell>
          <cell r="J32">
            <v>0</v>
          </cell>
          <cell r="K32">
            <v>2404637</v>
          </cell>
          <cell r="M32">
            <v>2668390</v>
          </cell>
        </row>
        <row r="34">
          <cell r="F34">
            <v>0</v>
          </cell>
          <cell r="H34">
            <v>0</v>
          </cell>
          <cell r="I34">
            <v>0</v>
          </cell>
          <cell r="J34">
            <v>0</v>
          </cell>
          <cell r="K34">
            <v>0</v>
          </cell>
          <cell r="M34">
            <v>0</v>
          </cell>
        </row>
        <row r="36">
          <cell r="F36">
            <v>1556878</v>
          </cell>
          <cell r="H36">
            <v>0</v>
          </cell>
          <cell r="I36">
            <v>1556878</v>
          </cell>
          <cell r="J36">
            <v>0</v>
          </cell>
          <cell r="K36">
            <v>1556878</v>
          </cell>
          <cell r="M36">
            <v>0</v>
          </cell>
        </row>
        <row r="37">
          <cell r="F37">
            <v>35528</v>
          </cell>
          <cell r="H37">
            <v>0</v>
          </cell>
          <cell r="I37">
            <v>35528</v>
          </cell>
          <cell r="J37">
            <v>0</v>
          </cell>
          <cell r="K37">
            <v>35528</v>
          </cell>
          <cell r="M37">
            <v>0</v>
          </cell>
        </row>
        <row r="38">
          <cell r="F38">
            <v>-112614</v>
          </cell>
          <cell r="H38">
            <v>0</v>
          </cell>
          <cell r="I38">
            <v>-112614</v>
          </cell>
          <cell r="J38">
            <v>0</v>
          </cell>
          <cell r="K38">
            <v>-112614</v>
          </cell>
          <cell r="M38">
            <v>0</v>
          </cell>
        </row>
        <row r="39">
          <cell r="F39">
            <v>0</v>
          </cell>
          <cell r="H39">
            <v>0</v>
          </cell>
          <cell r="I39">
            <v>0</v>
          </cell>
          <cell r="J39">
            <v>0</v>
          </cell>
          <cell r="K39">
            <v>0</v>
          </cell>
          <cell r="M39">
            <v>0</v>
          </cell>
        </row>
        <row r="40">
          <cell r="F40">
            <v>58184</v>
          </cell>
          <cell r="H40">
            <v>0</v>
          </cell>
          <cell r="I40">
            <v>58184</v>
          </cell>
          <cell r="J40">
            <v>0</v>
          </cell>
          <cell r="K40">
            <v>58184</v>
          </cell>
          <cell r="M40">
            <v>0</v>
          </cell>
        </row>
        <row r="41">
          <cell r="F41">
            <v>-58184</v>
          </cell>
          <cell r="H41">
            <v>0</v>
          </cell>
          <cell r="I41">
            <v>-58184</v>
          </cell>
          <cell r="J41">
            <v>0</v>
          </cell>
          <cell r="K41">
            <v>-58184</v>
          </cell>
          <cell r="M41">
            <v>0</v>
          </cell>
        </row>
        <row r="42">
          <cell r="F42">
            <v>0</v>
          </cell>
          <cell r="H42">
            <v>0</v>
          </cell>
          <cell r="I42">
            <v>0</v>
          </cell>
          <cell r="J42">
            <v>0</v>
          </cell>
          <cell r="K42">
            <v>0</v>
          </cell>
          <cell r="M42">
            <v>2214478</v>
          </cell>
        </row>
        <row r="43">
          <cell r="F43">
            <v>0</v>
          </cell>
          <cell r="H43">
            <v>0</v>
          </cell>
          <cell r="I43">
            <v>0</v>
          </cell>
          <cell r="J43">
            <v>0</v>
          </cell>
          <cell r="K43">
            <v>0</v>
          </cell>
          <cell r="M43">
            <v>11757</v>
          </cell>
        </row>
        <row r="44">
          <cell r="F44">
            <v>0</v>
          </cell>
          <cell r="H44">
            <v>0</v>
          </cell>
          <cell r="I44">
            <v>0</v>
          </cell>
          <cell r="J44">
            <v>0</v>
          </cell>
          <cell r="K44">
            <v>0</v>
          </cell>
          <cell r="M44">
            <v>-137306</v>
          </cell>
        </row>
        <row r="45">
          <cell r="F45">
            <v>0</v>
          </cell>
          <cell r="H45">
            <v>0</v>
          </cell>
          <cell r="I45">
            <v>0</v>
          </cell>
          <cell r="J45">
            <v>0</v>
          </cell>
          <cell r="K45">
            <v>0</v>
          </cell>
          <cell r="M45">
            <v>-152652</v>
          </cell>
        </row>
        <row r="46">
          <cell r="F46">
            <v>0</v>
          </cell>
          <cell r="H46">
            <v>0</v>
          </cell>
          <cell r="I46">
            <v>0</v>
          </cell>
          <cell r="J46">
            <v>0</v>
          </cell>
          <cell r="K46">
            <v>0</v>
          </cell>
          <cell r="M46">
            <v>21983</v>
          </cell>
        </row>
        <row r="47">
          <cell r="F47">
            <v>0</v>
          </cell>
          <cell r="H47">
            <v>0</v>
          </cell>
          <cell r="I47">
            <v>0</v>
          </cell>
          <cell r="J47">
            <v>0</v>
          </cell>
          <cell r="K47">
            <v>0</v>
          </cell>
          <cell r="M47">
            <v>35000</v>
          </cell>
        </row>
        <row r="48">
          <cell r="F48">
            <v>0</v>
          </cell>
          <cell r="H48">
            <v>0</v>
          </cell>
          <cell r="I48">
            <v>0</v>
          </cell>
          <cell r="J48">
            <v>0</v>
          </cell>
          <cell r="K48">
            <v>0</v>
          </cell>
          <cell r="M48">
            <v>-21983</v>
          </cell>
        </row>
        <row r="49">
          <cell r="F49">
            <v>0</v>
          </cell>
          <cell r="H49">
            <v>0</v>
          </cell>
          <cell r="I49">
            <v>0</v>
          </cell>
          <cell r="J49">
            <v>0</v>
          </cell>
          <cell r="K49">
            <v>0</v>
          </cell>
          <cell r="M49">
            <v>-35000</v>
          </cell>
        </row>
        <row r="50">
          <cell r="F50">
            <v>0</v>
          </cell>
          <cell r="H50">
            <v>0</v>
          </cell>
          <cell r="I50">
            <v>0</v>
          </cell>
          <cell r="J50">
            <v>0</v>
          </cell>
          <cell r="K50">
            <v>0</v>
          </cell>
          <cell r="M50">
            <v>0</v>
          </cell>
        </row>
        <row r="51">
          <cell r="F51">
            <v>1479792</v>
          </cell>
          <cell r="H51">
            <v>0</v>
          </cell>
          <cell r="I51">
            <v>1479792</v>
          </cell>
          <cell r="J51">
            <v>0</v>
          </cell>
          <cell r="K51">
            <v>1479792</v>
          </cell>
          <cell r="M51">
            <v>1936277</v>
          </cell>
        </row>
        <row r="53">
          <cell r="F53">
            <v>0</v>
          </cell>
          <cell r="H53">
            <v>0</v>
          </cell>
          <cell r="I53">
            <v>0</v>
          </cell>
          <cell r="J53">
            <v>0</v>
          </cell>
          <cell r="K53">
            <v>0</v>
          </cell>
          <cell r="M53">
            <v>0</v>
          </cell>
        </row>
        <row r="55">
          <cell r="F55">
            <v>214060</v>
          </cell>
          <cell r="H55">
            <v>0</v>
          </cell>
          <cell r="I55">
            <v>214060</v>
          </cell>
          <cell r="J55">
            <v>0</v>
          </cell>
          <cell r="K55">
            <v>214060</v>
          </cell>
          <cell r="M55">
            <v>0</v>
          </cell>
        </row>
        <row r="56">
          <cell r="F56">
            <v>-10</v>
          </cell>
          <cell r="H56">
            <v>0</v>
          </cell>
          <cell r="I56">
            <v>-10</v>
          </cell>
          <cell r="J56">
            <v>0</v>
          </cell>
          <cell r="K56">
            <v>-10</v>
          </cell>
          <cell r="M56">
            <v>0</v>
          </cell>
        </row>
        <row r="57">
          <cell r="F57">
            <v>-2113</v>
          </cell>
          <cell r="H57">
            <v>0</v>
          </cell>
          <cell r="I57">
            <v>-2113</v>
          </cell>
          <cell r="J57">
            <v>0</v>
          </cell>
          <cell r="K57">
            <v>-2113</v>
          </cell>
          <cell r="M57">
            <v>0</v>
          </cell>
        </row>
        <row r="58">
          <cell r="F58">
            <v>2800500</v>
          </cell>
          <cell r="H58">
            <v>0</v>
          </cell>
          <cell r="I58">
            <v>2800500</v>
          </cell>
          <cell r="J58">
            <v>0</v>
          </cell>
          <cell r="K58">
            <v>2800500</v>
          </cell>
          <cell r="M58">
            <v>0</v>
          </cell>
        </row>
        <row r="59">
          <cell r="F59">
            <v>-188</v>
          </cell>
          <cell r="H59">
            <v>0</v>
          </cell>
          <cell r="I59">
            <v>-188</v>
          </cell>
          <cell r="J59">
            <v>0</v>
          </cell>
          <cell r="K59">
            <v>-188</v>
          </cell>
          <cell r="M59">
            <v>0</v>
          </cell>
        </row>
        <row r="60">
          <cell r="F60">
            <v>7655</v>
          </cell>
          <cell r="H60">
            <v>0</v>
          </cell>
          <cell r="I60">
            <v>7655</v>
          </cell>
          <cell r="J60">
            <v>0</v>
          </cell>
          <cell r="K60">
            <v>7655</v>
          </cell>
          <cell r="M60">
            <v>0</v>
          </cell>
        </row>
        <row r="61">
          <cell r="F61">
            <v>3454000</v>
          </cell>
          <cell r="H61">
            <v>0</v>
          </cell>
          <cell r="I61">
            <v>3454000</v>
          </cell>
          <cell r="J61">
            <v>0</v>
          </cell>
          <cell r="K61">
            <v>3454000</v>
          </cell>
          <cell r="M61">
            <v>0</v>
          </cell>
        </row>
        <row r="62">
          <cell r="F62">
            <v>3202</v>
          </cell>
          <cell r="H62">
            <v>0</v>
          </cell>
          <cell r="I62">
            <v>3202</v>
          </cell>
          <cell r="J62">
            <v>0</v>
          </cell>
          <cell r="K62">
            <v>3202</v>
          </cell>
          <cell r="M62">
            <v>0</v>
          </cell>
        </row>
        <row r="63">
          <cell r="F63">
            <v>-49948</v>
          </cell>
          <cell r="H63">
            <v>0</v>
          </cell>
          <cell r="I63">
            <v>-49948</v>
          </cell>
          <cell r="J63">
            <v>0</v>
          </cell>
          <cell r="K63">
            <v>-49948</v>
          </cell>
          <cell r="M63">
            <v>0</v>
          </cell>
        </row>
        <row r="64">
          <cell r="F64">
            <v>0</v>
          </cell>
          <cell r="H64">
            <v>0</v>
          </cell>
          <cell r="I64">
            <v>0</v>
          </cell>
          <cell r="J64">
            <v>0</v>
          </cell>
          <cell r="K64">
            <v>0</v>
          </cell>
          <cell r="M64">
            <v>2989650</v>
          </cell>
        </row>
        <row r="65">
          <cell r="F65">
            <v>0</v>
          </cell>
          <cell r="H65">
            <v>0</v>
          </cell>
          <cell r="I65">
            <v>0</v>
          </cell>
          <cell r="J65">
            <v>0</v>
          </cell>
          <cell r="K65">
            <v>0</v>
          </cell>
          <cell r="M65">
            <v>3334</v>
          </cell>
        </row>
        <row r="66">
          <cell r="F66">
            <v>0</v>
          </cell>
          <cell r="H66">
            <v>0</v>
          </cell>
          <cell r="I66">
            <v>0</v>
          </cell>
          <cell r="J66">
            <v>0</v>
          </cell>
          <cell r="K66">
            <v>0</v>
          </cell>
          <cell r="M66">
            <v>-100726</v>
          </cell>
        </row>
        <row r="67">
          <cell r="F67">
            <v>0</v>
          </cell>
          <cell r="H67">
            <v>0</v>
          </cell>
          <cell r="I67">
            <v>0</v>
          </cell>
          <cell r="J67">
            <v>0</v>
          </cell>
          <cell r="K67">
            <v>0</v>
          </cell>
          <cell r="M67">
            <v>1377700</v>
          </cell>
        </row>
        <row r="68">
          <cell r="F68">
            <v>0</v>
          </cell>
          <cell r="H68">
            <v>0</v>
          </cell>
          <cell r="I68">
            <v>0</v>
          </cell>
          <cell r="J68">
            <v>0</v>
          </cell>
          <cell r="K68">
            <v>0</v>
          </cell>
          <cell r="M68">
            <v>7568</v>
          </cell>
        </row>
        <row r="69">
          <cell r="F69">
            <v>0</v>
          </cell>
          <cell r="H69">
            <v>0</v>
          </cell>
          <cell r="I69">
            <v>0</v>
          </cell>
          <cell r="J69">
            <v>0</v>
          </cell>
          <cell r="K69">
            <v>0</v>
          </cell>
          <cell r="M69">
            <v>28595</v>
          </cell>
        </row>
        <row r="70">
          <cell r="F70">
            <v>0</v>
          </cell>
          <cell r="H70">
            <v>0</v>
          </cell>
          <cell r="I70">
            <v>0</v>
          </cell>
          <cell r="J70">
            <v>0</v>
          </cell>
          <cell r="K70">
            <v>0</v>
          </cell>
          <cell r="M70">
            <v>1805700</v>
          </cell>
        </row>
        <row r="71">
          <cell r="F71">
            <v>0</v>
          </cell>
          <cell r="H71">
            <v>0</v>
          </cell>
          <cell r="I71">
            <v>0</v>
          </cell>
          <cell r="J71">
            <v>0</v>
          </cell>
          <cell r="K71">
            <v>0</v>
          </cell>
          <cell r="M71">
            <v>-2233</v>
          </cell>
        </row>
        <row r="72">
          <cell r="F72">
            <v>0</v>
          </cell>
          <cell r="H72">
            <v>0</v>
          </cell>
          <cell r="I72">
            <v>0</v>
          </cell>
          <cell r="J72">
            <v>0</v>
          </cell>
          <cell r="K72">
            <v>0</v>
          </cell>
          <cell r="M72">
            <v>4888</v>
          </cell>
        </row>
        <row r="73">
          <cell r="F73">
            <v>6427158</v>
          </cell>
          <cell r="H73">
            <v>0</v>
          </cell>
          <cell r="I73">
            <v>6427158</v>
          </cell>
          <cell r="J73">
            <v>0</v>
          </cell>
          <cell r="K73">
            <v>6427158</v>
          </cell>
          <cell r="M73">
            <v>6114476</v>
          </cell>
        </row>
        <row r="75">
          <cell r="F75">
            <v>500000</v>
          </cell>
          <cell r="H75">
            <v>0</v>
          </cell>
          <cell r="I75">
            <v>500000</v>
          </cell>
          <cell r="J75">
            <v>0</v>
          </cell>
          <cell r="K75">
            <v>500000</v>
          </cell>
          <cell r="M75">
            <v>0</v>
          </cell>
        </row>
        <row r="76">
          <cell r="F76">
            <v>0</v>
          </cell>
          <cell r="H76">
            <v>0</v>
          </cell>
          <cell r="I76">
            <v>0</v>
          </cell>
          <cell r="J76">
            <v>0</v>
          </cell>
          <cell r="K76">
            <v>0</v>
          </cell>
          <cell r="M76">
            <v>500000</v>
          </cell>
        </row>
        <row r="77">
          <cell r="F77">
            <v>500000</v>
          </cell>
          <cell r="H77">
            <v>0</v>
          </cell>
          <cell r="I77">
            <v>500000</v>
          </cell>
          <cell r="J77">
            <v>0</v>
          </cell>
          <cell r="K77">
            <v>500000</v>
          </cell>
          <cell r="M77">
            <v>500000</v>
          </cell>
        </row>
        <row r="79">
          <cell r="F79">
            <v>0</v>
          </cell>
          <cell r="H79">
            <v>0</v>
          </cell>
          <cell r="I79">
            <v>0</v>
          </cell>
          <cell r="J79">
            <v>0</v>
          </cell>
          <cell r="K79">
            <v>0</v>
          </cell>
          <cell r="M79">
            <v>0</v>
          </cell>
        </row>
        <row r="81">
          <cell r="F81">
            <v>25279</v>
          </cell>
          <cell r="H81">
            <v>0</v>
          </cell>
          <cell r="I81">
            <v>25279</v>
          </cell>
          <cell r="J81">
            <v>0</v>
          </cell>
          <cell r="K81">
            <v>25279</v>
          </cell>
          <cell r="M81">
            <v>0</v>
          </cell>
        </row>
        <row r="82">
          <cell r="F82">
            <v>-23125</v>
          </cell>
          <cell r="H82">
            <v>0</v>
          </cell>
          <cell r="I82">
            <v>-23125</v>
          </cell>
          <cell r="J82">
            <v>0</v>
          </cell>
          <cell r="K82">
            <v>4</v>
          </cell>
          <cell r="M82">
            <v>0</v>
          </cell>
        </row>
        <row r="83">
          <cell r="F83">
            <v>6038</v>
          </cell>
          <cell r="H83">
            <v>0</v>
          </cell>
          <cell r="I83">
            <v>6038</v>
          </cell>
          <cell r="J83">
            <v>0</v>
          </cell>
          <cell r="K83">
            <v>6038</v>
          </cell>
          <cell r="M83">
            <v>0</v>
          </cell>
        </row>
        <row r="84">
          <cell r="F84">
            <v>4206</v>
          </cell>
          <cell r="H84">
            <v>0</v>
          </cell>
          <cell r="I84">
            <v>4206</v>
          </cell>
          <cell r="J84">
            <v>0</v>
          </cell>
          <cell r="K84">
            <v>4206</v>
          </cell>
          <cell r="M84">
            <v>0</v>
          </cell>
        </row>
        <row r="85">
          <cell r="F85">
            <v>1</v>
          </cell>
          <cell r="H85">
            <v>0</v>
          </cell>
          <cell r="I85">
            <v>1</v>
          </cell>
          <cell r="J85">
            <v>0</v>
          </cell>
          <cell r="K85">
            <v>1</v>
          </cell>
          <cell r="M85">
            <v>0</v>
          </cell>
        </row>
        <row r="86">
          <cell r="F86">
            <v>62</v>
          </cell>
          <cell r="H86">
            <v>0</v>
          </cell>
          <cell r="I86">
            <v>62</v>
          </cell>
          <cell r="J86">
            <v>0</v>
          </cell>
          <cell r="K86">
            <v>62</v>
          </cell>
          <cell r="M86">
            <v>0</v>
          </cell>
        </row>
        <row r="87">
          <cell r="F87">
            <v>391</v>
          </cell>
          <cell r="H87">
            <v>0</v>
          </cell>
          <cell r="I87">
            <v>391</v>
          </cell>
          <cell r="J87">
            <v>0</v>
          </cell>
          <cell r="K87">
            <v>391</v>
          </cell>
          <cell r="M87">
            <v>0</v>
          </cell>
        </row>
        <row r="88">
          <cell r="F88">
            <v>0</v>
          </cell>
          <cell r="H88">
            <v>0</v>
          </cell>
          <cell r="I88">
            <v>0</v>
          </cell>
          <cell r="J88">
            <v>0</v>
          </cell>
          <cell r="K88">
            <v>0</v>
          </cell>
          <cell r="M88">
            <v>0</v>
          </cell>
        </row>
        <row r="89">
          <cell r="F89">
            <v>3669</v>
          </cell>
          <cell r="H89">
            <v>0</v>
          </cell>
          <cell r="I89">
            <v>3669</v>
          </cell>
          <cell r="J89">
            <v>0</v>
          </cell>
          <cell r="K89">
            <v>3669</v>
          </cell>
          <cell r="M89">
            <v>0</v>
          </cell>
        </row>
        <row r="90">
          <cell r="F90">
            <v>277</v>
          </cell>
          <cell r="H90">
            <v>0</v>
          </cell>
          <cell r="I90">
            <v>277</v>
          </cell>
          <cell r="J90">
            <v>0</v>
          </cell>
          <cell r="K90">
            <v>277</v>
          </cell>
          <cell r="M90">
            <v>0</v>
          </cell>
        </row>
        <row r="91">
          <cell r="F91">
            <v>7</v>
          </cell>
          <cell r="H91">
            <v>0</v>
          </cell>
          <cell r="I91">
            <v>7</v>
          </cell>
          <cell r="J91">
            <v>0</v>
          </cell>
          <cell r="K91">
            <v>7</v>
          </cell>
          <cell r="M91">
            <v>0</v>
          </cell>
        </row>
        <row r="92">
          <cell r="F92">
            <v>0</v>
          </cell>
          <cell r="H92">
            <v>0</v>
          </cell>
          <cell r="I92">
            <v>0</v>
          </cell>
          <cell r="J92">
            <v>0</v>
          </cell>
          <cell r="K92">
            <v>0</v>
          </cell>
          <cell r="M92">
            <v>0</v>
          </cell>
        </row>
        <row r="93">
          <cell r="F93">
            <v>19</v>
          </cell>
          <cell r="H93">
            <v>0</v>
          </cell>
          <cell r="I93">
            <v>19</v>
          </cell>
          <cell r="J93">
            <v>0</v>
          </cell>
          <cell r="K93">
            <v>19</v>
          </cell>
          <cell r="M93">
            <v>0</v>
          </cell>
        </row>
        <row r="94">
          <cell r="F94">
            <v>3</v>
          </cell>
          <cell r="H94">
            <v>0</v>
          </cell>
          <cell r="I94">
            <v>3</v>
          </cell>
          <cell r="J94">
            <v>0</v>
          </cell>
          <cell r="K94">
            <v>3</v>
          </cell>
          <cell r="M94">
            <v>0</v>
          </cell>
        </row>
        <row r="95">
          <cell r="F95">
            <v>26421</v>
          </cell>
          <cell r="H95">
            <v>0</v>
          </cell>
          <cell r="I95">
            <v>26421</v>
          </cell>
          <cell r="J95">
            <v>0</v>
          </cell>
          <cell r="K95">
            <v>26421</v>
          </cell>
          <cell r="M95">
            <v>0</v>
          </cell>
        </row>
        <row r="96">
          <cell r="F96">
            <v>2682</v>
          </cell>
          <cell r="H96">
            <v>0</v>
          </cell>
          <cell r="I96">
            <v>2682</v>
          </cell>
          <cell r="J96">
            <v>0</v>
          </cell>
          <cell r="K96">
            <v>2682</v>
          </cell>
          <cell r="M96">
            <v>0</v>
          </cell>
        </row>
        <row r="97">
          <cell r="F97">
            <v>315815</v>
          </cell>
          <cell r="H97">
            <v>0</v>
          </cell>
          <cell r="I97">
            <v>315815</v>
          </cell>
          <cell r="J97">
            <v>0</v>
          </cell>
          <cell r="K97">
            <v>315815</v>
          </cell>
          <cell r="M97">
            <v>0</v>
          </cell>
        </row>
        <row r="98">
          <cell r="F98">
            <v>15878</v>
          </cell>
          <cell r="H98">
            <v>0</v>
          </cell>
          <cell r="I98">
            <v>15878</v>
          </cell>
          <cell r="J98">
            <v>0</v>
          </cell>
          <cell r="K98">
            <v>15878</v>
          </cell>
          <cell r="M98">
            <v>0</v>
          </cell>
        </row>
        <row r="99">
          <cell r="F99">
            <v>0</v>
          </cell>
          <cell r="H99">
            <v>0</v>
          </cell>
          <cell r="I99">
            <v>0</v>
          </cell>
          <cell r="J99">
            <v>0</v>
          </cell>
          <cell r="K99">
            <v>0</v>
          </cell>
          <cell r="M99">
            <v>18080</v>
          </cell>
        </row>
        <row r="100">
          <cell r="F100">
            <v>0</v>
          </cell>
          <cell r="H100">
            <v>0</v>
          </cell>
          <cell r="I100">
            <v>0</v>
          </cell>
          <cell r="J100">
            <v>0</v>
          </cell>
          <cell r="K100">
            <v>0</v>
          </cell>
          <cell r="M100">
            <v>9370</v>
          </cell>
        </row>
        <row r="101">
          <cell r="F101">
            <v>0</v>
          </cell>
          <cell r="H101">
            <v>0</v>
          </cell>
          <cell r="I101">
            <v>0</v>
          </cell>
          <cell r="J101">
            <v>0</v>
          </cell>
          <cell r="K101">
            <v>0</v>
          </cell>
          <cell r="M101">
            <v>10293</v>
          </cell>
        </row>
        <row r="102">
          <cell r="F102">
            <v>0</v>
          </cell>
          <cell r="H102">
            <v>0</v>
          </cell>
          <cell r="I102">
            <v>0</v>
          </cell>
          <cell r="J102">
            <v>0</v>
          </cell>
          <cell r="K102">
            <v>0</v>
          </cell>
          <cell r="M102">
            <v>51720</v>
          </cell>
        </row>
        <row r="103">
          <cell r="F103">
            <v>0</v>
          </cell>
          <cell r="H103">
            <v>0</v>
          </cell>
          <cell r="I103">
            <v>0</v>
          </cell>
          <cell r="J103">
            <v>0</v>
          </cell>
          <cell r="K103">
            <v>0</v>
          </cell>
          <cell r="M103">
            <v>4040</v>
          </cell>
        </row>
        <row r="104">
          <cell r="F104">
            <v>0</v>
          </cell>
          <cell r="H104">
            <v>0</v>
          </cell>
          <cell r="I104">
            <v>0</v>
          </cell>
          <cell r="J104">
            <v>0</v>
          </cell>
          <cell r="K104">
            <v>0</v>
          </cell>
          <cell r="M104">
            <v>-54310</v>
          </cell>
        </row>
        <row r="105">
          <cell r="F105">
            <v>0</v>
          </cell>
          <cell r="H105">
            <v>0</v>
          </cell>
          <cell r="I105">
            <v>0</v>
          </cell>
          <cell r="J105">
            <v>0</v>
          </cell>
          <cell r="K105">
            <v>0</v>
          </cell>
          <cell r="M105">
            <v>-9370</v>
          </cell>
        </row>
        <row r="106">
          <cell r="F106">
            <v>0</v>
          </cell>
          <cell r="H106">
            <v>0</v>
          </cell>
          <cell r="I106">
            <v>0</v>
          </cell>
          <cell r="J106">
            <v>0</v>
          </cell>
          <cell r="K106">
            <v>0</v>
          </cell>
          <cell r="M106">
            <v>-10293</v>
          </cell>
        </row>
        <row r="107">
          <cell r="F107">
            <v>0</v>
          </cell>
          <cell r="H107">
            <v>0</v>
          </cell>
          <cell r="I107">
            <v>0</v>
          </cell>
          <cell r="J107">
            <v>0</v>
          </cell>
          <cell r="K107">
            <v>0</v>
          </cell>
          <cell r="M107">
            <v>-2616</v>
          </cell>
        </row>
        <row r="108">
          <cell r="F108">
            <v>0</v>
          </cell>
          <cell r="H108">
            <v>0</v>
          </cell>
          <cell r="I108">
            <v>0</v>
          </cell>
          <cell r="J108">
            <v>0</v>
          </cell>
          <cell r="K108">
            <v>0</v>
          </cell>
          <cell r="M108">
            <v>37911</v>
          </cell>
        </row>
        <row r="109">
          <cell r="F109">
            <v>0</v>
          </cell>
          <cell r="H109">
            <v>0</v>
          </cell>
          <cell r="I109">
            <v>0</v>
          </cell>
          <cell r="J109">
            <v>0</v>
          </cell>
          <cell r="K109">
            <v>0</v>
          </cell>
          <cell r="M109">
            <v>16</v>
          </cell>
        </row>
        <row r="110">
          <cell r="F110">
            <v>0</v>
          </cell>
          <cell r="H110">
            <v>0</v>
          </cell>
          <cell r="I110">
            <v>0</v>
          </cell>
          <cell r="J110">
            <v>0</v>
          </cell>
          <cell r="K110">
            <v>0</v>
          </cell>
          <cell r="M110">
            <v>10</v>
          </cell>
        </row>
        <row r="111">
          <cell r="F111">
            <v>0</v>
          </cell>
          <cell r="H111">
            <v>0</v>
          </cell>
          <cell r="I111">
            <v>0</v>
          </cell>
          <cell r="J111">
            <v>0</v>
          </cell>
          <cell r="K111">
            <v>0</v>
          </cell>
          <cell r="M111">
            <v>888</v>
          </cell>
        </row>
        <row r="112">
          <cell r="F112">
            <v>0</v>
          </cell>
          <cell r="H112">
            <v>0</v>
          </cell>
          <cell r="I112">
            <v>0</v>
          </cell>
          <cell r="J112">
            <v>0</v>
          </cell>
          <cell r="K112">
            <v>0</v>
          </cell>
          <cell r="M112">
            <v>448</v>
          </cell>
        </row>
        <row r="113">
          <cell r="F113">
            <v>0</v>
          </cell>
          <cell r="H113">
            <v>0</v>
          </cell>
          <cell r="I113">
            <v>0</v>
          </cell>
          <cell r="J113">
            <v>0</v>
          </cell>
          <cell r="K113">
            <v>0</v>
          </cell>
          <cell r="M113">
            <v>14</v>
          </cell>
        </row>
        <row r="114">
          <cell r="F114">
            <v>0</v>
          </cell>
          <cell r="H114">
            <v>0</v>
          </cell>
          <cell r="I114">
            <v>0</v>
          </cell>
          <cell r="J114">
            <v>0</v>
          </cell>
          <cell r="K114">
            <v>0</v>
          </cell>
          <cell r="M114">
            <v>156</v>
          </cell>
        </row>
        <row r="115">
          <cell r="F115">
            <v>0</v>
          </cell>
          <cell r="H115">
            <v>0</v>
          </cell>
          <cell r="I115">
            <v>0</v>
          </cell>
          <cell r="J115">
            <v>0</v>
          </cell>
          <cell r="K115">
            <v>0</v>
          </cell>
          <cell r="M115">
            <v>1324</v>
          </cell>
        </row>
        <row r="116">
          <cell r="F116">
            <v>0</v>
          </cell>
          <cell r="H116">
            <v>0</v>
          </cell>
          <cell r="I116">
            <v>0</v>
          </cell>
          <cell r="J116">
            <v>0</v>
          </cell>
          <cell r="K116">
            <v>0</v>
          </cell>
          <cell r="M116">
            <v>3233</v>
          </cell>
        </row>
        <row r="117">
          <cell r="F117">
            <v>0</v>
          </cell>
          <cell r="H117">
            <v>0</v>
          </cell>
          <cell r="I117">
            <v>0</v>
          </cell>
          <cell r="J117">
            <v>0</v>
          </cell>
          <cell r="K117">
            <v>0</v>
          </cell>
          <cell r="M117">
            <v>419</v>
          </cell>
        </row>
        <row r="118">
          <cell r="F118">
            <v>0</v>
          </cell>
          <cell r="H118">
            <v>0</v>
          </cell>
          <cell r="I118">
            <v>0</v>
          </cell>
          <cell r="J118">
            <v>0</v>
          </cell>
          <cell r="K118">
            <v>0</v>
          </cell>
          <cell r="M118">
            <v>8</v>
          </cell>
        </row>
        <row r="119">
          <cell r="F119">
            <v>0</v>
          </cell>
          <cell r="H119">
            <v>0</v>
          </cell>
          <cell r="I119">
            <v>0</v>
          </cell>
          <cell r="J119">
            <v>0</v>
          </cell>
          <cell r="K119">
            <v>0</v>
          </cell>
          <cell r="M119">
            <v>16114</v>
          </cell>
        </row>
        <row r="120">
          <cell r="F120">
            <v>0</v>
          </cell>
          <cell r="H120">
            <v>0</v>
          </cell>
          <cell r="I120">
            <v>0</v>
          </cell>
          <cell r="J120">
            <v>0</v>
          </cell>
          <cell r="K120">
            <v>0</v>
          </cell>
          <cell r="M120">
            <v>7691</v>
          </cell>
        </row>
        <row r="121">
          <cell r="F121">
            <v>0</v>
          </cell>
          <cell r="H121">
            <v>0</v>
          </cell>
          <cell r="I121">
            <v>0</v>
          </cell>
          <cell r="J121">
            <v>0</v>
          </cell>
          <cell r="K121">
            <v>0</v>
          </cell>
          <cell r="M121">
            <v>391</v>
          </cell>
        </row>
        <row r="122">
          <cell r="F122">
            <v>0</v>
          </cell>
          <cell r="H122">
            <v>0</v>
          </cell>
          <cell r="I122">
            <v>0</v>
          </cell>
          <cell r="J122">
            <v>0</v>
          </cell>
          <cell r="K122">
            <v>0</v>
          </cell>
          <cell r="M122">
            <v>644</v>
          </cell>
        </row>
        <row r="123">
          <cell r="F123">
            <v>0</v>
          </cell>
          <cell r="H123">
            <v>0</v>
          </cell>
          <cell r="I123">
            <v>0</v>
          </cell>
          <cell r="J123">
            <v>0</v>
          </cell>
          <cell r="K123">
            <v>0</v>
          </cell>
          <cell r="M123">
            <v>39</v>
          </cell>
        </row>
        <row r="124">
          <cell r="F124">
            <v>0</v>
          </cell>
          <cell r="H124">
            <v>0</v>
          </cell>
          <cell r="I124">
            <v>0</v>
          </cell>
          <cell r="J124">
            <v>0</v>
          </cell>
          <cell r="K124">
            <v>0</v>
          </cell>
          <cell r="M124">
            <v>315</v>
          </cell>
        </row>
        <row r="125">
          <cell r="F125">
            <v>0</v>
          </cell>
          <cell r="H125">
            <v>0</v>
          </cell>
          <cell r="I125">
            <v>0</v>
          </cell>
          <cell r="J125">
            <v>0</v>
          </cell>
          <cell r="K125">
            <v>0</v>
          </cell>
          <cell r="M125">
            <v>1577</v>
          </cell>
        </row>
        <row r="126">
          <cell r="F126">
            <v>0</v>
          </cell>
          <cell r="H126">
            <v>0</v>
          </cell>
          <cell r="I126">
            <v>0</v>
          </cell>
          <cell r="J126">
            <v>0</v>
          </cell>
          <cell r="K126">
            <v>0</v>
          </cell>
          <cell r="M126">
            <v>1674</v>
          </cell>
        </row>
        <row r="127">
          <cell r="F127">
            <v>0</v>
          </cell>
          <cell r="H127">
            <v>0</v>
          </cell>
          <cell r="I127">
            <v>0</v>
          </cell>
          <cell r="J127">
            <v>0</v>
          </cell>
          <cell r="K127">
            <v>0</v>
          </cell>
          <cell r="M127">
            <v>407</v>
          </cell>
        </row>
        <row r="128">
          <cell r="F128">
            <v>0</v>
          </cell>
          <cell r="H128">
            <v>0</v>
          </cell>
          <cell r="I128">
            <v>0</v>
          </cell>
          <cell r="J128">
            <v>0</v>
          </cell>
          <cell r="K128">
            <v>0</v>
          </cell>
          <cell r="M128">
            <v>2589</v>
          </cell>
        </row>
        <row r="129">
          <cell r="F129">
            <v>0</v>
          </cell>
          <cell r="H129">
            <v>0</v>
          </cell>
          <cell r="I129">
            <v>0</v>
          </cell>
          <cell r="J129">
            <v>0</v>
          </cell>
          <cell r="K129">
            <v>0</v>
          </cell>
          <cell r="M129">
            <v>91</v>
          </cell>
        </row>
        <row r="130">
          <cell r="F130">
            <v>0</v>
          </cell>
          <cell r="H130">
            <v>0</v>
          </cell>
          <cell r="I130">
            <v>0</v>
          </cell>
          <cell r="J130">
            <v>0</v>
          </cell>
          <cell r="K130">
            <v>0</v>
          </cell>
          <cell r="M130">
            <v>1085</v>
          </cell>
        </row>
        <row r="131">
          <cell r="F131">
            <v>0</v>
          </cell>
          <cell r="H131">
            <v>0</v>
          </cell>
          <cell r="I131">
            <v>0</v>
          </cell>
          <cell r="J131">
            <v>0</v>
          </cell>
          <cell r="K131">
            <v>0</v>
          </cell>
          <cell r="M131">
            <v>233</v>
          </cell>
        </row>
        <row r="132">
          <cell r="F132">
            <v>0</v>
          </cell>
          <cell r="H132">
            <v>0</v>
          </cell>
          <cell r="I132">
            <v>0</v>
          </cell>
          <cell r="J132">
            <v>0</v>
          </cell>
          <cell r="K132">
            <v>0</v>
          </cell>
          <cell r="M132">
            <v>135</v>
          </cell>
        </row>
        <row r="133">
          <cell r="F133">
            <v>0</v>
          </cell>
          <cell r="H133">
            <v>0</v>
          </cell>
          <cell r="I133">
            <v>0</v>
          </cell>
          <cell r="J133">
            <v>0</v>
          </cell>
          <cell r="K133">
            <v>0</v>
          </cell>
          <cell r="M133">
            <v>14049</v>
          </cell>
        </row>
        <row r="134">
          <cell r="F134">
            <v>0</v>
          </cell>
          <cell r="H134">
            <v>0</v>
          </cell>
          <cell r="I134">
            <v>0</v>
          </cell>
          <cell r="J134">
            <v>0</v>
          </cell>
          <cell r="K134">
            <v>0</v>
          </cell>
          <cell r="M134">
            <v>104</v>
          </cell>
        </row>
        <row r="135">
          <cell r="F135">
            <v>0</v>
          </cell>
          <cell r="H135">
            <v>0</v>
          </cell>
          <cell r="I135">
            <v>0</v>
          </cell>
          <cell r="J135">
            <v>0</v>
          </cell>
          <cell r="K135">
            <v>0</v>
          </cell>
          <cell r="M135">
            <v>47142</v>
          </cell>
        </row>
        <row r="136">
          <cell r="F136">
            <v>0</v>
          </cell>
          <cell r="H136">
            <v>0</v>
          </cell>
          <cell r="I136">
            <v>0</v>
          </cell>
          <cell r="J136">
            <v>0</v>
          </cell>
          <cell r="K136">
            <v>0</v>
          </cell>
          <cell r="M136">
            <v>11304</v>
          </cell>
        </row>
        <row r="137">
          <cell r="F137">
            <v>0</v>
          </cell>
          <cell r="H137">
            <v>0</v>
          </cell>
          <cell r="I137">
            <v>0</v>
          </cell>
          <cell r="J137">
            <v>0</v>
          </cell>
          <cell r="K137">
            <v>0</v>
          </cell>
          <cell r="M137">
            <v>10814</v>
          </cell>
        </row>
        <row r="138">
          <cell r="F138">
            <v>0</v>
          </cell>
          <cell r="H138">
            <v>0</v>
          </cell>
          <cell r="I138">
            <v>0</v>
          </cell>
          <cell r="J138">
            <v>0</v>
          </cell>
          <cell r="K138">
            <v>0</v>
          </cell>
          <cell r="M138">
            <v>517</v>
          </cell>
        </row>
        <row r="139">
          <cell r="F139">
            <v>0</v>
          </cell>
          <cell r="H139">
            <v>0</v>
          </cell>
          <cell r="I139">
            <v>0</v>
          </cell>
          <cell r="J139">
            <v>0</v>
          </cell>
          <cell r="K139">
            <v>0</v>
          </cell>
          <cell r="M139">
            <v>246</v>
          </cell>
        </row>
        <row r="140">
          <cell r="F140">
            <v>0</v>
          </cell>
          <cell r="H140">
            <v>0</v>
          </cell>
          <cell r="I140">
            <v>0</v>
          </cell>
          <cell r="J140">
            <v>0</v>
          </cell>
          <cell r="K140">
            <v>0</v>
          </cell>
          <cell r="M140">
            <v>13884</v>
          </cell>
        </row>
        <row r="141">
          <cell r="F141">
            <v>0</v>
          </cell>
          <cell r="H141">
            <v>0</v>
          </cell>
          <cell r="I141">
            <v>0</v>
          </cell>
          <cell r="J141">
            <v>0</v>
          </cell>
          <cell r="K141">
            <v>0</v>
          </cell>
          <cell r="M141">
            <v>8868</v>
          </cell>
        </row>
        <row r="142">
          <cell r="F142">
            <v>377623</v>
          </cell>
          <cell r="H142">
            <v>0</v>
          </cell>
          <cell r="I142">
            <v>377623</v>
          </cell>
          <cell r="J142">
            <v>0</v>
          </cell>
          <cell r="K142">
            <v>377623</v>
          </cell>
          <cell r="M142">
            <v>201254</v>
          </cell>
        </row>
        <row r="144">
          <cell r="F144">
            <v>77500</v>
          </cell>
          <cell r="H144">
            <v>0</v>
          </cell>
          <cell r="I144">
            <v>77500</v>
          </cell>
          <cell r="J144">
            <v>0</v>
          </cell>
          <cell r="K144">
            <v>77500</v>
          </cell>
          <cell r="M144">
            <v>0</v>
          </cell>
        </row>
        <row r="145">
          <cell r="F145">
            <v>500</v>
          </cell>
          <cell r="H145">
            <v>0</v>
          </cell>
          <cell r="I145">
            <v>500</v>
          </cell>
          <cell r="J145">
            <v>0</v>
          </cell>
          <cell r="K145">
            <v>500</v>
          </cell>
          <cell r="M145">
            <v>0</v>
          </cell>
        </row>
        <row r="146">
          <cell r="F146">
            <v>2500</v>
          </cell>
          <cell r="H146">
            <v>0</v>
          </cell>
          <cell r="I146">
            <v>2500</v>
          </cell>
          <cell r="J146">
            <v>0</v>
          </cell>
          <cell r="K146">
            <v>2500</v>
          </cell>
          <cell r="M146">
            <v>0</v>
          </cell>
        </row>
        <row r="147">
          <cell r="F147">
            <v>200</v>
          </cell>
          <cell r="H147">
            <v>0</v>
          </cell>
          <cell r="I147">
            <v>200</v>
          </cell>
          <cell r="J147">
            <v>0</v>
          </cell>
          <cell r="K147">
            <v>200</v>
          </cell>
          <cell r="M147">
            <v>0</v>
          </cell>
        </row>
        <row r="148">
          <cell r="F148">
            <v>0</v>
          </cell>
          <cell r="H148">
            <v>0</v>
          </cell>
          <cell r="I148">
            <v>0</v>
          </cell>
          <cell r="J148">
            <v>0</v>
          </cell>
          <cell r="K148">
            <v>0</v>
          </cell>
          <cell r="M148">
            <v>0</v>
          </cell>
        </row>
        <row r="149">
          <cell r="F149">
            <v>101</v>
          </cell>
          <cell r="H149">
            <v>0</v>
          </cell>
          <cell r="I149">
            <v>101</v>
          </cell>
          <cell r="J149">
            <v>0</v>
          </cell>
          <cell r="K149">
            <v>101</v>
          </cell>
          <cell r="M149">
            <v>0</v>
          </cell>
        </row>
        <row r="150">
          <cell r="F150">
            <v>0</v>
          </cell>
          <cell r="H150">
            <v>0</v>
          </cell>
          <cell r="I150">
            <v>0</v>
          </cell>
          <cell r="J150">
            <v>0</v>
          </cell>
          <cell r="K150">
            <v>0</v>
          </cell>
          <cell r="M150">
            <v>500</v>
          </cell>
        </row>
        <row r="151">
          <cell r="F151">
            <v>0</v>
          </cell>
          <cell r="H151">
            <v>0</v>
          </cell>
          <cell r="I151">
            <v>0</v>
          </cell>
          <cell r="J151">
            <v>0</v>
          </cell>
          <cell r="K151">
            <v>0</v>
          </cell>
          <cell r="M151">
            <v>2500</v>
          </cell>
        </row>
        <row r="152">
          <cell r="F152">
            <v>0</v>
          </cell>
          <cell r="H152">
            <v>0</v>
          </cell>
          <cell r="I152">
            <v>0</v>
          </cell>
          <cell r="J152">
            <v>0</v>
          </cell>
          <cell r="K152">
            <v>0</v>
          </cell>
          <cell r="M152">
            <v>200</v>
          </cell>
        </row>
        <row r="153">
          <cell r="F153">
            <v>0</v>
          </cell>
          <cell r="H153">
            <v>0</v>
          </cell>
          <cell r="I153">
            <v>0</v>
          </cell>
          <cell r="J153">
            <v>0</v>
          </cell>
          <cell r="K153">
            <v>0</v>
          </cell>
          <cell r="M153">
            <v>100</v>
          </cell>
        </row>
        <row r="154">
          <cell r="F154">
            <v>80801</v>
          </cell>
          <cell r="H154">
            <v>0</v>
          </cell>
          <cell r="I154">
            <v>80801</v>
          </cell>
          <cell r="J154">
            <v>0</v>
          </cell>
          <cell r="K154">
            <v>80801</v>
          </cell>
          <cell r="M154">
            <v>3300</v>
          </cell>
        </row>
        <row r="156">
          <cell r="F156">
            <v>0</v>
          </cell>
          <cell r="H156">
            <v>0</v>
          </cell>
          <cell r="I156">
            <v>0</v>
          </cell>
          <cell r="J156">
            <v>0</v>
          </cell>
          <cell r="K156">
            <v>0</v>
          </cell>
          <cell r="M156">
            <v>11510</v>
          </cell>
        </row>
        <row r="157">
          <cell r="F157">
            <v>0</v>
          </cell>
          <cell r="H157">
            <v>0</v>
          </cell>
          <cell r="I157">
            <v>0</v>
          </cell>
          <cell r="J157">
            <v>0</v>
          </cell>
          <cell r="K157">
            <v>0</v>
          </cell>
          <cell r="M157">
            <v>-11510</v>
          </cell>
        </row>
        <row r="158">
          <cell r="F158">
            <v>0</v>
          </cell>
          <cell r="H158">
            <v>0</v>
          </cell>
          <cell r="I158">
            <v>0</v>
          </cell>
          <cell r="J158">
            <v>0</v>
          </cell>
          <cell r="K158">
            <v>0</v>
          </cell>
          <cell r="M158">
            <v>0</v>
          </cell>
        </row>
        <row r="160">
          <cell r="F160">
            <v>-13605</v>
          </cell>
          <cell r="H160">
            <v>0</v>
          </cell>
          <cell r="I160">
            <v>-13605</v>
          </cell>
          <cell r="J160">
            <v>0</v>
          </cell>
          <cell r="K160">
            <v>-13605</v>
          </cell>
          <cell r="M160">
            <v>0</v>
          </cell>
        </row>
        <row r="161">
          <cell r="F161">
            <v>-2177</v>
          </cell>
          <cell r="H161">
            <v>0</v>
          </cell>
          <cell r="I161">
            <v>-2177</v>
          </cell>
          <cell r="J161">
            <v>0</v>
          </cell>
          <cell r="K161">
            <v>-2177</v>
          </cell>
          <cell r="M161">
            <v>0</v>
          </cell>
        </row>
        <row r="162">
          <cell r="F162">
            <v>-31880</v>
          </cell>
          <cell r="H162">
            <v>0</v>
          </cell>
          <cell r="I162">
            <v>-31880</v>
          </cell>
          <cell r="J162">
            <v>0</v>
          </cell>
          <cell r="K162">
            <v>-31880</v>
          </cell>
          <cell r="M162">
            <v>0</v>
          </cell>
        </row>
        <row r="163">
          <cell r="F163">
            <v>0</v>
          </cell>
          <cell r="H163">
            <v>0</v>
          </cell>
          <cell r="I163">
            <v>0</v>
          </cell>
          <cell r="J163">
            <v>0</v>
          </cell>
          <cell r="K163">
            <v>0</v>
          </cell>
          <cell r="M163">
            <v>-14098</v>
          </cell>
        </row>
        <row r="164">
          <cell r="F164">
            <v>0</v>
          </cell>
          <cell r="H164">
            <v>0</v>
          </cell>
          <cell r="I164">
            <v>0</v>
          </cell>
          <cell r="J164">
            <v>0</v>
          </cell>
          <cell r="K164">
            <v>0</v>
          </cell>
          <cell r="M164">
            <v>-2471</v>
          </cell>
        </row>
        <row r="165">
          <cell r="F165">
            <v>0</v>
          </cell>
          <cell r="H165">
            <v>0</v>
          </cell>
          <cell r="I165">
            <v>0</v>
          </cell>
          <cell r="J165">
            <v>0</v>
          </cell>
          <cell r="K165">
            <v>0</v>
          </cell>
          <cell r="M165">
            <v>-1348</v>
          </cell>
        </row>
        <row r="166">
          <cell r="F166">
            <v>-47662</v>
          </cell>
          <cell r="H166">
            <v>0</v>
          </cell>
          <cell r="I166">
            <v>-47662</v>
          </cell>
          <cell r="J166">
            <v>0</v>
          </cell>
          <cell r="K166">
            <v>-47662</v>
          </cell>
          <cell r="M166">
            <v>-17917</v>
          </cell>
        </row>
        <row r="168">
          <cell r="F168">
            <v>-767</v>
          </cell>
          <cell r="H168">
            <v>0</v>
          </cell>
          <cell r="I168">
            <v>-767</v>
          </cell>
          <cell r="J168">
            <v>0</v>
          </cell>
          <cell r="K168">
            <v>-767</v>
          </cell>
          <cell r="M168">
            <v>0</v>
          </cell>
        </row>
        <row r="169">
          <cell r="F169">
            <v>0</v>
          </cell>
          <cell r="H169">
            <v>0</v>
          </cell>
          <cell r="I169">
            <v>0</v>
          </cell>
          <cell r="J169">
            <v>0</v>
          </cell>
          <cell r="K169">
            <v>0</v>
          </cell>
          <cell r="M169">
            <v>-789</v>
          </cell>
        </row>
        <row r="170">
          <cell r="F170">
            <v>-767</v>
          </cell>
          <cell r="H170">
            <v>0</v>
          </cell>
          <cell r="I170">
            <v>-767</v>
          </cell>
          <cell r="J170">
            <v>0</v>
          </cell>
          <cell r="K170">
            <v>-767</v>
          </cell>
          <cell r="M170">
            <v>-789</v>
          </cell>
        </row>
        <row r="172">
          <cell r="F172">
            <v>-8167</v>
          </cell>
          <cell r="H172">
            <v>0</v>
          </cell>
          <cell r="I172">
            <v>-8167</v>
          </cell>
          <cell r="J172">
            <v>0</v>
          </cell>
          <cell r="K172">
            <v>-8167</v>
          </cell>
          <cell r="M172">
            <v>0</v>
          </cell>
        </row>
        <row r="173">
          <cell r="F173">
            <v>0</v>
          </cell>
          <cell r="H173">
            <v>0</v>
          </cell>
          <cell r="I173">
            <v>0</v>
          </cell>
          <cell r="J173">
            <v>0</v>
          </cell>
          <cell r="K173">
            <v>0</v>
          </cell>
          <cell r="M173">
            <v>-7010</v>
          </cell>
        </row>
        <row r="174">
          <cell r="F174">
            <v>-8167</v>
          </cell>
          <cell r="H174">
            <v>0</v>
          </cell>
          <cell r="I174">
            <v>-8167</v>
          </cell>
          <cell r="J174">
            <v>0</v>
          </cell>
          <cell r="K174">
            <v>-8167</v>
          </cell>
          <cell r="M174">
            <v>-7010</v>
          </cell>
        </row>
        <row r="176">
          <cell r="F176">
            <v>0</v>
          </cell>
          <cell r="H176">
            <v>0</v>
          </cell>
          <cell r="I176">
            <v>0</v>
          </cell>
          <cell r="J176">
            <v>0</v>
          </cell>
          <cell r="K176">
            <v>0</v>
          </cell>
          <cell r="M176">
            <v>0</v>
          </cell>
        </row>
        <row r="178">
          <cell r="F178">
            <v>0</v>
          </cell>
          <cell r="H178">
            <v>0</v>
          </cell>
          <cell r="I178">
            <v>0</v>
          </cell>
          <cell r="J178">
            <v>0</v>
          </cell>
          <cell r="K178">
            <v>0</v>
          </cell>
          <cell r="M178">
            <v>0</v>
          </cell>
        </row>
        <row r="179">
          <cell r="F179">
            <v>0</v>
          </cell>
          <cell r="H179">
            <v>0</v>
          </cell>
          <cell r="I179">
            <v>0</v>
          </cell>
          <cell r="J179">
            <v>0</v>
          </cell>
          <cell r="K179">
            <v>0</v>
          </cell>
          <cell r="M179">
            <v>0</v>
          </cell>
        </row>
        <row r="180">
          <cell r="F180">
            <v>0</v>
          </cell>
          <cell r="H180">
            <v>0</v>
          </cell>
          <cell r="I180">
            <v>0</v>
          </cell>
          <cell r="J180">
            <v>0</v>
          </cell>
          <cell r="K180">
            <v>0</v>
          </cell>
          <cell r="M180">
            <v>0</v>
          </cell>
        </row>
        <row r="182">
          <cell r="F182">
            <v>-10583</v>
          </cell>
          <cell r="H182">
            <v>0</v>
          </cell>
          <cell r="I182">
            <v>-10583</v>
          </cell>
          <cell r="J182">
            <v>0</v>
          </cell>
          <cell r="K182">
            <v>-10583</v>
          </cell>
          <cell r="M182">
            <v>0</v>
          </cell>
        </row>
        <row r="183">
          <cell r="F183">
            <v>-502</v>
          </cell>
          <cell r="H183">
            <v>0</v>
          </cell>
          <cell r="I183">
            <v>-502</v>
          </cell>
          <cell r="J183">
            <v>0</v>
          </cell>
          <cell r="K183">
            <v>-502</v>
          </cell>
          <cell r="M183">
            <v>0</v>
          </cell>
        </row>
        <row r="184">
          <cell r="F184">
            <v>-98643</v>
          </cell>
          <cell r="H184">
            <v>0</v>
          </cell>
          <cell r="I184">
            <v>-98643</v>
          </cell>
          <cell r="J184">
            <v>0</v>
          </cell>
          <cell r="K184">
            <v>-98643</v>
          </cell>
          <cell r="M184">
            <v>0</v>
          </cell>
        </row>
        <row r="185">
          <cell r="F185">
            <v>-520</v>
          </cell>
          <cell r="H185">
            <v>0</v>
          </cell>
          <cell r="I185">
            <v>-520</v>
          </cell>
          <cell r="J185">
            <v>0</v>
          </cell>
          <cell r="K185">
            <v>-520</v>
          </cell>
          <cell r="M185">
            <v>0</v>
          </cell>
        </row>
        <row r="186">
          <cell r="F186">
            <v>-557</v>
          </cell>
          <cell r="H186">
            <v>0</v>
          </cell>
          <cell r="I186">
            <v>-557</v>
          </cell>
          <cell r="J186">
            <v>0</v>
          </cell>
          <cell r="K186">
            <v>-557</v>
          </cell>
          <cell r="M186">
            <v>0</v>
          </cell>
        </row>
        <row r="187">
          <cell r="F187">
            <v>0</v>
          </cell>
          <cell r="H187">
            <v>0</v>
          </cell>
          <cell r="I187">
            <v>0</v>
          </cell>
          <cell r="J187">
            <v>0</v>
          </cell>
          <cell r="K187">
            <v>0</v>
          </cell>
          <cell r="M187">
            <v>0</v>
          </cell>
        </row>
        <row r="188">
          <cell r="F188">
            <v>0</v>
          </cell>
          <cell r="H188">
            <v>0</v>
          </cell>
          <cell r="I188">
            <v>0</v>
          </cell>
          <cell r="J188">
            <v>0</v>
          </cell>
          <cell r="K188">
            <v>0</v>
          </cell>
          <cell r="M188">
            <v>0</v>
          </cell>
        </row>
        <row r="189">
          <cell r="F189">
            <v>-378</v>
          </cell>
          <cell r="H189">
            <v>0</v>
          </cell>
          <cell r="I189">
            <v>-378</v>
          </cell>
          <cell r="J189">
            <v>0</v>
          </cell>
          <cell r="K189">
            <v>-378</v>
          </cell>
          <cell r="M189">
            <v>0</v>
          </cell>
        </row>
        <row r="190">
          <cell r="F190">
            <v>-250</v>
          </cell>
          <cell r="H190">
            <v>0</v>
          </cell>
          <cell r="I190">
            <v>-250</v>
          </cell>
          <cell r="J190">
            <v>0</v>
          </cell>
          <cell r="K190">
            <v>-250</v>
          </cell>
          <cell r="M190">
            <v>0</v>
          </cell>
        </row>
        <row r="191">
          <cell r="F191">
            <v>0</v>
          </cell>
          <cell r="H191">
            <v>0</v>
          </cell>
          <cell r="I191">
            <v>0</v>
          </cell>
          <cell r="J191">
            <v>0</v>
          </cell>
          <cell r="K191">
            <v>0</v>
          </cell>
          <cell r="M191">
            <v>-198</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0</v>
          </cell>
          <cell r="H194">
            <v>0</v>
          </cell>
          <cell r="I194">
            <v>0</v>
          </cell>
          <cell r="J194">
            <v>0</v>
          </cell>
          <cell r="K194">
            <v>0</v>
          </cell>
          <cell r="M194">
            <v>0</v>
          </cell>
        </row>
        <row r="195">
          <cell r="F195">
            <v>0</v>
          </cell>
          <cell r="H195">
            <v>0</v>
          </cell>
          <cell r="I195">
            <v>0</v>
          </cell>
          <cell r="J195">
            <v>0</v>
          </cell>
          <cell r="K195">
            <v>0</v>
          </cell>
          <cell r="M195">
            <v>-123</v>
          </cell>
        </row>
        <row r="196">
          <cell r="F196">
            <v>0</v>
          </cell>
          <cell r="H196">
            <v>0</v>
          </cell>
          <cell r="I196">
            <v>0</v>
          </cell>
          <cell r="J196">
            <v>0</v>
          </cell>
          <cell r="K196">
            <v>0</v>
          </cell>
          <cell r="M196">
            <v>-90</v>
          </cell>
        </row>
        <row r="197">
          <cell r="F197">
            <v>0</v>
          </cell>
          <cell r="H197">
            <v>0</v>
          </cell>
          <cell r="I197">
            <v>0</v>
          </cell>
          <cell r="J197">
            <v>0</v>
          </cell>
          <cell r="K197">
            <v>0</v>
          </cell>
          <cell r="M197">
            <v>-3</v>
          </cell>
        </row>
        <row r="198">
          <cell r="F198">
            <v>0</v>
          </cell>
          <cell r="H198">
            <v>0</v>
          </cell>
          <cell r="I198">
            <v>0</v>
          </cell>
          <cell r="J198">
            <v>0</v>
          </cell>
          <cell r="K198">
            <v>0</v>
          </cell>
          <cell r="M198">
            <v>0</v>
          </cell>
        </row>
        <row r="199">
          <cell r="F199">
            <v>0</v>
          </cell>
          <cell r="H199">
            <v>0</v>
          </cell>
          <cell r="I199">
            <v>0</v>
          </cell>
          <cell r="J199">
            <v>0</v>
          </cell>
          <cell r="K199">
            <v>0</v>
          </cell>
          <cell r="M199">
            <v>-2</v>
          </cell>
        </row>
        <row r="200">
          <cell r="F200">
            <v>0</v>
          </cell>
          <cell r="H200">
            <v>0</v>
          </cell>
          <cell r="I200">
            <v>0</v>
          </cell>
          <cell r="J200">
            <v>0</v>
          </cell>
          <cell r="K200">
            <v>0</v>
          </cell>
          <cell r="M200">
            <v>-6</v>
          </cell>
        </row>
        <row r="201">
          <cell r="F201">
            <v>0</v>
          </cell>
          <cell r="H201">
            <v>0</v>
          </cell>
          <cell r="I201">
            <v>0</v>
          </cell>
          <cell r="J201">
            <v>0</v>
          </cell>
          <cell r="K201">
            <v>0</v>
          </cell>
          <cell r="M201">
            <v>-76372</v>
          </cell>
        </row>
        <row r="202">
          <cell r="F202">
            <v>0</v>
          </cell>
          <cell r="H202">
            <v>0</v>
          </cell>
          <cell r="I202">
            <v>0</v>
          </cell>
          <cell r="J202">
            <v>0</v>
          </cell>
          <cell r="K202">
            <v>0</v>
          </cell>
          <cell r="M202">
            <v>-610</v>
          </cell>
        </row>
        <row r="203">
          <cell r="F203">
            <v>0</v>
          </cell>
          <cell r="H203">
            <v>0</v>
          </cell>
          <cell r="I203">
            <v>0</v>
          </cell>
          <cell r="J203">
            <v>0</v>
          </cell>
          <cell r="K203">
            <v>0</v>
          </cell>
          <cell r="M203">
            <v>-57</v>
          </cell>
        </row>
        <row r="204">
          <cell r="F204">
            <v>0</v>
          </cell>
          <cell r="H204">
            <v>0</v>
          </cell>
          <cell r="I204">
            <v>0</v>
          </cell>
          <cell r="J204">
            <v>0</v>
          </cell>
          <cell r="K204">
            <v>0</v>
          </cell>
          <cell r="M204">
            <v>-10</v>
          </cell>
        </row>
        <row r="205">
          <cell r="F205">
            <v>0</v>
          </cell>
          <cell r="H205">
            <v>0</v>
          </cell>
          <cell r="I205">
            <v>0</v>
          </cell>
          <cell r="J205">
            <v>0</v>
          </cell>
          <cell r="K205">
            <v>0</v>
          </cell>
          <cell r="M205">
            <v>-1</v>
          </cell>
        </row>
        <row r="206">
          <cell r="F206">
            <v>0</v>
          </cell>
          <cell r="H206">
            <v>0</v>
          </cell>
          <cell r="I206">
            <v>0</v>
          </cell>
          <cell r="J206">
            <v>0</v>
          </cell>
          <cell r="K206">
            <v>0</v>
          </cell>
          <cell r="M206">
            <v>-83</v>
          </cell>
        </row>
        <row r="207">
          <cell r="F207">
            <v>0</v>
          </cell>
          <cell r="H207">
            <v>0</v>
          </cell>
          <cell r="I207">
            <v>0</v>
          </cell>
          <cell r="J207">
            <v>0</v>
          </cell>
          <cell r="K207">
            <v>0</v>
          </cell>
          <cell r="M207">
            <v>-378</v>
          </cell>
        </row>
        <row r="208">
          <cell r="F208">
            <v>0</v>
          </cell>
          <cell r="H208">
            <v>0</v>
          </cell>
          <cell r="I208">
            <v>0</v>
          </cell>
          <cell r="J208">
            <v>0</v>
          </cell>
          <cell r="K208">
            <v>0</v>
          </cell>
          <cell r="M208">
            <v>-300</v>
          </cell>
        </row>
        <row r="209">
          <cell r="F209">
            <v>-111433</v>
          </cell>
          <cell r="H209">
            <v>0</v>
          </cell>
          <cell r="I209">
            <v>-111433</v>
          </cell>
          <cell r="J209">
            <v>0</v>
          </cell>
          <cell r="K209">
            <v>-111433</v>
          </cell>
          <cell r="M209">
            <v>-78233</v>
          </cell>
        </row>
        <row r="211">
          <cell r="F211">
            <v>0</v>
          </cell>
          <cell r="H211">
            <v>0</v>
          </cell>
          <cell r="I211">
            <v>0</v>
          </cell>
          <cell r="J211">
            <v>0</v>
          </cell>
          <cell r="K211">
            <v>0</v>
          </cell>
          <cell r="M211">
            <v>0</v>
          </cell>
        </row>
        <row r="213">
          <cell r="F213">
            <v>0</v>
          </cell>
          <cell r="H213">
            <v>0</v>
          </cell>
          <cell r="I213">
            <v>0</v>
          </cell>
          <cell r="J213">
            <v>0</v>
          </cell>
          <cell r="K213">
            <v>0</v>
          </cell>
          <cell r="M213">
            <v>0</v>
          </cell>
        </row>
        <row r="215">
          <cell r="F215">
            <v>-7973245</v>
          </cell>
          <cell r="H215">
            <v>0</v>
          </cell>
          <cell r="I215">
            <v>-7973245</v>
          </cell>
          <cell r="J215">
            <v>0</v>
          </cell>
          <cell r="K215">
            <v>-7973245</v>
          </cell>
          <cell r="M215">
            <v>0</v>
          </cell>
        </row>
        <row r="216">
          <cell r="F216">
            <v>8281286</v>
          </cell>
          <cell r="H216">
            <v>0</v>
          </cell>
          <cell r="I216">
            <v>8281286</v>
          </cell>
          <cell r="J216">
            <v>0</v>
          </cell>
          <cell r="K216">
            <v>8281286</v>
          </cell>
          <cell r="M216">
            <v>0</v>
          </cell>
        </row>
        <row r="217">
          <cell r="F217">
            <v>-1150734</v>
          </cell>
          <cell r="H217">
            <v>0</v>
          </cell>
          <cell r="I217">
            <v>-1150734</v>
          </cell>
          <cell r="J217">
            <v>0</v>
          </cell>
          <cell r="K217">
            <v>-1150734</v>
          </cell>
          <cell r="M217">
            <v>0</v>
          </cell>
        </row>
        <row r="218">
          <cell r="F218">
            <v>2181674</v>
          </cell>
          <cell r="H218">
            <v>0</v>
          </cell>
          <cell r="I218">
            <v>2181674</v>
          </cell>
          <cell r="J218">
            <v>0</v>
          </cell>
          <cell r="K218">
            <v>2181674</v>
          </cell>
          <cell r="M218">
            <v>0</v>
          </cell>
        </row>
        <row r="219">
          <cell r="F219">
            <v>-1372215</v>
          </cell>
          <cell r="H219">
            <v>0</v>
          </cell>
          <cell r="I219">
            <v>-1372215</v>
          </cell>
          <cell r="J219">
            <v>0</v>
          </cell>
          <cell r="K219">
            <v>-1372215</v>
          </cell>
          <cell r="M219">
            <v>0</v>
          </cell>
        </row>
        <row r="220">
          <cell r="F220">
            <v>0</v>
          </cell>
          <cell r="H220">
            <v>0</v>
          </cell>
          <cell r="I220">
            <v>0</v>
          </cell>
          <cell r="J220">
            <v>0</v>
          </cell>
          <cell r="K220">
            <v>0</v>
          </cell>
          <cell r="M220">
            <v>-8544765</v>
          </cell>
        </row>
        <row r="221">
          <cell r="F221">
            <v>0</v>
          </cell>
          <cell r="H221">
            <v>0</v>
          </cell>
          <cell r="I221">
            <v>0</v>
          </cell>
          <cell r="J221">
            <v>0</v>
          </cell>
          <cell r="K221">
            <v>0</v>
          </cell>
          <cell r="M221">
            <v>-639549</v>
          </cell>
        </row>
        <row r="222">
          <cell r="F222">
            <v>0</v>
          </cell>
          <cell r="H222">
            <v>0</v>
          </cell>
          <cell r="I222">
            <v>0</v>
          </cell>
          <cell r="J222">
            <v>0</v>
          </cell>
          <cell r="K222">
            <v>0</v>
          </cell>
          <cell r="M222">
            <v>5431162</v>
          </cell>
        </row>
        <row r="223">
          <cell r="F223">
            <v>0</v>
          </cell>
          <cell r="H223">
            <v>0</v>
          </cell>
          <cell r="I223">
            <v>0</v>
          </cell>
          <cell r="J223">
            <v>0</v>
          </cell>
          <cell r="K223">
            <v>0</v>
          </cell>
          <cell r="M223">
            <v>-933762</v>
          </cell>
        </row>
        <row r="224">
          <cell r="F224">
            <v>0</v>
          </cell>
          <cell r="H224">
            <v>0</v>
          </cell>
          <cell r="I224">
            <v>0</v>
          </cell>
          <cell r="J224">
            <v>0</v>
          </cell>
          <cell r="K224">
            <v>0</v>
          </cell>
          <cell r="M224">
            <v>270996</v>
          </cell>
        </row>
        <row r="225">
          <cell r="F225">
            <v>-33234</v>
          </cell>
          <cell r="H225">
            <v>0</v>
          </cell>
          <cell r="I225">
            <v>-33234</v>
          </cell>
          <cell r="J225">
            <v>0</v>
          </cell>
          <cell r="K225">
            <v>-33234</v>
          </cell>
          <cell r="M225">
            <v>-4415918</v>
          </cell>
        </row>
        <row r="227">
          <cell r="F227">
            <v>-3202</v>
          </cell>
          <cell r="H227">
            <v>0</v>
          </cell>
          <cell r="I227">
            <v>-3202</v>
          </cell>
          <cell r="J227">
            <v>0</v>
          </cell>
          <cell r="K227">
            <v>-3202</v>
          </cell>
          <cell r="M227">
            <v>0</v>
          </cell>
        </row>
        <row r="228">
          <cell r="F228">
            <v>-3202</v>
          </cell>
          <cell r="H228">
            <v>0</v>
          </cell>
          <cell r="I228">
            <v>-3202</v>
          </cell>
          <cell r="J228">
            <v>0</v>
          </cell>
          <cell r="K228">
            <v>-3202</v>
          </cell>
          <cell r="M228">
            <v>0</v>
          </cell>
        </row>
        <row r="230">
          <cell r="F230">
            <v>1372215</v>
          </cell>
          <cell r="H230">
            <v>0</v>
          </cell>
          <cell r="I230">
            <v>1372215</v>
          </cell>
          <cell r="J230">
            <v>0</v>
          </cell>
          <cell r="K230">
            <v>1372215</v>
          </cell>
          <cell r="M230">
            <v>0</v>
          </cell>
        </row>
        <row r="231">
          <cell r="F231">
            <v>0</v>
          </cell>
          <cell r="H231">
            <v>0</v>
          </cell>
          <cell r="I231">
            <v>0</v>
          </cell>
          <cell r="J231">
            <v>0</v>
          </cell>
          <cell r="K231">
            <v>0</v>
          </cell>
          <cell r="M231">
            <v>639550</v>
          </cell>
        </row>
        <row r="232">
          <cell r="F232">
            <v>0</v>
          </cell>
          <cell r="H232">
            <v>0</v>
          </cell>
          <cell r="I232">
            <v>0</v>
          </cell>
          <cell r="J232">
            <v>0</v>
          </cell>
          <cell r="K232">
            <v>0</v>
          </cell>
          <cell r="M232">
            <v>-6696211</v>
          </cell>
        </row>
        <row r="233">
          <cell r="F233">
            <v>1372215</v>
          </cell>
          <cell r="H233">
            <v>0</v>
          </cell>
          <cell r="I233">
            <v>1372215</v>
          </cell>
          <cell r="J233">
            <v>0</v>
          </cell>
          <cell r="K233">
            <v>1372215</v>
          </cell>
          <cell r="M233">
            <v>-6056661</v>
          </cell>
        </row>
        <row r="235">
          <cell r="F235">
            <v>1281</v>
          </cell>
          <cell r="H235">
            <v>0</v>
          </cell>
          <cell r="I235">
            <v>1281</v>
          </cell>
          <cell r="J235">
            <v>0</v>
          </cell>
          <cell r="K235">
            <v>1281</v>
          </cell>
          <cell r="M235">
            <v>0</v>
          </cell>
        </row>
        <row r="236">
          <cell r="F236">
            <v>-11319750</v>
          </cell>
          <cell r="H236">
            <v>0</v>
          </cell>
          <cell r="I236">
            <v>-11319750</v>
          </cell>
          <cell r="J236">
            <v>0</v>
          </cell>
          <cell r="K236">
            <v>-11319750</v>
          </cell>
          <cell r="M236">
            <v>0</v>
          </cell>
        </row>
        <row r="237">
          <cell r="F237">
            <v>-11318469</v>
          </cell>
          <cell r="H237">
            <v>0</v>
          </cell>
          <cell r="I237">
            <v>-11318469</v>
          </cell>
          <cell r="J237">
            <v>0</v>
          </cell>
          <cell r="K237">
            <v>-11318469</v>
          </cell>
          <cell r="M237">
            <v>0</v>
          </cell>
        </row>
        <row r="239">
          <cell r="F239">
            <v>-27988</v>
          </cell>
          <cell r="H239">
            <v>0</v>
          </cell>
          <cell r="I239">
            <v>-27988</v>
          </cell>
          <cell r="J239">
            <v>0</v>
          </cell>
          <cell r="K239">
            <v>-27988</v>
          </cell>
          <cell r="M239">
            <v>0</v>
          </cell>
        </row>
        <row r="240">
          <cell r="F240">
            <v>0</v>
          </cell>
          <cell r="H240">
            <v>0</v>
          </cell>
          <cell r="I240">
            <v>0</v>
          </cell>
          <cell r="J240">
            <v>0</v>
          </cell>
          <cell r="K240">
            <v>0</v>
          </cell>
          <cell r="M240">
            <v>33242</v>
          </cell>
        </row>
        <row r="241">
          <cell r="F241">
            <v>-27988</v>
          </cell>
          <cell r="H241">
            <v>0</v>
          </cell>
          <cell r="I241">
            <v>-27988</v>
          </cell>
          <cell r="J241">
            <v>0</v>
          </cell>
          <cell r="K241">
            <v>-27988</v>
          </cell>
          <cell r="M241">
            <v>33242</v>
          </cell>
        </row>
        <row r="243">
          <cell r="F243">
            <v>-159</v>
          </cell>
          <cell r="H243">
            <v>0</v>
          </cell>
          <cell r="I243">
            <v>-159</v>
          </cell>
          <cell r="J243">
            <v>0</v>
          </cell>
          <cell r="K243">
            <v>-159</v>
          </cell>
          <cell r="M243">
            <v>0</v>
          </cell>
        </row>
        <row r="244">
          <cell r="F244">
            <v>0</v>
          </cell>
          <cell r="H244">
            <v>0</v>
          </cell>
          <cell r="I244">
            <v>0</v>
          </cell>
          <cell r="J244">
            <v>0</v>
          </cell>
          <cell r="K244">
            <v>0</v>
          </cell>
          <cell r="M244">
            <v>62517</v>
          </cell>
        </row>
        <row r="245">
          <cell r="F245">
            <v>-159</v>
          </cell>
          <cell r="H245">
            <v>0</v>
          </cell>
          <cell r="I245">
            <v>-159</v>
          </cell>
          <cell r="J245">
            <v>0</v>
          </cell>
          <cell r="K245">
            <v>-159</v>
          </cell>
          <cell r="M245">
            <v>62517</v>
          </cell>
        </row>
        <row r="247">
          <cell r="F247">
            <v>-3419</v>
          </cell>
          <cell r="H247">
            <v>0</v>
          </cell>
          <cell r="I247">
            <v>-3419</v>
          </cell>
          <cell r="J247">
            <v>0</v>
          </cell>
          <cell r="K247">
            <v>-3419</v>
          </cell>
          <cell r="M247">
            <v>0</v>
          </cell>
        </row>
        <row r="248">
          <cell r="F248">
            <v>-6273</v>
          </cell>
          <cell r="H248">
            <v>0</v>
          </cell>
          <cell r="I248">
            <v>-6273</v>
          </cell>
          <cell r="J248">
            <v>0</v>
          </cell>
          <cell r="K248">
            <v>-6273</v>
          </cell>
          <cell r="M248">
            <v>0</v>
          </cell>
        </row>
        <row r="249">
          <cell r="F249">
            <v>1074</v>
          </cell>
          <cell r="H249">
            <v>0</v>
          </cell>
          <cell r="I249">
            <v>1074</v>
          </cell>
          <cell r="J249">
            <v>0</v>
          </cell>
          <cell r="K249">
            <v>1074</v>
          </cell>
          <cell r="M249">
            <v>0</v>
          </cell>
        </row>
        <row r="250">
          <cell r="F250">
            <v>-1820</v>
          </cell>
          <cell r="H250">
            <v>0</v>
          </cell>
          <cell r="I250">
            <v>-1820</v>
          </cell>
          <cell r="J250">
            <v>0</v>
          </cell>
          <cell r="K250">
            <v>-1820</v>
          </cell>
          <cell r="M250">
            <v>0</v>
          </cell>
        </row>
        <row r="251">
          <cell r="F251">
            <v>0</v>
          </cell>
          <cell r="H251">
            <v>0</v>
          </cell>
          <cell r="I251">
            <v>0</v>
          </cell>
          <cell r="J251">
            <v>0</v>
          </cell>
          <cell r="K251">
            <v>0</v>
          </cell>
          <cell r="M251">
            <v>-258</v>
          </cell>
        </row>
        <row r="252">
          <cell r="F252">
            <v>0</v>
          </cell>
          <cell r="H252">
            <v>0</v>
          </cell>
          <cell r="I252">
            <v>0</v>
          </cell>
          <cell r="J252">
            <v>0</v>
          </cell>
          <cell r="K252">
            <v>0</v>
          </cell>
          <cell r="M252">
            <v>-67015</v>
          </cell>
        </row>
        <row r="253">
          <cell r="F253">
            <v>0</v>
          </cell>
          <cell r="H253">
            <v>0</v>
          </cell>
          <cell r="I253">
            <v>0</v>
          </cell>
          <cell r="J253">
            <v>0</v>
          </cell>
          <cell r="K253">
            <v>0</v>
          </cell>
          <cell r="M253">
            <v>-20995</v>
          </cell>
        </row>
        <row r="254">
          <cell r="F254">
            <v>0</v>
          </cell>
          <cell r="H254">
            <v>0</v>
          </cell>
          <cell r="I254">
            <v>0</v>
          </cell>
          <cell r="J254">
            <v>0</v>
          </cell>
          <cell r="K254">
            <v>0</v>
          </cell>
          <cell r="M254">
            <v>-5250</v>
          </cell>
        </row>
        <row r="255">
          <cell r="F255">
            <v>-10438</v>
          </cell>
          <cell r="H255">
            <v>0</v>
          </cell>
          <cell r="I255">
            <v>-10438</v>
          </cell>
          <cell r="J255">
            <v>0</v>
          </cell>
          <cell r="K255">
            <v>-10438</v>
          </cell>
          <cell r="M255">
            <v>-93518</v>
          </cell>
        </row>
        <row r="257">
          <cell r="F257">
            <v>0</v>
          </cell>
          <cell r="H257">
            <v>0</v>
          </cell>
          <cell r="I257">
            <v>0</v>
          </cell>
          <cell r="J257">
            <v>0</v>
          </cell>
          <cell r="K257">
            <v>0</v>
          </cell>
          <cell r="M257">
            <v>0</v>
          </cell>
        </row>
        <row r="259">
          <cell r="F259">
            <v>-176062</v>
          </cell>
          <cell r="H259">
            <v>0</v>
          </cell>
          <cell r="I259">
            <v>-176062</v>
          </cell>
          <cell r="J259">
            <v>0</v>
          </cell>
          <cell r="K259">
            <v>-176062</v>
          </cell>
          <cell r="M259">
            <v>0</v>
          </cell>
        </row>
        <row r="260">
          <cell r="F260">
            <v>-11255</v>
          </cell>
          <cell r="H260">
            <v>0</v>
          </cell>
          <cell r="I260">
            <v>-11255</v>
          </cell>
          <cell r="J260">
            <v>8</v>
          </cell>
          <cell r="K260">
            <v>-11247</v>
          </cell>
          <cell r="M260">
            <v>0</v>
          </cell>
        </row>
        <row r="261">
          <cell r="F261">
            <v>-44551</v>
          </cell>
          <cell r="H261">
            <v>0</v>
          </cell>
          <cell r="I261">
            <v>-44551</v>
          </cell>
          <cell r="J261">
            <v>0</v>
          </cell>
          <cell r="K261">
            <v>-44551</v>
          </cell>
          <cell r="M261">
            <v>0</v>
          </cell>
        </row>
        <row r="262">
          <cell r="F262">
            <v>0</v>
          </cell>
          <cell r="H262">
            <v>0</v>
          </cell>
          <cell r="I262">
            <v>0</v>
          </cell>
          <cell r="J262">
            <v>0</v>
          </cell>
          <cell r="K262">
            <v>0</v>
          </cell>
          <cell r="M262">
            <v>-761</v>
          </cell>
        </row>
        <row r="263">
          <cell r="F263">
            <v>0</v>
          </cell>
          <cell r="H263">
            <v>0</v>
          </cell>
          <cell r="I263">
            <v>0</v>
          </cell>
          <cell r="J263">
            <v>0</v>
          </cell>
          <cell r="K263">
            <v>0</v>
          </cell>
          <cell r="M263">
            <v>-29</v>
          </cell>
        </row>
        <row r="264">
          <cell r="F264">
            <v>0</v>
          </cell>
          <cell r="H264">
            <v>0</v>
          </cell>
          <cell r="I264">
            <v>0</v>
          </cell>
          <cell r="J264">
            <v>0</v>
          </cell>
          <cell r="K264">
            <v>0</v>
          </cell>
          <cell r="M264">
            <v>-5946</v>
          </cell>
        </row>
        <row r="265">
          <cell r="F265">
            <v>0</v>
          </cell>
          <cell r="H265">
            <v>0</v>
          </cell>
          <cell r="I265">
            <v>0</v>
          </cell>
          <cell r="J265">
            <v>0</v>
          </cell>
          <cell r="K265">
            <v>0</v>
          </cell>
          <cell r="M265">
            <v>-11575</v>
          </cell>
        </row>
        <row r="266">
          <cell r="F266">
            <v>0</v>
          </cell>
          <cell r="H266">
            <v>0</v>
          </cell>
          <cell r="I266">
            <v>0</v>
          </cell>
          <cell r="J266">
            <v>0</v>
          </cell>
          <cell r="K266">
            <v>0</v>
          </cell>
          <cell r="M266">
            <v>-4259</v>
          </cell>
        </row>
        <row r="267">
          <cell r="F267">
            <v>0</v>
          </cell>
          <cell r="H267">
            <v>0</v>
          </cell>
          <cell r="I267">
            <v>0</v>
          </cell>
          <cell r="J267">
            <v>0</v>
          </cell>
          <cell r="K267">
            <v>0</v>
          </cell>
          <cell r="M267">
            <v>-98</v>
          </cell>
        </row>
        <row r="268">
          <cell r="F268">
            <v>0</v>
          </cell>
          <cell r="H268">
            <v>0</v>
          </cell>
          <cell r="I268">
            <v>0</v>
          </cell>
          <cell r="J268">
            <v>0</v>
          </cell>
          <cell r="K268">
            <v>0</v>
          </cell>
          <cell r="M268">
            <v>-124</v>
          </cell>
        </row>
        <row r="269">
          <cell r="F269">
            <v>0</v>
          </cell>
          <cell r="H269">
            <v>0</v>
          </cell>
          <cell r="I269">
            <v>0</v>
          </cell>
          <cell r="J269">
            <v>0</v>
          </cell>
          <cell r="K269">
            <v>0</v>
          </cell>
          <cell r="M269">
            <v>-44723</v>
          </cell>
        </row>
        <row r="270">
          <cell r="F270">
            <v>0</v>
          </cell>
          <cell r="H270">
            <v>0</v>
          </cell>
          <cell r="I270">
            <v>0</v>
          </cell>
          <cell r="J270">
            <v>0</v>
          </cell>
          <cell r="K270">
            <v>0</v>
          </cell>
          <cell r="M270">
            <v>-25551</v>
          </cell>
        </row>
        <row r="271">
          <cell r="F271">
            <v>0</v>
          </cell>
          <cell r="H271">
            <v>0</v>
          </cell>
          <cell r="I271">
            <v>0</v>
          </cell>
          <cell r="J271">
            <v>0</v>
          </cell>
          <cell r="K271">
            <v>0</v>
          </cell>
          <cell r="M271">
            <v>-1477</v>
          </cell>
        </row>
        <row r="272">
          <cell r="F272">
            <v>0</v>
          </cell>
          <cell r="H272">
            <v>0</v>
          </cell>
          <cell r="I272">
            <v>0</v>
          </cell>
          <cell r="J272">
            <v>0</v>
          </cell>
          <cell r="K272">
            <v>0</v>
          </cell>
          <cell r="M272">
            <v>-4131</v>
          </cell>
        </row>
        <row r="273">
          <cell r="F273">
            <v>0</v>
          </cell>
          <cell r="H273">
            <v>0</v>
          </cell>
          <cell r="I273">
            <v>0</v>
          </cell>
          <cell r="J273">
            <v>0</v>
          </cell>
          <cell r="K273">
            <v>0</v>
          </cell>
          <cell r="M273">
            <v>-3120</v>
          </cell>
        </row>
        <row r="274">
          <cell r="F274">
            <v>0</v>
          </cell>
          <cell r="H274">
            <v>0</v>
          </cell>
          <cell r="I274">
            <v>0</v>
          </cell>
          <cell r="J274">
            <v>0</v>
          </cell>
          <cell r="K274">
            <v>0</v>
          </cell>
          <cell r="M274">
            <v>-5269</v>
          </cell>
        </row>
        <row r="275">
          <cell r="F275">
            <v>0</v>
          </cell>
          <cell r="H275">
            <v>0</v>
          </cell>
          <cell r="I275">
            <v>0</v>
          </cell>
          <cell r="J275">
            <v>0</v>
          </cell>
          <cell r="K275">
            <v>0</v>
          </cell>
          <cell r="M275">
            <v>-6965</v>
          </cell>
        </row>
        <row r="276">
          <cell r="F276">
            <v>0</v>
          </cell>
          <cell r="H276">
            <v>0</v>
          </cell>
          <cell r="I276">
            <v>0</v>
          </cell>
          <cell r="J276">
            <v>0</v>
          </cell>
          <cell r="K276">
            <v>0</v>
          </cell>
          <cell r="M276">
            <v>-5364</v>
          </cell>
        </row>
        <row r="277">
          <cell r="F277">
            <v>0</v>
          </cell>
          <cell r="H277">
            <v>0</v>
          </cell>
          <cell r="I277">
            <v>0</v>
          </cell>
          <cell r="J277">
            <v>0</v>
          </cell>
          <cell r="K277">
            <v>0</v>
          </cell>
          <cell r="M277">
            <v>-14878</v>
          </cell>
        </row>
        <row r="278">
          <cell r="F278">
            <v>0</v>
          </cell>
          <cell r="H278">
            <v>0</v>
          </cell>
          <cell r="I278">
            <v>0</v>
          </cell>
          <cell r="J278">
            <v>0</v>
          </cell>
          <cell r="K278">
            <v>0</v>
          </cell>
          <cell r="M278">
            <v>-5555</v>
          </cell>
        </row>
        <row r="279">
          <cell r="F279">
            <v>0</v>
          </cell>
          <cell r="H279">
            <v>0</v>
          </cell>
          <cell r="I279">
            <v>0</v>
          </cell>
          <cell r="J279">
            <v>0</v>
          </cell>
          <cell r="K279">
            <v>0</v>
          </cell>
          <cell r="M279">
            <v>-43860</v>
          </cell>
        </row>
        <row r="280">
          <cell r="F280">
            <v>0</v>
          </cell>
          <cell r="H280">
            <v>0</v>
          </cell>
          <cell r="I280">
            <v>0</v>
          </cell>
          <cell r="J280">
            <v>0</v>
          </cell>
          <cell r="K280">
            <v>0</v>
          </cell>
          <cell r="M280">
            <v>-972</v>
          </cell>
        </row>
        <row r="281">
          <cell r="F281">
            <v>0</v>
          </cell>
          <cell r="H281">
            <v>0</v>
          </cell>
          <cell r="I281">
            <v>0</v>
          </cell>
          <cell r="J281">
            <v>0</v>
          </cell>
          <cell r="K281">
            <v>0</v>
          </cell>
          <cell r="M281">
            <v>-2009</v>
          </cell>
        </row>
        <row r="282">
          <cell r="F282">
            <v>0</v>
          </cell>
          <cell r="H282">
            <v>0</v>
          </cell>
          <cell r="I282">
            <v>0</v>
          </cell>
          <cell r="J282">
            <v>0</v>
          </cell>
          <cell r="K282">
            <v>0</v>
          </cell>
          <cell r="M282">
            <v>-13664</v>
          </cell>
        </row>
        <row r="283">
          <cell r="F283">
            <v>0</v>
          </cell>
          <cell r="H283">
            <v>0</v>
          </cell>
          <cell r="I283">
            <v>0</v>
          </cell>
          <cell r="J283">
            <v>0</v>
          </cell>
          <cell r="K283">
            <v>0</v>
          </cell>
          <cell r="M283">
            <v>-11793</v>
          </cell>
        </row>
        <row r="284">
          <cell r="F284">
            <v>0</v>
          </cell>
          <cell r="H284">
            <v>0</v>
          </cell>
          <cell r="I284">
            <v>0</v>
          </cell>
          <cell r="J284">
            <v>0</v>
          </cell>
          <cell r="K284">
            <v>0</v>
          </cell>
          <cell r="M284">
            <v>-28669</v>
          </cell>
        </row>
        <row r="285">
          <cell r="F285">
            <v>0</v>
          </cell>
          <cell r="H285">
            <v>0</v>
          </cell>
          <cell r="I285">
            <v>0</v>
          </cell>
          <cell r="J285">
            <v>0</v>
          </cell>
          <cell r="K285">
            <v>0</v>
          </cell>
          <cell r="M285">
            <v>-4024</v>
          </cell>
        </row>
        <row r="286">
          <cell r="F286">
            <v>0</v>
          </cell>
          <cell r="H286">
            <v>0</v>
          </cell>
          <cell r="I286">
            <v>0</v>
          </cell>
          <cell r="J286">
            <v>0</v>
          </cell>
          <cell r="K286">
            <v>0</v>
          </cell>
          <cell r="M286">
            <v>-1058</v>
          </cell>
        </row>
        <row r="287">
          <cell r="F287">
            <v>0</v>
          </cell>
          <cell r="H287">
            <v>0</v>
          </cell>
          <cell r="I287">
            <v>0</v>
          </cell>
          <cell r="J287">
            <v>0</v>
          </cell>
          <cell r="K287">
            <v>0</v>
          </cell>
          <cell r="M287">
            <v>-12917</v>
          </cell>
        </row>
        <row r="288">
          <cell r="F288">
            <v>0</v>
          </cell>
          <cell r="H288">
            <v>0</v>
          </cell>
          <cell r="I288">
            <v>0</v>
          </cell>
          <cell r="J288">
            <v>0</v>
          </cell>
          <cell r="K288">
            <v>0</v>
          </cell>
          <cell r="M288">
            <v>-13389</v>
          </cell>
        </row>
        <row r="289">
          <cell r="F289">
            <v>0</v>
          </cell>
          <cell r="H289">
            <v>0</v>
          </cell>
          <cell r="I289">
            <v>0</v>
          </cell>
          <cell r="J289">
            <v>0</v>
          </cell>
          <cell r="K289">
            <v>0</v>
          </cell>
          <cell r="M289">
            <v>494</v>
          </cell>
        </row>
        <row r="290">
          <cell r="F290">
            <v>-231868</v>
          </cell>
          <cell r="H290">
            <v>0</v>
          </cell>
          <cell r="I290">
            <v>-231868</v>
          </cell>
          <cell r="J290">
            <v>8</v>
          </cell>
          <cell r="K290">
            <v>-231860</v>
          </cell>
          <cell r="M290">
            <v>-271686</v>
          </cell>
        </row>
        <row r="292">
          <cell r="F292">
            <v>-383047</v>
          </cell>
          <cell r="H292">
            <v>0</v>
          </cell>
          <cell r="I292">
            <v>-383047</v>
          </cell>
          <cell r="J292">
            <v>0</v>
          </cell>
          <cell r="K292">
            <v>-383047</v>
          </cell>
          <cell r="M292">
            <v>0</v>
          </cell>
        </row>
        <row r="293">
          <cell r="F293">
            <v>-56087</v>
          </cell>
          <cell r="H293">
            <v>0</v>
          </cell>
          <cell r="I293">
            <v>-56087</v>
          </cell>
          <cell r="J293">
            <v>0</v>
          </cell>
          <cell r="K293">
            <v>-56087</v>
          </cell>
          <cell r="M293">
            <v>0</v>
          </cell>
        </row>
        <row r="294">
          <cell r="F294">
            <v>-375923</v>
          </cell>
          <cell r="H294">
            <v>0</v>
          </cell>
          <cell r="I294">
            <v>-375923</v>
          </cell>
          <cell r="J294">
            <v>0</v>
          </cell>
          <cell r="K294">
            <v>-375923</v>
          </cell>
          <cell r="M294">
            <v>0</v>
          </cell>
        </row>
        <row r="295">
          <cell r="F295">
            <v>0</v>
          </cell>
          <cell r="H295">
            <v>0</v>
          </cell>
          <cell r="I295">
            <v>0</v>
          </cell>
          <cell r="J295">
            <v>0</v>
          </cell>
          <cell r="K295">
            <v>0</v>
          </cell>
          <cell r="M295">
            <v>-2252</v>
          </cell>
        </row>
        <row r="296">
          <cell r="F296">
            <v>0</v>
          </cell>
          <cell r="H296">
            <v>0</v>
          </cell>
          <cell r="I296">
            <v>0</v>
          </cell>
          <cell r="J296">
            <v>0</v>
          </cell>
          <cell r="K296">
            <v>0</v>
          </cell>
          <cell r="M296">
            <v>-310</v>
          </cell>
        </row>
        <row r="297">
          <cell r="F297">
            <v>0</v>
          </cell>
          <cell r="H297">
            <v>0</v>
          </cell>
          <cell r="I297">
            <v>0</v>
          </cell>
          <cell r="J297">
            <v>0</v>
          </cell>
          <cell r="K297">
            <v>0</v>
          </cell>
          <cell r="M297">
            <v>-80180</v>
          </cell>
        </row>
        <row r="298">
          <cell r="F298">
            <v>0</v>
          </cell>
          <cell r="H298">
            <v>0</v>
          </cell>
          <cell r="I298">
            <v>0</v>
          </cell>
          <cell r="J298">
            <v>0</v>
          </cell>
          <cell r="K298">
            <v>0</v>
          </cell>
          <cell r="M298">
            <v>-28677</v>
          </cell>
        </row>
        <row r="299">
          <cell r="F299">
            <v>0</v>
          </cell>
          <cell r="H299">
            <v>0</v>
          </cell>
          <cell r="I299">
            <v>0</v>
          </cell>
          <cell r="J299">
            <v>0</v>
          </cell>
          <cell r="K299">
            <v>0</v>
          </cell>
          <cell r="M299">
            <v>-173</v>
          </cell>
        </row>
        <row r="300">
          <cell r="F300">
            <v>0</v>
          </cell>
          <cell r="H300">
            <v>0</v>
          </cell>
          <cell r="I300">
            <v>0</v>
          </cell>
          <cell r="J300">
            <v>0</v>
          </cell>
          <cell r="K300">
            <v>0</v>
          </cell>
          <cell r="M300">
            <v>-115</v>
          </cell>
        </row>
        <row r="301">
          <cell r="F301">
            <v>0</v>
          </cell>
          <cell r="H301">
            <v>0</v>
          </cell>
          <cell r="I301">
            <v>0</v>
          </cell>
          <cell r="J301">
            <v>0</v>
          </cell>
          <cell r="K301">
            <v>0</v>
          </cell>
          <cell r="M301">
            <v>-3498</v>
          </cell>
        </row>
        <row r="302">
          <cell r="F302">
            <v>0</v>
          </cell>
          <cell r="H302">
            <v>0</v>
          </cell>
          <cell r="I302">
            <v>0</v>
          </cell>
          <cell r="J302">
            <v>0</v>
          </cell>
          <cell r="K302">
            <v>0</v>
          </cell>
          <cell r="M302">
            <v>-280786</v>
          </cell>
        </row>
        <row r="303">
          <cell r="F303">
            <v>0</v>
          </cell>
          <cell r="H303">
            <v>0</v>
          </cell>
          <cell r="I303">
            <v>0</v>
          </cell>
          <cell r="J303">
            <v>0</v>
          </cell>
          <cell r="K303">
            <v>0</v>
          </cell>
          <cell r="M303">
            <v>-6558</v>
          </cell>
        </row>
        <row r="304">
          <cell r="F304">
            <v>0</v>
          </cell>
          <cell r="H304">
            <v>0</v>
          </cell>
          <cell r="I304">
            <v>0</v>
          </cell>
          <cell r="J304">
            <v>0</v>
          </cell>
          <cell r="K304">
            <v>0</v>
          </cell>
          <cell r="M304">
            <v>-93933</v>
          </cell>
        </row>
        <row r="305">
          <cell r="F305">
            <v>0</v>
          </cell>
          <cell r="H305">
            <v>0</v>
          </cell>
          <cell r="I305">
            <v>0</v>
          </cell>
          <cell r="J305">
            <v>0</v>
          </cell>
          <cell r="K305">
            <v>0</v>
          </cell>
          <cell r="M305">
            <v>-42130</v>
          </cell>
        </row>
        <row r="306">
          <cell r="F306">
            <v>0</v>
          </cell>
          <cell r="H306">
            <v>0</v>
          </cell>
          <cell r="I306">
            <v>0</v>
          </cell>
          <cell r="J306">
            <v>0</v>
          </cell>
          <cell r="K306">
            <v>0</v>
          </cell>
          <cell r="M306">
            <v>-23411</v>
          </cell>
        </row>
        <row r="307">
          <cell r="F307">
            <v>0</v>
          </cell>
          <cell r="H307">
            <v>0</v>
          </cell>
          <cell r="I307">
            <v>0</v>
          </cell>
          <cell r="J307">
            <v>0</v>
          </cell>
          <cell r="K307">
            <v>0</v>
          </cell>
          <cell r="M307">
            <v>-45299</v>
          </cell>
        </row>
        <row r="308">
          <cell r="F308">
            <v>-815057</v>
          </cell>
          <cell r="H308">
            <v>0</v>
          </cell>
          <cell r="I308">
            <v>-815057</v>
          </cell>
          <cell r="J308">
            <v>0</v>
          </cell>
          <cell r="K308">
            <v>-815057</v>
          </cell>
          <cell r="M308">
            <v>-607322</v>
          </cell>
        </row>
        <row r="310">
          <cell r="F310">
            <v>0</v>
          </cell>
          <cell r="H310">
            <v>0</v>
          </cell>
          <cell r="I310">
            <v>0</v>
          </cell>
          <cell r="J310">
            <v>0</v>
          </cell>
          <cell r="K310">
            <v>0</v>
          </cell>
          <cell r="M310">
            <v>0</v>
          </cell>
        </row>
        <row r="312">
          <cell r="F312">
            <v>-36288</v>
          </cell>
          <cell r="H312">
            <v>0</v>
          </cell>
          <cell r="I312">
            <v>-36288</v>
          </cell>
          <cell r="J312">
            <v>0</v>
          </cell>
          <cell r="K312">
            <v>-36288</v>
          </cell>
          <cell r="M312">
            <v>0</v>
          </cell>
        </row>
        <row r="313">
          <cell r="F313">
            <v>0</v>
          </cell>
          <cell r="H313">
            <v>0</v>
          </cell>
          <cell r="I313">
            <v>0</v>
          </cell>
          <cell r="J313">
            <v>0</v>
          </cell>
          <cell r="K313">
            <v>0</v>
          </cell>
          <cell r="M313">
            <v>-55482</v>
          </cell>
        </row>
        <row r="314">
          <cell r="F314">
            <v>-36288</v>
          </cell>
          <cell r="H314">
            <v>0</v>
          </cell>
          <cell r="I314">
            <v>-36288</v>
          </cell>
          <cell r="J314">
            <v>0</v>
          </cell>
          <cell r="K314">
            <v>-36288</v>
          </cell>
          <cell r="M314">
            <v>-55482</v>
          </cell>
        </row>
        <row r="316">
          <cell r="F316">
            <v>-504</v>
          </cell>
          <cell r="H316">
            <v>0</v>
          </cell>
          <cell r="I316">
            <v>-504</v>
          </cell>
          <cell r="J316">
            <v>0</v>
          </cell>
          <cell r="K316">
            <v>-504</v>
          </cell>
          <cell r="M316">
            <v>0</v>
          </cell>
        </row>
        <row r="317">
          <cell r="F317">
            <v>0</v>
          </cell>
          <cell r="H317">
            <v>0</v>
          </cell>
          <cell r="I317">
            <v>0</v>
          </cell>
          <cell r="J317">
            <v>0</v>
          </cell>
          <cell r="K317">
            <v>0</v>
          </cell>
          <cell r="M317">
            <v>-621</v>
          </cell>
        </row>
        <row r="318">
          <cell r="F318">
            <v>0</v>
          </cell>
          <cell r="H318">
            <v>0</v>
          </cell>
          <cell r="I318">
            <v>0</v>
          </cell>
          <cell r="J318">
            <v>0</v>
          </cell>
          <cell r="K318">
            <v>0</v>
          </cell>
          <cell r="M318">
            <v>-625</v>
          </cell>
        </row>
        <row r="319">
          <cell r="F319">
            <v>-504</v>
          </cell>
          <cell r="H319">
            <v>0</v>
          </cell>
          <cell r="I319">
            <v>-504</v>
          </cell>
          <cell r="J319">
            <v>0</v>
          </cell>
          <cell r="K319">
            <v>-504</v>
          </cell>
          <cell r="M319">
            <v>-1246</v>
          </cell>
        </row>
        <row r="321">
          <cell r="F321">
            <v>-30378</v>
          </cell>
          <cell r="H321">
            <v>0</v>
          </cell>
          <cell r="I321">
            <v>-30378</v>
          </cell>
          <cell r="J321">
            <v>0</v>
          </cell>
          <cell r="K321">
            <v>-30378</v>
          </cell>
          <cell r="M321">
            <v>0</v>
          </cell>
        </row>
        <row r="322">
          <cell r="F322">
            <v>-2781</v>
          </cell>
          <cell r="H322">
            <v>0</v>
          </cell>
          <cell r="I322">
            <v>-2781</v>
          </cell>
          <cell r="J322">
            <v>0</v>
          </cell>
          <cell r="K322">
            <v>-2781</v>
          </cell>
          <cell r="M322">
            <v>0</v>
          </cell>
        </row>
        <row r="323">
          <cell r="F323">
            <v>-2993</v>
          </cell>
          <cell r="H323">
            <v>0</v>
          </cell>
          <cell r="I323">
            <v>-2993</v>
          </cell>
          <cell r="J323">
            <v>0</v>
          </cell>
          <cell r="K323">
            <v>-2993</v>
          </cell>
          <cell r="M323">
            <v>0</v>
          </cell>
        </row>
        <row r="324">
          <cell r="F324">
            <v>-12845</v>
          </cell>
          <cell r="H324">
            <v>0</v>
          </cell>
          <cell r="I324">
            <v>-12845</v>
          </cell>
          <cell r="J324">
            <v>0</v>
          </cell>
          <cell r="K324">
            <v>-12845</v>
          </cell>
          <cell r="M324">
            <v>0</v>
          </cell>
        </row>
        <row r="325">
          <cell r="F325">
            <v>-17627</v>
          </cell>
          <cell r="H325">
            <v>0</v>
          </cell>
          <cell r="I325">
            <v>-17627</v>
          </cell>
          <cell r="J325">
            <v>0</v>
          </cell>
          <cell r="K325">
            <v>-17627</v>
          </cell>
          <cell r="M325">
            <v>0</v>
          </cell>
        </row>
        <row r="326">
          <cell r="F326">
            <v>-15791</v>
          </cell>
          <cell r="H326">
            <v>0</v>
          </cell>
          <cell r="I326">
            <v>-15791</v>
          </cell>
          <cell r="J326">
            <v>0</v>
          </cell>
          <cell r="K326">
            <v>-15791</v>
          </cell>
          <cell r="M326">
            <v>0</v>
          </cell>
        </row>
        <row r="327">
          <cell r="F327">
            <v>-4146</v>
          </cell>
          <cell r="H327">
            <v>0</v>
          </cell>
          <cell r="I327">
            <v>-4146</v>
          </cell>
          <cell r="J327">
            <v>0</v>
          </cell>
          <cell r="K327">
            <v>-4146</v>
          </cell>
          <cell r="M327">
            <v>0</v>
          </cell>
        </row>
        <row r="328">
          <cell r="F328">
            <v>-79</v>
          </cell>
          <cell r="H328">
            <v>0</v>
          </cell>
          <cell r="I328">
            <v>-79</v>
          </cell>
          <cell r="J328">
            <v>0</v>
          </cell>
          <cell r="K328">
            <v>-79</v>
          </cell>
          <cell r="M328">
            <v>0</v>
          </cell>
        </row>
        <row r="329">
          <cell r="F329">
            <v>-383</v>
          </cell>
          <cell r="H329">
            <v>0</v>
          </cell>
          <cell r="I329">
            <v>-383</v>
          </cell>
          <cell r="J329">
            <v>0</v>
          </cell>
          <cell r="K329">
            <v>-383</v>
          </cell>
          <cell r="M329">
            <v>0</v>
          </cell>
        </row>
        <row r="330">
          <cell r="F330">
            <v>-268</v>
          </cell>
          <cell r="H330">
            <v>0</v>
          </cell>
          <cell r="I330">
            <v>-268</v>
          </cell>
          <cell r="J330">
            <v>0</v>
          </cell>
          <cell r="K330">
            <v>-268</v>
          </cell>
          <cell r="M330">
            <v>0</v>
          </cell>
        </row>
        <row r="331">
          <cell r="F331">
            <v>-14869</v>
          </cell>
          <cell r="H331">
            <v>0</v>
          </cell>
          <cell r="I331">
            <v>-14869</v>
          </cell>
          <cell r="J331">
            <v>0</v>
          </cell>
          <cell r="K331">
            <v>-14869</v>
          </cell>
          <cell r="M331">
            <v>0</v>
          </cell>
        </row>
        <row r="332">
          <cell r="F332">
            <v>0</v>
          </cell>
          <cell r="H332">
            <v>0</v>
          </cell>
          <cell r="I332">
            <v>0</v>
          </cell>
          <cell r="J332">
            <v>0</v>
          </cell>
          <cell r="K332">
            <v>0</v>
          </cell>
          <cell r="M332">
            <v>-11044</v>
          </cell>
        </row>
        <row r="333">
          <cell r="F333">
            <v>0</v>
          </cell>
          <cell r="H333">
            <v>0</v>
          </cell>
          <cell r="I333">
            <v>0</v>
          </cell>
          <cell r="J333">
            <v>0</v>
          </cell>
          <cell r="K333">
            <v>0</v>
          </cell>
          <cell r="M333">
            <v>-210</v>
          </cell>
        </row>
        <row r="334">
          <cell r="F334">
            <v>0</v>
          </cell>
          <cell r="H334">
            <v>0</v>
          </cell>
          <cell r="I334">
            <v>0</v>
          </cell>
          <cell r="J334">
            <v>0</v>
          </cell>
          <cell r="K334">
            <v>0</v>
          </cell>
          <cell r="M334">
            <v>-862</v>
          </cell>
        </row>
        <row r="335">
          <cell r="F335">
            <v>0</v>
          </cell>
          <cell r="H335">
            <v>0</v>
          </cell>
          <cell r="I335">
            <v>0</v>
          </cell>
          <cell r="J335">
            <v>0</v>
          </cell>
          <cell r="K335">
            <v>0</v>
          </cell>
          <cell r="M335">
            <v>-41</v>
          </cell>
        </row>
        <row r="336">
          <cell r="F336">
            <v>0</v>
          </cell>
          <cell r="H336">
            <v>0</v>
          </cell>
          <cell r="I336">
            <v>0</v>
          </cell>
          <cell r="J336">
            <v>0</v>
          </cell>
          <cell r="K336">
            <v>0</v>
          </cell>
          <cell r="M336">
            <v>-8680</v>
          </cell>
        </row>
        <row r="337">
          <cell r="F337">
            <v>0</v>
          </cell>
          <cell r="H337">
            <v>0</v>
          </cell>
          <cell r="I337">
            <v>0</v>
          </cell>
          <cell r="J337">
            <v>0</v>
          </cell>
          <cell r="K337">
            <v>0</v>
          </cell>
          <cell r="M337">
            <v>-2690</v>
          </cell>
        </row>
        <row r="338">
          <cell r="F338">
            <v>0</v>
          </cell>
          <cell r="H338">
            <v>0</v>
          </cell>
          <cell r="I338">
            <v>0</v>
          </cell>
          <cell r="J338">
            <v>0</v>
          </cell>
          <cell r="K338">
            <v>0</v>
          </cell>
          <cell r="M338">
            <v>-5348</v>
          </cell>
        </row>
        <row r="339">
          <cell r="F339">
            <v>0</v>
          </cell>
          <cell r="H339">
            <v>0</v>
          </cell>
          <cell r="I339">
            <v>0</v>
          </cell>
          <cell r="J339">
            <v>0</v>
          </cell>
          <cell r="K339">
            <v>0</v>
          </cell>
          <cell r="M339">
            <v>0</v>
          </cell>
        </row>
        <row r="340">
          <cell r="F340">
            <v>0</v>
          </cell>
          <cell r="H340">
            <v>0</v>
          </cell>
          <cell r="I340">
            <v>0</v>
          </cell>
          <cell r="J340">
            <v>0</v>
          </cell>
          <cell r="K340">
            <v>0</v>
          </cell>
          <cell r="M340">
            <v>-1</v>
          </cell>
        </row>
        <row r="341">
          <cell r="F341">
            <v>0</v>
          </cell>
          <cell r="H341">
            <v>0</v>
          </cell>
          <cell r="I341">
            <v>0</v>
          </cell>
          <cell r="J341">
            <v>0</v>
          </cell>
          <cell r="K341">
            <v>0</v>
          </cell>
          <cell r="M341">
            <v>-4950</v>
          </cell>
        </row>
        <row r="342">
          <cell r="F342">
            <v>0</v>
          </cell>
          <cell r="H342">
            <v>0</v>
          </cell>
          <cell r="I342">
            <v>0</v>
          </cell>
          <cell r="J342">
            <v>0</v>
          </cell>
          <cell r="K342">
            <v>0</v>
          </cell>
          <cell r="M342">
            <v>-12734</v>
          </cell>
        </row>
        <row r="343">
          <cell r="F343">
            <v>0</v>
          </cell>
          <cell r="H343">
            <v>0</v>
          </cell>
          <cell r="I343">
            <v>0</v>
          </cell>
          <cell r="J343">
            <v>0</v>
          </cell>
          <cell r="K343">
            <v>0</v>
          </cell>
          <cell r="M343">
            <v>-1</v>
          </cell>
        </row>
        <row r="344">
          <cell r="F344">
            <v>0</v>
          </cell>
          <cell r="H344">
            <v>0</v>
          </cell>
          <cell r="I344">
            <v>0</v>
          </cell>
          <cell r="J344">
            <v>0</v>
          </cell>
          <cell r="K344">
            <v>0</v>
          </cell>
          <cell r="M344">
            <v>-1</v>
          </cell>
        </row>
        <row r="345">
          <cell r="F345">
            <v>0</v>
          </cell>
          <cell r="H345">
            <v>0</v>
          </cell>
          <cell r="I345">
            <v>0</v>
          </cell>
          <cell r="J345">
            <v>0</v>
          </cell>
          <cell r="K345">
            <v>0</v>
          </cell>
          <cell r="M345">
            <v>-22688</v>
          </cell>
        </row>
        <row r="346">
          <cell r="F346">
            <v>0</v>
          </cell>
          <cell r="H346">
            <v>0</v>
          </cell>
          <cell r="I346">
            <v>0</v>
          </cell>
          <cell r="J346">
            <v>0</v>
          </cell>
          <cell r="K346">
            <v>0</v>
          </cell>
          <cell r="M346">
            <v>-2071</v>
          </cell>
        </row>
        <row r="347">
          <cell r="F347">
            <v>-102160</v>
          </cell>
          <cell r="H347">
            <v>0</v>
          </cell>
          <cell r="I347">
            <v>-102160</v>
          </cell>
          <cell r="J347">
            <v>0</v>
          </cell>
          <cell r="K347">
            <v>-102160</v>
          </cell>
          <cell r="M347">
            <v>-71321</v>
          </cell>
        </row>
        <row r="349">
          <cell r="F349">
            <v>-35526</v>
          </cell>
          <cell r="H349">
            <v>0</v>
          </cell>
          <cell r="I349">
            <v>-35526</v>
          </cell>
          <cell r="J349">
            <v>-8</v>
          </cell>
          <cell r="K349">
            <v>-35534</v>
          </cell>
          <cell r="M349">
            <v>0</v>
          </cell>
        </row>
        <row r="350">
          <cell r="F350">
            <v>189</v>
          </cell>
          <cell r="H350">
            <v>0</v>
          </cell>
          <cell r="I350">
            <v>189</v>
          </cell>
          <cell r="J350">
            <v>0</v>
          </cell>
          <cell r="K350">
            <v>189</v>
          </cell>
          <cell r="M350">
            <v>0</v>
          </cell>
        </row>
        <row r="351">
          <cell r="F351">
            <v>10</v>
          </cell>
          <cell r="H351">
            <v>0</v>
          </cell>
          <cell r="I351">
            <v>10</v>
          </cell>
          <cell r="J351">
            <v>0</v>
          </cell>
          <cell r="K351">
            <v>10</v>
          </cell>
          <cell r="M351">
            <v>0</v>
          </cell>
        </row>
        <row r="352">
          <cell r="F352">
            <v>0</v>
          </cell>
          <cell r="H352">
            <v>0</v>
          </cell>
          <cell r="I352">
            <v>0</v>
          </cell>
          <cell r="J352">
            <v>0</v>
          </cell>
          <cell r="K352">
            <v>0</v>
          </cell>
          <cell r="M352">
            <v>-11758</v>
          </cell>
        </row>
        <row r="353">
          <cell r="F353">
            <v>0</v>
          </cell>
          <cell r="H353">
            <v>0</v>
          </cell>
          <cell r="I353">
            <v>0</v>
          </cell>
          <cell r="J353">
            <v>0</v>
          </cell>
          <cell r="K353">
            <v>0</v>
          </cell>
          <cell r="M353">
            <v>-7568</v>
          </cell>
        </row>
        <row r="354">
          <cell r="F354">
            <v>0</v>
          </cell>
          <cell r="H354">
            <v>0</v>
          </cell>
          <cell r="I354">
            <v>0</v>
          </cell>
          <cell r="J354">
            <v>0</v>
          </cell>
          <cell r="K354">
            <v>0</v>
          </cell>
          <cell r="M354">
            <v>-3334</v>
          </cell>
        </row>
        <row r="355">
          <cell r="F355">
            <v>0</v>
          </cell>
          <cell r="H355">
            <v>0</v>
          </cell>
          <cell r="I355">
            <v>0</v>
          </cell>
          <cell r="J355">
            <v>0</v>
          </cell>
          <cell r="K355">
            <v>0</v>
          </cell>
          <cell r="M355">
            <v>2593</v>
          </cell>
        </row>
        <row r="356">
          <cell r="F356">
            <v>-35327</v>
          </cell>
          <cell r="H356">
            <v>0</v>
          </cell>
          <cell r="I356">
            <v>-35327</v>
          </cell>
          <cell r="J356">
            <v>-8</v>
          </cell>
          <cell r="K356">
            <v>-35335</v>
          </cell>
          <cell r="M356">
            <v>-20067</v>
          </cell>
        </row>
        <row r="358">
          <cell r="F358">
            <v>0</v>
          </cell>
          <cell r="H358">
            <v>0</v>
          </cell>
          <cell r="I358">
            <v>0</v>
          </cell>
          <cell r="J358">
            <v>0</v>
          </cell>
          <cell r="K358">
            <v>0</v>
          </cell>
          <cell r="M358">
            <v>0</v>
          </cell>
        </row>
        <row r="360">
          <cell r="F360">
            <v>163340</v>
          </cell>
          <cell r="H360">
            <v>0</v>
          </cell>
          <cell r="I360">
            <v>163340</v>
          </cell>
          <cell r="J360">
            <v>0</v>
          </cell>
          <cell r="K360">
            <v>163340</v>
          </cell>
          <cell r="M360">
            <v>0</v>
          </cell>
        </row>
        <row r="361">
          <cell r="F361">
            <v>26134</v>
          </cell>
          <cell r="H361">
            <v>0</v>
          </cell>
          <cell r="I361">
            <v>26134</v>
          </cell>
          <cell r="J361">
            <v>0</v>
          </cell>
          <cell r="K361">
            <v>26134</v>
          </cell>
          <cell r="M361">
            <v>0</v>
          </cell>
        </row>
        <row r="362">
          <cell r="F362">
            <v>30316</v>
          </cell>
          <cell r="H362">
            <v>0</v>
          </cell>
          <cell r="I362">
            <v>30316</v>
          </cell>
          <cell r="J362">
            <v>0</v>
          </cell>
          <cell r="K362">
            <v>30316</v>
          </cell>
          <cell r="M362">
            <v>0</v>
          </cell>
        </row>
        <row r="363">
          <cell r="F363">
            <v>0</v>
          </cell>
          <cell r="H363">
            <v>0</v>
          </cell>
          <cell r="I363">
            <v>0</v>
          </cell>
          <cell r="J363">
            <v>0</v>
          </cell>
          <cell r="K363">
            <v>0</v>
          </cell>
          <cell r="M363">
            <v>140198</v>
          </cell>
        </row>
        <row r="364">
          <cell r="F364">
            <v>0</v>
          </cell>
          <cell r="H364">
            <v>0</v>
          </cell>
          <cell r="I364">
            <v>0</v>
          </cell>
          <cell r="J364">
            <v>0</v>
          </cell>
          <cell r="K364">
            <v>0</v>
          </cell>
          <cell r="M364">
            <v>22647</v>
          </cell>
        </row>
        <row r="365">
          <cell r="F365">
            <v>0</v>
          </cell>
          <cell r="H365">
            <v>0</v>
          </cell>
          <cell r="I365">
            <v>0</v>
          </cell>
          <cell r="J365">
            <v>0</v>
          </cell>
          <cell r="K365">
            <v>0</v>
          </cell>
          <cell r="M365">
            <v>1348</v>
          </cell>
        </row>
        <row r="366">
          <cell r="F366">
            <v>219790</v>
          </cell>
          <cell r="H366">
            <v>0</v>
          </cell>
          <cell r="I366">
            <v>219790</v>
          </cell>
          <cell r="J366">
            <v>0</v>
          </cell>
          <cell r="K366">
            <v>219790</v>
          </cell>
          <cell r="M366">
            <v>164193</v>
          </cell>
        </row>
        <row r="368">
          <cell r="F368">
            <v>9223</v>
          </cell>
          <cell r="H368">
            <v>0</v>
          </cell>
          <cell r="I368">
            <v>9223</v>
          </cell>
          <cell r="J368">
            <v>0</v>
          </cell>
          <cell r="K368">
            <v>9223</v>
          </cell>
          <cell r="M368">
            <v>0</v>
          </cell>
        </row>
        <row r="369">
          <cell r="F369">
            <v>0</v>
          </cell>
          <cell r="H369">
            <v>0</v>
          </cell>
          <cell r="I369">
            <v>0</v>
          </cell>
          <cell r="J369">
            <v>0</v>
          </cell>
          <cell r="K369">
            <v>0</v>
          </cell>
          <cell r="M369">
            <v>8142</v>
          </cell>
        </row>
        <row r="370">
          <cell r="F370">
            <v>9223</v>
          </cell>
          <cell r="H370">
            <v>0</v>
          </cell>
          <cell r="I370">
            <v>9223</v>
          </cell>
          <cell r="J370">
            <v>0</v>
          </cell>
          <cell r="K370">
            <v>9223</v>
          </cell>
          <cell r="M370">
            <v>8142</v>
          </cell>
        </row>
        <row r="372">
          <cell r="F372">
            <v>8167</v>
          </cell>
          <cell r="H372">
            <v>0</v>
          </cell>
          <cell r="I372">
            <v>8167</v>
          </cell>
          <cell r="J372">
            <v>0</v>
          </cell>
          <cell r="K372">
            <v>8167</v>
          </cell>
          <cell r="M372">
            <v>0</v>
          </cell>
        </row>
        <row r="373">
          <cell r="F373">
            <v>0</v>
          </cell>
          <cell r="H373">
            <v>0</v>
          </cell>
          <cell r="I373">
            <v>0</v>
          </cell>
          <cell r="J373">
            <v>0</v>
          </cell>
          <cell r="K373">
            <v>0</v>
          </cell>
          <cell r="M373">
            <v>7010</v>
          </cell>
        </row>
        <row r="374">
          <cell r="F374">
            <v>8167</v>
          </cell>
          <cell r="H374">
            <v>0</v>
          </cell>
          <cell r="I374">
            <v>8167</v>
          </cell>
          <cell r="J374">
            <v>0</v>
          </cell>
          <cell r="K374">
            <v>8167</v>
          </cell>
          <cell r="M374">
            <v>7010</v>
          </cell>
        </row>
        <row r="376">
          <cell r="F376">
            <v>0</v>
          </cell>
          <cell r="H376">
            <v>0</v>
          </cell>
          <cell r="I376">
            <v>0</v>
          </cell>
          <cell r="J376">
            <v>0</v>
          </cell>
          <cell r="K376">
            <v>0</v>
          </cell>
          <cell r="M376">
            <v>0</v>
          </cell>
        </row>
        <row r="378">
          <cell r="F378">
            <v>0</v>
          </cell>
          <cell r="H378">
            <v>0</v>
          </cell>
          <cell r="I378">
            <v>0</v>
          </cell>
          <cell r="J378">
            <v>0</v>
          </cell>
          <cell r="K378">
            <v>0</v>
          </cell>
          <cell r="M378">
            <v>0</v>
          </cell>
        </row>
        <row r="380">
          <cell r="F380">
            <v>0</v>
          </cell>
          <cell r="H380">
            <v>0</v>
          </cell>
          <cell r="I380">
            <v>0</v>
          </cell>
          <cell r="J380">
            <v>0</v>
          </cell>
          <cell r="K380">
            <v>0</v>
          </cell>
          <cell r="M380">
            <v>0</v>
          </cell>
        </row>
        <row r="382">
          <cell r="F382">
            <v>79</v>
          </cell>
          <cell r="H382">
            <v>0</v>
          </cell>
          <cell r="I382">
            <v>79</v>
          </cell>
          <cell r="J382">
            <v>0</v>
          </cell>
          <cell r="K382">
            <v>79</v>
          </cell>
          <cell r="M382">
            <v>0</v>
          </cell>
        </row>
        <row r="383">
          <cell r="F383">
            <v>84</v>
          </cell>
          <cell r="H383">
            <v>0</v>
          </cell>
          <cell r="I383">
            <v>84</v>
          </cell>
          <cell r="J383">
            <v>0</v>
          </cell>
          <cell r="K383">
            <v>84</v>
          </cell>
          <cell r="M383">
            <v>0</v>
          </cell>
        </row>
        <row r="384">
          <cell r="F384">
            <v>4</v>
          </cell>
          <cell r="H384">
            <v>0</v>
          </cell>
          <cell r="I384">
            <v>4</v>
          </cell>
          <cell r="J384">
            <v>0</v>
          </cell>
          <cell r="K384">
            <v>4</v>
          </cell>
          <cell r="M384">
            <v>0</v>
          </cell>
        </row>
        <row r="385">
          <cell r="F385">
            <v>272</v>
          </cell>
          <cell r="H385">
            <v>0</v>
          </cell>
          <cell r="I385">
            <v>272</v>
          </cell>
          <cell r="J385">
            <v>0</v>
          </cell>
          <cell r="K385">
            <v>272</v>
          </cell>
          <cell r="M385">
            <v>0</v>
          </cell>
        </row>
        <row r="386">
          <cell r="F386">
            <v>53</v>
          </cell>
          <cell r="H386">
            <v>0</v>
          </cell>
          <cell r="I386">
            <v>53</v>
          </cell>
          <cell r="J386">
            <v>0</v>
          </cell>
          <cell r="K386">
            <v>53</v>
          </cell>
          <cell r="M386">
            <v>0</v>
          </cell>
        </row>
        <row r="387">
          <cell r="F387">
            <v>9</v>
          </cell>
          <cell r="H387">
            <v>0</v>
          </cell>
          <cell r="I387">
            <v>9</v>
          </cell>
          <cell r="J387">
            <v>0</v>
          </cell>
          <cell r="K387">
            <v>9</v>
          </cell>
          <cell r="M387">
            <v>6</v>
          </cell>
        </row>
        <row r="388">
          <cell r="F388">
            <v>0</v>
          </cell>
          <cell r="H388">
            <v>0</v>
          </cell>
          <cell r="I388">
            <v>0</v>
          </cell>
          <cell r="J388">
            <v>0</v>
          </cell>
          <cell r="K388">
            <v>0</v>
          </cell>
          <cell r="M388">
            <v>47</v>
          </cell>
        </row>
        <row r="389">
          <cell r="F389">
            <v>0</v>
          </cell>
          <cell r="H389">
            <v>0</v>
          </cell>
          <cell r="I389">
            <v>0</v>
          </cell>
          <cell r="J389">
            <v>0</v>
          </cell>
          <cell r="K389">
            <v>0</v>
          </cell>
          <cell r="M389">
            <v>144</v>
          </cell>
        </row>
        <row r="390">
          <cell r="F390">
            <v>0</v>
          </cell>
          <cell r="H390">
            <v>0</v>
          </cell>
          <cell r="I390">
            <v>0</v>
          </cell>
          <cell r="J390">
            <v>0</v>
          </cell>
          <cell r="K390">
            <v>0</v>
          </cell>
          <cell r="M390">
            <v>0</v>
          </cell>
        </row>
        <row r="391">
          <cell r="F391">
            <v>0</v>
          </cell>
          <cell r="H391">
            <v>0</v>
          </cell>
          <cell r="I391">
            <v>0</v>
          </cell>
          <cell r="J391">
            <v>0</v>
          </cell>
          <cell r="K391">
            <v>0</v>
          </cell>
          <cell r="M391">
            <v>7</v>
          </cell>
        </row>
        <row r="392">
          <cell r="F392">
            <v>0</v>
          </cell>
          <cell r="H392">
            <v>0</v>
          </cell>
          <cell r="I392">
            <v>0</v>
          </cell>
          <cell r="J392">
            <v>0</v>
          </cell>
          <cell r="K392">
            <v>0</v>
          </cell>
          <cell r="M392">
            <v>127</v>
          </cell>
        </row>
        <row r="393">
          <cell r="F393">
            <v>0</v>
          </cell>
          <cell r="H393">
            <v>0</v>
          </cell>
          <cell r="I393">
            <v>0</v>
          </cell>
          <cell r="J393">
            <v>0</v>
          </cell>
          <cell r="K393">
            <v>0</v>
          </cell>
          <cell r="M393">
            <v>49</v>
          </cell>
        </row>
        <row r="394">
          <cell r="F394">
            <v>0</v>
          </cell>
          <cell r="H394">
            <v>0</v>
          </cell>
          <cell r="I394">
            <v>0</v>
          </cell>
          <cell r="J394">
            <v>0</v>
          </cell>
          <cell r="K394">
            <v>0</v>
          </cell>
          <cell r="M394">
            <v>1</v>
          </cell>
        </row>
        <row r="395">
          <cell r="F395">
            <v>0</v>
          </cell>
          <cell r="H395">
            <v>0</v>
          </cell>
          <cell r="I395">
            <v>0</v>
          </cell>
          <cell r="J395">
            <v>0</v>
          </cell>
          <cell r="K395">
            <v>0</v>
          </cell>
          <cell r="M395">
            <v>1</v>
          </cell>
        </row>
        <row r="396">
          <cell r="F396">
            <v>501</v>
          </cell>
          <cell r="H396">
            <v>0</v>
          </cell>
          <cell r="I396">
            <v>501</v>
          </cell>
          <cell r="J396">
            <v>0</v>
          </cell>
          <cell r="K396">
            <v>501</v>
          </cell>
          <cell r="M396">
            <v>382</v>
          </cell>
        </row>
        <row r="398">
          <cell r="F398">
            <v>0</v>
          </cell>
          <cell r="H398">
            <v>0</v>
          </cell>
          <cell r="I398">
            <v>0</v>
          </cell>
          <cell r="J398">
            <v>0</v>
          </cell>
          <cell r="K398">
            <v>0</v>
          </cell>
          <cell r="M398">
            <v>0</v>
          </cell>
        </row>
        <row r="400">
          <cell r="F400">
            <v>2350</v>
          </cell>
          <cell r="H400">
            <v>0</v>
          </cell>
          <cell r="I400">
            <v>2350</v>
          </cell>
          <cell r="J400">
            <v>0</v>
          </cell>
          <cell r="K400">
            <v>2350</v>
          </cell>
          <cell r="M400">
            <v>0</v>
          </cell>
        </row>
        <row r="401">
          <cell r="F401">
            <v>25</v>
          </cell>
          <cell r="H401">
            <v>0</v>
          </cell>
          <cell r="I401">
            <v>25</v>
          </cell>
          <cell r="J401">
            <v>0</v>
          </cell>
          <cell r="K401">
            <v>25</v>
          </cell>
          <cell r="M401">
            <v>0</v>
          </cell>
        </row>
        <row r="402">
          <cell r="F402">
            <v>200</v>
          </cell>
          <cell r="H402">
            <v>0</v>
          </cell>
          <cell r="I402">
            <v>200</v>
          </cell>
          <cell r="J402">
            <v>0</v>
          </cell>
          <cell r="K402">
            <v>200</v>
          </cell>
          <cell r="M402">
            <v>0</v>
          </cell>
        </row>
        <row r="403">
          <cell r="F403">
            <v>0</v>
          </cell>
          <cell r="H403">
            <v>0</v>
          </cell>
          <cell r="I403">
            <v>0</v>
          </cell>
          <cell r="J403">
            <v>0</v>
          </cell>
          <cell r="K403">
            <v>0</v>
          </cell>
          <cell r="M403">
            <v>1554</v>
          </cell>
        </row>
        <row r="404">
          <cell r="F404">
            <v>0</v>
          </cell>
          <cell r="H404">
            <v>0</v>
          </cell>
          <cell r="I404">
            <v>0</v>
          </cell>
          <cell r="J404">
            <v>0</v>
          </cell>
          <cell r="K404">
            <v>0</v>
          </cell>
          <cell r="M404">
            <v>44</v>
          </cell>
        </row>
        <row r="405">
          <cell r="F405">
            <v>0</v>
          </cell>
          <cell r="H405">
            <v>0</v>
          </cell>
          <cell r="I405">
            <v>0</v>
          </cell>
          <cell r="J405">
            <v>0</v>
          </cell>
          <cell r="K405">
            <v>0</v>
          </cell>
          <cell r="M405">
            <v>14</v>
          </cell>
        </row>
        <row r="406">
          <cell r="F406">
            <v>0</v>
          </cell>
          <cell r="H406">
            <v>0</v>
          </cell>
          <cell r="I406">
            <v>0</v>
          </cell>
          <cell r="J406">
            <v>0</v>
          </cell>
          <cell r="K406">
            <v>0</v>
          </cell>
          <cell r="M406">
            <v>186</v>
          </cell>
        </row>
        <row r="407">
          <cell r="F407">
            <v>2575</v>
          </cell>
          <cell r="H407">
            <v>0</v>
          </cell>
          <cell r="I407">
            <v>2575</v>
          </cell>
          <cell r="J407">
            <v>0</v>
          </cell>
          <cell r="K407">
            <v>2575</v>
          </cell>
          <cell r="M407">
            <v>1798</v>
          </cell>
        </row>
        <row r="409">
          <cell r="F409">
            <v>34</v>
          </cell>
          <cell r="H409">
            <v>0</v>
          </cell>
          <cell r="I409">
            <v>34</v>
          </cell>
          <cell r="J409">
            <v>0</v>
          </cell>
          <cell r="K409">
            <v>34</v>
          </cell>
          <cell r="M409">
            <v>0</v>
          </cell>
        </row>
        <row r="410">
          <cell r="F410">
            <v>40</v>
          </cell>
          <cell r="H410">
            <v>0</v>
          </cell>
          <cell r="I410">
            <v>40</v>
          </cell>
          <cell r="J410">
            <v>0</v>
          </cell>
          <cell r="K410">
            <v>40</v>
          </cell>
          <cell r="M410">
            <v>0</v>
          </cell>
        </row>
        <row r="411">
          <cell r="F411">
            <v>199</v>
          </cell>
          <cell r="H411">
            <v>0</v>
          </cell>
          <cell r="I411">
            <v>199</v>
          </cell>
          <cell r="J411">
            <v>0</v>
          </cell>
          <cell r="K411">
            <v>199</v>
          </cell>
          <cell r="M411">
            <v>0</v>
          </cell>
        </row>
        <row r="412">
          <cell r="F412">
            <v>0</v>
          </cell>
          <cell r="H412">
            <v>0</v>
          </cell>
          <cell r="I412">
            <v>0</v>
          </cell>
          <cell r="J412">
            <v>0</v>
          </cell>
          <cell r="K412">
            <v>0</v>
          </cell>
          <cell r="M412">
            <v>199</v>
          </cell>
        </row>
        <row r="413">
          <cell r="F413">
            <v>0</v>
          </cell>
          <cell r="H413">
            <v>0</v>
          </cell>
          <cell r="I413">
            <v>0</v>
          </cell>
          <cell r="J413">
            <v>0</v>
          </cell>
          <cell r="K413">
            <v>0</v>
          </cell>
          <cell r="M413">
            <v>40</v>
          </cell>
        </row>
        <row r="414">
          <cell r="F414">
            <v>273</v>
          </cell>
          <cell r="H414">
            <v>0</v>
          </cell>
          <cell r="I414">
            <v>273</v>
          </cell>
          <cell r="J414">
            <v>0</v>
          </cell>
          <cell r="K414">
            <v>273</v>
          </cell>
          <cell r="M414">
            <v>239</v>
          </cell>
        </row>
        <row r="416">
          <cell r="F416">
            <v>269</v>
          </cell>
          <cell r="H416">
            <v>0</v>
          </cell>
          <cell r="I416">
            <v>269</v>
          </cell>
          <cell r="J416">
            <v>0</v>
          </cell>
          <cell r="K416">
            <v>269</v>
          </cell>
          <cell r="M416">
            <v>0</v>
          </cell>
        </row>
        <row r="417">
          <cell r="F417">
            <v>45</v>
          </cell>
          <cell r="H417">
            <v>0</v>
          </cell>
          <cell r="I417">
            <v>45</v>
          </cell>
          <cell r="J417">
            <v>0</v>
          </cell>
          <cell r="K417">
            <v>45</v>
          </cell>
          <cell r="M417">
            <v>0</v>
          </cell>
        </row>
        <row r="418">
          <cell r="F418">
            <v>0</v>
          </cell>
          <cell r="H418">
            <v>0</v>
          </cell>
          <cell r="I418">
            <v>0</v>
          </cell>
          <cell r="J418">
            <v>0</v>
          </cell>
          <cell r="K418">
            <v>0</v>
          </cell>
          <cell r="M418">
            <v>85</v>
          </cell>
        </row>
        <row r="419">
          <cell r="F419">
            <v>0</v>
          </cell>
          <cell r="H419">
            <v>0</v>
          </cell>
          <cell r="I419">
            <v>0</v>
          </cell>
          <cell r="J419">
            <v>0</v>
          </cell>
          <cell r="K419">
            <v>0</v>
          </cell>
          <cell r="M419">
            <v>35</v>
          </cell>
        </row>
        <row r="420">
          <cell r="F420">
            <v>314</v>
          </cell>
          <cell r="H420">
            <v>0</v>
          </cell>
          <cell r="I420">
            <v>314</v>
          </cell>
          <cell r="J420">
            <v>0</v>
          </cell>
          <cell r="K420">
            <v>314</v>
          </cell>
          <cell r="M420">
            <v>120</v>
          </cell>
        </row>
        <row r="422">
          <cell r="F422">
            <v>627</v>
          </cell>
          <cell r="H422">
            <v>0</v>
          </cell>
          <cell r="I422">
            <v>627</v>
          </cell>
          <cell r="J422">
            <v>0</v>
          </cell>
          <cell r="K422">
            <v>627</v>
          </cell>
          <cell r="M422">
            <v>0</v>
          </cell>
        </row>
        <row r="423">
          <cell r="F423">
            <v>60</v>
          </cell>
          <cell r="H423">
            <v>0</v>
          </cell>
          <cell r="I423">
            <v>60</v>
          </cell>
          <cell r="J423">
            <v>0</v>
          </cell>
          <cell r="K423">
            <v>60</v>
          </cell>
          <cell r="M423">
            <v>0</v>
          </cell>
        </row>
        <row r="424">
          <cell r="F424">
            <v>0</v>
          </cell>
          <cell r="H424">
            <v>0</v>
          </cell>
          <cell r="I424">
            <v>0</v>
          </cell>
          <cell r="J424">
            <v>0</v>
          </cell>
          <cell r="K424">
            <v>0</v>
          </cell>
          <cell r="M424">
            <v>887</v>
          </cell>
        </row>
        <row r="425">
          <cell r="F425">
            <v>0</v>
          </cell>
          <cell r="H425">
            <v>0</v>
          </cell>
          <cell r="I425">
            <v>0</v>
          </cell>
          <cell r="J425">
            <v>0</v>
          </cell>
          <cell r="K425">
            <v>0</v>
          </cell>
          <cell r="M425">
            <v>47</v>
          </cell>
        </row>
        <row r="426">
          <cell r="F426">
            <v>687</v>
          </cell>
          <cell r="H426">
            <v>0</v>
          </cell>
          <cell r="I426">
            <v>687</v>
          </cell>
          <cell r="J426">
            <v>0</v>
          </cell>
          <cell r="K426">
            <v>687</v>
          </cell>
          <cell r="M426">
            <v>934</v>
          </cell>
        </row>
        <row r="428">
          <cell r="F428">
            <v>0</v>
          </cell>
          <cell r="H428">
            <v>0</v>
          </cell>
          <cell r="I428">
            <v>0</v>
          </cell>
          <cell r="J428">
            <v>0</v>
          </cell>
          <cell r="K428">
            <v>0</v>
          </cell>
          <cell r="M428">
            <v>0</v>
          </cell>
        </row>
        <row r="430">
          <cell r="F430">
            <v>-151451</v>
          </cell>
          <cell r="H430">
            <v>0</v>
          </cell>
          <cell r="I430">
            <v>-151451</v>
          </cell>
          <cell r="J430">
            <v>0</v>
          </cell>
          <cell r="K430">
            <v>-151451</v>
          </cell>
          <cell r="M430">
            <v>0</v>
          </cell>
        </row>
        <row r="431">
          <cell r="F431">
            <v>0</v>
          </cell>
          <cell r="H431">
            <v>0</v>
          </cell>
          <cell r="I431">
            <v>0</v>
          </cell>
          <cell r="J431">
            <v>0</v>
          </cell>
          <cell r="K431">
            <v>0</v>
          </cell>
          <cell r="M431">
            <v>102373</v>
          </cell>
        </row>
        <row r="432">
          <cell r="F432">
            <v>0</v>
          </cell>
          <cell r="H432">
            <v>0</v>
          </cell>
          <cell r="I432">
            <v>0</v>
          </cell>
          <cell r="J432">
            <v>0</v>
          </cell>
          <cell r="K432">
            <v>0</v>
          </cell>
          <cell r="M432">
            <v>-13310</v>
          </cell>
        </row>
        <row r="433">
          <cell r="F433">
            <v>0</v>
          </cell>
          <cell r="H433">
            <v>0</v>
          </cell>
          <cell r="I433">
            <v>0</v>
          </cell>
          <cell r="J433">
            <v>0</v>
          </cell>
          <cell r="K433">
            <v>0</v>
          </cell>
          <cell r="M433">
            <v>-6071</v>
          </cell>
        </row>
        <row r="434">
          <cell r="F434">
            <v>0</v>
          </cell>
          <cell r="H434">
            <v>0</v>
          </cell>
          <cell r="I434">
            <v>0</v>
          </cell>
          <cell r="J434">
            <v>0</v>
          </cell>
          <cell r="K434">
            <v>0</v>
          </cell>
          <cell r="M434">
            <v>-5280</v>
          </cell>
        </row>
        <row r="435">
          <cell r="F435">
            <v>0</v>
          </cell>
          <cell r="H435">
            <v>0</v>
          </cell>
          <cell r="I435">
            <v>0</v>
          </cell>
          <cell r="J435">
            <v>0</v>
          </cell>
          <cell r="K435">
            <v>0</v>
          </cell>
          <cell r="M435">
            <v>-5025</v>
          </cell>
        </row>
        <row r="436">
          <cell r="F436">
            <v>-151451</v>
          </cell>
          <cell r="H436">
            <v>0</v>
          </cell>
          <cell r="I436">
            <v>-151451</v>
          </cell>
          <cell r="J436">
            <v>0</v>
          </cell>
          <cell r="K436">
            <v>-151451</v>
          </cell>
          <cell r="M436">
            <v>72687</v>
          </cell>
        </row>
        <row r="438">
          <cell r="F438">
            <v>22271</v>
          </cell>
          <cell r="H438">
            <v>0</v>
          </cell>
          <cell r="I438">
            <v>22271</v>
          </cell>
          <cell r="J438">
            <v>0</v>
          </cell>
          <cell r="K438">
            <v>22271</v>
          </cell>
          <cell r="M438">
            <v>0</v>
          </cell>
        </row>
        <row r="439">
          <cell r="F439">
            <v>0</v>
          </cell>
          <cell r="H439">
            <v>0</v>
          </cell>
          <cell r="I439">
            <v>0</v>
          </cell>
          <cell r="J439">
            <v>0</v>
          </cell>
          <cell r="K439">
            <v>0</v>
          </cell>
          <cell r="M439">
            <v>17968</v>
          </cell>
        </row>
        <row r="440">
          <cell r="F440">
            <v>22271</v>
          </cell>
          <cell r="H440">
            <v>0</v>
          </cell>
          <cell r="I440">
            <v>22271</v>
          </cell>
          <cell r="J440">
            <v>0</v>
          </cell>
          <cell r="K440">
            <v>22271</v>
          </cell>
          <cell r="M440">
            <v>17968</v>
          </cell>
        </row>
        <row r="442">
          <cell r="F442">
            <v>27993</v>
          </cell>
          <cell r="H442">
            <v>0</v>
          </cell>
          <cell r="I442">
            <v>27993</v>
          </cell>
          <cell r="J442">
            <v>0</v>
          </cell>
          <cell r="K442">
            <v>27993</v>
          </cell>
          <cell r="M442">
            <v>0</v>
          </cell>
        </row>
        <row r="443">
          <cell r="F443">
            <v>0</v>
          </cell>
          <cell r="H443">
            <v>0</v>
          </cell>
          <cell r="I443">
            <v>0</v>
          </cell>
          <cell r="J443">
            <v>0</v>
          </cell>
          <cell r="K443">
            <v>0</v>
          </cell>
          <cell r="M443">
            <v>-33242</v>
          </cell>
        </row>
        <row r="444">
          <cell r="F444">
            <v>27993</v>
          </cell>
          <cell r="H444">
            <v>0</v>
          </cell>
          <cell r="I444">
            <v>27993</v>
          </cell>
          <cell r="J444">
            <v>0</v>
          </cell>
          <cell r="K444">
            <v>27993</v>
          </cell>
          <cell r="M444">
            <v>-33242</v>
          </cell>
        </row>
        <row r="446">
          <cell r="F446">
            <v>154</v>
          </cell>
          <cell r="H446">
            <v>0</v>
          </cell>
          <cell r="I446">
            <v>154</v>
          </cell>
          <cell r="J446">
            <v>0</v>
          </cell>
          <cell r="K446">
            <v>154</v>
          </cell>
          <cell r="M446">
            <v>0</v>
          </cell>
        </row>
        <row r="447">
          <cell r="F447">
            <v>0</v>
          </cell>
          <cell r="H447">
            <v>0</v>
          </cell>
          <cell r="I447">
            <v>0</v>
          </cell>
          <cell r="J447">
            <v>0</v>
          </cell>
          <cell r="K447">
            <v>0</v>
          </cell>
          <cell r="M447">
            <v>-62517</v>
          </cell>
        </row>
        <row r="448">
          <cell r="F448">
            <v>154</v>
          </cell>
          <cell r="H448">
            <v>0</v>
          </cell>
          <cell r="I448">
            <v>154</v>
          </cell>
          <cell r="J448">
            <v>0</v>
          </cell>
          <cell r="K448">
            <v>154</v>
          </cell>
          <cell r="M448">
            <v>-62517</v>
          </cell>
        </row>
        <row r="450">
          <cell r="F450">
            <v>0</v>
          </cell>
          <cell r="H450">
            <v>0</v>
          </cell>
          <cell r="I450">
            <v>0</v>
          </cell>
          <cell r="J450">
            <v>0</v>
          </cell>
          <cell r="K450">
            <v>0</v>
          </cell>
          <cell r="M450">
            <v>0</v>
          </cell>
        </row>
        <row r="452">
          <cell r="F452">
            <v>0</v>
          </cell>
          <cell r="H452">
            <v>0</v>
          </cell>
          <cell r="I452">
            <v>0</v>
          </cell>
          <cell r="J452">
            <v>0</v>
          </cell>
          <cell r="K452">
            <v>0</v>
          </cell>
          <cell r="M452">
            <v>0</v>
          </cell>
        </row>
        <row r="454">
          <cell r="F454">
            <v>0</v>
          </cell>
          <cell r="H454">
            <v>0</v>
          </cell>
          <cell r="I454">
            <v>0</v>
          </cell>
          <cell r="J454">
            <v>0</v>
          </cell>
          <cell r="K454">
            <v>0</v>
          </cell>
          <cell r="M454">
            <v>0</v>
          </cell>
        </row>
        <row r="456">
          <cell r="F456">
            <v>0</v>
          </cell>
          <cell r="H456">
            <v>0</v>
          </cell>
          <cell r="I456">
            <v>0</v>
          </cell>
          <cell r="J456">
            <v>0</v>
          </cell>
          <cell r="K456">
            <v>0</v>
          </cell>
          <cell r="M456">
            <v>0</v>
          </cell>
        </row>
        <row r="458">
          <cell r="F458">
            <v>0</v>
          </cell>
          <cell r="H458">
            <v>0</v>
          </cell>
          <cell r="I458">
            <v>0</v>
          </cell>
          <cell r="J458">
            <v>0</v>
          </cell>
          <cell r="K458">
            <v>0</v>
          </cell>
          <cell r="M458">
            <v>0</v>
          </cell>
        </row>
        <row r="459">
          <cell r="F459">
            <v>0</v>
          </cell>
          <cell r="H459">
            <v>0</v>
          </cell>
          <cell r="I459">
            <v>0</v>
          </cell>
          <cell r="J459">
            <v>0</v>
          </cell>
          <cell r="K459">
            <v>0</v>
          </cell>
          <cell r="M459">
            <v>0</v>
          </cell>
        </row>
      </sheetData>
      <sheetData sheetId="31" refreshError="1"/>
      <sheetData sheetId="32" refreshError="1"/>
      <sheetData sheetId="33" refreshError="1"/>
      <sheetData sheetId="34" refreshError="1"/>
      <sheetData sheetId="35" refreshError="1"/>
      <sheetData sheetId="36" refreshError="1">
        <row r="1">
          <cell r="F1" t="str">
            <v>Preliminary</v>
          </cell>
          <cell r="G1" t="str">
            <v>AJE</v>
          </cell>
          <cell r="H1" t="str">
            <v>Adjusted</v>
          </cell>
          <cell r="I1" t="str">
            <v>RJE</v>
          </cell>
          <cell r="J1" t="str">
            <v>'June  2014</v>
          </cell>
          <cell r="K1" t="str">
            <v>30-06-13</v>
          </cell>
        </row>
        <row r="3">
          <cell r="F3">
            <v>613880</v>
          </cell>
          <cell r="G3">
            <v>0</v>
          </cell>
          <cell r="H3">
            <v>613880</v>
          </cell>
          <cell r="I3">
            <v>0</v>
          </cell>
          <cell r="J3">
            <v>613880</v>
          </cell>
          <cell r="K3">
            <v>0</v>
          </cell>
        </row>
        <row r="4">
          <cell r="F4">
            <v>111</v>
          </cell>
          <cell r="G4">
            <v>0</v>
          </cell>
          <cell r="H4">
            <v>111</v>
          </cell>
          <cell r="I4">
            <v>0</v>
          </cell>
          <cell r="J4">
            <v>111</v>
          </cell>
          <cell r="K4">
            <v>0</v>
          </cell>
        </row>
        <row r="5">
          <cell r="F5">
            <v>20397</v>
          </cell>
          <cell r="G5">
            <v>0</v>
          </cell>
          <cell r="H5">
            <v>20397</v>
          </cell>
          <cell r="I5">
            <v>0</v>
          </cell>
          <cell r="J5">
            <v>20397</v>
          </cell>
          <cell r="K5">
            <v>0</v>
          </cell>
        </row>
        <row r="6">
          <cell r="F6">
            <v>1096</v>
          </cell>
          <cell r="G6">
            <v>0</v>
          </cell>
          <cell r="H6">
            <v>1096</v>
          </cell>
          <cell r="I6">
            <v>0</v>
          </cell>
          <cell r="J6">
            <v>1096</v>
          </cell>
          <cell r="K6">
            <v>0</v>
          </cell>
        </row>
        <row r="7">
          <cell r="F7">
            <v>105</v>
          </cell>
          <cell r="G7">
            <v>0</v>
          </cell>
          <cell r="H7">
            <v>105</v>
          </cell>
          <cell r="I7">
            <v>0</v>
          </cell>
          <cell r="J7">
            <v>105</v>
          </cell>
          <cell r="K7">
            <v>0</v>
          </cell>
        </row>
        <row r="8">
          <cell r="F8">
            <v>1602065</v>
          </cell>
          <cell r="G8">
            <v>0</v>
          </cell>
          <cell r="H8">
            <v>1602065</v>
          </cell>
          <cell r="I8">
            <v>0</v>
          </cell>
          <cell r="J8">
            <v>1602065</v>
          </cell>
          <cell r="K8">
            <v>0</v>
          </cell>
        </row>
        <row r="9">
          <cell r="F9">
            <v>1472</v>
          </cell>
          <cell r="G9">
            <v>0</v>
          </cell>
          <cell r="H9">
            <v>1472</v>
          </cell>
          <cell r="I9">
            <v>0</v>
          </cell>
          <cell r="J9">
            <v>1472</v>
          </cell>
          <cell r="K9">
            <v>0</v>
          </cell>
        </row>
        <row r="10">
          <cell r="F10">
            <v>163194</v>
          </cell>
          <cell r="G10">
            <v>0</v>
          </cell>
          <cell r="H10">
            <v>163194</v>
          </cell>
          <cell r="I10">
            <v>0</v>
          </cell>
          <cell r="J10">
            <v>163194</v>
          </cell>
          <cell r="K10">
            <v>0</v>
          </cell>
        </row>
        <row r="11">
          <cell r="F11">
            <v>984</v>
          </cell>
          <cell r="G11">
            <v>0</v>
          </cell>
          <cell r="H11">
            <v>984</v>
          </cell>
          <cell r="I11">
            <v>0</v>
          </cell>
          <cell r="J11">
            <v>984</v>
          </cell>
          <cell r="K11">
            <v>0</v>
          </cell>
        </row>
        <row r="12">
          <cell r="F12">
            <v>24</v>
          </cell>
          <cell r="G12">
            <v>0</v>
          </cell>
          <cell r="H12">
            <v>24</v>
          </cell>
          <cell r="I12">
            <v>0</v>
          </cell>
          <cell r="J12">
            <v>24</v>
          </cell>
          <cell r="K12">
            <v>0</v>
          </cell>
        </row>
        <row r="13">
          <cell r="F13">
            <v>14</v>
          </cell>
          <cell r="G13">
            <v>0</v>
          </cell>
          <cell r="H13">
            <v>14</v>
          </cell>
          <cell r="I13">
            <v>0</v>
          </cell>
          <cell r="J13">
            <v>14</v>
          </cell>
          <cell r="K13">
            <v>0</v>
          </cell>
        </row>
        <row r="14">
          <cell r="F14">
            <v>491</v>
          </cell>
          <cell r="G14">
            <v>0</v>
          </cell>
          <cell r="H14">
            <v>491</v>
          </cell>
          <cell r="I14">
            <v>0</v>
          </cell>
          <cell r="J14">
            <v>491</v>
          </cell>
          <cell r="K14">
            <v>0</v>
          </cell>
        </row>
        <row r="15">
          <cell r="F15">
            <v>793</v>
          </cell>
          <cell r="G15">
            <v>0</v>
          </cell>
          <cell r="H15">
            <v>793</v>
          </cell>
          <cell r="I15">
            <v>0</v>
          </cell>
          <cell r="J15">
            <v>793</v>
          </cell>
          <cell r="K15">
            <v>0</v>
          </cell>
        </row>
        <row r="16">
          <cell r="F16">
            <v>6</v>
          </cell>
          <cell r="G16">
            <v>0</v>
          </cell>
          <cell r="H16">
            <v>6</v>
          </cell>
          <cell r="I16">
            <v>0</v>
          </cell>
          <cell r="J16">
            <v>6</v>
          </cell>
          <cell r="K16">
            <v>0</v>
          </cell>
        </row>
        <row r="17">
          <cell r="F17">
            <v>5</v>
          </cell>
          <cell r="G17">
            <v>0</v>
          </cell>
          <cell r="H17">
            <v>5</v>
          </cell>
          <cell r="I17">
            <v>0</v>
          </cell>
          <cell r="J17">
            <v>5</v>
          </cell>
          <cell r="K17">
            <v>0</v>
          </cell>
        </row>
        <row r="18">
          <cell r="F18">
            <v>0</v>
          </cell>
          <cell r="G18">
            <v>0</v>
          </cell>
          <cell r="H18">
            <v>0</v>
          </cell>
          <cell r="I18">
            <v>0</v>
          </cell>
          <cell r="J18">
            <v>0</v>
          </cell>
          <cell r="K18">
            <v>994</v>
          </cell>
        </row>
        <row r="19">
          <cell r="F19">
            <v>0</v>
          </cell>
          <cell r="G19">
            <v>0</v>
          </cell>
          <cell r="H19">
            <v>0</v>
          </cell>
          <cell r="I19">
            <v>0</v>
          </cell>
          <cell r="J19">
            <v>0</v>
          </cell>
          <cell r="K19">
            <v>252</v>
          </cell>
        </row>
        <row r="20">
          <cell r="F20">
            <v>0</v>
          </cell>
          <cell r="G20">
            <v>0</v>
          </cell>
          <cell r="H20">
            <v>0</v>
          </cell>
          <cell r="I20">
            <v>0</v>
          </cell>
          <cell r="J20">
            <v>0</v>
          </cell>
          <cell r="K20">
            <v>8743</v>
          </cell>
        </row>
        <row r="21">
          <cell r="F21">
            <v>0</v>
          </cell>
          <cell r="G21">
            <v>0</v>
          </cell>
          <cell r="H21">
            <v>0</v>
          </cell>
          <cell r="I21">
            <v>0</v>
          </cell>
          <cell r="J21">
            <v>0</v>
          </cell>
          <cell r="K21">
            <v>644</v>
          </cell>
        </row>
        <row r="22">
          <cell r="F22">
            <v>0</v>
          </cell>
          <cell r="G22">
            <v>0</v>
          </cell>
          <cell r="H22">
            <v>0</v>
          </cell>
          <cell r="I22">
            <v>0</v>
          </cell>
          <cell r="J22">
            <v>0</v>
          </cell>
          <cell r="K22">
            <v>14</v>
          </cell>
        </row>
        <row r="23">
          <cell r="F23">
            <v>0</v>
          </cell>
          <cell r="G23">
            <v>0</v>
          </cell>
          <cell r="H23">
            <v>0</v>
          </cell>
          <cell r="I23">
            <v>0</v>
          </cell>
          <cell r="J23">
            <v>0</v>
          </cell>
          <cell r="K23">
            <v>169619</v>
          </cell>
        </row>
        <row r="24">
          <cell r="F24">
            <v>0</v>
          </cell>
          <cell r="G24">
            <v>0</v>
          </cell>
          <cell r="H24">
            <v>0</v>
          </cell>
          <cell r="I24">
            <v>0</v>
          </cell>
          <cell r="J24">
            <v>0</v>
          </cell>
          <cell r="K24">
            <v>2362</v>
          </cell>
        </row>
        <row r="25">
          <cell r="F25">
            <v>0</v>
          </cell>
          <cell r="G25">
            <v>0</v>
          </cell>
          <cell r="H25">
            <v>0</v>
          </cell>
          <cell r="I25">
            <v>0</v>
          </cell>
          <cell r="J25">
            <v>0</v>
          </cell>
          <cell r="K25">
            <v>200664</v>
          </cell>
        </row>
        <row r="26">
          <cell r="F26">
            <v>0</v>
          </cell>
          <cell r="G26">
            <v>0</v>
          </cell>
          <cell r="H26">
            <v>0</v>
          </cell>
          <cell r="I26">
            <v>0</v>
          </cell>
          <cell r="J26">
            <v>0</v>
          </cell>
          <cell r="K26">
            <v>1549595</v>
          </cell>
        </row>
        <row r="27">
          <cell r="F27">
            <v>0</v>
          </cell>
          <cell r="G27">
            <v>0</v>
          </cell>
          <cell r="H27">
            <v>0</v>
          </cell>
          <cell r="I27">
            <v>0</v>
          </cell>
          <cell r="J27">
            <v>0</v>
          </cell>
          <cell r="K27">
            <v>477616</v>
          </cell>
        </row>
        <row r="28">
          <cell r="F28">
            <v>0</v>
          </cell>
          <cell r="G28">
            <v>0</v>
          </cell>
          <cell r="H28">
            <v>0</v>
          </cell>
          <cell r="I28">
            <v>0</v>
          </cell>
          <cell r="J28">
            <v>0</v>
          </cell>
          <cell r="K28">
            <v>822</v>
          </cell>
        </row>
        <row r="29">
          <cell r="F29">
            <v>0</v>
          </cell>
          <cell r="G29">
            <v>0</v>
          </cell>
          <cell r="H29">
            <v>0</v>
          </cell>
          <cell r="I29">
            <v>0</v>
          </cell>
          <cell r="J29">
            <v>0</v>
          </cell>
          <cell r="K29">
            <v>57042</v>
          </cell>
        </row>
        <row r="30">
          <cell r="F30">
            <v>0</v>
          </cell>
          <cell r="G30">
            <v>0</v>
          </cell>
          <cell r="H30">
            <v>0</v>
          </cell>
          <cell r="I30">
            <v>0</v>
          </cell>
          <cell r="J30">
            <v>0</v>
          </cell>
          <cell r="K30">
            <v>200023</v>
          </cell>
        </row>
        <row r="31">
          <cell r="F31">
            <v>2404637</v>
          </cell>
          <cell r="G31">
            <v>0</v>
          </cell>
          <cell r="H31">
            <v>2404637</v>
          </cell>
          <cell r="I31">
            <v>0</v>
          </cell>
          <cell r="J31">
            <v>2404637</v>
          </cell>
          <cell r="K31">
            <v>2668390</v>
          </cell>
        </row>
        <row r="33">
          <cell r="F33">
            <v>0</v>
          </cell>
          <cell r="G33">
            <v>0</v>
          </cell>
          <cell r="H33">
            <v>0</v>
          </cell>
          <cell r="I33">
            <v>0</v>
          </cell>
          <cell r="J33">
            <v>0</v>
          </cell>
          <cell r="K33">
            <v>0</v>
          </cell>
        </row>
        <row r="35">
          <cell r="F35">
            <v>1556878</v>
          </cell>
          <cell r="G35">
            <v>0</v>
          </cell>
          <cell r="H35">
            <v>1556878</v>
          </cell>
          <cell r="I35">
            <v>0</v>
          </cell>
          <cell r="J35">
            <v>1556878</v>
          </cell>
          <cell r="K35">
            <v>0</v>
          </cell>
        </row>
        <row r="36">
          <cell r="F36">
            <v>35528</v>
          </cell>
          <cell r="G36">
            <v>0</v>
          </cell>
          <cell r="H36">
            <v>35528</v>
          </cell>
          <cell r="I36">
            <v>0</v>
          </cell>
          <cell r="J36">
            <v>35528</v>
          </cell>
          <cell r="K36">
            <v>0</v>
          </cell>
        </row>
        <row r="37">
          <cell r="F37">
            <v>-112614</v>
          </cell>
          <cell r="G37">
            <v>0</v>
          </cell>
          <cell r="H37">
            <v>-112614</v>
          </cell>
          <cell r="I37">
            <v>0</v>
          </cell>
          <cell r="J37">
            <v>-112614</v>
          </cell>
          <cell r="K37">
            <v>0</v>
          </cell>
        </row>
        <row r="38">
          <cell r="F38">
            <v>0</v>
          </cell>
          <cell r="G38">
            <v>0</v>
          </cell>
          <cell r="H38">
            <v>0</v>
          </cell>
          <cell r="I38">
            <v>0</v>
          </cell>
          <cell r="J38">
            <v>0</v>
          </cell>
          <cell r="K38">
            <v>0</v>
          </cell>
        </row>
        <row r="39">
          <cell r="F39">
            <v>58184</v>
          </cell>
          <cell r="G39">
            <v>0</v>
          </cell>
          <cell r="H39">
            <v>58184</v>
          </cell>
          <cell r="I39">
            <v>0</v>
          </cell>
          <cell r="J39">
            <v>58184</v>
          </cell>
          <cell r="K39">
            <v>0</v>
          </cell>
        </row>
        <row r="40">
          <cell r="F40">
            <v>-58184</v>
          </cell>
          <cell r="G40">
            <v>0</v>
          </cell>
          <cell r="H40">
            <v>-58184</v>
          </cell>
          <cell r="I40">
            <v>0</v>
          </cell>
          <cell r="J40">
            <v>-58184</v>
          </cell>
          <cell r="K40">
            <v>0</v>
          </cell>
        </row>
        <row r="41">
          <cell r="F41">
            <v>0</v>
          </cell>
          <cell r="G41">
            <v>0</v>
          </cell>
          <cell r="H41">
            <v>0</v>
          </cell>
          <cell r="I41">
            <v>0</v>
          </cell>
          <cell r="J41">
            <v>0</v>
          </cell>
          <cell r="K41">
            <v>2214478</v>
          </cell>
        </row>
        <row r="42">
          <cell r="F42">
            <v>0</v>
          </cell>
          <cell r="G42">
            <v>0</v>
          </cell>
          <cell r="H42">
            <v>0</v>
          </cell>
          <cell r="I42">
            <v>0</v>
          </cell>
          <cell r="J42">
            <v>0</v>
          </cell>
          <cell r="K42">
            <v>11757</v>
          </cell>
        </row>
        <row r="43">
          <cell r="F43">
            <v>0</v>
          </cell>
          <cell r="G43">
            <v>0</v>
          </cell>
          <cell r="H43">
            <v>0</v>
          </cell>
          <cell r="I43">
            <v>0</v>
          </cell>
          <cell r="J43">
            <v>0</v>
          </cell>
          <cell r="K43">
            <v>-137306</v>
          </cell>
        </row>
        <row r="44">
          <cell r="F44">
            <v>0</v>
          </cell>
          <cell r="G44">
            <v>0</v>
          </cell>
          <cell r="H44">
            <v>0</v>
          </cell>
          <cell r="I44">
            <v>0</v>
          </cell>
          <cell r="J44">
            <v>0</v>
          </cell>
          <cell r="K44">
            <v>-152652</v>
          </cell>
        </row>
        <row r="45">
          <cell r="F45">
            <v>0</v>
          </cell>
          <cell r="G45">
            <v>0</v>
          </cell>
          <cell r="H45">
            <v>0</v>
          </cell>
          <cell r="I45">
            <v>0</v>
          </cell>
          <cell r="J45">
            <v>0</v>
          </cell>
          <cell r="K45">
            <v>21983</v>
          </cell>
        </row>
        <row r="46">
          <cell r="F46">
            <v>0</v>
          </cell>
          <cell r="G46">
            <v>0</v>
          </cell>
          <cell r="H46">
            <v>0</v>
          </cell>
          <cell r="I46">
            <v>0</v>
          </cell>
          <cell r="J46">
            <v>0</v>
          </cell>
          <cell r="K46">
            <v>35000</v>
          </cell>
        </row>
        <row r="47">
          <cell r="F47">
            <v>0</v>
          </cell>
          <cell r="G47">
            <v>0</v>
          </cell>
          <cell r="H47">
            <v>0</v>
          </cell>
          <cell r="I47">
            <v>0</v>
          </cell>
          <cell r="J47">
            <v>0</v>
          </cell>
          <cell r="K47">
            <v>-21983</v>
          </cell>
        </row>
        <row r="48">
          <cell r="F48">
            <v>0</v>
          </cell>
          <cell r="G48">
            <v>0</v>
          </cell>
          <cell r="H48">
            <v>0</v>
          </cell>
          <cell r="I48">
            <v>0</v>
          </cell>
          <cell r="J48">
            <v>0</v>
          </cell>
          <cell r="K48">
            <v>-35000</v>
          </cell>
        </row>
        <row r="49">
          <cell r="F49">
            <v>0</v>
          </cell>
          <cell r="G49">
            <v>0</v>
          </cell>
          <cell r="H49">
            <v>0</v>
          </cell>
          <cell r="I49">
            <v>0</v>
          </cell>
          <cell r="J49">
            <v>0</v>
          </cell>
          <cell r="K49">
            <v>0</v>
          </cell>
        </row>
        <row r="50">
          <cell r="F50">
            <v>1479792</v>
          </cell>
          <cell r="G50">
            <v>0</v>
          </cell>
          <cell r="H50">
            <v>1479792</v>
          </cell>
          <cell r="I50">
            <v>0</v>
          </cell>
          <cell r="J50">
            <v>1479792</v>
          </cell>
          <cell r="K50">
            <v>1936277</v>
          </cell>
        </row>
        <row r="52">
          <cell r="F52">
            <v>0</v>
          </cell>
          <cell r="G52">
            <v>0</v>
          </cell>
          <cell r="H52">
            <v>0</v>
          </cell>
          <cell r="I52">
            <v>0</v>
          </cell>
          <cell r="J52">
            <v>0</v>
          </cell>
          <cell r="K52">
            <v>0</v>
          </cell>
        </row>
        <row r="54">
          <cell r="F54">
            <v>214060</v>
          </cell>
          <cell r="G54">
            <v>0</v>
          </cell>
          <cell r="H54">
            <v>214060</v>
          </cell>
          <cell r="I54">
            <v>0</v>
          </cell>
          <cell r="J54">
            <v>214060</v>
          </cell>
          <cell r="K54">
            <v>0</v>
          </cell>
        </row>
        <row r="55">
          <cell r="F55">
            <v>-10</v>
          </cell>
          <cell r="G55">
            <v>0</v>
          </cell>
          <cell r="H55">
            <v>-10</v>
          </cell>
          <cell r="I55">
            <v>0</v>
          </cell>
          <cell r="J55">
            <v>-10</v>
          </cell>
          <cell r="K55">
            <v>0</v>
          </cell>
        </row>
        <row r="56">
          <cell r="F56">
            <v>-2113</v>
          </cell>
          <cell r="G56">
            <v>0</v>
          </cell>
          <cell r="H56">
            <v>-2113</v>
          </cell>
          <cell r="I56">
            <v>0</v>
          </cell>
          <cell r="J56">
            <v>-2113</v>
          </cell>
          <cell r="K56">
            <v>0</v>
          </cell>
        </row>
        <row r="57">
          <cell r="F57">
            <v>2800500</v>
          </cell>
          <cell r="G57">
            <v>0</v>
          </cell>
          <cell r="H57">
            <v>2800500</v>
          </cell>
          <cell r="I57">
            <v>0</v>
          </cell>
          <cell r="J57">
            <v>2800500</v>
          </cell>
          <cell r="K57">
            <v>0</v>
          </cell>
        </row>
        <row r="58">
          <cell r="F58">
            <v>-188</v>
          </cell>
          <cell r="G58">
            <v>0</v>
          </cell>
          <cell r="H58">
            <v>-188</v>
          </cell>
          <cell r="I58">
            <v>0</v>
          </cell>
          <cell r="J58">
            <v>-188</v>
          </cell>
          <cell r="K58">
            <v>0</v>
          </cell>
        </row>
        <row r="59">
          <cell r="F59">
            <v>7655</v>
          </cell>
          <cell r="G59">
            <v>0</v>
          </cell>
          <cell r="H59">
            <v>7655</v>
          </cell>
          <cell r="I59">
            <v>0</v>
          </cell>
          <cell r="J59">
            <v>7655</v>
          </cell>
          <cell r="K59">
            <v>0</v>
          </cell>
        </row>
        <row r="60">
          <cell r="F60">
            <v>3454000</v>
          </cell>
          <cell r="G60">
            <v>0</v>
          </cell>
          <cell r="H60">
            <v>3454000</v>
          </cell>
          <cell r="I60">
            <v>0</v>
          </cell>
          <cell r="J60">
            <v>3454000</v>
          </cell>
          <cell r="K60">
            <v>0</v>
          </cell>
        </row>
        <row r="61">
          <cell r="F61">
            <v>3202</v>
          </cell>
          <cell r="G61">
            <v>0</v>
          </cell>
          <cell r="H61">
            <v>3202</v>
          </cell>
          <cell r="I61">
            <v>0</v>
          </cell>
          <cell r="J61">
            <v>3202</v>
          </cell>
          <cell r="K61">
            <v>0</v>
          </cell>
        </row>
        <row r="62">
          <cell r="F62">
            <v>-49948</v>
          </cell>
          <cell r="G62">
            <v>0</v>
          </cell>
          <cell r="H62">
            <v>-49948</v>
          </cell>
          <cell r="I62">
            <v>0</v>
          </cell>
          <cell r="J62">
            <v>-49948</v>
          </cell>
          <cell r="K62">
            <v>0</v>
          </cell>
        </row>
        <row r="63">
          <cell r="F63">
            <v>0</v>
          </cell>
          <cell r="G63">
            <v>0</v>
          </cell>
          <cell r="H63">
            <v>0</v>
          </cell>
          <cell r="I63">
            <v>0</v>
          </cell>
          <cell r="J63">
            <v>0</v>
          </cell>
          <cell r="K63">
            <v>2989650</v>
          </cell>
        </row>
        <row r="64">
          <cell r="F64">
            <v>0</v>
          </cell>
          <cell r="G64">
            <v>0</v>
          </cell>
          <cell r="H64">
            <v>0</v>
          </cell>
          <cell r="I64">
            <v>0</v>
          </cell>
          <cell r="J64">
            <v>0</v>
          </cell>
          <cell r="K64">
            <v>3334</v>
          </cell>
        </row>
        <row r="65">
          <cell r="F65">
            <v>0</v>
          </cell>
          <cell r="G65">
            <v>0</v>
          </cell>
          <cell r="H65">
            <v>0</v>
          </cell>
          <cell r="I65">
            <v>0</v>
          </cell>
          <cell r="J65">
            <v>0</v>
          </cell>
          <cell r="K65">
            <v>-100726</v>
          </cell>
        </row>
        <row r="66">
          <cell r="F66">
            <v>0</v>
          </cell>
          <cell r="G66">
            <v>0</v>
          </cell>
          <cell r="H66">
            <v>0</v>
          </cell>
          <cell r="I66">
            <v>0</v>
          </cell>
          <cell r="J66">
            <v>0</v>
          </cell>
          <cell r="K66">
            <v>1377700</v>
          </cell>
        </row>
        <row r="67">
          <cell r="F67">
            <v>0</v>
          </cell>
          <cell r="G67">
            <v>0</v>
          </cell>
          <cell r="H67">
            <v>0</v>
          </cell>
          <cell r="I67">
            <v>0</v>
          </cell>
          <cell r="J67">
            <v>0</v>
          </cell>
          <cell r="K67">
            <v>7568</v>
          </cell>
        </row>
        <row r="68">
          <cell r="F68">
            <v>0</v>
          </cell>
          <cell r="G68">
            <v>0</v>
          </cell>
          <cell r="H68">
            <v>0</v>
          </cell>
          <cell r="I68">
            <v>0</v>
          </cell>
          <cell r="J68">
            <v>0</v>
          </cell>
          <cell r="K68">
            <v>28595</v>
          </cell>
        </row>
        <row r="69">
          <cell r="F69">
            <v>0</v>
          </cell>
          <cell r="G69">
            <v>0</v>
          </cell>
          <cell r="H69">
            <v>0</v>
          </cell>
          <cell r="I69">
            <v>0</v>
          </cell>
          <cell r="J69">
            <v>0</v>
          </cell>
          <cell r="K69">
            <v>1805700</v>
          </cell>
        </row>
        <row r="70">
          <cell r="F70">
            <v>0</v>
          </cell>
          <cell r="G70">
            <v>0</v>
          </cell>
          <cell r="H70">
            <v>0</v>
          </cell>
          <cell r="I70">
            <v>0</v>
          </cell>
          <cell r="J70">
            <v>0</v>
          </cell>
          <cell r="K70">
            <v>-2233</v>
          </cell>
        </row>
        <row r="71">
          <cell r="F71">
            <v>0</v>
          </cell>
          <cell r="G71">
            <v>0</v>
          </cell>
          <cell r="H71">
            <v>0</v>
          </cell>
          <cell r="I71">
            <v>0</v>
          </cell>
          <cell r="J71">
            <v>0</v>
          </cell>
          <cell r="K71">
            <v>4888</v>
          </cell>
        </row>
        <row r="72">
          <cell r="F72">
            <v>6427158</v>
          </cell>
          <cell r="G72">
            <v>0</v>
          </cell>
          <cell r="H72">
            <v>6427158</v>
          </cell>
          <cell r="I72">
            <v>0</v>
          </cell>
          <cell r="J72">
            <v>6427158</v>
          </cell>
          <cell r="K72">
            <v>6114476</v>
          </cell>
        </row>
        <row r="74">
          <cell r="F74">
            <v>500000</v>
          </cell>
          <cell r="G74">
            <v>0</v>
          </cell>
          <cell r="H74">
            <v>500000</v>
          </cell>
          <cell r="I74">
            <v>0</v>
          </cell>
          <cell r="J74">
            <v>500000</v>
          </cell>
          <cell r="K74">
            <v>0</v>
          </cell>
        </row>
        <row r="75">
          <cell r="F75">
            <v>0</v>
          </cell>
          <cell r="G75">
            <v>0</v>
          </cell>
          <cell r="H75">
            <v>0</v>
          </cell>
          <cell r="I75">
            <v>0</v>
          </cell>
          <cell r="J75">
            <v>0</v>
          </cell>
          <cell r="K75">
            <v>500000</v>
          </cell>
        </row>
        <row r="76">
          <cell r="F76">
            <v>500000</v>
          </cell>
          <cell r="G76">
            <v>0</v>
          </cell>
          <cell r="H76">
            <v>500000</v>
          </cell>
          <cell r="I76">
            <v>0</v>
          </cell>
          <cell r="J76">
            <v>500000</v>
          </cell>
          <cell r="K76">
            <v>500000</v>
          </cell>
        </row>
        <row r="78">
          <cell r="F78">
            <v>0</v>
          </cell>
          <cell r="G78">
            <v>0</v>
          </cell>
          <cell r="H78">
            <v>0</v>
          </cell>
          <cell r="I78">
            <v>0</v>
          </cell>
          <cell r="J78">
            <v>0</v>
          </cell>
          <cell r="K78">
            <v>0</v>
          </cell>
        </row>
        <row r="80">
          <cell r="F80">
            <v>25279</v>
          </cell>
          <cell r="G80">
            <v>0</v>
          </cell>
          <cell r="H80">
            <v>25279</v>
          </cell>
          <cell r="I80">
            <v>0</v>
          </cell>
          <cell r="J80">
            <v>25279</v>
          </cell>
          <cell r="K80">
            <v>0</v>
          </cell>
        </row>
        <row r="81">
          <cell r="F81">
            <v>-23125</v>
          </cell>
          <cell r="G81">
            <v>0</v>
          </cell>
          <cell r="H81">
            <v>-23125</v>
          </cell>
          <cell r="I81">
            <v>0</v>
          </cell>
          <cell r="J81">
            <v>-23125</v>
          </cell>
          <cell r="K81">
            <v>0</v>
          </cell>
        </row>
        <row r="82">
          <cell r="F82">
            <v>6038</v>
          </cell>
          <cell r="G82">
            <v>0</v>
          </cell>
          <cell r="H82">
            <v>6038</v>
          </cell>
          <cell r="I82">
            <v>0</v>
          </cell>
          <cell r="J82">
            <v>6038</v>
          </cell>
          <cell r="K82">
            <v>0</v>
          </cell>
        </row>
        <row r="83">
          <cell r="F83">
            <v>4206</v>
          </cell>
          <cell r="G83">
            <v>0</v>
          </cell>
          <cell r="H83">
            <v>4206</v>
          </cell>
          <cell r="I83">
            <v>0</v>
          </cell>
          <cell r="J83">
            <v>4206</v>
          </cell>
          <cell r="K83">
            <v>0</v>
          </cell>
        </row>
        <row r="84">
          <cell r="F84">
            <v>1</v>
          </cell>
          <cell r="G84">
            <v>0</v>
          </cell>
          <cell r="H84">
            <v>1</v>
          </cell>
          <cell r="I84">
            <v>0</v>
          </cell>
          <cell r="J84">
            <v>1</v>
          </cell>
          <cell r="K84">
            <v>0</v>
          </cell>
        </row>
        <row r="85">
          <cell r="F85">
            <v>62</v>
          </cell>
          <cell r="G85">
            <v>0</v>
          </cell>
          <cell r="H85">
            <v>62</v>
          </cell>
          <cell r="I85">
            <v>0</v>
          </cell>
          <cell r="J85">
            <v>62</v>
          </cell>
          <cell r="K85">
            <v>0</v>
          </cell>
        </row>
        <row r="86">
          <cell r="F86">
            <v>391</v>
          </cell>
          <cell r="G86">
            <v>0</v>
          </cell>
          <cell r="H86">
            <v>391</v>
          </cell>
          <cell r="I86">
            <v>0</v>
          </cell>
          <cell r="J86">
            <v>391</v>
          </cell>
          <cell r="K86">
            <v>0</v>
          </cell>
        </row>
        <row r="87">
          <cell r="F87">
            <v>0</v>
          </cell>
          <cell r="G87">
            <v>0</v>
          </cell>
          <cell r="H87">
            <v>0</v>
          </cell>
          <cell r="I87">
            <v>0</v>
          </cell>
          <cell r="J87">
            <v>0</v>
          </cell>
          <cell r="K87">
            <v>0</v>
          </cell>
        </row>
        <row r="88">
          <cell r="F88">
            <v>3669</v>
          </cell>
          <cell r="G88">
            <v>0</v>
          </cell>
          <cell r="H88">
            <v>3669</v>
          </cell>
          <cell r="I88">
            <v>0</v>
          </cell>
          <cell r="J88">
            <v>3669</v>
          </cell>
          <cell r="K88">
            <v>0</v>
          </cell>
        </row>
        <row r="89">
          <cell r="F89">
            <v>277</v>
          </cell>
          <cell r="G89">
            <v>0</v>
          </cell>
          <cell r="H89">
            <v>277</v>
          </cell>
          <cell r="I89">
            <v>0</v>
          </cell>
          <cell r="J89">
            <v>277</v>
          </cell>
          <cell r="K89">
            <v>0</v>
          </cell>
        </row>
        <row r="90">
          <cell r="F90">
            <v>7</v>
          </cell>
          <cell r="G90">
            <v>0</v>
          </cell>
          <cell r="H90">
            <v>7</v>
          </cell>
          <cell r="I90">
            <v>0</v>
          </cell>
          <cell r="J90">
            <v>7</v>
          </cell>
          <cell r="K90">
            <v>0</v>
          </cell>
        </row>
        <row r="91">
          <cell r="F91">
            <v>0</v>
          </cell>
          <cell r="G91">
            <v>0</v>
          </cell>
          <cell r="H91">
            <v>0</v>
          </cell>
          <cell r="I91">
            <v>0</v>
          </cell>
          <cell r="J91">
            <v>0</v>
          </cell>
          <cell r="K91">
            <v>0</v>
          </cell>
        </row>
        <row r="92">
          <cell r="F92">
            <v>19</v>
          </cell>
          <cell r="G92">
            <v>0</v>
          </cell>
          <cell r="H92">
            <v>19</v>
          </cell>
          <cell r="I92">
            <v>0</v>
          </cell>
          <cell r="J92">
            <v>19</v>
          </cell>
          <cell r="K92">
            <v>0</v>
          </cell>
        </row>
        <row r="93">
          <cell r="F93">
            <v>3</v>
          </cell>
          <cell r="G93">
            <v>0</v>
          </cell>
          <cell r="H93">
            <v>3</v>
          </cell>
          <cell r="I93">
            <v>0</v>
          </cell>
          <cell r="J93">
            <v>3</v>
          </cell>
          <cell r="K93">
            <v>0</v>
          </cell>
        </row>
        <row r="94">
          <cell r="F94">
            <v>26421</v>
          </cell>
          <cell r="G94">
            <v>0</v>
          </cell>
          <cell r="H94">
            <v>26421</v>
          </cell>
          <cell r="I94">
            <v>0</v>
          </cell>
          <cell r="J94">
            <v>26421</v>
          </cell>
          <cell r="K94">
            <v>0</v>
          </cell>
        </row>
        <row r="95">
          <cell r="F95">
            <v>2682</v>
          </cell>
          <cell r="G95">
            <v>0</v>
          </cell>
          <cell r="H95">
            <v>2682</v>
          </cell>
          <cell r="I95">
            <v>0</v>
          </cell>
          <cell r="J95">
            <v>2682</v>
          </cell>
          <cell r="K95">
            <v>0</v>
          </cell>
        </row>
        <row r="96">
          <cell r="F96">
            <v>315815</v>
          </cell>
          <cell r="G96">
            <v>0</v>
          </cell>
          <cell r="H96">
            <v>315815</v>
          </cell>
          <cell r="I96">
            <v>0</v>
          </cell>
          <cell r="J96">
            <v>315815</v>
          </cell>
          <cell r="K96">
            <v>0</v>
          </cell>
        </row>
        <row r="97">
          <cell r="F97">
            <v>15878</v>
          </cell>
          <cell r="G97">
            <v>0</v>
          </cell>
          <cell r="H97">
            <v>15878</v>
          </cell>
          <cell r="I97">
            <v>0</v>
          </cell>
          <cell r="J97">
            <v>15878</v>
          </cell>
          <cell r="K97">
            <v>0</v>
          </cell>
        </row>
        <row r="98">
          <cell r="F98">
            <v>0</v>
          </cell>
          <cell r="G98">
            <v>0</v>
          </cell>
          <cell r="H98">
            <v>0</v>
          </cell>
          <cell r="I98">
            <v>0</v>
          </cell>
          <cell r="J98">
            <v>0</v>
          </cell>
          <cell r="K98">
            <v>18080</v>
          </cell>
        </row>
        <row r="99">
          <cell r="F99">
            <v>0</v>
          </cell>
          <cell r="G99">
            <v>0</v>
          </cell>
          <cell r="H99">
            <v>0</v>
          </cell>
          <cell r="I99">
            <v>0</v>
          </cell>
          <cell r="J99">
            <v>0</v>
          </cell>
          <cell r="K99">
            <v>9370</v>
          </cell>
        </row>
        <row r="100">
          <cell r="F100">
            <v>0</v>
          </cell>
          <cell r="G100">
            <v>0</v>
          </cell>
          <cell r="H100">
            <v>0</v>
          </cell>
          <cell r="I100">
            <v>0</v>
          </cell>
          <cell r="J100">
            <v>0</v>
          </cell>
          <cell r="K100">
            <v>10293</v>
          </cell>
        </row>
        <row r="101">
          <cell r="F101">
            <v>0</v>
          </cell>
          <cell r="G101">
            <v>0</v>
          </cell>
          <cell r="H101">
            <v>0</v>
          </cell>
          <cell r="I101">
            <v>0</v>
          </cell>
          <cell r="J101">
            <v>0</v>
          </cell>
          <cell r="K101">
            <v>51720</v>
          </cell>
        </row>
        <row r="102">
          <cell r="F102">
            <v>0</v>
          </cell>
          <cell r="G102">
            <v>0</v>
          </cell>
          <cell r="H102">
            <v>0</v>
          </cell>
          <cell r="I102">
            <v>0</v>
          </cell>
          <cell r="J102">
            <v>0</v>
          </cell>
          <cell r="K102">
            <v>4040</v>
          </cell>
        </row>
        <row r="103">
          <cell r="F103">
            <v>0</v>
          </cell>
          <cell r="G103">
            <v>0</v>
          </cell>
          <cell r="H103">
            <v>0</v>
          </cell>
          <cell r="I103">
            <v>0</v>
          </cell>
          <cell r="J103">
            <v>0</v>
          </cell>
          <cell r="K103">
            <v>-54310</v>
          </cell>
        </row>
        <row r="104">
          <cell r="F104">
            <v>0</v>
          </cell>
          <cell r="G104">
            <v>0</v>
          </cell>
          <cell r="H104">
            <v>0</v>
          </cell>
          <cell r="I104">
            <v>0</v>
          </cell>
          <cell r="J104">
            <v>0</v>
          </cell>
          <cell r="K104">
            <v>-9370</v>
          </cell>
        </row>
        <row r="105">
          <cell r="F105">
            <v>0</v>
          </cell>
          <cell r="G105">
            <v>0</v>
          </cell>
          <cell r="H105">
            <v>0</v>
          </cell>
          <cell r="I105">
            <v>0</v>
          </cell>
          <cell r="J105">
            <v>0</v>
          </cell>
          <cell r="K105">
            <v>-10293</v>
          </cell>
        </row>
        <row r="106">
          <cell r="F106">
            <v>0</v>
          </cell>
          <cell r="G106">
            <v>0</v>
          </cell>
          <cell r="H106">
            <v>0</v>
          </cell>
          <cell r="I106">
            <v>0</v>
          </cell>
          <cell r="J106">
            <v>0</v>
          </cell>
          <cell r="K106">
            <v>-2616</v>
          </cell>
        </row>
        <row r="107">
          <cell r="F107">
            <v>0</v>
          </cell>
          <cell r="G107">
            <v>0</v>
          </cell>
          <cell r="H107">
            <v>0</v>
          </cell>
          <cell r="I107">
            <v>0</v>
          </cell>
          <cell r="J107">
            <v>0</v>
          </cell>
          <cell r="K107">
            <v>37911</v>
          </cell>
        </row>
        <row r="108">
          <cell r="F108">
            <v>0</v>
          </cell>
          <cell r="G108">
            <v>0</v>
          </cell>
          <cell r="H108">
            <v>0</v>
          </cell>
          <cell r="I108">
            <v>0</v>
          </cell>
          <cell r="J108">
            <v>0</v>
          </cell>
          <cell r="K108">
            <v>16</v>
          </cell>
        </row>
        <row r="109">
          <cell r="F109">
            <v>0</v>
          </cell>
          <cell r="G109">
            <v>0</v>
          </cell>
          <cell r="H109">
            <v>0</v>
          </cell>
          <cell r="I109">
            <v>0</v>
          </cell>
          <cell r="J109">
            <v>0</v>
          </cell>
          <cell r="K109">
            <v>10</v>
          </cell>
        </row>
        <row r="110">
          <cell r="F110">
            <v>0</v>
          </cell>
          <cell r="G110">
            <v>0</v>
          </cell>
          <cell r="H110">
            <v>0</v>
          </cell>
          <cell r="I110">
            <v>0</v>
          </cell>
          <cell r="J110">
            <v>0</v>
          </cell>
          <cell r="K110">
            <v>888</v>
          </cell>
        </row>
        <row r="111">
          <cell r="F111">
            <v>0</v>
          </cell>
          <cell r="G111">
            <v>0</v>
          </cell>
          <cell r="H111">
            <v>0</v>
          </cell>
          <cell r="I111">
            <v>0</v>
          </cell>
          <cell r="J111">
            <v>0</v>
          </cell>
          <cell r="K111">
            <v>448</v>
          </cell>
        </row>
        <row r="112">
          <cell r="F112">
            <v>0</v>
          </cell>
          <cell r="G112">
            <v>0</v>
          </cell>
          <cell r="H112">
            <v>0</v>
          </cell>
          <cell r="I112">
            <v>0</v>
          </cell>
          <cell r="J112">
            <v>0</v>
          </cell>
          <cell r="K112">
            <v>14</v>
          </cell>
        </row>
        <row r="113">
          <cell r="F113">
            <v>0</v>
          </cell>
          <cell r="G113">
            <v>0</v>
          </cell>
          <cell r="H113">
            <v>0</v>
          </cell>
          <cell r="I113">
            <v>0</v>
          </cell>
          <cell r="J113">
            <v>0</v>
          </cell>
          <cell r="K113">
            <v>156</v>
          </cell>
        </row>
        <row r="114">
          <cell r="F114">
            <v>0</v>
          </cell>
          <cell r="G114">
            <v>0</v>
          </cell>
          <cell r="H114">
            <v>0</v>
          </cell>
          <cell r="I114">
            <v>0</v>
          </cell>
          <cell r="J114">
            <v>0</v>
          </cell>
          <cell r="K114">
            <v>1324</v>
          </cell>
        </row>
        <row r="115">
          <cell r="F115">
            <v>0</v>
          </cell>
          <cell r="G115">
            <v>0</v>
          </cell>
          <cell r="H115">
            <v>0</v>
          </cell>
          <cell r="I115">
            <v>0</v>
          </cell>
          <cell r="J115">
            <v>0</v>
          </cell>
          <cell r="K115">
            <v>3233</v>
          </cell>
        </row>
        <row r="116">
          <cell r="F116">
            <v>0</v>
          </cell>
          <cell r="G116">
            <v>0</v>
          </cell>
          <cell r="H116">
            <v>0</v>
          </cell>
          <cell r="I116">
            <v>0</v>
          </cell>
          <cell r="J116">
            <v>0</v>
          </cell>
          <cell r="K116">
            <v>419</v>
          </cell>
        </row>
        <row r="117">
          <cell r="F117">
            <v>0</v>
          </cell>
          <cell r="G117">
            <v>0</v>
          </cell>
          <cell r="H117">
            <v>0</v>
          </cell>
          <cell r="I117">
            <v>0</v>
          </cell>
          <cell r="J117">
            <v>0</v>
          </cell>
          <cell r="K117">
            <v>8</v>
          </cell>
        </row>
        <row r="118">
          <cell r="F118">
            <v>0</v>
          </cell>
          <cell r="G118">
            <v>0</v>
          </cell>
          <cell r="H118">
            <v>0</v>
          </cell>
          <cell r="I118">
            <v>0</v>
          </cell>
          <cell r="J118">
            <v>0</v>
          </cell>
          <cell r="K118">
            <v>16114</v>
          </cell>
        </row>
        <row r="119">
          <cell r="F119">
            <v>0</v>
          </cell>
          <cell r="G119">
            <v>0</v>
          </cell>
          <cell r="H119">
            <v>0</v>
          </cell>
          <cell r="I119">
            <v>0</v>
          </cell>
          <cell r="J119">
            <v>0</v>
          </cell>
          <cell r="K119">
            <v>7691</v>
          </cell>
        </row>
        <row r="120">
          <cell r="F120">
            <v>0</v>
          </cell>
          <cell r="G120">
            <v>0</v>
          </cell>
          <cell r="H120">
            <v>0</v>
          </cell>
          <cell r="I120">
            <v>0</v>
          </cell>
          <cell r="J120">
            <v>0</v>
          </cell>
          <cell r="K120">
            <v>391</v>
          </cell>
        </row>
        <row r="121">
          <cell r="F121">
            <v>0</v>
          </cell>
          <cell r="G121">
            <v>0</v>
          </cell>
          <cell r="H121">
            <v>0</v>
          </cell>
          <cell r="I121">
            <v>0</v>
          </cell>
          <cell r="J121">
            <v>0</v>
          </cell>
          <cell r="K121">
            <v>644</v>
          </cell>
        </row>
        <row r="122">
          <cell r="F122">
            <v>0</v>
          </cell>
          <cell r="G122">
            <v>0</v>
          </cell>
          <cell r="H122">
            <v>0</v>
          </cell>
          <cell r="I122">
            <v>0</v>
          </cell>
          <cell r="J122">
            <v>0</v>
          </cell>
          <cell r="K122">
            <v>39</v>
          </cell>
        </row>
        <row r="123">
          <cell r="F123">
            <v>0</v>
          </cell>
          <cell r="G123">
            <v>0</v>
          </cell>
          <cell r="H123">
            <v>0</v>
          </cell>
          <cell r="I123">
            <v>0</v>
          </cell>
          <cell r="J123">
            <v>0</v>
          </cell>
          <cell r="K123">
            <v>315</v>
          </cell>
        </row>
        <row r="124">
          <cell r="F124">
            <v>0</v>
          </cell>
          <cell r="G124">
            <v>0</v>
          </cell>
          <cell r="H124">
            <v>0</v>
          </cell>
          <cell r="I124">
            <v>0</v>
          </cell>
          <cell r="J124">
            <v>0</v>
          </cell>
          <cell r="K124">
            <v>1577</v>
          </cell>
        </row>
        <row r="125">
          <cell r="F125">
            <v>0</v>
          </cell>
          <cell r="G125">
            <v>0</v>
          </cell>
          <cell r="H125">
            <v>0</v>
          </cell>
          <cell r="I125">
            <v>0</v>
          </cell>
          <cell r="J125">
            <v>0</v>
          </cell>
          <cell r="K125">
            <v>1674</v>
          </cell>
        </row>
        <row r="126">
          <cell r="F126">
            <v>0</v>
          </cell>
          <cell r="G126">
            <v>0</v>
          </cell>
          <cell r="H126">
            <v>0</v>
          </cell>
          <cell r="I126">
            <v>0</v>
          </cell>
          <cell r="J126">
            <v>0</v>
          </cell>
          <cell r="K126">
            <v>407</v>
          </cell>
        </row>
        <row r="127">
          <cell r="F127">
            <v>0</v>
          </cell>
          <cell r="G127">
            <v>0</v>
          </cell>
          <cell r="H127">
            <v>0</v>
          </cell>
          <cell r="I127">
            <v>0</v>
          </cell>
          <cell r="J127">
            <v>0</v>
          </cell>
          <cell r="K127">
            <v>2589</v>
          </cell>
        </row>
        <row r="128">
          <cell r="F128">
            <v>0</v>
          </cell>
          <cell r="G128">
            <v>0</v>
          </cell>
          <cell r="H128">
            <v>0</v>
          </cell>
          <cell r="I128">
            <v>0</v>
          </cell>
          <cell r="J128">
            <v>0</v>
          </cell>
          <cell r="K128">
            <v>91</v>
          </cell>
        </row>
        <row r="129">
          <cell r="F129">
            <v>0</v>
          </cell>
          <cell r="G129">
            <v>0</v>
          </cell>
          <cell r="H129">
            <v>0</v>
          </cell>
          <cell r="I129">
            <v>0</v>
          </cell>
          <cell r="J129">
            <v>0</v>
          </cell>
          <cell r="K129">
            <v>1085</v>
          </cell>
        </row>
        <row r="130">
          <cell r="F130">
            <v>0</v>
          </cell>
          <cell r="G130">
            <v>0</v>
          </cell>
          <cell r="H130">
            <v>0</v>
          </cell>
          <cell r="I130">
            <v>0</v>
          </cell>
          <cell r="J130">
            <v>0</v>
          </cell>
          <cell r="K130">
            <v>233</v>
          </cell>
        </row>
        <row r="131">
          <cell r="F131">
            <v>0</v>
          </cell>
          <cell r="G131">
            <v>0</v>
          </cell>
          <cell r="H131">
            <v>0</v>
          </cell>
          <cell r="I131">
            <v>0</v>
          </cell>
          <cell r="J131">
            <v>0</v>
          </cell>
          <cell r="K131">
            <v>135</v>
          </cell>
        </row>
        <row r="132">
          <cell r="F132">
            <v>0</v>
          </cell>
          <cell r="G132">
            <v>0</v>
          </cell>
          <cell r="H132">
            <v>0</v>
          </cell>
          <cell r="I132">
            <v>0</v>
          </cell>
          <cell r="J132">
            <v>0</v>
          </cell>
          <cell r="K132">
            <v>14049</v>
          </cell>
        </row>
        <row r="133">
          <cell r="F133">
            <v>0</v>
          </cell>
          <cell r="G133">
            <v>0</v>
          </cell>
          <cell r="H133">
            <v>0</v>
          </cell>
          <cell r="I133">
            <v>0</v>
          </cell>
          <cell r="J133">
            <v>0</v>
          </cell>
          <cell r="K133">
            <v>104</v>
          </cell>
        </row>
        <row r="134">
          <cell r="F134">
            <v>0</v>
          </cell>
          <cell r="G134">
            <v>0</v>
          </cell>
          <cell r="H134">
            <v>0</v>
          </cell>
          <cell r="I134">
            <v>0</v>
          </cell>
          <cell r="J134">
            <v>0</v>
          </cell>
          <cell r="K134">
            <v>47142</v>
          </cell>
        </row>
        <row r="135">
          <cell r="F135">
            <v>0</v>
          </cell>
          <cell r="G135">
            <v>0</v>
          </cell>
          <cell r="H135">
            <v>0</v>
          </cell>
          <cell r="I135">
            <v>0</v>
          </cell>
          <cell r="J135">
            <v>0</v>
          </cell>
          <cell r="K135">
            <v>11304</v>
          </cell>
        </row>
        <row r="136">
          <cell r="F136">
            <v>0</v>
          </cell>
          <cell r="G136">
            <v>0</v>
          </cell>
          <cell r="H136">
            <v>0</v>
          </cell>
          <cell r="I136">
            <v>0</v>
          </cell>
          <cell r="J136">
            <v>0</v>
          </cell>
          <cell r="K136">
            <v>10814</v>
          </cell>
        </row>
        <row r="137">
          <cell r="F137">
            <v>0</v>
          </cell>
          <cell r="G137">
            <v>0</v>
          </cell>
          <cell r="H137">
            <v>0</v>
          </cell>
          <cell r="I137">
            <v>0</v>
          </cell>
          <cell r="J137">
            <v>0</v>
          </cell>
          <cell r="K137">
            <v>517</v>
          </cell>
        </row>
        <row r="138">
          <cell r="F138">
            <v>0</v>
          </cell>
          <cell r="G138">
            <v>0</v>
          </cell>
          <cell r="H138">
            <v>0</v>
          </cell>
          <cell r="I138">
            <v>0</v>
          </cell>
          <cell r="J138">
            <v>0</v>
          </cell>
          <cell r="K138">
            <v>246</v>
          </cell>
        </row>
        <row r="139">
          <cell r="F139">
            <v>0</v>
          </cell>
          <cell r="G139">
            <v>0</v>
          </cell>
          <cell r="H139">
            <v>0</v>
          </cell>
          <cell r="I139">
            <v>0</v>
          </cell>
          <cell r="J139">
            <v>0</v>
          </cell>
          <cell r="K139">
            <v>13884</v>
          </cell>
        </row>
        <row r="140">
          <cell r="F140">
            <v>0</v>
          </cell>
          <cell r="G140">
            <v>0</v>
          </cell>
          <cell r="H140">
            <v>0</v>
          </cell>
          <cell r="I140">
            <v>0</v>
          </cell>
          <cell r="J140">
            <v>0</v>
          </cell>
          <cell r="K140">
            <v>8868</v>
          </cell>
        </row>
        <row r="141">
          <cell r="F141">
            <v>377623</v>
          </cell>
          <cell r="G141">
            <v>0</v>
          </cell>
          <cell r="H141">
            <v>377623</v>
          </cell>
          <cell r="I141">
            <v>0</v>
          </cell>
          <cell r="J141">
            <v>377623</v>
          </cell>
          <cell r="K141">
            <v>201254</v>
          </cell>
        </row>
        <row r="143">
          <cell r="F143">
            <v>77500</v>
          </cell>
          <cell r="G143">
            <v>0</v>
          </cell>
          <cell r="H143">
            <v>77500</v>
          </cell>
          <cell r="I143">
            <v>0</v>
          </cell>
          <cell r="J143">
            <v>77500</v>
          </cell>
          <cell r="K143">
            <v>0</v>
          </cell>
        </row>
        <row r="144">
          <cell r="F144">
            <v>500</v>
          </cell>
          <cell r="G144">
            <v>0</v>
          </cell>
          <cell r="H144">
            <v>500</v>
          </cell>
          <cell r="I144">
            <v>0</v>
          </cell>
          <cell r="J144">
            <v>500</v>
          </cell>
          <cell r="K144">
            <v>0</v>
          </cell>
        </row>
        <row r="145">
          <cell r="F145">
            <v>2500</v>
          </cell>
          <cell r="G145">
            <v>0</v>
          </cell>
          <cell r="H145">
            <v>2500</v>
          </cell>
          <cell r="I145">
            <v>0</v>
          </cell>
          <cell r="J145">
            <v>2500</v>
          </cell>
          <cell r="K145">
            <v>0</v>
          </cell>
        </row>
        <row r="146">
          <cell r="F146">
            <v>200</v>
          </cell>
          <cell r="G146">
            <v>0</v>
          </cell>
          <cell r="H146">
            <v>200</v>
          </cell>
          <cell r="I146">
            <v>0</v>
          </cell>
          <cell r="J146">
            <v>200</v>
          </cell>
          <cell r="K146">
            <v>0</v>
          </cell>
        </row>
        <row r="147">
          <cell r="F147">
            <v>0</v>
          </cell>
          <cell r="G147">
            <v>0</v>
          </cell>
          <cell r="H147">
            <v>0</v>
          </cell>
          <cell r="I147">
            <v>0</v>
          </cell>
          <cell r="J147">
            <v>0</v>
          </cell>
          <cell r="K147">
            <v>0</v>
          </cell>
        </row>
        <row r="148">
          <cell r="F148">
            <v>101</v>
          </cell>
          <cell r="G148">
            <v>0</v>
          </cell>
          <cell r="H148">
            <v>101</v>
          </cell>
          <cell r="I148">
            <v>0</v>
          </cell>
          <cell r="J148">
            <v>101</v>
          </cell>
          <cell r="K148">
            <v>0</v>
          </cell>
        </row>
        <row r="149">
          <cell r="F149">
            <v>0</v>
          </cell>
          <cell r="G149">
            <v>0</v>
          </cell>
          <cell r="H149">
            <v>0</v>
          </cell>
          <cell r="I149">
            <v>0</v>
          </cell>
          <cell r="J149">
            <v>0</v>
          </cell>
          <cell r="K149">
            <v>500</v>
          </cell>
        </row>
        <row r="150">
          <cell r="F150">
            <v>0</v>
          </cell>
          <cell r="G150">
            <v>0</v>
          </cell>
          <cell r="H150">
            <v>0</v>
          </cell>
          <cell r="I150">
            <v>0</v>
          </cell>
          <cell r="J150">
            <v>0</v>
          </cell>
          <cell r="K150">
            <v>2500</v>
          </cell>
        </row>
        <row r="151">
          <cell r="F151">
            <v>0</v>
          </cell>
          <cell r="G151">
            <v>0</v>
          </cell>
          <cell r="H151">
            <v>0</v>
          </cell>
          <cell r="I151">
            <v>0</v>
          </cell>
          <cell r="J151">
            <v>0</v>
          </cell>
          <cell r="K151">
            <v>200</v>
          </cell>
        </row>
        <row r="152">
          <cell r="F152">
            <v>0</v>
          </cell>
          <cell r="G152">
            <v>0</v>
          </cell>
          <cell r="H152">
            <v>0</v>
          </cell>
          <cell r="I152">
            <v>0</v>
          </cell>
          <cell r="J152">
            <v>0</v>
          </cell>
          <cell r="K152">
            <v>100</v>
          </cell>
        </row>
        <row r="153">
          <cell r="F153">
            <v>80801</v>
          </cell>
          <cell r="G153">
            <v>0</v>
          </cell>
          <cell r="H153">
            <v>80801</v>
          </cell>
          <cell r="I153">
            <v>0</v>
          </cell>
          <cell r="J153">
            <v>80801</v>
          </cell>
          <cell r="K153">
            <v>3300</v>
          </cell>
        </row>
        <row r="155">
          <cell r="F155">
            <v>0</v>
          </cell>
          <cell r="G155">
            <v>0</v>
          </cell>
          <cell r="H155">
            <v>0</v>
          </cell>
          <cell r="I155">
            <v>0</v>
          </cell>
          <cell r="J155">
            <v>0</v>
          </cell>
          <cell r="K155">
            <v>11510</v>
          </cell>
        </row>
        <row r="156">
          <cell r="F156">
            <v>0</v>
          </cell>
          <cell r="G156">
            <v>0</v>
          </cell>
          <cell r="H156">
            <v>0</v>
          </cell>
          <cell r="I156">
            <v>0</v>
          </cell>
          <cell r="J156">
            <v>0</v>
          </cell>
          <cell r="K156">
            <v>-11510</v>
          </cell>
        </row>
        <row r="157">
          <cell r="F157">
            <v>0</v>
          </cell>
          <cell r="G157">
            <v>0</v>
          </cell>
          <cell r="H157">
            <v>0</v>
          </cell>
          <cell r="I157">
            <v>0</v>
          </cell>
          <cell r="J157">
            <v>0</v>
          </cell>
          <cell r="K157">
            <v>0</v>
          </cell>
        </row>
        <row r="159">
          <cell r="F159">
            <v>-13605</v>
          </cell>
          <cell r="G159">
            <v>0</v>
          </cell>
          <cell r="H159">
            <v>-13605</v>
          </cell>
          <cell r="I159">
            <v>0</v>
          </cell>
          <cell r="J159">
            <v>-13605</v>
          </cell>
          <cell r="K159">
            <v>0</v>
          </cell>
        </row>
        <row r="160">
          <cell r="F160">
            <v>-2177</v>
          </cell>
          <cell r="G160">
            <v>0</v>
          </cell>
          <cell r="H160">
            <v>-2177</v>
          </cell>
          <cell r="I160">
            <v>0</v>
          </cell>
          <cell r="J160">
            <v>-2177</v>
          </cell>
          <cell r="K160">
            <v>0</v>
          </cell>
        </row>
        <row r="161">
          <cell r="F161">
            <v>-31880</v>
          </cell>
          <cell r="G161">
            <v>0</v>
          </cell>
          <cell r="H161">
            <v>-31880</v>
          </cell>
          <cell r="I161">
            <v>0</v>
          </cell>
          <cell r="J161">
            <v>-31880</v>
          </cell>
          <cell r="K161">
            <v>0</v>
          </cell>
        </row>
        <row r="162">
          <cell r="F162">
            <v>0</v>
          </cell>
          <cell r="G162">
            <v>0</v>
          </cell>
          <cell r="H162">
            <v>0</v>
          </cell>
          <cell r="I162">
            <v>0</v>
          </cell>
          <cell r="J162">
            <v>0</v>
          </cell>
          <cell r="K162">
            <v>-14098</v>
          </cell>
        </row>
        <row r="163">
          <cell r="F163">
            <v>0</v>
          </cell>
          <cell r="G163">
            <v>0</v>
          </cell>
          <cell r="H163">
            <v>0</v>
          </cell>
          <cell r="I163">
            <v>0</v>
          </cell>
          <cell r="J163">
            <v>0</v>
          </cell>
          <cell r="K163">
            <v>-2471</v>
          </cell>
        </row>
        <row r="164">
          <cell r="F164">
            <v>0</v>
          </cell>
          <cell r="G164">
            <v>0</v>
          </cell>
          <cell r="H164">
            <v>0</v>
          </cell>
          <cell r="I164">
            <v>0</v>
          </cell>
          <cell r="J164">
            <v>0</v>
          </cell>
          <cell r="K164">
            <v>-1348</v>
          </cell>
        </row>
        <row r="165">
          <cell r="F165">
            <v>-47662</v>
          </cell>
          <cell r="G165">
            <v>0</v>
          </cell>
          <cell r="H165">
            <v>-47662</v>
          </cell>
          <cell r="I165">
            <v>0</v>
          </cell>
          <cell r="J165">
            <v>-47662</v>
          </cell>
          <cell r="K165">
            <v>-17917</v>
          </cell>
        </row>
        <row r="167">
          <cell r="F167">
            <v>-767</v>
          </cell>
          <cell r="G167">
            <v>0</v>
          </cell>
          <cell r="H167">
            <v>-767</v>
          </cell>
          <cell r="I167">
            <v>0</v>
          </cell>
          <cell r="J167">
            <v>-767</v>
          </cell>
          <cell r="K167">
            <v>0</v>
          </cell>
        </row>
        <row r="168">
          <cell r="F168">
            <v>0</v>
          </cell>
          <cell r="G168">
            <v>0</v>
          </cell>
          <cell r="H168">
            <v>0</v>
          </cell>
          <cell r="I168">
            <v>0</v>
          </cell>
          <cell r="J168">
            <v>0</v>
          </cell>
          <cell r="K168">
            <v>-789</v>
          </cell>
        </row>
        <row r="169">
          <cell r="F169">
            <v>-767</v>
          </cell>
          <cell r="G169">
            <v>0</v>
          </cell>
          <cell r="H169">
            <v>-767</v>
          </cell>
          <cell r="I169">
            <v>0</v>
          </cell>
          <cell r="J169">
            <v>-767</v>
          </cell>
          <cell r="K169">
            <v>-789</v>
          </cell>
        </row>
        <row r="171">
          <cell r="F171">
            <v>-8167</v>
          </cell>
          <cell r="G171">
            <v>0</v>
          </cell>
          <cell r="H171">
            <v>-8167</v>
          </cell>
          <cell r="I171">
            <v>0</v>
          </cell>
          <cell r="J171">
            <v>-8167</v>
          </cell>
          <cell r="K171">
            <v>0</v>
          </cell>
        </row>
        <row r="172">
          <cell r="F172">
            <v>0</v>
          </cell>
          <cell r="G172">
            <v>0</v>
          </cell>
          <cell r="H172">
            <v>0</v>
          </cell>
          <cell r="I172">
            <v>0</v>
          </cell>
          <cell r="J172">
            <v>0</v>
          </cell>
          <cell r="K172">
            <v>-7010</v>
          </cell>
        </row>
        <row r="173">
          <cell r="F173">
            <v>-8167</v>
          </cell>
          <cell r="G173">
            <v>0</v>
          </cell>
          <cell r="H173">
            <v>-8167</v>
          </cell>
          <cell r="I173">
            <v>0</v>
          </cell>
          <cell r="J173">
            <v>-8167</v>
          </cell>
          <cell r="K173">
            <v>-7010</v>
          </cell>
        </row>
        <row r="175">
          <cell r="F175">
            <v>0</v>
          </cell>
          <cell r="G175">
            <v>0</v>
          </cell>
          <cell r="H175">
            <v>0</v>
          </cell>
          <cell r="I175">
            <v>0</v>
          </cell>
          <cell r="J175">
            <v>0</v>
          </cell>
          <cell r="K175">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1">
          <cell r="F181">
            <v>-10583</v>
          </cell>
          <cell r="G181">
            <v>0</v>
          </cell>
          <cell r="H181">
            <v>-10583</v>
          </cell>
          <cell r="I181">
            <v>0</v>
          </cell>
          <cell r="J181">
            <v>-10583</v>
          </cell>
          <cell r="K181">
            <v>0</v>
          </cell>
        </row>
        <row r="182">
          <cell r="F182">
            <v>-502</v>
          </cell>
          <cell r="G182">
            <v>0</v>
          </cell>
          <cell r="H182">
            <v>-502</v>
          </cell>
          <cell r="I182">
            <v>0</v>
          </cell>
          <cell r="J182">
            <v>-502</v>
          </cell>
          <cell r="K182">
            <v>0</v>
          </cell>
        </row>
        <row r="183">
          <cell r="F183">
            <v>-98643</v>
          </cell>
          <cell r="G183">
            <v>0</v>
          </cell>
          <cell r="H183">
            <v>-98643</v>
          </cell>
          <cell r="I183">
            <v>0</v>
          </cell>
          <cell r="J183">
            <v>-98643</v>
          </cell>
          <cell r="K183">
            <v>0</v>
          </cell>
        </row>
        <row r="184">
          <cell r="F184">
            <v>-520</v>
          </cell>
          <cell r="G184">
            <v>0</v>
          </cell>
          <cell r="H184">
            <v>-520</v>
          </cell>
          <cell r="I184">
            <v>0</v>
          </cell>
          <cell r="J184">
            <v>-520</v>
          </cell>
          <cell r="K184">
            <v>0</v>
          </cell>
        </row>
        <row r="185">
          <cell r="F185">
            <v>-557</v>
          </cell>
          <cell r="G185">
            <v>0</v>
          </cell>
          <cell r="H185">
            <v>-557</v>
          </cell>
          <cell r="I185">
            <v>0</v>
          </cell>
          <cell r="J185">
            <v>-557</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-378</v>
          </cell>
          <cell r="G188">
            <v>0</v>
          </cell>
          <cell r="H188">
            <v>-378</v>
          </cell>
          <cell r="I188">
            <v>0</v>
          </cell>
          <cell r="J188">
            <v>-378</v>
          </cell>
          <cell r="K188">
            <v>0</v>
          </cell>
        </row>
        <row r="189">
          <cell r="F189">
            <v>-250</v>
          </cell>
          <cell r="G189">
            <v>0</v>
          </cell>
          <cell r="H189">
            <v>-250</v>
          </cell>
          <cell r="I189">
            <v>0</v>
          </cell>
          <cell r="J189">
            <v>-250</v>
          </cell>
          <cell r="K189">
            <v>0</v>
          </cell>
        </row>
        <row r="190">
          <cell r="F190">
            <v>0</v>
          </cell>
          <cell r="G190">
            <v>0</v>
          </cell>
          <cell r="H190">
            <v>0</v>
          </cell>
          <cell r="I190">
            <v>0</v>
          </cell>
          <cell r="J190">
            <v>0</v>
          </cell>
          <cell r="K190">
            <v>-198</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-123</v>
          </cell>
        </row>
        <row r="195">
          <cell r="F195">
            <v>0</v>
          </cell>
          <cell r="G195">
            <v>0</v>
          </cell>
          <cell r="H195">
            <v>0</v>
          </cell>
          <cell r="I195">
            <v>0</v>
          </cell>
          <cell r="J195">
            <v>0</v>
          </cell>
          <cell r="K195">
            <v>-90</v>
          </cell>
        </row>
        <row r="196">
          <cell r="F196">
            <v>0</v>
          </cell>
          <cell r="G196">
            <v>0</v>
          </cell>
          <cell r="H196">
            <v>0</v>
          </cell>
          <cell r="I196">
            <v>0</v>
          </cell>
          <cell r="J196">
            <v>0</v>
          </cell>
          <cell r="K196">
            <v>-3</v>
          </cell>
        </row>
        <row r="197">
          <cell r="F197">
            <v>0</v>
          </cell>
          <cell r="G197">
            <v>0</v>
          </cell>
          <cell r="H197">
            <v>0</v>
          </cell>
          <cell r="I197">
            <v>0</v>
          </cell>
          <cell r="J197">
            <v>0</v>
          </cell>
          <cell r="K197">
            <v>0</v>
          </cell>
        </row>
        <row r="198">
          <cell r="F198">
            <v>0</v>
          </cell>
          <cell r="G198">
            <v>0</v>
          </cell>
          <cell r="H198">
            <v>0</v>
          </cell>
          <cell r="I198">
            <v>0</v>
          </cell>
          <cell r="J198">
            <v>0</v>
          </cell>
          <cell r="K198">
            <v>-2</v>
          </cell>
        </row>
        <row r="199">
          <cell r="F199">
            <v>0</v>
          </cell>
          <cell r="G199">
            <v>0</v>
          </cell>
          <cell r="H199">
            <v>0</v>
          </cell>
          <cell r="I199">
            <v>0</v>
          </cell>
          <cell r="J199">
            <v>0</v>
          </cell>
          <cell r="K199">
            <v>-6</v>
          </cell>
        </row>
        <row r="200">
          <cell r="F200">
            <v>0</v>
          </cell>
          <cell r="G200">
            <v>0</v>
          </cell>
          <cell r="H200">
            <v>0</v>
          </cell>
          <cell r="I200">
            <v>0</v>
          </cell>
          <cell r="J200">
            <v>0</v>
          </cell>
          <cell r="K200">
            <v>-76372</v>
          </cell>
        </row>
        <row r="201">
          <cell r="F201">
            <v>0</v>
          </cell>
          <cell r="G201">
            <v>0</v>
          </cell>
          <cell r="H201">
            <v>0</v>
          </cell>
          <cell r="I201">
            <v>0</v>
          </cell>
          <cell r="J201">
            <v>0</v>
          </cell>
          <cell r="K201">
            <v>-610</v>
          </cell>
        </row>
        <row r="202">
          <cell r="F202">
            <v>0</v>
          </cell>
          <cell r="G202">
            <v>0</v>
          </cell>
          <cell r="H202">
            <v>0</v>
          </cell>
          <cell r="I202">
            <v>0</v>
          </cell>
          <cell r="J202">
            <v>0</v>
          </cell>
          <cell r="K202">
            <v>-57</v>
          </cell>
        </row>
        <row r="203">
          <cell r="F203">
            <v>0</v>
          </cell>
          <cell r="G203">
            <v>0</v>
          </cell>
          <cell r="H203">
            <v>0</v>
          </cell>
          <cell r="I203">
            <v>0</v>
          </cell>
          <cell r="J203">
            <v>0</v>
          </cell>
          <cell r="K203">
            <v>-10</v>
          </cell>
        </row>
        <row r="204">
          <cell r="F204">
            <v>0</v>
          </cell>
          <cell r="G204">
            <v>0</v>
          </cell>
          <cell r="H204">
            <v>0</v>
          </cell>
          <cell r="I204">
            <v>0</v>
          </cell>
          <cell r="J204">
            <v>0</v>
          </cell>
          <cell r="K204">
            <v>-1</v>
          </cell>
        </row>
        <row r="205">
          <cell r="F205">
            <v>0</v>
          </cell>
          <cell r="G205">
            <v>0</v>
          </cell>
          <cell r="H205">
            <v>0</v>
          </cell>
          <cell r="I205">
            <v>0</v>
          </cell>
          <cell r="J205">
            <v>0</v>
          </cell>
          <cell r="K205">
            <v>-83</v>
          </cell>
        </row>
        <row r="206">
          <cell r="F206">
            <v>0</v>
          </cell>
          <cell r="G206">
            <v>0</v>
          </cell>
          <cell r="H206">
            <v>0</v>
          </cell>
          <cell r="I206">
            <v>0</v>
          </cell>
          <cell r="J206">
            <v>0</v>
          </cell>
          <cell r="K206">
            <v>-378</v>
          </cell>
        </row>
        <row r="207">
          <cell r="F207">
            <v>0</v>
          </cell>
          <cell r="G207">
            <v>0</v>
          </cell>
          <cell r="H207">
            <v>0</v>
          </cell>
          <cell r="I207">
            <v>0</v>
          </cell>
          <cell r="J207">
            <v>0</v>
          </cell>
          <cell r="K207">
            <v>-300</v>
          </cell>
        </row>
        <row r="208">
          <cell r="F208">
            <v>-111433</v>
          </cell>
          <cell r="G208">
            <v>0</v>
          </cell>
          <cell r="H208">
            <v>-111433</v>
          </cell>
          <cell r="I208">
            <v>0</v>
          </cell>
          <cell r="J208">
            <v>-111433</v>
          </cell>
          <cell r="K208">
            <v>-78233</v>
          </cell>
        </row>
        <row r="210">
          <cell r="F210">
            <v>0</v>
          </cell>
          <cell r="G210">
            <v>0</v>
          </cell>
          <cell r="H210">
            <v>0</v>
          </cell>
          <cell r="I210">
            <v>0</v>
          </cell>
          <cell r="J210">
            <v>0</v>
          </cell>
          <cell r="K210">
            <v>0</v>
          </cell>
        </row>
        <row r="212">
          <cell r="F212">
            <v>0</v>
          </cell>
          <cell r="G212">
            <v>0</v>
          </cell>
          <cell r="H212">
            <v>0</v>
          </cell>
          <cell r="I212">
            <v>0</v>
          </cell>
          <cell r="J212">
            <v>0</v>
          </cell>
          <cell r="K212">
            <v>0</v>
          </cell>
        </row>
        <row r="214">
          <cell r="F214">
            <v>-7973245</v>
          </cell>
          <cell r="G214">
            <v>0</v>
          </cell>
          <cell r="H214">
            <v>-7973245</v>
          </cell>
          <cell r="I214">
            <v>0</v>
          </cell>
          <cell r="J214">
            <v>-7973245</v>
          </cell>
          <cell r="K214">
            <v>0</v>
          </cell>
        </row>
        <row r="215">
          <cell r="F215">
            <v>8281286</v>
          </cell>
          <cell r="G215">
            <v>0</v>
          </cell>
          <cell r="H215">
            <v>8281286</v>
          </cell>
          <cell r="I215">
            <v>0</v>
          </cell>
          <cell r="J215">
            <v>8281286</v>
          </cell>
          <cell r="K215">
            <v>0</v>
          </cell>
        </row>
        <row r="216">
          <cell r="F216">
            <v>-1150734</v>
          </cell>
          <cell r="G216">
            <v>0</v>
          </cell>
          <cell r="H216">
            <v>-1150734</v>
          </cell>
          <cell r="I216">
            <v>0</v>
          </cell>
          <cell r="J216">
            <v>-1150734</v>
          </cell>
          <cell r="K216">
            <v>0</v>
          </cell>
        </row>
        <row r="217">
          <cell r="F217">
            <v>2181674</v>
          </cell>
          <cell r="G217">
            <v>0</v>
          </cell>
          <cell r="H217">
            <v>2181674</v>
          </cell>
          <cell r="I217">
            <v>0</v>
          </cell>
          <cell r="J217">
            <v>2181674</v>
          </cell>
          <cell r="K217">
            <v>0</v>
          </cell>
        </row>
        <row r="218">
          <cell r="F218">
            <v>-1372215</v>
          </cell>
          <cell r="G218">
            <v>0</v>
          </cell>
          <cell r="H218">
            <v>-1372215</v>
          </cell>
          <cell r="I218">
            <v>0</v>
          </cell>
          <cell r="J218">
            <v>-1372215</v>
          </cell>
          <cell r="K218">
            <v>0</v>
          </cell>
        </row>
        <row r="219">
          <cell r="F219">
            <v>0</v>
          </cell>
          <cell r="G219">
            <v>0</v>
          </cell>
          <cell r="H219">
            <v>0</v>
          </cell>
          <cell r="I219">
            <v>0</v>
          </cell>
          <cell r="J219">
            <v>0</v>
          </cell>
          <cell r="K219">
            <v>-8544765</v>
          </cell>
        </row>
        <row r="220">
          <cell r="F220">
            <v>0</v>
          </cell>
          <cell r="G220">
            <v>0</v>
          </cell>
          <cell r="H220">
            <v>0</v>
          </cell>
          <cell r="I220">
            <v>0</v>
          </cell>
          <cell r="J220">
            <v>0</v>
          </cell>
          <cell r="K220">
            <v>-639549</v>
          </cell>
        </row>
        <row r="221">
          <cell r="F221">
            <v>0</v>
          </cell>
          <cell r="G221">
            <v>0</v>
          </cell>
          <cell r="H221">
            <v>0</v>
          </cell>
          <cell r="I221">
            <v>0</v>
          </cell>
          <cell r="J221">
            <v>0</v>
          </cell>
          <cell r="K221">
            <v>5431162</v>
          </cell>
        </row>
        <row r="222">
          <cell r="F222">
            <v>0</v>
          </cell>
          <cell r="G222">
            <v>0</v>
          </cell>
          <cell r="H222">
            <v>0</v>
          </cell>
          <cell r="I222">
            <v>0</v>
          </cell>
          <cell r="J222">
            <v>0</v>
          </cell>
          <cell r="K222">
            <v>-933762</v>
          </cell>
        </row>
        <row r="223">
          <cell r="F223">
            <v>0</v>
          </cell>
          <cell r="G223">
            <v>0</v>
          </cell>
          <cell r="H223">
            <v>0</v>
          </cell>
          <cell r="I223">
            <v>0</v>
          </cell>
          <cell r="J223">
            <v>0</v>
          </cell>
          <cell r="K223">
            <v>270996</v>
          </cell>
        </row>
        <row r="224">
          <cell r="F224">
            <v>-33234</v>
          </cell>
          <cell r="G224">
            <v>0</v>
          </cell>
          <cell r="H224">
            <v>-33234</v>
          </cell>
          <cell r="I224">
            <v>0</v>
          </cell>
          <cell r="J224">
            <v>-33234</v>
          </cell>
          <cell r="K224">
            <v>-4415918</v>
          </cell>
        </row>
        <row r="226">
          <cell r="F226">
            <v>-3202</v>
          </cell>
          <cell r="G226">
            <v>0</v>
          </cell>
          <cell r="H226">
            <v>-3202</v>
          </cell>
          <cell r="I226">
            <v>0</v>
          </cell>
          <cell r="J226">
            <v>-3202</v>
          </cell>
          <cell r="K226">
            <v>0</v>
          </cell>
        </row>
        <row r="227">
          <cell r="F227">
            <v>-3202</v>
          </cell>
          <cell r="G227">
            <v>0</v>
          </cell>
          <cell r="H227">
            <v>-3202</v>
          </cell>
          <cell r="I227">
            <v>0</v>
          </cell>
          <cell r="J227">
            <v>-3202</v>
          </cell>
          <cell r="K227">
            <v>0</v>
          </cell>
        </row>
        <row r="229">
          <cell r="F229">
            <v>1372215</v>
          </cell>
          <cell r="G229">
            <v>0</v>
          </cell>
          <cell r="H229">
            <v>1372215</v>
          </cell>
          <cell r="I229">
            <v>0</v>
          </cell>
          <cell r="J229">
            <v>1372215</v>
          </cell>
          <cell r="K229">
            <v>0</v>
          </cell>
        </row>
        <row r="230">
          <cell r="F230">
            <v>0</v>
          </cell>
          <cell r="G230">
            <v>0</v>
          </cell>
          <cell r="H230">
            <v>0</v>
          </cell>
          <cell r="I230">
            <v>0</v>
          </cell>
          <cell r="J230">
            <v>0</v>
          </cell>
          <cell r="K230">
            <v>639550</v>
          </cell>
        </row>
        <row r="231">
          <cell r="F231">
            <v>0</v>
          </cell>
          <cell r="G231">
            <v>0</v>
          </cell>
          <cell r="H231">
            <v>0</v>
          </cell>
          <cell r="I231">
            <v>0</v>
          </cell>
          <cell r="J231">
            <v>0</v>
          </cell>
          <cell r="K231">
            <v>-6696211</v>
          </cell>
        </row>
        <row r="232">
          <cell r="F232">
            <v>1372215</v>
          </cell>
          <cell r="G232">
            <v>0</v>
          </cell>
          <cell r="H232">
            <v>1372215</v>
          </cell>
          <cell r="I232">
            <v>0</v>
          </cell>
          <cell r="J232">
            <v>1372215</v>
          </cell>
          <cell r="K232">
            <v>-6056661</v>
          </cell>
        </row>
        <row r="234">
          <cell r="F234">
            <v>1281</v>
          </cell>
          <cell r="G234">
            <v>0</v>
          </cell>
          <cell r="H234">
            <v>1281</v>
          </cell>
          <cell r="I234">
            <v>0</v>
          </cell>
          <cell r="J234">
            <v>1281</v>
          </cell>
          <cell r="K234">
            <v>0</v>
          </cell>
        </row>
        <row r="235">
          <cell r="F235">
            <v>-11319750</v>
          </cell>
          <cell r="G235">
            <v>0</v>
          </cell>
          <cell r="H235">
            <v>-11319750</v>
          </cell>
          <cell r="I235">
            <v>0</v>
          </cell>
          <cell r="J235">
            <v>-11319750</v>
          </cell>
          <cell r="K235">
            <v>0</v>
          </cell>
        </row>
        <row r="236">
          <cell r="F236">
            <v>-11318469</v>
          </cell>
          <cell r="G236">
            <v>0</v>
          </cell>
          <cell r="H236">
            <v>-11318469</v>
          </cell>
          <cell r="I236">
            <v>0</v>
          </cell>
          <cell r="J236">
            <v>-11318469</v>
          </cell>
          <cell r="K236">
            <v>0</v>
          </cell>
        </row>
        <row r="238">
          <cell r="F238">
            <v>-27988</v>
          </cell>
          <cell r="G238">
            <v>0</v>
          </cell>
          <cell r="H238">
            <v>-27988</v>
          </cell>
          <cell r="I238">
            <v>0</v>
          </cell>
          <cell r="J238">
            <v>-27988</v>
          </cell>
          <cell r="K238">
            <v>0</v>
          </cell>
        </row>
        <row r="239">
          <cell r="F239">
            <v>0</v>
          </cell>
          <cell r="G239">
            <v>0</v>
          </cell>
          <cell r="H239">
            <v>0</v>
          </cell>
          <cell r="I239">
            <v>0</v>
          </cell>
          <cell r="J239">
            <v>0</v>
          </cell>
          <cell r="K239">
            <v>33242</v>
          </cell>
        </row>
        <row r="240">
          <cell r="F240">
            <v>-27988</v>
          </cell>
          <cell r="G240">
            <v>0</v>
          </cell>
          <cell r="H240">
            <v>-27988</v>
          </cell>
          <cell r="I240">
            <v>0</v>
          </cell>
          <cell r="J240">
            <v>-27988</v>
          </cell>
          <cell r="K240">
            <v>33242</v>
          </cell>
        </row>
        <row r="242">
          <cell r="F242">
            <v>-159</v>
          </cell>
          <cell r="G242">
            <v>0</v>
          </cell>
          <cell r="H242">
            <v>-159</v>
          </cell>
          <cell r="I242">
            <v>0</v>
          </cell>
          <cell r="J242">
            <v>-159</v>
          </cell>
          <cell r="K242">
            <v>0</v>
          </cell>
        </row>
        <row r="243">
          <cell r="F243">
            <v>0</v>
          </cell>
          <cell r="G243">
            <v>0</v>
          </cell>
          <cell r="H243">
            <v>0</v>
          </cell>
          <cell r="I243">
            <v>0</v>
          </cell>
          <cell r="J243">
            <v>0</v>
          </cell>
          <cell r="K243">
            <v>62517</v>
          </cell>
        </row>
        <row r="244">
          <cell r="F244">
            <v>-159</v>
          </cell>
          <cell r="G244">
            <v>0</v>
          </cell>
          <cell r="H244">
            <v>-159</v>
          </cell>
          <cell r="I244">
            <v>0</v>
          </cell>
          <cell r="J244">
            <v>-159</v>
          </cell>
          <cell r="K244">
            <v>62517</v>
          </cell>
        </row>
        <row r="246">
          <cell r="F246">
            <v>-3419</v>
          </cell>
          <cell r="G246">
            <v>0</v>
          </cell>
          <cell r="H246">
            <v>-3419</v>
          </cell>
          <cell r="I246">
            <v>0</v>
          </cell>
          <cell r="J246">
            <v>-3419</v>
          </cell>
          <cell r="K246">
            <v>0</v>
          </cell>
        </row>
        <row r="247">
          <cell r="F247">
            <v>-6273</v>
          </cell>
          <cell r="G247">
            <v>0</v>
          </cell>
          <cell r="H247">
            <v>-6273</v>
          </cell>
          <cell r="I247">
            <v>0</v>
          </cell>
          <cell r="J247">
            <v>-6273</v>
          </cell>
          <cell r="K247">
            <v>0</v>
          </cell>
        </row>
        <row r="248">
          <cell r="F248">
            <v>1074</v>
          </cell>
          <cell r="G248">
            <v>0</v>
          </cell>
          <cell r="H248">
            <v>1074</v>
          </cell>
          <cell r="I248">
            <v>0</v>
          </cell>
          <cell r="J248">
            <v>1074</v>
          </cell>
          <cell r="K248">
            <v>0</v>
          </cell>
        </row>
        <row r="249">
          <cell r="F249">
            <v>-1820</v>
          </cell>
          <cell r="G249">
            <v>0</v>
          </cell>
          <cell r="H249">
            <v>-1820</v>
          </cell>
          <cell r="I249">
            <v>0</v>
          </cell>
          <cell r="J249">
            <v>-1820</v>
          </cell>
          <cell r="K249">
            <v>0</v>
          </cell>
        </row>
        <row r="250">
          <cell r="F250">
            <v>0</v>
          </cell>
          <cell r="G250">
            <v>0</v>
          </cell>
          <cell r="H250">
            <v>0</v>
          </cell>
          <cell r="I250">
            <v>0</v>
          </cell>
          <cell r="J250">
            <v>0</v>
          </cell>
          <cell r="K250">
            <v>-258</v>
          </cell>
        </row>
        <row r="251">
          <cell r="F251">
            <v>0</v>
          </cell>
          <cell r="G251">
            <v>0</v>
          </cell>
          <cell r="H251">
            <v>0</v>
          </cell>
          <cell r="I251">
            <v>0</v>
          </cell>
          <cell r="J251">
            <v>0</v>
          </cell>
          <cell r="K251">
            <v>-67015</v>
          </cell>
        </row>
        <row r="252">
          <cell r="F252">
            <v>0</v>
          </cell>
          <cell r="G252">
            <v>0</v>
          </cell>
          <cell r="H252">
            <v>0</v>
          </cell>
          <cell r="I252">
            <v>0</v>
          </cell>
          <cell r="J252">
            <v>0</v>
          </cell>
          <cell r="K252">
            <v>-20995</v>
          </cell>
        </row>
        <row r="253">
          <cell r="F253">
            <v>0</v>
          </cell>
          <cell r="G253">
            <v>0</v>
          </cell>
          <cell r="H253">
            <v>0</v>
          </cell>
          <cell r="I253">
            <v>0</v>
          </cell>
          <cell r="J253">
            <v>0</v>
          </cell>
          <cell r="K253">
            <v>-5250</v>
          </cell>
        </row>
        <row r="254">
          <cell r="F254">
            <v>-10438</v>
          </cell>
          <cell r="G254">
            <v>0</v>
          </cell>
          <cell r="H254">
            <v>-10438</v>
          </cell>
          <cell r="I254">
            <v>0</v>
          </cell>
          <cell r="J254">
            <v>-10438</v>
          </cell>
          <cell r="K254">
            <v>-93518</v>
          </cell>
        </row>
        <row r="256">
          <cell r="F256">
            <v>0</v>
          </cell>
          <cell r="G256">
            <v>0</v>
          </cell>
          <cell r="H256">
            <v>0</v>
          </cell>
          <cell r="I256">
            <v>0</v>
          </cell>
          <cell r="J256">
            <v>0</v>
          </cell>
          <cell r="K256">
            <v>0</v>
          </cell>
        </row>
        <row r="258">
          <cell r="F258">
            <v>-176062</v>
          </cell>
          <cell r="G258">
            <v>0</v>
          </cell>
          <cell r="H258">
            <v>-176062</v>
          </cell>
          <cell r="I258">
            <v>0</v>
          </cell>
          <cell r="J258">
            <v>-176062</v>
          </cell>
          <cell r="K258">
            <v>0</v>
          </cell>
        </row>
        <row r="259">
          <cell r="F259">
            <v>-11255</v>
          </cell>
          <cell r="G259">
            <v>0</v>
          </cell>
          <cell r="H259">
            <v>-11255</v>
          </cell>
          <cell r="I259">
            <v>8</v>
          </cell>
          <cell r="J259">
            <v>-11247</v>
          </cell>
          <cell r="K259">
            <v>0</v>
          </cell>
        </row>
        <row r="260">
          <cell r="F260">
            <v>-44551</v>
          </cell>
          <cell r="G260">
            <v>0</v>
          </cell>
          <cell r="H260">
            <v>-44551</v>
          </cell>
          <cell r="I260">
            <v>0</v>
          </cell>
          <cell r="J260">
            <v>-44551</v>
          </cell>
          <cell r="K260">
            <v>0</v>
          </cell>
        </row>
        <row r="261">
          <cell r="F261">
            <v>0</v>
          </cell>
          <cell r="G261">
            <v>0</v>
          </cell>
          <cell r="H261">
            <v>0</v>
          </cell>
          <cell r="I261">
            <v>0</v>
          </cell>
          <cell r="J261">
            <v>0</v>
          </cell>
          <cell r="K261">
            <v>-761</v>
          </cell>
        </row>
        <row r="262">
          <cell r="F262">
            <v>0</v>
          </cell>
          <cell r="G262">
            <v>0</v>
          </cell>
          <cell r="H262">
            <v>0</v>
          </cell>
          <cell r="I262">
            <v>0</v>
          </cell>
          <cell r="J262">
            <v>0</v>
          </cell>
          <cell r="K262">
            <v>-29</v>
          </cell>
        </row>
        <row r="263">
          <cell r="F263">
            <v>0</v>
          </cell>
          <cell r="G263">
            <v>0</v>
          </cell>
          <cell r="H263">
            <v>0</v>
          </cell>
          <cell r="I263">
            <v>0</v>
          </cell>
          <cell r="J263">
            <v>0</v>
          </cell>
          <cell r="K263">
            <v>-5946</v>
          </cell>
        </row>
        <row r="264">
          <cell r="F264">
            <v>0</v>
          </cell>
          <cell r="G264">
            <v>0</v>
          </cell>
          <cell r="H264">
            <v>0</v>
          </cell>
          <cell r="I264">
            <v>0</v>
          </cell>
          <cell r="J264">
            <v>0</v>
          </cell>
          <cell r="K264">
            <v>-11575</v>
          </cell>
        </row>
        <row r="265">
          <cell r="F265">
            <v>0</v>
          </cell>
          <cell r="G265">
            <v>0</v>
          </cell>
          <cell r="H265">
            <v>0</v>
          </cell>
          <cell r="I265">
            <v>0</v>
          </cell>
          <cell r="J265">
            <v>0</v>
          </cell>
          <cell r="K265">
            <v>-4259</v>
          </cell>
        </row>
        <row r="266">
          <cell r="F266">
            <v>0</v>
          </cell>
          <cell r="G266">
            <v>0</v>
          </cell>
          <cell r="H266">
            <v>0</v>
          </cell>
          <cell r="I266">
            <v>0</v>
          </cell>
          <cell r="J266">
            <v>0</v>
          </cell>
          <cell r="K266">
            <v>-98</v>
          </cell>
        </row>
        <row r="267">
          <cell r="F267">
            <v>0</v>
          </cell>
          <cell r="G267">
            <v>0</v>
          </cell>
          <cell r="H267">
            <v>0</v>
          </cell>
          <cell r="I267">
            <v>0</v>
          </cell>
          <cell r="J267">
            <v>0</v>
          </cell>
          <cell r="K267">
            <v>-124</v>
          </cell>
        </row>
        <row r="268">
          <cell r="F268">
            <v>0</v>
          </cell>
          <cell r="G268">
            <v>0</v>
          </cell>
          <cell r="H268">
            <v>0</v>
          </cell>
          <cell r="I268">
            <v>0</v>
          </cell>
          <cell r="J268">
            <v>0</v>
          </cell>
          <cell r="K268">
            <v>-44723</v>
          </cell>
        </row>
        <row r="269">
          <cell r="F269">
            <v>0</v>
          </cell>
          <cell r="G269">
            <v>0</v>
          </cell>
          <cell r="H269">
            <v>0</v>
          </cell>
          <cell r="I269">
            <v>0</v>
          </cell>
          <cell r="J269">
            <v>0</v>
          </cell>
          <cell r="K269">
            <v>-25551</v>
          </cell>
        </row>
        <row r="270">
          <cell r="F270">
            <v>0</v>
          </cell>
          <cell r="G270">
            <v>0</v>
          </cell>
          <cell r="H270">
            <v>0</v>
          </cell>
          <cell r="I270">
            <v>0</v>
          </cell>
          <cell r="J270">
            <v>0</v>
          </cell>
          <cell r="K270">
            <v>-1477</v>
          </cell>
        </row>
        <row r="271">
          <cell r="F271">
            <v>0</v>
          </cell>
          <cell r="G271">
            <v>0</v>
          </cell>
          <cell r="H271">
            <v>0</v>
          </cell>
          <cell r="I271">
            <v>0</v>
          </cell>
          <cell r="J271">
            <v>0</v>
          </cell>
          <cell r="K271">
            <v>-4131</v>
          </cell>
        </row>
        <row r="272">
          <cell r="F272">
            <v>0</v>
          </cell>
          <cell r="G272">
            <v>0</v>
          </cell>
          <cell r="H272">
            <v>0</v>
          </cell>
          <cell r="I272">
            <v>0</v>
          </cell>
          <cell r="J272">
            <v>0</v>
          </cell>
          <cell r="K272">
            <v>-3120</v>
          </cell>
        </row>
        <row r="273">
          <cell r="F273">
            <v>0</v>
          </cell>
          <cell r="G273">
            <v>0</v>
          </cell>
          <cell r="H273">
            <v>0</v>
          </cell>
          <cell r="I273">
            <v>0</v>
          </cell>
          <cell r="J273">
            <v>0</v>
          </cell>
          <cell r="K273">
            <v>-5269</v>
          </cell>
        </row>
        <row r="274">
          <cell r="F274">
            <v>0</v>
          </cell>
          <cell r="G274">
            <v>0</v>
          </cell>
          <cell r="H274">
            <v>0</v>
          </cell>
          <cell r="I274">
            <v>0</v>
          </cell>
          <cell r="J274">
            <v>0</v>
          </cell>
          <cell r="K274">
            <v>-6965</v>
          </cell>
        </row>
        <row r="275">
          <cell r="F275">
            <v>0</v>
          </cell>
          <cell r="G275">
            <v>0</v>
          </cell>
          <cell r="H275">
            <v>0</v>
          </cell>
          <cell r="I275">
            <v>0</v>
          </cell>
          <cell r="J275">
            <v>0</v>
          </cell>
          <cell r="K275">
            <v>-5364</v>
          </cell>
        </row>
        <row r="276">
          <cell r="F276">
            <v>0</v>
          </cell>
          <cell r="G276">
            <v>0</v>
          </cell>
          <cell r="H276">
            <v>0</v>
          </cell>
          <cell r="I276">
            <v>0</v>
          </cell>
          <cell r="J276">
            <v>0</v>
          </cell>
          <cell r="K276">
            <v>-14878</v>
          </cell>
        </row>
        <row r="277">
          <cell r="F277">
            <v>0</v>
          </cell>
          <cell r="G277">
            <v>0</v>
          </cell>
          <cell r="H277">
            <v>0</v>
          </cell>
          <cell r="I277">
            <v>0</v>
          </cell>
          <cell r="J277">
            <v>0</v>
          </cell>
          <cell r="K277">
            <v>-5555</v>
          </cell>
        </row>
        <row r="278">
          <cell r="F278">
            <v>0</v>
          </cell>
          <cell r="G278">
            <v>0</v>
          </cell>
          <cell r="H278">
            <v>0</v>
          </cell>
          <cell r="I278">
            <v>0</v>
          </cell>
          <cell r="J278">
            <v>0</v>
          </cell>
          <cell r="K278">
            <v>-43860</v>
          </cell>
        </row>
        <row r="279">
          <cell r="F279">
            <v>0</v>
          </cell>
          <cell r="G279">
            <v>0</v>
          </cell>
          <cell r="H279">
            <v>0</v>
          </cell>
          <cell r="I279">
            <v>0</v>
          </cell>
          <cell r="J279">
            <v>0</v>
          </cell>
          <cell r="K279">
            <v>-972</v>
          </cell>
        </row>
        <row r="280">
          <cell r="F280">
            <v>0</v>
          </cell>
          <cell r="G280">
            <v>0</v>
          </cell>
          <cell r="H280">
            <v>0</v>
          </cell>
          <cell r="I280">
            <v>0</v>
          </cell>
          <cell r="J280">
            <v>0</v>
          </cell>
          <cell r="K280">
            <v>-2009</v>
          </cell>
        </row>
        <row r="281">
          <cell r="F281">
            <v>0</v>
          </cell>
          <cell r="G281">
            <v>0</v>
          </cell>
          <cell r="H281">
            <v>0</v>
          </cell>
          <cell r="I281">
            <v>0</v>
          </cell>
          <cell r="J281">
            <v>0</v>
          </cell>
          <cell r="K281">
            <v>-13664</v>
          </cell>
        </row>
        <row r="282">
          <cell r="F282">
            <v>0</v>
          </cell>
          <cell r="G282">
            <v>0</v>
          </cell>
          <cell r="H282">
            <v>0</v>
          </cell>
          <cell r="I282">
            <v>0</v>
          </cell>
          <cell r="J282">
            <v>0</v>
          </cell>
          <cell r="K282">
            <v>-11793</v>
          </cell>
        </row>
        <row r="283">
          <cell r="F283">
            <v>0</v>
          </cell>
          <cell r="G283">
            <v>0</v>
          </cell>
          <cell r="H283">
            <v>0</v>
          </cell>
          <cell r="I283">
            <v>0</v>
          </cell>
          <cell r="J283">
            <v>0</v>
          </cell>
          <cell r="K283">
            <v>-28669</v>
          </cell>
        </row>
        <row r="284">
          <cell r="F284">
            <v>0</v>
          </cell>
          <cell r="G284">
            <v>0</v>
          </cell>
          <cell r="H284">
            <v>0</v>
          </cell>
          <cell r="I284">
            <v>0</v>
          </cell>
          <cell r="J284">
            <v>0</v>
          </cell>
          <cell r="K284">
            <v>-4024</v>
          </cell>
        </row>
        <row r="285">
          <cell r="F285">
            <v>0</v>
          </cell>
          <cell r="G285">
            <v>0</v>
          </cell>
          <cell r="H285">
            <v>0</v>
          </cell>
          <cell r="I285">
            <v>0</v>
          </cell>
          <cell r="J285">
            <v>0</v>
          </cell>
          <cell r="K285">
            <v>-1058</v>
          </cell>
        </row>
        <row r="286">
          <cell r="F286">
            <v>0</v>
          </cell>
          <cell r="G286">
            <v>0</v>
          </cell>
          <cell r="H286">
            <v>0</v>
          </cell>
          <cell r="I286">
            <v>0</v>
          </cell>
          <cell r="J286">
            <v>0</v>
          </cell>
          <cell r="K286">
            <v>-12917</v>
          </cell>
        </row>
        <row r="287">
          <cell r="F287">
            <v>0</v>
          </cell>
          <cell r="G287">
            <v>0</v>
          </cell>
          <cell r="H287">
            <v>0</v>
          </cell>
          <cell r="I287">
            <v>0</v>
          </cell>
          <cell r="J287">
            <v>0</v>
          </cell>
          <cell r="K287">
            <v>-13389</v>
          </cell>
        </row>
        <row r="288">
          <cell r="F288">
            <v>0</v>
          </cell>
          <cell r="G288">
            <v>0</v>
          </cell>
          <cell r="H288">
            <v>0</v>
          </cell>
          <cell r="I288">
            <v>0</v>
          </cell>
          <cell r="J288">
            <v>0</v>
          </cell>
          <cell r="K288">
            <v>494</v>
          </cell>
        </row>
        <row r="289">
          <cell r="F289">
            <v>-231868</v>
          </cell>
          <cell r="G289">
            <v>0</v>
          </cell>
          <cell r="H289">
            <v>-231868</v>
          </cell>
          <cell r="I289">
            <v>8</v>
          </cell>
          <cell r="J289">
            <v>-231860</v>
          </cell>
          <cell r="K289">
            <v>-271686</v>
          </cell>
        </row>
        <row r="291">
          <cell r="F291">
            <v>-383047</v>
          </cell>
          <cell r="G291">
            <v>0</v>
          </cell>
          <cell r="H291">
            <v>-383047</v>
          </cell>
          <cell r="I291">
            <v>0</v>
          </cell>
          <cell r="J291">
            <v>-383047</v>
          </cell>
          <cell r="K291">
            <v>0</v>
          </cell>
        </row>
        <row r="292">
          <cell r="F292">
            <v>-56087</v>
          </cell>
          <cell r="G292">
            <v>0</v>
          </cell>
          <cell r="H292">
            <v>-56087</v>
          </cell>
          <cell r="I292">
            <v>0</v>
          </cell>
          <cell r="J292">
            <v>-56087</v>
          </cell>
          <cell r="K292">
            <v>0</v>
          </cell>
        </row>
        <row r="293">
          <cell r="F293">
            <v>-375923</v>
          </cell>
          <cell r="G293">
            <v>0</v>
          </cell>
          <cell r="H293">
            <v>-375923</v>
          </cell>
          <cell r="I293">
            <v>0</v>
          </cell>
          <cell r="J293">
            <v>-375923</v>
          </cell>
          <cell r="K293">
            <v>0</v>
          </cell>
        </row>
        <row r="294">
          <cell r="F294">
            <v>0</v>
          </cell>
          <cell r="G294">
            <v>0</v>
          </cell>
          <cell r="H294">
            <v>0</v>
          </cell>
          <cell r="I294">
            <v>0</v>
          </cell>
          <cell r="J294">
            <v>0</v>
          </cell>
          <cell r="K294">
            <v>-2252</v>
          </cell>
        </row>
        <row r="295">
          <cell r="F295">
            <v>0</v>
          </cell>
          <cell r="G295">
            <v>0</v>
          </cell>
          <cell r="H295">
            <v>0</v>
          </cell>
          <cell r="I295">
            <v>0</v>
          </cell>
          <cell r="J295">
            <v>0</v>
          </cell>
          <cell r="K295">
            <v>-310</v>
          </cell>
        </row>
        <row r="296">
          <cell r="F296">
            <v>0</v>
          </cell>
          <cell r="G296">
            <v>0</v>
          </cell>
          <cell r="H296">
            <v>0</v>
          </cell>
          <cell r="I296">
            <v>0</v>
          </cell>
          <cell r="J296">
            <v>0</v>
          </cell>
          <cell r="K296">
            <v>-80180</v>
          </cell>
        </row>
        <row r="297">
          <cell r="F297">
            <v>0</v>
          </cell>
          <cell r="G297">
            <v>0</v>
          </cell>
          <cell r="H297">
            <v>0</v>
          </cell>
          <cell r="I297">
            <v>0</v>
          </cell>
          <cell r="J297">
            <v>0</v>
          </cell>
          <cell r="K297">
            <v>-28677</v>
          </cell>
        </row>
        <row r="298">
          <cell r="F298">
            <v>0</v>
          </cell>
          <cell r="G298">
            <v>0</v>
          </cell>
          <cell r="H298">
            <v>0</v>
          </cell>
          <cell r="I298">
            <v>0</v>
          </cell>
          <cell r="J298">
            <v>0</v>
          </cell>
          <cell r="K298">
            <v>-173</v>
          </cell>
        </row>
        <row r="299">
          <cell r="F299">
            <v>0</v>
          </cell>
          <cell r="G299">
            <v>0</v>
          </cell>
          <cell r="H299">
            <v>0</v>
          </cell>
          <cell r="I299">
            <v>0</v>
          </cell>
          <cell r="J299">
            <v>0</v>
          </cell>
          <cell r="K299">
            <v>-115</v>
          </cell>
        </row>
        <row r="300">
          <cell r="F300">
            <v>0</v>
          </cell>
          <cell r="G300">
            <v>0</v>
          </cell>
          <cell r="H300">
            <v>0</v>
          </cell>
          <cell r="I300">
            <v>0</v>
          </cell>
          <cell r="J300">
            <v>0</v>
          </cell>
          <cell r="K300">
            <v>-3498</v>
          </cell>
        </row>
        <row r="301">
          <cell r="F301">
            <v>0</v>
          </cell>
          <cell r="G301">
            <v>0</v>
          </cell>
          <cell r="H301">
            <v>0</v>
          </cell>
          <cell r="I301">
            <v>0</v>
          </cell>
          <cell r="J301">
            <v>0</v>
          </cell>
          <cell r="K301">
            <v>-280786</v>
          </cell>
        </row>
        <row r="302">
          <cell r="F302">
            <v>0</v>
          </cell>
          <cell r="G302">
            <v>0</v>
          </cell>
          <cell r="H302">
            <v>0</v>
          </cell>
          <cell r="I302">
            <v>0</v>
          </cell>
          <cell r="J302">
            <v>0</v>
          </cell>
          <cell r="K302">
            <v>-6558</v>
          </cell>
        </row>
        <row r="303">
          <cell r="F303">
            <v>0</v>
          </cell>
          <cell r="G303">
            <v>0</v>
          </cell>
          <cell r="H303">
            <v>0</v>
          </cell>
          <cell r="I303">
            <v>0</v>
          </cell>
          <cell r="J303">
            <v>0</v>
          </cell>
          <cell r="K303">
            <v>-93933</v>
          </cell>
        </row>
        <row r="304">
          <cell r="F304">
            <v>0</v>
          </cell>
          <cell r="G304">
            <v>0</v>
          </cell>
          <cell r="H304">
            <v>0</v>
          </cell>
          <cell r="I304">
            <v>0</v>
          </cell>
          <cell r="J304">
            <v>0</v>
          </cell>
          <cell r="K304">
            <v>-42130</v>
          </cell>
        </row>
        <row r="305">
          <cell r="F305">
            <v>0</v>
          </cell>
          <cell r="G305">
            <v>0</v>
          </cell>
          <cell r="H305">
            <v>0</v>
          </cell>
          <cell r="I305">
            <v>0</v>
          </cell>
          <cell r="J305">
            <v>0</v>
          </cell>
          <cell r="K305">
            <v>-23411</v>
          </cell>
        </row>
        <row r="306">
          <cell r="F306">
            <v>0</v>
          </cell>
          <cell r="G306">
            <v>0</v>
          </cell>
          <cell r="H306">
            <v>0</v>
          </cell>
          <cell r="I306">
            <v>0</v>
          </cell>
          <cell r="J306">
            <v>0</v>
          </cell>
          <cell r="K306">
            <v>-45299</v>
          </cell>
        </row>
        <row r="307">
          <cell r="F307">
            <v>-815057</v>
          </cell>
          <cell r="G307">
            <v>0</v>
          </cell>
          <cell r="H307">
            <v>-815057</v>
          </cell>
          <cell r="I307">
            <v>0</v>
          </cell>
          <cell r="J307">
            <v>-815057</v>
          </cell>
          <cell r="K307">
            <v>-607322</v>
          </cell>
        </row>
        <row r="309">
          <cell r="F309">
            <v>0</v>
          </cell>
          <cell r="G309">
            <v>0</v>
          </cell>
          <cell r="H309">
            <v>0</v>
          </cell>
          <cell r="I309">
            <v>0</v>
          </cell>
          <cell r="J309">
            <v>0</v>
          </cell>
          <cell r="K309">
            <v>0</v>
          </cell>
        </row>
        <row r="311">
          <cell r="F311">
            <v>-36288</v>
          </cell>
          <cell r="G311">
            <v>0</v>
          </cell>
          <cell r="H311">
            <v>-36288</v>
          </cell>
          <cell r="I311">
            <v>0</v>
          </cell>
          <cell r="J311">
            <v>-36288</v>
          </cell>
          <cell r="K311">
            <v>0</v>
          </cell>
        </row>
        <row r="312">
          <cell r="F312">
            <v>0</v>
          </cell>
          <cell r="G312">
            <v>0</v>
          </cell>
          <cell r="H312">
            <v>0</v>
          </cell>
          <cell r="I312">
            <v>0</v>
          </cell>
          <cell r="J312">
            <v>0</v>
          </cell>
          <cell r="K312">
            <v>-55482</v>
          </cell>
        </row>
        <row r="313">
          <cell r="F313">
            <v>-36288</v>
          </cell>
          <cell r="G313">
            <v>0</v>
          </cell>
          <cell r="H313">
            <v>-36288</v>
          </cell>
          <cell r="I313">
            <v>0</v>
          </cell>
          <cell r="J313">
            <v>-36288</v>
          </cell>
          <cell r="K313">
            <v>-55482</v>
          </cell>
        </row>
        <row r="315">
          <cell r="F315">
            <v>-504</v>
          </cell>
          <cell r="G315">
            <v>0</v>
          </cell>
          <cell r="H315">
            <v>-504</v>
          </cell>
          <cell r="I315">
            <v>0</v>
          </cell>
          <cell r="J315">
            <v>-504</v>
          </cell>
          <cell r="K315">
            <v>0</v>
          </cell>
        </row>
        <row r="316">
          <cell r="F316">
            <v>0</v>
          </cell>
          <cell r="G316">
            <v>0</v>
          </cell>
          <cell r="H316">
            <v>0</v>
          </cell>
          <cell r="I316">
            <v>0</v>
          </cell>
          <cell r="J316">
            <v>0</v>
          </cell>
          <cell r="K316">
            <v>-621</v>
          </cell>
        </row>
        <row r="317">
          <cell r="F317">
            <v>0</v>
          </cell>
          <cell r="G317">
            <v>0</v>
          </cell>
          <cell r="H317">
            <v>0</v>
          </cell>
          <cell r="I317">
            <v>0</v>
          </cell>
          <cell r="J317">
            <v>0</v>
          </cell>
          <cell r="K317">
            <v>-625</v>
          </cell>
        </row>
        <row r="318">
          <cell r="F318">
            <v>-504</v>
          </cell>
          <cell r="G318">
            <v>0</v>
          </cell>
          <cell r="H318">
            <v>-504</v>
          </cell>
          <cell r="I318">
            <v>0</v>
          </cell>
          <cell r="J318">
            <v>-504</v>
          </cell>
          <cell r="K318">
            <v>-1246</v>
          </cell>
        </row>
        <row r="320">
          <cell r="F320">
            <v>-30378</v>
          </cell>
          <cell r="G320">
            <v>0</v>
          </cell>
          <cell r="H320">
            <v>-30378</v>
          </cell>
          <cell r="I320">
            <v>0</v>
          </cell>
          <cell r="J320">
            <v>-30378</v>
          </cell>
          <cell r="K320">
            <v>0</v>
          </cell>
        </row>
        <row r="321">
          <cell r="F321">
            <v>-2781</v>
          </cell>
          <cell r="G321">
            <v>0</v>
          </cell>
          <cell r="H321">
            <v>-2781</v>
          </cell>
          <cell r="I321">
            <v>0</v>
          </cell>
          <cell r="J321">
            <v>-2781</v>
          </cell>
          <cell r="K321">
            <v>0</v>
          </cell>
        </row>
        <row r="322">
          <cell r="F322">
            <v>-2993</v>
          </cell>
          <cell r="G322">
            <v>0</v>
          </cell>
          <cell r="H322">
            <v>-2993</v>
          </cell>
          <cell r="I322">
            <v>0</v>
          </cell>
          <cell r="J322">
            <v>-2993</v>
          </cell>
          <cell r="K322">
            <v>0</v>
          </cell>
        </row>
        <row r="323">
          <cell r="F323">
            <v>-12845</v>
          </cell>
          <cell r="G323">
            <v>0</v>
          </cell>
          <cell r="H323">
            <v>-12845</v>
          </cell>
          <cell r="I323">
            <v>0</v>
          </cell>
          <cell r="J323">
            <v>-12845</v>
          </cell>
          <cell r="K323">
            <v>0</v>
          </cell>
        </row>
        <row r="324">
          <cell r="F324">
            <v>-17627</v>
          </cell>
          <cell r="G324">
            <v>0</v>
          </cell>
          <cell r="H324">
            <v>-17627</v>
          </cell>
          <cell r="I324">
            <v>0</v>
          </cell>
          <cell r="J324">
            <v>-17627</v>
          </cell>
          <cell r="K324">
            <v>0</v>
          </cell>
        </row>
        <row r="325">
          <cell r="F325">
            <v>-15791</v>
          </cell>
          <cell r="G325">
            <v>0</v>
          </cell>
          <cell r="H325">
            <v>-15791</v>
          </cell>
          <cell r="I325">
            <v>0</v>
          </cell>
          <cell r="J325">
            <v>-15791</v>
          </cell>
          <cell r="K325">
            <v>0</v>
          </cell>
        </row>
        <row r="326">
          <cell r="F326">
            <v>-4146</v>
          </cell>
          <cell r="G326">
            <v>0</v>
          </cell>
          <cell r="H326">
            <v>-4146</v>
          </cell>
          <cell r="I326">
            <v>0</v>
          </cell>
          <cell r="J326">
            <v>-4146</v>
          </cell>
          <cell r="K326">
            <v>0</v>
          </cell>
        </row>
        <row r="327">
          <cell r="F327">
            <v>-79</v>
          </cell>
          <cell r="G327">
            <v>0</v>
          </cell>
          <cell r="H327">
            <v>-79</v>
          </cell>
          <cell r="I327">
            <v>0</v>
          </cell>
          <cell r="J327">
            <v>-79</v>
          </cell>
          <cell r="K327">
            <v>0</v>
          </cell>
        </row>
        <row r="328">
          <cell r="F328">
            <v>-383</v>
          </cell>
          <cell r="G328">
            <v>0</v>
          </cell>
          <cell r="H328">
            <v>-383</v>
          </cell>
          <cell r="I328">
            <v>0</v>
          </cell>
          <cell r="J328">
            <v>-383</v>
          </cell>
          <cell r="K328">
            <v>0</v>
          </cell>
        </row>
        <row r="329">
          <cell r="F329">
            <v>-268</v>
          </cell>
          <cell r="G329">
            <v>0</v>
          </cell>
          <cell r="H329">
            <v>-268</v>
          </cell>
          <cell r="I329">
            <v>0</v>
          </cell>
          <cell r="J329">
            <v>-268</v>
          </cell>
          <cell r="K329">
            <v>0</v>
          </cell>
        </row>
        <row r="330">
          <cell r="F330">
            <v>-14869</v>
          </cell>
          <cell r="G330">
            <v>0</v>
          </cell>
          <cell r="H330">
            <v>-14869</v>
          </cell>
          <cell r="I330">
            <v>0</v>
          </cell>
          <cell r="J330">
            <v>-14869</v>
          </cell>
          <cell r="K330">
            <v>0</v>
          </cell>
        </row>
        <row r="331">
          <cell r="F331">
            <v>0</v>
          </cell>
          <cell r="G331">
            <v>0</v>
          </cell>
          <cell r="H331">
            <v>0</v>
          </cell>
          <cell r="I331">
            <v>0</v>
          </cell>
          <cell r="J331">
            <v>0</v>
          </cell>
          <cell r="K331">
            <v>-11044</v>
          </cell>
        </row>
        <row r="332">
          <cell r="F332">
            <v>0</v>
          </cell>
          <cell r="G332">
            <v>0</v>
          </cell>
          <cell r="H332">
            <v>0</v>
          </cell>
          <cell r="I332">
            <v>0</v>
          </cell>
          <cell r="J332">
            <v>0</v>
          </cell>
          <cell r="K332">
            <v>-210</v>
          </cell>
        </row>
        <row r="333">
          <cell r="F333">
            <v>0</v>
          </cell>
          <cell r="G333">
            <v>0</v>
          </cell>
          <cell r="H333">
            <v>0</v>
          </cell>
          <cell r="I333">
            <v>0</v>
          </cell>
          <cell r="J333">
            <v>0</v>
          </cell>
          <cell r="K333">
            <v>-862</v>
          </cell>
        </row>
        <row r="334">
          <cell r="F334">
            <v>0</v>
          </cell>
          <cell r="G334">
            <v>0</v>
          </cell>
          <cell r="H334">
            <v>0</v>
          </cell>
          <cell r="I334">
            <v>0</v>
          </cell>
          <cell r="J334">
            <v>0</v>
          </cell>
          <cell r="K334">
            <v>-41</v>
          </cell>
        </row>
        <row r="335">
          <cell r="F335">
            <v>0</v>
          </cell>
          <cell r="G335">
            <v>0</v>
          </cell>
          <cell r="H335">
            <v>0</v>
          </cell>
          <cell r="I335">
            <v>0</v>
          </cell>
          <cell r="J335">
            <v>0</v>
          </cell>
          <cell r="K335">
            <v>-8680</v>
          </cell>
        </row>
        <row r="336">
          <cell r="F336">
            <v>0</v>
          </cell>
          <cell r="G336">
            <v>0</v>
          </cell>
          <cell r="H336">
            <v>0</v>
          </cell>
          <cell r="I336">
            <v>0</v>
          </cell>
          <cell r="J336">
            <v>0</v>
          </cell>
          <cell r="K336">
            <v>-2690</v>
          </cell>
        </row>
        <row r="337">
          <cell r="F337">
            <v>0</v>
          </cell>
          <cell r="G337">
            <v>0</v>
          </cell>
          <cell r="H337">
            <v>0</v>
          </cell>
          <cell r="I337">
            <v>0</v>
          </cell>
          <cell r="J337">
            <v>0</v>
          </cell>
          <cell r="K337">
            <v>-5348</v>
          </cell>
        </row>
        <row r="338">
          <cell r="F338">
            <v>0</v>
          </cell>
          <cell r="G338">
            <v>0</v>
          </cell>
          <cell r="H338">
            <v>0</v>
          </cell>
          <cell r="I338">
            <v>0</v>
          </cell>
          <cell r="J338">
            <v>0</v>
          </cell>
          <cell r="K338">
            <v>0</v>
          </cell>
        </row>
        <row r="339">
          <cell r="F339">
            <v>0</v>
          </cell>
          <cell r="G339">
            <v>0</v>
          </cell>
          <cell r="H339">
            <v>0</v>
          </cell>
          <cell r="I339">
            <v>0</v>
          </cell>
          <cell r="J339">
            <v>0</v>
          </cell>
          <cell r="K339">
            <v>-1</v>
          </cell>
        </row>
        <row r="340">
          <cell r="F340">
            <v>0</v>
          </cell>
          <cell r="G340">
            <v>0</v>
          </cell>
          <cell r="H340">
            <v>0</v>
          </cell>
          <cell r="I340">
            <v>0</v>
          </cell>
          <cell r="J340">
            <v>0</v>
          </cell>
          <cell r="K340">
            <v>-4950</v>
          </cell>
        </row>
        <row r="341">
          <cell r="F341">
            <v>0</v>
          </cell>
          <cell r="G341">
            <v>0</v>
          </cell>
          <cell r="H341">
            <v>0</v>
          </cell>
          <cell r="I341">
            <v>0</v>
          </cell>
          <cell r="J341">
            <v>0</v>
          </cell>
          <cell r="K341">
            <v>-12734</v>
          </cell>
        </row>
        <row r="342">
          <cell r="F342">
            <v>0</v>
          </cell>
          <cell r="G342">
            <v>0</v>
          </cell>
          <cell r="H342">
            <v>0</v>
          </cell>
          <cell r="I342">
            <v>0</v>
          </cell>
          <cell r="J342">
            <v>0</v>
          </cell>
          <cell r="K342">
            <v>-1</v>
          </cell>
        </row>
        <row r="343">
          <cell r="F343">
            <v>0</v>
          </cell>
          <cell r="G343">
            <v>0</v>
          </cell>
          <cell r="H343">
            <v>0</v>
          </cell>
          <cell r="I343">
            <v>0</v>
          </cell>
          <cell r="J343">
            <v>0</v>
          </cell>
          <cell r="K343">
            <v>-1</v>
          </cell>
        </row>
        <row r="344">
          <cell r="F344">
            <v>0</v>
          </cell>
          <cell r="G344">
            <v>0</v>
          </cell>
          <cell r="H344">
            <v>0</v>
          </cell>
          <cell r="I344">
            <v>0</v>
          </cell>
          <cell r="J344">
            <v>0</v>
          </cell>
          <cell r="K344">
            <v>-22688</v>
          </cell>
        </row>
        <row r="345">
          <cell r="F345">
            <v>0</v>
          </cell>
          <cell r="G345">
            <v>0</v>
          </cell>
          <cell r="H345">
            <v>0</v>
          </cell>
          <cell r="I345">
            <v>0</v>
          </cell>
          <cell r="J345">
            <v>0</v>
          </cell>
          <cell r="K345">
            <v>-2071</v>
          </cell>
        </row>
        <row r="346">
          <cell r="F346">
            <v>-102160</v>
          </cell>
          <cell r="G346">
            <v>0</v>
          </cell>
          <cell r="H346">
            <v>-102160</v>
          </cell>
          <cell r="I346">
            <v>0</v>
          </cell>
          <cell r="J346">
            <v>-102160</v>
          </cell>
          <cell r="K346">
            <v>-71321</v>
          </cell>
        </row>
        <row r="348">
          <cell r="F348">
            <v>-35526</v>
          </cell>
          <cell r="G348">
            <v>0</v>
          </cell>
          <cell r="H348">
            <v>-35526</v>
          </cell>
          <cell r="I348">
            <v>-8</v>
          </cell>
          <cell r="J348">
            <v>-35534</v>
          </cell>
          <cell r="K348">
            <v>0</v>
          </cell>
        </row>
        <row r="349">
          <cell r="F349">
            <v>189</v>
          </cell>
          <cell r="G349">
            <v>0</v>
          </cell>
          <cell r="H349">
            <v>189</v>
          </cell>
          <cell r="I349">
            <v>0</v>
          </cell>
          <cell r="J349">
            <v>189</v>
          </cell>
          <cell r="K349">
            <v>0</v>
          </cell>
        </row>
        <row r="350">
          <cell r="F350">
            <v>10</v>
          </cell>
          <cell r="G350">
            <v>0</v>
          </cell>
          <cell r="H350">
            <v>10</v>
          </cell>
          <cell r="I350">
            <v>0</v>
          </cell>
          <cell r="J350">
            <v>10</v>
          </cell>
          <cell r="K350">
            <v>0</v>
          </cell>
        </row>
        <row r="351">
          <cell r="F351">
            <v>0</v>
          </cell>
          <cell r="G351">
            <v>0</v>
          </cell>
          <cell r="H351">
            <v>0</v>
          </cell>
          <cell r="I351">
            <v>0</v>
          </cell>
          <cell r="J351">
            <v>0</v>
          </cell>
          <cell r="K351">
            <v>-11758</v>
          </cell>
        </row>
        <row r="352">
          <cell r="F352">
            <v>0</v>
          </cell>
          <cell r="G352">
            <v>0</v>
          </cell>
          <cell r="H352">
            <v>0</v>
          </cell>
          <cell r="I352">
            <v>0</v>
          </cell>
          <cell r="J352">
            <v>0</v>
          </cell>
          <cell r="K352">
            <v>-7568</v>
          </cell>
        </row>
        <row r="353">
          <cell r="F353">
            <v>0</v>
          </cell>
          <cell r="G353">
            <v>0</v>
          </cell>
          <cell r="H353">
            <v>0</v>
          </cell>
          <cell r="I353">
            <v>0</v>
          </cell>
          <cell r="J353">
            <v>0</v>
          </cell>
          <cell r="K353">
            <v>-3334</v>
          </cell>
        </row>
        <row r="354">
          <cell r="F354">
            <v>0</v>
          </cell>
          <cell r="G354">
            <v>0</v>
          </cell>
          <cell r="H354">
            <v>0</v>
          </cell>
          <cell r="I354">
            <v>0</v>
          </cell>
          <cell r="J354">
            <v>0</v>
          </cell>
          <cell r="K354">
            <v>2593</v>
          </cell>
        </row>
        <row r="355">
          <cell r="F355">
            <v>-35327</v>
          </cell>
          <cell r="G355">
            <v>0</v>
          </cell>
          <cell r="H355">
            <v>-35327</v>
          </cell>
          <cell r="I355">
            <v>-8</v>
          </cell>
          <cell r="J355">
            <v>-35335</v>
          </cell>
          <cell r="K355">
            <v>-20067</v>
          </cell>
        </row>
        <row r="357">
          <cell r="F357">
            <v>0</v>
          </cell>
          <cell r="G357">
            <v>0</v>
          </cell>
          <cell r="H357">
            <v>0</v>
          </cell>
          <cell r="I357">
            <v>0</v>
          </cell>
          <cell r="J357">
            <v>0</v>
          </cell>
          <cell r="K357">
            <v>0</v>
          </cell>
        </row>
        <row r="359">
          <cell r="F359">
            <v>163340</v>
          </cell>
          <cell r="G359">
            <v>0</v>
          </cell>
          <cell r="H359">
            <v>163340</v>
          </cell>
          <cell r="I359">
            <v>0</v>
          </cell>
          <cell r="J359">
            <v>163340</v>
          </cell>
          <cell r="K359">
            <v>0</v>
          </cell>
        </row>
        <row r="360">
          <cell r="F360">
            <v>26134</v>
          </cell>
          <cell r="G360">
            <v>0</v>
          </cell>
          <cell r="H360">
            <v>26134</v>
          </cell>
          <cell r="I360">
            <v>0</v>
          </cell>
          <cell r="J360">
            <v>26134</v>
          </cell>
          <cell r="K360">
            <v>0</v>
          </cell>
        </row>
        <row r="361">
          <cell r="F361">
            <v>30316</v>
          </cell>
          <cell r="G361">
            <v>0</v>
          </cell>
          <cell r="H361">
            <v>30316</v>
          </cell>
          <cell r="I361">
            <v>0</v>
          </cell>
          <cell r="J361">
            <v>30316</v>
          </cell>
          <cell r="K361">
            <v>0</v>
          </cell>
        </row>
        <row r="362">
          <cell r="F362">
            <v>0</v>
          </cell>
          <cell r="G362">
            <v>0</v>
          </cell>
          <cell r="H362">
            <v>0</v>
          </cell>
          <cell r="I362">
            <v>0</v>
          </cell>
          <cell r="J362">
            <v>0</v>
          </cell>
          <cell r="K362">
            <v>140198</v>
          </cell>
        </row>
        <row r="363">
          <cell r="F363">
            <v>0</v>
          </cell>
          <cell r="G363">
            <v>0</v>
          </cell>
          <cell r="H363">
            <v>0</v>
          </cell>
          <cell r="I363">
            <v>0</v>
          </cell>
          <cell r="J363">
            <v>0</v>
          </cell>
          <cell r="K363">
            <v>22647</v>
          </cell>
        </row>
        <row r="364">
          <cell r="F364">
            <v>0</v>
          </cell>
          <cell r="G364">
            <v>0</v>
          </cell>
          <cell r="H364">
            <v>0</v>
          </cell>
          <cell r="I364">
            <v>0</v>
          </cell>
          <cell r="J364">
            <v>0</v>
          </cell>
          <cell r="K364">
            <v>1348</v>
          </cell>
        </row>
        <row r="365">
          <cell r="F365">
            <v>219790</v>
          </cell>
          <cell r="G365">
            <v>0</v>
          </cell>
          <cell r="H365">
            <v>219790</v>
          </cell>
          <cell r="I365">
            <v>0</v>
          </cell>
          <cell r="J365">
            <v>219790</v>
          </cell>
          <cell r="K365">
            <v>164193</v>
          </cell>
        </row>
        <row r="367">
          <cell r="F367">
            <v>9223</v>
          </cell>
          <cell r="G367">
            <v>0</v>
          </cell>
          <cell r="H367">
            <v>9223</v>
          </cell>
          <cell r="I367">
            <v>0</v>
          </cell>
          <cell r="J367">
            <v>9223</v>
          </cell>
          <cell r="K367">
            <v>0</v>
          </cell>
        </row>
        <row r="368">
          <cell r="F368">
            <v>0</v>
          </cell>
          <cell r="G368">
            <v>0</v>
          </cell>
          <cell r="H368">
            <v>0</v>
          </cell>
          <cell r="I368">
            <v>0</v>
          </cell>
          <cell r="J368">
            <v>0</v>
          </cell>
          <cell r="K368">
            <v>8142</v>
          </cell>
        </row>
        <row r="369">
          <cell r="F369">
            <v>9223</v>
          </cell>
          <cell r="G369">
            <v>0</v>
          </cell>
          <cell r="H369">
            <v>9223</v>
          </cell>
          <cell r="I369">
            <v>0</v>
          </cell>
          <cell r="J369">
            <v>9223</v>
          </cell>
          <cell r="K369">
            <v>8142</v>
          </cell>
        </row>
        <row r="371">
          <cell r="F371">
            <v>8167</v>
          </cell>
          <cell r="G371">
            <v>0</v>
          </cell>
          <cell r="H371">
            <v>8167</v>
          </cell>
          <cell r="I371">
            <v>0</v>
          </cell>
          <cell r="J371">
            <v>8167</v>
          </cell>
          <cell r="K371">
            <v>0</v>
          </cell>
        </row>
        <row r="372">
          <cell r="F372">
            <v>0</v>
          </cell>
          <cell r="G372">
            <v>0</v>
          </cell>
          <cell r="H372">
            <v>0</v>
          </cell>
          <cell r="I372">
            <v>0</v>
          </cell>
          <cell r="J372">
            <v>0</v>
          </cell>
          <cell r="K372">
            <v>7010</v>
          </cell>
        </row>
        <row r="373">
          <cell r="F373">
            <v>8167</v>
          </cell>
          <cell r="G373">
            <v>0</v>
          </cell>
          <cell r="H373">
            <v>8167</v>
          </cell>
          <cell r="I373">
            <v>0</v>
          </cell>
          <cell r="J373">
            <v>8167</v>
          </cell>
          <cell r="K373">
            <v>7010</v>
          </cell>
        </row>
        <row r="375">
          <cell r="F375">
            <v>0</v>
          </cell>
          <cell r="G375">
            <v>0</v>
          </cell>
          <cell r="H375">
            <v>0</v>
          </cell>
          <cell r="I375">
            <v>0</v>
          </cell>
          <cell r="J375">
            <v>0</v>
          </cell>
          <cell r="K375">
            <v>0</v>
          </cell>
        </row>
        <row r="377">
          <cell r="F377">
            <v>0</v>
          </cell>
          <cell r="G377">
            <v>0</v>
          </cell>
          <cell r="H377">
            <v>0</v>
          </cell>
          <cell r="I377">
            <v>0</v>
          </cell>
          <cell r="J377">
            <v>0</v>
          </cell>
          <cell r="K377">
            <v>0</v>
          </cell>
        </row>
        <row r="379">
          <cell r="F379">
            <v>0</v>
          </cell>
          <cell r="G379">
            <v>0</v>
          </cell>
          <cell r="H379">
            <v>0</v>
          </cell>
          <cell r="I379">
            <v>0</v>
          </cell>
          <cell r="J379">
            <v>0</v>
          </cell>
          <cell r="K379">
            <v>0</v>
          </cell>
        </row>
        <row r="381">
          <cell r="F381">
            <v>79</v>
          </cell>
          <cell r="G381">
            <v>0</v>
          </cell>
          <cell r="H381">
            <v>79</v>
          </cell>
          <cell r="I381">
            <v>0</v>
          </cell>
          <cell r="J381">
            <v>79</v>
          </cell>
          <cell r="K381">
            <v>0</v>
          </cell>
        </row>
        <row r="382">
          <cell r="F382">
            <v>84</v>
          </cell>
          <cell r="G382">
            <v>0</v>
          </cell>
          <cell r="H382">
            <v>84</v>
          </cell>
          <cell r="I382">
            <v>0</v>
          </cell>
          <cell r="J382">
            <v>84</v>
          </cell>
          <cell r="K382">
            <v>0</v>
          </cell>
        </row>
        <row r="383">
          <cell r="F383">
            <v>4</v>
          </cell>
          <cell r="G383">
            <v>0</v>
          </cell>
          <cell r="H383">
            <v>4</v>
          </cell>
          <cell r="I383">
            <v>0</v>
          </cell>
          <cell r="J383">
            <v>4</v>
          </cell>
          <cell r="K383">
            <v>0</v>
          </cell>
        </row>
        <row r="384">
          <cell r="F384">
            <v>272</v>
          </cell>
          <cell r="G384">
            <v>0</v>
          </cell>
          <cell r="H384">
            <v>272</v>
          </cell>
          <cell r="I384">
            <v>0</v>
          </cell>
          <cell r="J384">
            <v>272</v>
          </cell>
          <cell r="K384">
            <v>0</v>
          </cell>
        </row>
        <row r="385">
          <cell r="F385">
            <v>53</v>
          </cell>
          <cell r="G385">
            <v>0</v>
          </cell>
          <cell r="H385">
            <v>53</v>
          </cell>
          <cell r="I385">
            <v>0</v>
          </cell>
          <cell r="J385">
            <v>53</v>
          </cell>
          <cell r="K385">
            <v>0</v>
          </cell>
        </row>
        <row r="386">
          <cell r="F386">
            <v>9</v>
          </cell>
          <cell r="G386">
            <v>0</v>
          </cell>
          <cell r="H386">
            <v>9</v>
          </cell>
          <cell r="I386">
            <v>0</v>
          </cell>
          <cell r="J386">
            <v>9</v>
          </cell>
          <cell r="K386">
            <v>6</v>
          </cell>
        </row>
        <row r="387">
          <cell r="F387">
            <v>0</v>
          </cell>
          <cell r="G387">
            <v>0</v>
          </cell>
          <cell r="H387">
            <v>0</v>
          </cell>
          <cell r="I387">
            <v>0</v>
          </cell>
          <cell r="J387">
            <v>0</v>
          </cell>
          <cell r="K387">
            <v>47</v>
          </cell>
        </row>
        <row r="388">
          <cell r="F388">
            <v>0</v>
          </cell>
          <cell r="G388">
            <v>0</v>
          </cell>
          <cell r="H388">
            <v>0</v>
          </cell>
          <cell r="I388">
            <v>0</v>
          </cell>
          <cell r="J388">
            <v>0</v>
          </cell>
          <cell r="K388">
            <v>144</v>
          </cell>
        </row>
        <row r="389">
          <cell r="F389">
            <v>0</v>
          </cell>
          <cell r="G389">
            <v>0</v>
          </cell>
          <cell r="H389">
            <v>0</v>
          </cell>
          <cell r="I389">
            <v>0</v>
          </cell>
          <cell r="J389">
            <v>0</v>
          </cell>
          <cell r="K389">
            <v>0</v>
          </cell>
        </row>
        <row r="390">
          <cell r="F390">
            <v>0</v>
          </cell>
          <cell r="G390">
            <v>0</v>
          </cell>
          <cell r="H390">
            <v>0</v>
          </cell>
          <cell r="I390">
            <v>0</v>
          </cell>
          <cell r="J390">
            <v>0</v>
          </cell>
          <cell r="K390">
            <v>7</v>
          </cell>
        </row>
        <row r="391">
          <cell r="F391">
            <v>0</v>
          </cell>
          <cell r="G391">
            <v>0</v>
          </cell>
          <cell r="H391">
            <v>0</v>
          </cell>
          <cell r="I391">
            <v>0</v>
          </cell>
          <cell r="J391">
            <v>0</v>
          </cell>
          <cell r="K391">
            <v>127</v>
          </cell>
        </row>
        <row r="392">
          <cell r="F392">
            <v>0</v>
          </cell>
          <cell r="G392">
            <v>0</v>
          </cell>
          <cell r="H392">
            <v>0</v>
          </cell>
          <cell r="I392">
            <v>0</v>
          </cell>
          <cell r="J392">
            <v>0</v>
          </cell>
          <cell r="K392">
            <v>49</v>
          </cell>
        </row>
        <row r="393">
          <cell r="F393">
            <v>0</v>
          </cell>
          <cell r="G393">
            <v>0</v>
          </cell>
          <cell r="H393">
            <v>0</v>
          </cell>
          <cell r="I393">
            <v>0</v>
          </cell>
          <cell r="J393">
            <v>0</v>
          </cell>
          <cell r="K393">
            <v>1</v>
          </cell>
        </row>
        <row r="394">
          <cell r="F394">
            <v>0</v>
          </cell>
          <cell r="G394">
            <v>0</v>
          </cell>
          <cell r="H394">
            <v>0</v>
          </cell>
          <cell r="I394">
            <v>0</v>
          </cell>
          <cell r="J394">
            <v>0</v>
          </cell>
          <cell r="K394">
            <v>1</v>
          </cell>
        </row>
        <row r="395">
          <cell r="F395">
            <v>501</v>
          </cell>
          <cell r="G395">
            <v>0</v>
          </cell>
          <cell r="H395">
            <v>501</v>
          </cell>
          <cell r="I395">
            <v>0</v>
          </cell>
          <cell r="J395">
            <v>501</v>
          </cell>
          <cell r="K395">
            <v>382</v>
          </cell>
        </row>
        <row r="397">
          <cell r="F397">
            <v>0</v>
          </cell>
          <cell r="G397">
            <v>0</v>
          </cell>
          <cell r="H397">
            <v>0</v>
          </cell>
          <cell r="I397">
            <v>0</v>
          </cell>
          <cell r="J397">
            <v>0</v>
          </cell>
          <cell r="K397">
            <v>0</v>
          </cell>
        </row>
        <row r="399">
          <cell r="F399">
            <v>2350</v>
          </cell>
          <cell r="G399">
            <v>0</v>
          </cell>
          <cell r="H399">
            <v>2350</v>
          </cell>
          <cell r="I399">
            <v>0</v>
          </cell>
          <cell r="J399">
            <v>2350</v>
          </cell>
          <cell r="K399">
            <v>0</v>
          </cell>
        </row>
        <row r="400">
          <cell r="F400">
            <v>25</v>
          </cell>
          <cell r="G400">
            <v>0</v>
          </cell>
          <cell r="H400">
            <v>25</v>
          </cell>
          <cell r="I400">
            <v>0</v>
          </cell>
          <cell r="J400">
            <v>25</v>
          </cell>
          <cell r="K400">
            <v>0</v>
          </cell>
        </row>
        <row r="401">
          <cell r="F401">
            <v>200</v>
          </cell>
          <cell r="G401">
            <v>0</v>
          </cell>
          <cell r="H401">
            <v>200</v>
          </cell>
          <cell r="I401">
            <v>0</v>
          </cell>
          <cell r="J401">
            <v>200</v>
          </cell>
          <cell r="K401">
            <v>0</v>
          </cell>
        </row>
        <row r="402">
          <cell r="F402">
            <v>0</v>
          </cell>
          <cell r="G402">
            <v>0</v>
          </cell>
          <cell r="H402">
            <v>0</v>
          </cell>
          <cell r="I402">
            <v>0</v>
          </cell>
          <cell r="J402">
            <v>0</v>
          </cell>
          <cell r="K402">
            <v>1554</v>
          </cell>
        </row>
        <row r="403">
          <cell r="F403">
            <v>0</v>
          </cell>
          <cell r="G403">
            <v>0</v>
          </cell>
          <cell r="H403">
            <v>0</v>
          </cell>
          <cell r="I403">
            <v>0</v>
          </cell>
          <cell r="J403">
            <v>0</v>
          </cell>
          <cell r="K403">
            <v>44</v>
          </cell>
        </row>
        <row r="404">
          <cell r="F404">
            <v>0</v>
          </cell>
          <cell r="G404">
            <v>0</v>
          </cell>
          <cell r="H404">
            <v>0</v>
          </cell>
          <cell r="I404">
            <v>0</v>
          </cell>
          <cell r="J404">
            <v>0</v>
          </cell>
          <cell r="K404">
            <v>14</v>
          </cell>
        </row>
        <row r="405">
          <cell r="F405">
            <v>0</v>
          </cell>
          <cell r="G405">
            <v>0</v>
          </cell>
          <cell r="H405">
            <v>0</v>
          </cell>
          <cell r="I405">
            <v>0</v>
          </cell>
          <cell r="J405">
            <v>0</v>
          </cell>
          <cell r="K405">
            <v>186</v>
          </cell>
        </row>
        <row r="406">
          <cell r="F406">
            <v>2575</v>
          </cell>
          <cell r="G406">
            <v>0</v>
          </cell>
          <cell r="H406">
            <v>2575</v>
          </cell>
          <cell r="I406">
            <v>0</v>
          </cell>
          <cell r="J406">
            <v>2575</v>
          </cell>
          <cell r="K406">
            <v>1798</v>
          </cell>
        </row>
        <row r="408">
          <cell r="F408">
            <v>34</v>
          </cell>
          <cell r="G408">
            <v>0</v>
          </cell>
          <cell r="H408">
            <v>34</v>
          </cell>
          <cell r="I408">
            <v>0</v>
          </cell>
          <cell r="J408">
            <v>34</v>
          </cell>
          <cell r="K408">
            <v>0</v>
          </cell>
        </row>
        <row r="409">
          <cell r="F409">
            <v>40</v>
          </cell>
          <cell r="G409">
            <v>0</v>
          </cell>
          <cell r="H409">
            <v>40</v>
          </cell>
          <cell r="I409">
            <v>0</v>
          </cell>
          <cell r="J409">
            <v>40</v>
          </cell>
          <cell r="K409">
            <v>0</v>
          </cell>
        </row>
        <row r="410">
          <cell r="F410">
            <v>199</v>
          </cell>
          <cell r="G410">
            <v>0</v>
          </cell>
          <cell r="H410">
            <v>199</v>
          </cell>
          <cell r="I410">
            <v>0</v>
          </cell>
          <cell r="J410">
            <v>199</v>
          </cell>
          <cell r="K410">
            <v>0</v>
          </cell>
        </row>
        <row r="411">
          <cell r="F411">
            <v>0</v>
          </cell>
          <cell r="G411">
            <v>0</v>
          </cell>
          <cell r="H411">
            <v>0</v>
          </cell>
          <cell r="I411">
            <v>0</v>
          </cell>
          <cell r="J411">
            <v>0</v>
          </cell>
          <cell r="K411">
            <v>199</v>
          </cell>
        </row>
        <row r="412">
          <cell r="F412">
            <v>0</v>
          </cell>
          <cell r="G412">
            <v>0</v>
          </cell>
          <cell r="H412">
            <v>0</v>
          </cell>
          <cell r="I412">
            <v>0</v>
          </cell>
          <cell r="J412">
            <v>0</v>
          </cell>
          <cell r="K412">
            <v>40</v>
          </cell>
        </row>
        <row r="413">
          <cell r="F413">
            <v>273</v>
          </cell>
          <cell r="G413">
            <v>0</v>
          </cell>
          <cell r="H413">
            <v>273</v>
          </cell>
          <cell r="I413">
            <v>0</v>
          </cell>
          <cell r="J413">
            <v>273</v>
          </cell>
          <cell r="K413">
            <v>239</v>
          </cell>
        </row>
        <row r="415">
          <cell r="F415">
            <v>269</v>
          </cell>
          <cell r="G415">
            <v>0</v>
          </cell>
          <cell r="H415">
            <v>269</v>
          </cell>
          <cell r="I415">
            <v>0</v>
          </cell>
          <cell r="J415">
            <v>269</v>
          </cell>
          <cell r="K415">
            <v>0</v>
          </cell>
        </row>
        <row r="416">
          <cell r="F416">
            <v>45</v>
          </cell>
          <cell r="G416">
            <v>0</v>
          </cell>
          <cell r="H416">
            <v>45</v>
          </cell>
          <cell r="I416">
            <v>0</v>
          </cell>
          <cell r="J416">
            <v>45</v>
          </cell>
          <cell r="K416">
            <v>0</v>
          </cell>
        </row>
        <row r="417">
          <cell r="F417">
            <v>0</v>
          </cell>
          <cell r="G417">
            <v>0</v>
          </cell>
          <cell r="H417">
            <v>0</v>
          </cell>
          <cell r="I417">
            <v>0</v>
          </cell>
          <cell r="J417">
            <v>0</v>
          </cell>
          <cell r="K417">
            <v>85</v>
          </cell>
        </row>
        <row r="418">
          <cell r="F418">
            <v>0</v>
          </cell>
          <cell r="G418">
            <v>0</v>
          </cell>
          <cell r="H418">
            <v>0</v>
          </cell>
          <cell r="I418">
            <v>0</v>
          </cell>
          <cell r="J418">
            <v>0</v>
          </cell>
          <cell r="K418">
            <v>35</v>
          </cell>
        </row>
        <row r="419">
          <cell r="F419">
            <v>314</v>
          </cell>
          <cell r="G419">
            <v>0</v>
          </cell>
          <cell r="H419">
            <v>314</v>
          </cell>
          <cell r="I419">
            <v>0</v>
          </cell>
          <cell r="J419">
            <v>314</v>
          </cell>
          <cell r="K419">
            <v>120</v>
          </cell>
        </row>
        <row r="421">
          <cell r="F421">
            <v>627</v>
          </cell>
          <cell r="G421">
            <v>0</v>
          </cell>
          <cell r="H421">
            <v>627</v>
          </cell>
          <cell r="I421">
            <v>0</v>
          </cell>
          <cell r="J421">
            <v>627</v>
          </cell>
          <cell r="K421">
            <v>0</v>
          </cell>
        </row>
        <row r="422">
          <cell r="F422">
            <v>60</v>
          </cell>
          <cell r="G422">
            <v>0</v>
          </cell>
          <cell r="H422">
            <v>60</v>
          </cell>
          <cell r="I422">
            <v>0</v>
          </cell>
          <cell r="J422">
            <v>60</v>
          </cell>
          <cell r="K422">
            <v>0</v>
          </cell>
        </row>
        <row r="423">
          <cell r="F423">
            <v>0</v>
          </cell>
          <cell r="G423">
            <v>0</v>
          </cell>
          <cell r="H423">
            <v>0</v>
          </cell>
          <cell r="I423">
            <v>0</v>
          </cell>
          <cell r="J423">
            <v>0</v>
          </cell>
          <cell r="K423">
            <v>887</v>
          </cell>
        </row>
        <row r="424">
          <cell r="F424">
            <v>0</v>
          </cell>
          <cell r="G424">
            <v>0</v>
          </cell>
          <cell r="H424">
            <v>0</v>
          </cell>
          <cell r="I424">
            <v>0</v>
          </cell>
          <cell r="J424">
            <v>0</v>
          </cell>
          <cell r="K424">
            <v>47</v>
          </cell>
        </row>
        <row r="425">
          <cell r="F425">
            <v>687</v>
          </cell>
          <cell r="G425">
            <v>0</v>
          </cell>
          <cell r="H425">
            <v>687</v>
          </cell>
          <cell r="I425">
            <v>0</v>
          </cell>
          <cell r="J425">
            <v>687</v>
          </cell>
          <cell r="K425">
            <v>934</v>
          </cell>
        </row>
        <row r="427">
          <cell r="F427">
            <v>0</v>
          </cell>
          <cell r="G427">
            <v>0</v>
          </cell>
          <cell r="H427">
            <v>0</v>
          </cell>
          <cell r="I427">
            <v>0</v>
          </cell>
          <cell r="J427">
            <v>0</v>
          </cell>
          <cell r="K427">
            <v>0</v>
          </cell>
        </row>
        <row r="429">
          <cell r="F429">
            <v>-151451</v>
          </cell>
          <cell r="G429">
            <v>0</v>
          </cell>
          <cell r="H429">
            <v>-151451</v>
          </cell>
          <cell r="I429">
            <v>0</v>
          </cell>
          <cell r="J429">
            <v>-151451</v>
          </cell>
          <cell r="K429">
            <v>0</v>
          </cell>
        </row>
        <row r="430">
          <cell r="F430">
            <v>0</v>
          </cell>
          <cell r="G430">
            <v>0</v>
          </cell>
          <cell r="H430">
            <v>0</v>
          </cell>
          <cell r="I430">
            <v>0</v>
          </cell>
          <cell r="J430">
            <v>0</v>
          </cell>
          <cell r="K430">
            <v>102373</v>
          </cell>
        </row>
        <row r="431">
          <cell r="F431">
            <v>0</v>
          </cell>
          <cell r="G431">
            <v>0</v>
          </cell>
          <cell r="H431">
            <v>0</v>
          </cell>
          <cell r="I431">
            <v>0</v>
          </cell>
          <cell r="J431">
            <v>0</v>
          </cell>
          <cell r="K431">
            <v>-13310</v>
          </cell>
        </row>
        <row r="432">
          <cell r="F432">
            <v>0</v>
          </cell>
          <cell r="G432">
            <v>0</v>
          </cell>
          <cell r="H432">
            <v>0</v>
          </cell>
          <cell r="I432">
            <v>0</v>
          </cell>
          <cell r="J432">
            <v>0</v>
          </cell>
          <cell r="K432">
            <v>-6071</v>
          </cell>
        </row>
        <row r="433">
          <cell r="F433">
            <v>0</v>
          </cell>
          <cell r="G433">
            <v>0</v>
          </cell>
          <cell r="H433">
            <v>0</v>
          </cell>
          <cell r="I433">
            <v>0</v>
          </cell>
          <cell r="J433">
            <v>0</v>
          </cell>
          <cell r="K433">
            <v>-5280</v>
          </cell>
        </row>
        <row r="434">
          <cell r="F434">
            <v>0</v>
          </cell>
          <cell r="G434">
            <v>0</v>
          </cell>
          <cell r="H434">
            <v>0</v>
          </cell>
          <cell r="I434">
            <v>0</v>
          </cell>
          <cell r="J434">
            <v>0</v>
          </cell>
          <cell r="K434">
            <v>-5025</v>
          </cell>
        </row>
        <row r="435">
          <cell r="F435">
            <v>-151451</v>
          </cell>
          <cell r="G435">
            <v>0</v>
          </cell>
          <cell r="H435">
            <v>-151451</v>
          </cell>
          <cell r="I435">
            <v>0</v>
          </cell>
          <cell r="J435">
            <v>-151451</v>
          </cell>
          <cell r="K435">
            <v>72687</v>
          </cell>
        </row>
        <row r="437">
          <cell r="F437">
            <v>22271</v>
          </cell>
          <cell r="G437">
            <v>0</v>
          </cell>
          <cell r="H437">
            <v>22271</v>
          </cell>
          <cell r="I437">
            <v>0</v>
          </cell>
          <cell r="J437">
            <v>22271</v>
          </cell>
          <cell r="K437">
            <v>0</v>
          </cell>
        </row>
        <row r="438">
          <cell r="F438">
            <v>0</v>
          </cell>
          <cell r="G438">
            <v>0</v>
          </cell>
          <cell r="H438">
            <v>0</v>
          </cell>
          <cell r="I438">
            <v>0</v>
          </cell>
          <cell r="J438">
            <v>0</v>
          </cell>
          <cell r="K438">
            <v>17968</v>
          </cell>
        </row>
        <row r="439">
          <cell r="F439">
            <v>22271</v>
          </cell>
          <cell r="G439">
            <v>0</v>
          </cell>
          <cell r="H439">
            <v>22271</v>
          </cell>
          <cell r="I439">
            <v>0</v>
          </cell>
          <cell r="J439">
            <v>22271</v>
          </cell>
          <cell r="K439">
            <v>17968</v>
          </cell>
        </row>
        <row r="441">
          <cell r="F441">
            <v>27993</v>
          </cell>
          <cell r="G441">
            <v>0</v>
          </cell>
          <cell r="H441">
            <v>27993</v>
          </cell>
          <cell r="I441">
            <v>0</v>
          </cell>
          <cell r="J441">
            <v>27993</v>
          </cell>
          <cell r="K441">
            <v>0</v>
          </cell>
        </row>
        <row r="442">
          <cell r="F442">
            <v>0</v>
          </cell>
          <cell r="G442">
            <v>0</v>
          </cell>
          <cell r="H442">
            <v>0</v>
          </cell>
          <cell r="I442">
            <v>0</v>
          </cell>
          <cell r="J442">
            <v>0</v>
          </cell>
          <cell r="K442">
            <v>-33242</v>
          </cell>
        </row>
        <row r="443">
          <cell r="F443">
            <v>27993</v>
          </cell>
          <cell r="G443">
            <v>0</v>
          </cell>
          <cell r="H443">
            <v>27993</v>
          </cell>
          <cell r="I443">
            <v>0</v>
          </cell>
          <cell r="J443">
            <v>27993</v>
          </cell>
          <cell r="K443">
            <v>-33242</v>
          </cell>
        </row>
        <row r="445">
          <cell r="F445">
            <v>154</v>
          </cell>
          <cell r="G445">
            <v>0</v>
          </cell>
          <cell r="H445">
            <v>154</v>
          </cell>
          <cell r="I445">
            <v>0</v>
          </cell>
          <cell r="J445">
            <v>154</v>
          </cell>
          <cell r="K445">
            <v>0</v>
          </cell>
        </row>
        <row r="446">
          <cell r="F446">
            <v>0</v>
          </cell>
          <cell r="G446">
            <v>0</v>
          </cell>
          <cell r="H446">
            <v>0</v>
          </cell>
          <cell r="I446">
            <v>0</v>
          </cell>
          <cell r="J446">
            <v>0</v>
          </cell>
          <cell r="K446">
            <v>-62517</v>
          </cell>
        </row>
        <row r="447">
          <cell r="F447">
            <v>154</v>
          </cell>
          <cell r="G447">
            <v>0</v>
          </cell>
          <cell r="H447">
            <v>154</v>
          </cell>
          <cell r="I447">
            <v>0</v>
          </cell>
          <cell r="J447">
            <v>154</v>
          </cell>
          <cell r="K447">
            <v>-62517</v>
          </cell>
        </row>
        <row r="449">
          <cell r="F449">
            <v>0</v>
          </cell>
          <cell r="G449">
            <v>0</v>
          </cell>
          <cell r="H449">
            <v>0</v>
          </cell>
          <cell r="I449">
            <v>0</v>
          </cell>
          <cell r="J449">
            <v>0</v>
          </cell>
          <cell r="K449">
            <v>0</v>
          </cell>
        </row>
        <row r="451">
          <cell r="F451">
            <v>0</v>
          </cell>
          <cell r="G451">
            <v>0</v>
          </cell>
          <cell r="H451">
            <v>0</v>
          </cell>
          <cell r="I451">
            <v>0</v>
          </cell>
          <cell r="J451">
            <v>0</v>
          </cell>
          <cell r="K451">
            <v>0</v>
          </cell>
        </row>
        <row r="453">
          <cell r="F453">
            <v>0</v>
          </cell>
          <cell r="G453">
            <v>0</v>
          </cell>
          <cell r="H453">
            <v>0</v>
          </cell>
          <cell r="I453">
            <v>0</v>
          </cell>
          <cell r="J453">
            <v>0</v>
          </cell>
          <cell r="K453">
            <v>0</v>
          </cell>
        </row>
        <row r="455">
          <cell r="F455">
            <v>0</v>
          </cell>
          <cell r="G455">
            <v>0</v>
          </cell>
          <cell r="H455">
            <v>0</v>
          </cell>
          <cell r="I455">
            <v>0</v>
          </cell>
          <cell r="J455">
            <v>0</v>
          </cell>
          <cell r="K455">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sheetData>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Distribution"/>
      <sheetName val="UHA"/>
      <sheetName val="CF"/>
      <sheetName val="Note 1-6"/>
      <sheetName val="Note 6.1-6.4"/>
      <sheetName val="Note 6.5-8"/>
      <sheetName val="Notes 9-13"/>
      <sheetName val="Note 14-15"/>
      <sheetName val="Lead"/>
      <sheetName val="For UHF"/>
      <sheetName val="Cash Flow working"/>
      <sheetName val="Links"/>
      <sheetName val="RP Working"/>
      <sheetName val="Tickmarks"/>
    </sheetNames>
    <sheetDataSet>
      <sheetData sheetId="0"/>
      <sheetData sheetId="1">
        <row r="58">
          <cell r="E58">
            <v>1059</v>
          </cell>
        </row>
      </sheetData>
      <sheetData sheetId="2">
        <row r="17">
          <cell r="F17">
            <v>41687</v>
          </cell>
        </row>
      </sheetData>
      <sheetData sheetId="3"/>
      <sheetData sheetId="4"/>
      <sheetData sheetId="5">
        <row r="120">
          <cell r="F120">
            <v>523788</v>
          </cell>
        </row>
      </sheetData>
      <sheetData sheetId="6"/>
      <sheetData sheetId="7"/>
      <sheetData sheetId="8"/>
      <sheetData sheetId="9"/>
      <sheetData sheetId="10">
        <row r="2">
          <cell r="F2" t="str">
            <v>Preliminary</v>
          </cell>
          <cell r="H2" t="str">
            <v>AJE</v>
          </cell>
          <cell r="I2" t="str">
            <v>Adjusted</v>
          </cell>
          <cell r="J2" t="str">
            <v>RJE</v>
          </cell>
          <cell r="K2" t="str">
            <v>Dec 15</v>
          </cell>
          <cell r="M2" t="str">
            <v>Jun 15/ Dec 14</v>
          </cell>
        </row>
        <row r="4">
          <cell r="F4">
            <v>353</v>
          </cell>
          <cell r="H4">
            <v>0</v>
          </cell>
          <cell r="I4">
            <v>353</v>
          </cell>
          <cell r="J4">
            <v>0</v>
          </cell>
          <cell r="K4">
            <v>353</v>
          </cell>
          <cell r="M4">
            <v>338</v>
          </cell>
        </row>
        <row r="5">
          <cell r="F5">
            <v>204190</v>
          </cell>
          <cell r="H5">
            <v>0</v>
          </cell>
          <cell r="I5">
            <v>204190</v>
          </cell>
          <cell r="J5">
            <v>0</v>
          </cell>
          <cell r="K5">
            <v>204190</v>
          </cell>
          <cell r="M5">
            <v>991</v>
          </cell>
        </row>
        <row r="6">
          <cell r="F6">
            <v>12</v>
          </cell>
          <cell r="H6">
            <v>0</v>
          </cell>
          <cell r="I6">
            <v>12</v>
          </cell>
          <cell r="J6">
            <v>0</v>
          </cell>
          <cell r="K6">
            <v>12</v>
          </cell>
          <cell r="M6">
            <v>11</v>
          </cell>
        </row>
        <row r="7">
          <cell r="F7">
            <v>54076</v>
          </cell>
          <cell r="H7">
            <v>0</v>
          </cell>
          <cell r="I7">
            <v>54076</v>
          </cell>
          <cell r="J7">
            <v>0</v>
          </cell>
          <cell r="K7">
            <v>54076</v>
          </cell>
          <cell r="M7">
            <v>7</v>
          </cell>
        </row>
        <row r="8">
          <cell r="F8">
            <v>4933</v>
          </cell>
          <cell r="H8">
            <v>0</v>
          </cell>
          <cell r="I8">
            <v>4933</v>
          </cell>
          <cell r="J8">
            <v>0</v>
          </cell>
          <cell r="K8">
            <v>4933</v>
          </cell>
          <cell r="M8">
            <v>14564</v>
          </cell>
        </row>
        <row r="9">
          <cell r="F9">
            <v>1101</v>
          </cell>
          <cell r="H9">
            <v>0</v>
          </cell>
          <cell r="I9">
            <v>1101</v>
          </cell>
          <cell r="J9">
            <v>0</v>
          </cell>
          <cell r="K9">
            <v>1101</v>
          </cell>
          <cell r="M9">
            <v>609</v>
          </cell>
        </row>
        <row r="10">
          <cell r="F10">
            <v>144935</v>
          </cell>
          <cell r="H10">
            <v>0</v>
          </cell>
          <cell r="I10">
            <v>144935</v>
          </cell>
          <cell r="J10">
            <v>0</v>
          </cell>
          <cell r="K10">
            <v>144935</v>
          </cell>
          <cell r="M10">
            <v>86876</v>
          </cell>
        </row>
        <row r="11">
          <cell r="F11">
            <v>8</v>
          </cell>
          <cell r="H11">
            <v>0</v>
          </cell>
          <cell r="I11">
            <v>8</v>
          </cell>
          <cell r="J11">
            <v>0</v>
          </cell>
          <cell r="K11">
            <v>8</v>
          </cell>
          <cell r="M11">
            <v>7</v>
          </cell>
        </row>
        <row r="12">
          <cell r="F12">
            <v>136609</v>
          </cell>
          <cell r="H12">
            <v>0</v>
          </cell>
          <cell r="I12">
            <v>136609</v>
          </cell>
          <cell r="J12">
            <v>0</v>
          </cell>
          <cell r="K12">
            <v>136609</v>
          </cell>
          <cell r="M12">
            <v>17650</v>
          </cell>
        </row>
        <row r="13">
          <cell r="F13">
            <v>4</v>
          </cell>
          <cell r="H13">
            <v>0</v>
          </cell>
          <cell r="I13">
            <v>4</v>
          </cell>
          <cell r="J13">
            <v>0</v>
          </cell>
          <cell r="K13">
            <v>4</v>
          </cell>
          <cell r="M13">
            <v>0</v>
          </cell>
        </row>
        <row r="14">
          <cell r="F14">
            <v>719</v>
          </cell>
          <cell r="H14">
            <v>0</v>
          </cell>
          <cell r="I14">
            <v>719</v>
          </cell>
          <cell r="J14">
            <v>0</v>
          </cell>
          <cell r="K14">
            <v>719</v>
          </cell>
          <cell r="M14">
            <v>719</v>
          </cell>
        </row>
        <row r="15">
          <cell r="F15">
            <v>835</v>
          </cell>
          <cell r="H15">
            <v>0</v>
          </cell>
          <cell r="I15">
            <v>835</v>
          </cell>
          <cell r="J15">
            <v>0</v>
          </cell>
          <cell r="K15">
            <v>835</v>
          </cell>
          <cell r="M15">
            <v>972</v>
          </cell>
        </row>
        <row r="16">
          <cell r="F16">
            <v>4090</v>
          </cell>
          <cell r="H16">
            <v>0</v>
          </cell>
          <cell r="I16">
            <v>4090</v>
          </cell>
          <cell r="J16">
            <v>0</v>
          </cell>
          <cell r="K16">
            <v>4090</v>
          </cell>
          <cell r="M16">
            <v>3918</v>
          </cell>
        </row>
        <row r="17">
          <cell r="F17">
            <v>150000</v>
          </cell>
          <cell r="H17">
            <v>0</v>
          </cell>
          <cell r="I17">
            <v>150000</v>
          </cell>
          <cell r="J17">
            <v>0</v>
          </cell>
          <cell r="K17">
            <v>150000</v>
          </cell>
          <cell r="M17">
            <v>100000</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0</v>
          </cell>
        </row>
        <row r="25">
          <cell r="F25">
            <v>0</v>
          </cell>
          <cell r="H25">
            <v>0</v>
          </cell>
          <cell r="I25">
            <v>0</v>
          </cell>
          <cell r="J25">
            <v>0</v>
          </cell>
          <cell r="K25">
            <v>0</v>
          </cell>
          <cell r="M25">
            <v>0</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701865</v>
          </cell>
          <cell r="H28">
            <v>0</v>
          </cell>
          <cell r="I28">
            <v>701865</v>
          </cell>
          <cell r="J28">
            <v>0</v>
          </cell>
          <cell r="K28">
            <v>701865</v>
          </cell>
          <cell r="M28">
            <v>226662</v>
          </cell>
        </row>
        <row r="30">
          <cell r="F30">
            <v>0</v>
          </cell>
          <cell r="H30">
            <v>0</v>
          </cell>
          <cell r="I30">
            <v>0</v>
          </cell>
          <cell r="J30">
            <v>0</v>
          </cell>
          <cell r="K30">
            <v>0</v>
          </cell>
          <cell r="M30">
            <v>0</v>
          </cell>
        </row>
        <row r="31">
          <cell r="F31">
            <v>0</v>
          </cell>
          <cell r="H31">
            <v>0</v>
          </cell>
          <cell r="I31">
            <v>0</v>
          </cell>
          <cell r="J31">
            <v>0</v>
          </cell>
          <cell r="K31">
            <v>0</v>
          </cell>
          <cell r="M31">
            <v>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0</v>
          </cell>
          <cell r="H36">
            <v>0</v>
          </cell>
          <cell r="I36">
            <v>0</v>
          </cell>
          <cell r="J36">
            <v>0</v>
          </cell>
          <cell r="K36">
            <v>0</v>
          </cell>
          <cell r="M36">
            <v>0</v>
          </cell>
        </row>
        <row r="38">
          <cell r="F38">
            <v>252526</v>
          </cell>
          <cell r="H38">
            <v>0</v>
          </cell>
          <cell r="I38">
            <v>252526</v>
          </cell>
          <cell r="J38">
            <v>0</v>
          </cell>
          <cell r="K38">
            <v>252526</v>
          </cell>
          <cell r="M38">
            <v>257780</v>
          </cell>
        </row>
        <row r="39">
          <cell r="F39">
            <v>5941</v>
          </cell>
          <cell r="H39">
            <v>0</v>
          </cell>
          <cell r="I39">
            <v>5941</v>
          </cell>
          <cell r="J39">
            <v>0</v>
          </cell>
          <cell r="K39">
            <v>5941</v>
          </cell>
          <cell r="M39">
            <v>7089</v>
          </cell>
        </row>
        <row r="40">
          <cell r="F40">
            <v>-8657</v>
          </cell>
          <cell r="H40">
            <v>0</v>
          </cell>
          <cell r="I40">
            <v>-8657</v>
          </cell>
          <cell r="J40">
            <v>0</v>
          </cell>
          <cell r="K40">
            <v>-8657</v>
          </cell>
          <cell r="M40">
            <v>-10386</v>
          </cell>
        </row>
        <row r="41">
          <cell r="F41">
            <v>0</v>
          </cell>
          <cell r="H41">
            <v>0</v>
          </cell>
          <cell r="I41">
            <v>0</v>
          </cell>
          <cell r="J41">
            <v>0</v>
          </cell>
          <cell r="K41">
            <v>0</v>
          </cell>
          <cell r="M41">
            <v>0</v>
          </cell>
        </row>
        <row r="42">
          <cell r="F42">
            <v>-9879</v>
          </cell>
          <cell r="H42">
            <v>0</v>
          </cell>
          <cell r="I42">
            <v>-9879</v>
          </cell>
          <cell r="J42">
            <v>0</v>
          </cell>
          <cell r="K42">
            <v>-9879</v>
          </cell>
          <cell r="M42">
            <v>-13172</v>
          </cell>
        </row>
        <row r="43">
          <cell r="F43">
            <v>0</v>
          </cell>
          <cell r="H43">
            <v>0</v>
          </cell>
          <cell r="I43">
            <v>0</v>
          </cell>
          <cell r="J43">
            <v>0</v>
          </cell>
          <cell r="K43">
            <v>0</v>
          </cell>
          <cell r="M43">
            <v>0</v>
          </cell>
        </row>
        <row r="44">
          <cell r="F44">
            <v>84795</v>
          </cell>
          <cell r="H44">
            <v>0</v>
          </cell>
          <cell r="I44">
            <v>84795</v>
          </cell>
          <cell r="J44">
            <v>0</v>
          </cell>
          <cell r="K44">
            <v>84795</v>
          </cell>
          <cell r="M44">
            <v>79803</v>
          </cell>
        </row>
        <row r="45">
          <cell r="F45">
            <v>0</v>
          </cell>
          <cell r="H45">
            <v>0</v>
          </cell>
          <cell r="I45">
            <v>0</v>
          </cell>
          <cell r="J45">
            <v>0</v>
          </cell>
          <cell r="K45">
            <v>0</v>
          </cell>
          <cell r="M45">
            <v>0</v>
          </cell>
        </row>
        <row r="46">
          <cell r="F46">
            <v>-34964</v>
          </cell>
          <cell r="H46">
            <v>0</v>
          </cell>
          <cell r="I46">
            <v>-34964</v>
          </cell>
          <cell r="J46">
            <v>0</v>
          </cell>
          <cell r="K46">
            <v>-34964</v>
          </cell>
          <cell r="M46">
            <v>-29972</v>
          </cell>
        </row>
        <row r="47">
          <cell r="F47">
            <v>-31088</v>
          </cell>
          <cell r="H47">
            <v>0</v>
          </cell>
          <cell r="I47">
            <v>-31088</v>
          </cell>
          <cell r="J47">
            <v>0</v>
          </cell>
          <cell r="K47">
            <v>-31088</v>
          </cell>
          <cell r="M47">
            <v>-31088</v>
          </cell>
        </row>
        <row r="48">
          <cell r="F48">
            <v>-18743</v>
          </cell>
          <cell r="H48">
            <v>0</v>
          </cell>
          <cell r="I48">
            <v>-18743</v>
          </cell>
          <cell r="J48">
            <v>0</v>
          </cell>
          <cell r="K48">
            <v>-18743</v>
          </cell>
          <cell r="M48">
            <v>-18743</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239931</v>
          </cell>
          <cell r="H59">
            <v>0</v>
          </cell>
          <cell r="I59">
            <v>239931</v>
          </cell>
          <cell r="J59">
            <v>0</v>
          </cell>
          <cell r="K59">
            <v>239931</v>
          </cell>
          <cell r="M59">
            <v>241311</v>
          </cell>
        </row>
        <row r="61">
          <cell r="F61">
            <v>0</v>
          </cell>
          <cell r="H61">
            <v>0</v>
          </cell>
          <cell r="I61">
            <v>0</v>
          </cell>
          <cell r="J61">
            <v>0</v>
          </cell>
          <cell r="K61">
            <v>0</v>
          </cell>
          <cell r="M61">
            <v>0</v>
          </cell>
        </row>
        <row r="63">
          <cell r="F63">
            <v>95039</v>
          </cell>
          <cell r="H63">
            <v>0</v>
          </cell>
          <cell r="I63">
            <v>95039</v>
          </cell>
          <cell r="J63">
            <v>0</v>
          </cell>
          <cell r="K63">
            <v>95039</v>
          </cell>
          <cell r="M63">
            <v>487539</v>
          </cell>
        </row>
        <row r="64">
          <cell r="F64">
            <v>-47</v>
          </cell>
          <cell r="H64">
            <v>0</v>
          </cell>
          <cell r="I64">
            <v>-47</v>
          </cell>
          <cell r="J64">
            <v>0</v>
          </cell>
          <cell r="K64">
            <v>-47</v>
          </cell>
          <cell r="M64">
            <v>-157</v>
          </cell>
        </row>
        <row r="65">
          <cell r="F65">
            <v>-1911</v>
          </cell>
          <cell r="H65">
            <v>0</v>
          </cell>
          <cell r="I65">
            <v>-1911</v>
          </cell>
          <cell r="J65">
            <v>0</v>
          </cell>
          <cell r="K65">
            <v>-1911</v>
          </cell>
          <cell r="M65">
            <v>-3300</v>
          </cell>
        </row>
        <row r="66">
          <cell r="F66">
            <v>0</v>
          </cell>
          <cell r="H66">
            <v>0</v>
          </cell>
          <cell r="I66">
            <v>0</v>
          </cell>
          <cell r="J66">
            <v>0</v>
          </cell>
          <cell r="K66">
            <v>0</v>
          </cell>
          <cell r="M66">
            <v>38349</v>
          </cell>
        </row>
        <row r="67">
          <cell r="F67">
            <v>3301</v>
          </cell>
          <cell r="H67">
            <v>0</v>
          </cell>
          <cell r="I67">
            <v>3301</v>
          </cell>
          <cell r="J67">
            <v>-3301</v>
          </cell>
          <cell r="K67">
            <v>0</v>
          </cell>
          <cell r="M67">
            <v>2452</v>
          </cell>
        </row>
        <row r="68">
          <cell r="F68">
            <v>-3301</v>
          </cell>
          <cell r="H68">
            <v>0</v>
          </cell>
          <cell r="I68">
            <v>-3301</v>
          </cell>
          <cell r="J68">
            <v>3301</v>
          </cell>
          <cell r="K68">
            <v>0</v>
          </cell>
          <cell r="M68">
            <v>1074</v>
          </cell>
        </row>
        <row r="69">
          <cell r="F69">
            <v>173400</v>
          </cell>
          <cell r="H69">
            <v>0</v>
          </cell>
          <cell r="I69">
            <v>173400</v>
          </cell>
          <cell r="J69">
            <v>0</v>
          </cell>
          <cell r="K69">
            <v>173400</v>
          </cell>
          <cell r="M69">
            <v>149051</v>
          </cell>
        </row>
        <row r="70">
          <cell r="F70">
            <v>-359</v>
          </cell>
          <cell r="H70">
            <v>0</v>
          </cell>
          <cell r="I70">
            <v>-359</v>
          </cell>
          <cell r="J70">
            <v>0</v>
          </cell>
          <cell r="K70">
            <v>-359</v>
          </cell>
          <cell r="M70">
            <v>-1507</v>
          </cell>
        </row>
        <row r="71">
          <cell r="F71">
            <v>17735</v>
          </cell>
          <cell r="H71">
            <v>0</v>
          </cell>
          <cell r="I71">
            <v>17735</v>
          </cell>
          <cell r="J71">
            <v>0</v>
          </cell>
          <cell r="K71">
            <v>17735</v>
          </cell>
          <cell r="M71">
            <v>10130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0</v>
          </cell>
        </row>
        <row r="76">
          <cell r="F76">
            <v>0</v>
          </cell>
          <cell r="H76">
            <v>0</v>
          </cell>
          <cell r="I76">
            <v>0</v>
          </cell>
          <cell r="J76">
            <v>0</v>
          </cell>
          <cell r="K76">
            <v>0</v>
          </cell>
          <cell r="M76">
            <v>0</v>
          </cell>
        </row>
        <row r="77">
          <cell r="F77">
            <v>0</v>
          </cell>
          <cell r="H77">
            <v>0</v>
          </cell>
          <cell r="I77">
            <v>0</v>
          </cell>
          <cell r="J77">
            <v>0</v>
          </cell>
          <cell r="K77">
            <v>0</v>
          </cell>
          <cell r="M77">
            <v>0</v>
          </cell>
        </row>
        <row r="78">
          <cell r="F78">
            <v>0</v>
          </cell>
          <cell r="H78">
            <v>0</v>
          </cell>
          <cell r="I78">
            <v>0</v>
          </cell>
          <cell r="J78">
            <v>0</v>
          </cell>
          <cell r="K78">
            <v>0</v>
          </cell>
          <cell r="M78">
            <v>0</v>
          </cell>
        </row>
        <row r="79">
          <cell r="F79">
            <v>0</v>
          </cell>
          <cell r="H79">
            <v>0</v>
          </cell>
          <cell r="I79">
            <v>0</v>
          </cell>
          <cell r="J79">
            <v>0</v>
          </cell>
          <cell r="K79">
            <v>0</v>
          </cell>
          <cell r="M79">
            <v>0</v>
          </cell>
        </row>
        <row r="80">
          <cell r="F80">
            <v>283857</v>
          </cell>
          <cell r="H80">
            <v>0</v>
          </cell>
          <cell r="I80">
            <v>283857</v>
          </cell>
          <cell r="J80">
            <v>0</v>
          </cell>
          <cell r="K80">
            <v>283857</v>
          </cell>
          <cell r="M80">
            <v>683631</v>
          </cell>
        </row>
        <row r="82">
          <cell r="F82">
            <v>0</v>
          </cell>
          <cell r="H82">
            <v>0</v>
          </cell>
          <cell r="I82">
            <v>0</v>
          </cell>
          <cell r="J82">
            <v>0</v>
          </cell>
          <cell r="K82">
            <v>0</v>
          </cell>
          <cell r="M82">
            <v>0</v>
          </cell>
        </row>
        <row r="84">
          <cell r="F84">
            <v>0</v>
          </cell>
          <cell r="H84">
            <v>0</v>
          </cell>
          <cell r="I84">
            <v>0</v>
          </cell>
          <cell r="J84">
            <v>0</v>
          </cell>
          <cell r="K84">
            <v>0</v>
          </cell>
          <cell r="M84">
            <v>0</v>
          </cell>
        </row>
        <row r="86">
          <cell r="F86">
            <v>1622</v>
          </cell>
          <cell r="H86">
            <v>0</v>
          </cell>
          <cell r="I86">
            <v>1622</v>
          </cell>
          <cell r="J86">
            <v>0</v>
          </cell>
          <cell r="K86">
            <v>1622</v>
          </cell>
          <cell r="M86">
            <v>1288</v>
          </cell>
        </row>
        <row r="87">
          <cell r="F87">
            <v>45</v>
          </cell>
          <cell r="H87">
            <v>0</v>
          </cell>
          <cell r="I87">
            <v>45</v>
          </cell>
          <cell r="J87">
            <v>0</v>
          </cell>
          <cell r="K87">
            <v>45</v>
          </cell>
          <cell r="M87">
            <v>46</v>
          </cell>
        </row>
        <row r="88">
          <cell r="F88">
            <v>923</v>
          </cell>
          <cell r="H88">
            <v>0</v>
          </cell>
          <cell r="I88">
            <v>923</v>
          </cell>
          <cell r="J88">
            <v>0</v>
          </cell>
          <cell r="K88">
            <v>923</v>
          </cell>
          <cell r="M88">
            <v>0</v>
          </cell>
        </row>
        <row r="89">
          <cell r="F89">
            <v>21</v>
          </cell>
          <cell r="H89">
            <v>0</v>
          </cell>
          <cell r="I89">
            <v>21</v>
          </cell>
          <cell r="J89">
            <v>0</v>
          </cell>
          <cell r="K89">
            <v>21</v>
          </cell>
          <cell r="M89">
            <v>0</v>
          </cell>
        </row>
        <row r="90">
          <cell r="F90">
            <v>10</v>
          </cell>
          <cell r="H90">
            <v>0</v>
          </cell>
          <cell r="I90">
            <v>10</v>
          </cell>
          <cell r="J90">
            <v>0</v>
          </cell>
          <cell r="K90">
            <v>10</v>
          </cell>
          <cell r="M90">
            <v>22</v>
          </cell>
        </row>
        <row r="91">
          <cell r="F91">
            <v>8</v>
          </cell>
          <cell r="H91">
            <v>0</v>
          </cell>
          <cell r="I91">
            <v>8</v>
          </cell>
          <cell r="J91">
            <v>0</v>
          </cell>
          <cell r="K91">
            <v>8</v>
          </cell>
          <cell r="M91">
            <v>1</v>
          </cell>
        </row>
        <row r="92">
          <cell r="F92">
            <v>120</v>
          </cell>
          <cell r="H92">
            <v>0</v>
          </cell>
          <cell r="I92">
            <v>120</v>
          </cell>
          <cell r="J92">
            <v>0</v>
          </cell>
          <cell r="K92">
            <v>120</v>
          </cell>
          <cell r="M92">
            <v>154</v>
          </cell>
        </row>
        <row r="93">
          <cell r="F93">
            <v>792</v>
          </cell>
          <cell r="H93">
            <v>0</v>
          </cell>
          <cell r="I93">
            <v>792</v>
          </cell>
          <cell r="J93">
            <v>0</v>
          </cell>
          <cell r="K93">
            <v>792</v>
          </cell>
          <cell r="M93">
            <v>379</v>
          </cell>
        </row>
        <row r="94">
          <cell r="F94">
            <v>4840</v>
          </cell>
          <cell r="H94">
            <v>0</v>
          </cell>
          <cell r="I94">
            <v>4840</v>
          </cell>
          <cell r="J94">
            <v>0</v>
          </cell>
          <cell r="K94">
            <v>4840</v>
          </cell>
          <cell r="M94">
            <v>5538</v>
          </cell>
        </row>
        <row r="95">
          <cell r="F95">
            <v>43</v>
          </cell>
          <cell r="H95">
            <v>0</v>
          </cell>
          <cell r="I95">
            <v>43</v>
          </cell>
          <cell r="J95">
            <v>0</v>
          </cell>
          <cell r="K95">
            <v>43</v>
          </cell>
          <cell r="M95">
            <v>16</v>
          </cell>
        </row>
        <row r="96">
          <cell r="F96">
            <v>10</v>
          </cell>
          <cell r="H96">
            <v>0</v>
          </cell>
          <cell r="I96">
            <v>10</v>
          </cell>
          <cell r="J96">
            <v>0</v>
          </cell>
          <cell r="K96">
            <v>10</v>
          </cell>
          <cell r="M96">
            <v>0</v>
          </cell>
        </row>
        <row r="97">
          <cell r="F97">
            <v>9047</v>
          </cell>
          <cell r="H97">
            <v>0</v>
          </cell>
          <cell r="I97">
            <v>9047</v>
          </cell>
          <cell r="J97">
            <v>0</v>
          </cell>
          <cell r="K97">
            <v>9047</v>
          </cell>
          <cell r="M97">
            <v>8488</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0</v>
          </cell>
          <cell r="H106">
            <v>0</v>
          </cell>
          <cell r="I106">
            <v>0</v>
          </cell>
          <cell r="J106">
            <v>0</v>
          </cell>
          <cell r="K106">
            <v>0</v>
          </cell>
          <cell r="M106">
            <v>0</v>
          </cell>
        </row>
        <row r="107">
          <cell r="F107">
            <v>0</v>
          </cell>
          <cell r="H107">
            <v>0</v>
          </cell>
          <cell r="I107">
            <v>0</v>
          </cell>
          <cell r="J107">
            <v>0</v>
          </cell>
          <cell r="K107">
            <v>0</v>
          </cell>
          <cell r="M107">
            <v>0</v>
          </cell>
        </row>
        <row r="108">
          <cell r="F108">
            <v>0</v>
          </cell>
          <cell r="H108">
            <v>0</v>
          </cell>
          <cell r="I108">
            <v>0</v>
          </cell>
          <cell r="J108">
            <v>0</v>
          </cell>
          <cell r="K108">
            <v>0</v>
          </cell>
          <cell r="M108">
            <v>0</v>
          </cell>
        </row>
        <row r="109">
          <cell r="F109">
            <v>0</v>
          </cell>
          <cell r="H109">
            <v>0</v>
          </cell>
          <cell r="I109">
            <v>0</v>
          </cell>
          <cell r="J109">
            <v>0</v>
          </cell>
          <cell r="K109">
            <v>0</v>
          </cell>
          <cell r="M109">
            <v>0</v>
          </cell>
        </row>
        <row r="110">
          <cell r="F110">
            <v>0</v>
          </cell>
          <cell r="H110">
            <v>0</v>
          </cell>
          <cell r="I110">
            <v>0</v>
          </cell>
          <cell r="J110">
            <v>0</v>
          </cell>
          <cell r="K110">
            <v>0</v>
          </cell>
          <cell r="M110">
            <v>0</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5">
          <cell r="F115">
            <v>0</v>
          </cell>
          <cell r="H115">
            <v>0</v>
          </cell>
          <cell r="I115">
            <v>0</v>
          </cell>
          <cell r="J115">
            <v>0</v>
          </cell>
          <cell r="K115">
            <v>0</v>
          </cell>
          <cell r="M115">
            <v>0</v>
          </cell>
        </row>
        <row r="116">
          <cell r="F116">
            <v>0</v>
          </cell>
          <cell r="H116">
            <v>0</v>
          </cell>
          <cell r="I116">
            <v>0</v>
          </cell>
          <cell r="J116">
            <v>0</v>
          </cell>
          <cell r="K116">
            <v>0</v>
          </cell>
          <cell r="M116">
            <v>0</v>
          </cell>
        </row>
        <row r="117">
          <cell r="F117">
            <v>0</v>
          </cell>
          <cell r="H117">
            <v>0</v>
          </cell>
          <cell r="I117">
            <v>0</v>
          </cell>
          <cell r="J117">
            <v>0</v>
          </cell>
          <cell r="K117">
            <v>0</v>
          </cell>
          <cell r="M117">
            <v>0</v>
          </cell>
        </row>
        <row r="118">
          <cell r="F118">
            <v>0</v>
          </cell>
          <cell r="H118">
            <v>0</v>
          </cell>
          <cell r="I118">
            <v>0</v>
          </cell>
          <cell r="J118">
            <v>0</v>
          </cell>
          <cell r="K118">
            <v>0</v>
          </cell>
          <cell r="M118">
            <v>0</v>
          </cell>
        </row>
        <row r="119">
          <cell r="F119">
            <v>0</v>
          </cell>
          <cell r="H119">
            <v>0</v>
          </cell>
          <cell r="I119">
            <v>0</v>
          </cell>
          <cell r="J119">
            <v>0</v>
          </cell>
          <cell r="K119">
            <v>0</v>
          </cell>
          <cell r="M119">
            <v>0</v>
          </cell>
        </row>
        <row r="120">
          <cell r="F120">
            <v>0</v>
          </cell>
          <cell r="H120">
            <v>0</v>
          </cell>
          <cell r="I120">
            <v>0</v>
          </cell>
          <cell r="J120">
            <v>0</v>
          </cell>
          <cell r="K120">
            <v>0</v>
          </cell>
          <cell r="M120">
            <v>0</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17481</v>
          </cell>
          <cell r="H123">
            <v>0</v>
          </cell>
          <cell r="I123">
            <v>17481</v>
          </cell>
          <cell r="J123">
            <v>0</v>
          </cell>
          <cell r="K123">
            <v>17481</v>
          </cell>
          <cell r="M123">
            <v>15932</v>
          </cell>
        </row>
        <row r="125">
          <cell r="F125">
            <v>0</v>
          </cell>
          <cell r="H125">
            <v>0</v>
          </cell>
          <cell r="I125">
            <v>0</v>
          </cell>
          <cell r="J125">
            <v>0</v>
          </cell>
          <cell r="K125">
            <v>0</v>
          </cell>
          <cell r="M125">
            <v>0</v>
          </cell>
        </row>
        <row r="126">
          <cell r="F126">
            <v>0</v>
          </cell>
          <cell r="H126">
            <v>0</v>
          </cell>
          <cell r="I126">
            <v>0</v>
          </cell>
          <cell r="J126">
            <v>0</v>
          </cell>
          <cell r="K126">
            <v>0</v>
          </cell>
          <cell r="M126">
            <v>0</v>
          </cell>
        </row>
        <row r="127">
          <cell r="F127">
            <v>29264</v>
          </cell>
          <cell r="H127">
            <v>0</v>
          </cell>
          <cell r="I127">
            <v>29264</v>
          </cell>
          <cell r="J127">
            <v>0</v>
          </cell>
          <cell r="K127">
            <v>29264</v>
          </cell>
          <cell r="M127">
            <v>28215</v>
          </cell>
        </row>
        <row r="128">
          <cell r="F128">
            <v>-29264</v>
          </cell>
          <cell r="H128">
            <v>0</v>
          </cell>
          <cell r="I128">
            <v>-29264</v>
          </cell>
          <cell r="J128">
            <v>0</v>
          </cell>
          <cell r="K128">
            <v>-29264</v>
          </cell>
          <cell r="M128">
            <v>-28215</v>
          </cell>
        </row>
        <row r="129">
          <cell r="F129">
            <v>5</v>
          </cell>
          <cell r="H129">
            <v>0</v>
          </cell>
          <cell r="I129">
            <v>5</v>
          </cell>
          <cell r="J129">
            <v>0</v>
          </cell>
          <cell r="K129">
            <v>5</v>
          </cell>
          <cell r="M129">
            <v>5</v>
          </cell>
        </row>
        <row r="130">
          <cell r="F130">
            <v>0</v>
          </cell>
          <cell r="H130">
            <v>0</v>
          </cell>
          <cell r="I130">
            <v>0</v>
          </cell>
          <cell r="J130">
            <v>0</v>
          </cell>
          <cell r="K130">
            <v>0</v>
          </cell>
          <cell r="M130">
            <v>0</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5</v>
          </cell>
          <cell r="H134">
            <v>0</v>
          </cell>
          <cell r="I134">
            <v>5</v>
          </cell>
          <cell r="J134">
            <v>0</v>
          </cell>
          <cell r="K134">
            <v>5</v>
          </cell>
          <cell r="M134">
            <v>5</v>
          </cell>
        </row>
        <row r="136">
          <cell r="F136">
            <v>136</v>
          </cell>
          <cell r="H136">
            <v>0</v>
          </cell>
          <cell r="I136">
            <v>136</v>
          </cell>
          <cell r="J136">
            <v>0</v>
          </cell>
          <cell r="K136">
            <v>136</v>
          </cell>
          <cell r="M136">
            <v>136</v>
          </cell>
        </row>
        <row r="137">
          <cell r="F137">
            <v>0</v>
          </cell>
          <cell r="H137">
            <v>0</v>
          </cell>
          <cell r="I137">
            <v>0</v>
          </cell>
          <cell r="J137">
            <v>0</v>
          </cell>
          <cell r="K137">
            <v>0</v>
          </cell>
          <cell r="M137">
            <v>239</v>
          </cell>
        </row>
        <row r="138">
          <cell r="F138">
            <v>3927</v>
          </cell>
          <cell r="H138">
            <v>0</v>
          </cell>
          <cell r="I138">
            <v>3927</v>
          </cell>
          <cell r="J138">
            <v>0</v>
          </cell>
          <cell r="K138">
            <v>3927</v>
          </cell>
          <cell r="M138">
            <v>3927</v>
          </cell>
        </row>
        <row r="139">
          <cell r="F139">
            <v>0</v>
          </cell>
          <cell r="H139">
            <v>0</v>
          </cell>
          <cell r="I139">
            <v>0</v>
          </cell>
          <cell r="J139">
            <v>0</v>
          </cell>
          <cell r="K139">
            <v>0</v>
          </cell>
          <cell r="M139">
            <v>0</v>
          </cell>
        </row>
        <row r="140">
          <cell r="F140">
            <v>0</v>
          </cell>
          <cell r="H140">
            <v>0</v>
          </cell>
          <cell r="I140">
            <v>0</v>
          </cell>
          <cell r="J140">
            <v>0</v>
          </cell>
          <cell r="K140">
            <v>0</v>
          </cell>
          <cell r="M140">
            <v>0</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4063</v>
          </cell>
          <cell r="H144">
            <v>0</v>
          </cell>
          <cell r="I144">
            <v>4063</v>
          </cell>
          <cell r="J144">
            <v>0</v>
          </cell>
          <cell r="K144">
            <v>4063</v>
          </cell>
          <cell r="M144">
            <v>4302</v>
          </cell>
        </row>
        <row r="146">
          <cell r="F146">
            <v>2500</v>
          </cell>
          <cell r="H146">
            <v>0</v>
          </cell>
          <cell r="I146">
            <v>2500</v>
          </cell>
          <cell r="J146">
            <v>0</v>
          </cell>
          <cell r="K146">
            <v>2500</v>
          </cell>
          <cell r="M146">
            <v>2500</v>
          </cell>
        </row>
        <row r="147">
          <cell r="F147">
            <v>0</v>
          </cell>
          <cell r="H147">
            <v>0</v>
          </cell>
          <cell r="I147">
            <v>0</v>
          </cell>
          <cell r="J147">
            <v>0</v>
          </cell>
          <cell r="K147">
            <v>0</v>
          </cell>
          <cell r="M147">
            <v>0</v>
          </cell>
        </row>
        <row r="148">
          <cell r="F148">
            <v>0</v>
          </cell>
          <cell r="H148">
            <v>0</v>
          </cell>
          <cell r="I148">
            <v>0</v>
          </cell>
          <cell r="J148">
            <v>0</v>
          </cell>
          <cell r="K148">
            <v>0</v>
          </cell>
          <cell r="M148">
            <v>0</v>
          </cell>
        </row>
        <row r="149">
          <cell r="F149">
            <v>0</v>
          </cell>
          <cell r="H149">
            <v>0</v>
          </cell>
          <cell r="I149">
            <v>0</v>
          </cell>
          <cell r="J149">
            <v>0</v>
          </cell>
          <cell r="K149">
            <v>0</v>
          </cell>
          <cell r="M149">
            <v>0</v>
          </cell>
        </row>
        <row r="150">
          <cell r="F150">
            <v>2500</v>
          </cell>
          <cell r="H150">
            <v>0</v>
          </cell>
          <cell r="I150">
            <v>2500</v>
          </cell>
          <cell r="J150">
            <v>0</v>
          </cell>
          <cell r="K150">
            <v>2500</v>
          </cell>
          <cell r="M150">
            <v>2500</v>
          </cell>
        </row>
        <row r="152">
          <cell r="F152">
            <v>200</v>
          </cell>
          <cell r="H152">
            <v>0</v>
          </cell>
          <cell r="I152">
            <v>200</v>
          </cell>
          <cell r="J152">
            <v>0</v>
          </cell>
          <cell r="K152">
            <v>200</v>
          </cell>
          <cell r="M152">
            <v>200</v>
          </cell>
        </row>
        <row r="153">
          <cell r="F153">
            <v>0</v>
          </cell>
          <cell r="H153">
            <v>0</v>
          </cell>
          <cell r="I153">
            <v>0</v>
          </cell>
          <cell r="J153">
            <v>0</v>
          </cell>
          <cell r="K153">
            <v>0</v>
          </cell>
          <cell r="M153">
            <v>0</v>
          </cell>
        </row>
        <row r="154">
          <cell r="F154">
            <v>200</v>
          </cell>
          <cell r="H154">
            <v>0</v>
          </cell>
          <cell r="I154">
            <v>200</v>
          </cell>
          <cell r="J154">
            <v>0</v>
          </cell>
          <cell r="K154">
            <v>200</v>
          </cell>
          <cell r="M154">
            <v>200</v>
          </cell>
        </row>
        <row r="156">
          <cell r="F156">
            <v>1353</v>
          </cell>
          <cell r="H156">
            <v>0</v>
          </cell>
          <cell r="I156">
            <v>1353</v>
          </cell>
          <cell r="J156">
            <v>0</v>
          </cell>
          <cell r="K156">
            <v>1353</v>
          </cell>
          <cell r="M156">
            <v>1353</v>
          </cell>
        </row>
        <row r="157">
          <cell r="F157">
            <v>0</v>
          </cell>
          <cell r="H157">
            <v>0</v>
          </cell>
          <cell r="I157">
            <v>0</v>
          </cell>
          <cell r="J157">
            <v>0</v>
          </cell>
          <cell r="K157">
            <v>0</v>
          </cell>
          <cell r="M157">
            <v>0</v>
          </cell>
        </row>
        <row r="158">
          <cell r="F158">
            <v>1353</v>
          </cell>
          <cell r="H158">
            <v>0</v>
          </cell>
          <cell r="I158">
            <v>1353</v>
          </cell>
          <cell r="J158">
            <v>0</v>
          </cell>
          <cell r="K158">
            <v>1353</v>
          </cell>
          <cell r="M158">
            <v>1353</v>
          </cell>
        </row>
        <row r="160">
          <cell r="F160">
            <v>0</v>
          </cell>
          <cell r="H160">
            <v>0</v>
          </cell>
          <cell r="I160">
            <v>0</v>
          </cell>
          <cell r="J160">
            <v>0</v>
          </cell>
          <cell r="K160">
            <v>0</v>
          </cell>
          <cell r="M160">
            <v>0</v>
          </cell>
        </row>
        <row r="161">
          <cell r="F161">
            <v>-1</v>
          </cell>
          <cell r="H161">
            <v>0</v>
          </cell>
          <cell r="I161">
            <v>-1</v>
          </cell>
          <cell r="J161">
            <v>0</v>
          </cell>
          <cell r="K161">
            <v>-1</v>
          </cell>
          <cell r="M161">
            <v>129</v>
          </cell>
        </row>
        <row r="162">
          <cell r="F162">
            <v>-19</v>
          </cell>
          <cell r="H162">
            <v>0</v>
          </cell>
          <cell r="I162">
            <v>-19</v>
          </cell>
          <cell r="J162">
            <v>0</v>
          </cell>
          <cell r="K162">
            <v>-19</v>
          </cell>
          <cell r="M162">
            <v>0</v>
          </cell>
        </row>
        <row r="163">
          <cell r="F163">
            <v>91</v>
          </cell>
          <cell r="H163">
            <v>0</v>
          </cell>
          <cell r="I163">
            <v>91</v>
          </cell>
          <cell r="J163">
            <v>0</v>
          </cell>
          <cell r="K163">
            <v>91</v>
          </cell>
          <cell r="M163">
            <v>91</v>
          </cell>
        </row>
        <row r="164">
          <cell r="F164">
            <v>0</v>
          </cell>
          <cell r="H164">
            <v>0</v>
          </cell>
          <cell r="I164">
            <v>0</v>
          </cell>
          <cell r="J164">
            <v>0</v>
          </cell>
          <cell r="K164">
            <v>0</v>
          </cell>
          <cell r="M164">
            <v>0</v>
          </cell>
        </row>
        <row r="165">
          <cell r="F165">
            <v>0</v>
          </cell>
          <cell r="H165">
            <v>0</v>
          </cell>
          <cell r="I165">
            <v>0</v>
          </cell>
          <cell r="J165">
            <v>0</v>
          </cell>
          <cell r="K165">
            <v>0</v>
          </cell>
          <cell r="M165">
            <v>0</v>
          </cell>
        </row>
        <row r="166">
          <cell r="F166">
            <v>71</v>
          </cell>
          <cell r="H166">
            <v>0</v>
          </cell>
          <cell r="I166">
            <v>71</v>
          </cell>
          <cell r="J166">
            <v>0</v>
          </cell>
          <cell r="K166">
            <v>71</v>
          </cell>
          <cell r="M166">
            <v>220</v>
          </cell>
        </row>
        <row r="168">
          <cell r="F168">
            <v>50000</v>
          </cell>
          <cell r="H168">
            <v>0</v>
          </cell>
          <cell r="I168">
            <v>50000</v>
          </cell>
          <cell r="J168">
            <v>0</v>
          </cell>
          <cell r="K168">
            <v>50000</v>
          </cell>
          <cell r="M168">
            <v>0</v>
          </cell>
        </row>
        <row r="169">
          <cell r="F169">
            <v>50000</v>
          </cell>
          <cell r="H169">
            <v>0</v>
          </cell>
          <cell r="I169">
            <v>50000</v>
          </cell>
          <cell r="J169">
            <v>0</v>
          </cell>
          <cell r="K169">
            <v>50000</v>
          </cell>
          <cell r="M169">
            <v>0</v>
          </cell>
        </row>
        <row r="171">
          <cell r="F171">
            <v>0</v>
          </cell>
          <cell r="H171">
            <v>0</v>
          </cell>
          <cell r="I171">
            <v>0</v>
          </cell>
          <cell r="J171">
            <v>0</v>
          </cell>
          <cell r="K171">
            <v>0</v>
          </cell>
          <cell r="M171">
            <v>0</v>
          </cell>
        </row>
        <row r="172">
          <cell r="F172">
            <v>0</v>
          </cell>
          <cell r="H172">
            <v>0</v>
          </cell>
          <cell r="I172">
            <v>0</v>
          </cell>
          <cell r="J172">
            <v>0</v>
          </cell>
          <cell r="K172">
            <v>0</v>
          </cell>
          <cell r="M172">
            <v>0</v>
          </cell>
        </row>
        <row r="173">
          <cell r="F173">
            <v>0</v>
          </cell>
          <cell r="H173">
            <v>0</v>
          </cell>
          <cell r="I173">
            <v>0</v>
          </cell>
          <cell r="J173">
            <v>0</v>
          </cell>
          <cell r="K173">
            <v>0</v>
          </cell>
          <cell r="M173">
            <v>0</v>
          </cell>
        </row>
        <row r="174">
          <cell r="F174">
            <v>0</v>
          </cell>
          <cell r="H174">
            <v>0</v>
          </cell>
          <cell r="I174">
            <v>0</v>
          </cell>
          <cell r="J174">
            <v>0</v>
          </cell>
          <cell r="K174">
            <v>0</v>
          </cell>
          <cell r="M174">
            <v>0</v>
          </cell>
        </row>
        <row r="175">
          <cell r="F175">
            <v>-1614</v>
          </cell>
          <cell r="H175">
            <v>0</v>
          </cell>
          <cell r="I175">
            <v>-1614</v>
          </cell>
          <cell r="J175">
            <v>0</v>
          </cell>
          <cell r="K175">
            <v>-1614</v>
          </cell>
          <cell r="M175">
            <v>-1439</v>
          </cell>
        </row>
        <row r="176">
          <cell r="F176">
            <v>-259</v>
          </cell>
          <cell r="H176">
            <v>0</v>
          </cell>
          <cell r="I176">
            <v>-259</v>
          </cell>
          <cell r="J176">
            <v>224</v>
          </cell>
          <cell r="K176">
            <v>-35</v>
          </cell>
          <cell r="M176">
            <v>-104</v>
          </cell>
        </row>
        <row r="177">
          <cell r="F177">
            <v>-226</v>
          </cell>
          <cell r="H177">
            <v>0</v>
          </cell>
          <cell r="I177">
            <v>-226</v>
          </cell>
          <cell r="J177">
            <v>0</v>
          </cell>
          <cell r="K177">
            <v>-226</v>
          </cell>
          <cell r="M177">
            <v>-320</v>
          </cell>
        </row>
        <row r="178">
          <cell r="F178">
            <v>0</v>
          </cell>
          <cell r="H178">
            <v>0</v>
          </cell>
          <cell r="I178">
            <v>0</v>
          </cell>
          <cell r="J178">
            <v>0</v>
          </cell>
          <cell r="K178">
            <v>0</v>
          </cell>
          <cell r="M178">
            <v>-100</v>
          </cell>
        </row>
        <row r="179">
          <cell r="F179">
            <v>-2099</v>
          </cell>
          <cell r="H179">
            <v>0</v>
          </cell>
          <cell r="I179">
            <v>-2099</v>
          </cell>
          <cell r="J179">
            <v>224</v>
          </cell>
          <cell r="K179">
            <v>-1875</v>
          </cell>
          <cell r="M179">
            <v>-1963</v>
          </cell>
        </row>
        <row r="181">
          <cell r="F181">
            <v>0</v>
          </cell>
          <cell r="H181">
            <v>0</v>
          </cell>
          <cell r="I181">
            <v>0</v>
          </cell>
          <cell r="J181">
            <v>0</v>
          </cell>
          <cell r="K181">
            <v>0</v>
          </cell>
          <cell r="M181">
            <v>0</v>
          </cell>
        </row>
        <row r="182">
          <cell r="F182">
            <v>-23</v>
          </cell>
          <cell r="H182">
            <v>0</v>
          </cell>
          <cell r="I182">
            <v>-23</v>
          </cell>
          <cell r="J182">
            <v>0</v>
          </cell>
          <cell r="K182">
            <v>-23</v>
          </cell>
          <cell r="M182">
            <v>0</v>
          </cell>
        </row>
        <row r="183">
          <cell r="F183">
            <v>-163</v>
          </cell>
          <cell r="H183">
            <v>0</v>
          </cell>
          <cell r="I183">
            <v>-163</v>
          </cell>
          <cell r="J183">
            <v>0</v>
          </cell>
          <cell r="K183">
            <v>-163</v>
          </cell>
          <cell r="M183">
            <v>-152</v>
          </cell>
        </row>
        <row r="184">
          <cell r="F184">
            <v>-22</v>
          </cell>
          <cell r="H184">
            <v>0</v>
          </cell>
          <cell r="I184">
            <v>-22</v>
          </cell>
          <cell r="J184">
            <v>0</v>
          </cell>
          <cell r="K184">
            <v>-22</v>
          </cell>
          <cell r="M184">
            <v>-22</v>
          </cell>
        </row>
        <row r="185">
          <cell r="F185">
            <v>-208</v>
          </cell>
          <cell r="H185">
            <v>0</v>
          </cell>
          <cell r="I185">
            <v>-208</v>
          </cell>
          <cell r="J185">
            <v>0</v>
          </cell>
          <cell r="K185">
            <v>-208</v>
          </cell>
          <cell r="M185">
            <v>-174</v>
          </cell>
        </row>
        <row r="187">
          <cell r="F187">
            <v>0</v>
          </cell>
          <cell r="H187">
            <v>0</v>
          </cell>
          <cell r="I187">
            <v>0</v>
          </cell>
          <cell r="J187">
            <v>0</v>
          </cell>
          <cell r="K187">
            <v>0</v>
          </cell>
          <cell r="M187">
            <v>0</v>
          </cell>
        </row>
        <row r="188">
          <cell r="F188">
            <v>-462</v>
          </cell>
          <cell r="H188">
            <v>0</v>
          </cell>
          <cell r="I188">
            <v>-462</v>
          </cell>
          <cell r="J188">
            <v>0</v>
          </cell>
          <cell r="K188">
            <v>-462</v>
          </cell>
          <cell r="M188">
            <v>-794</v>
          </cell>
        </row>
        <row r="189">
          <cell r="F189">
            <v>-462</v>
          </cell>
          <cell r="H189">
            <v>0</v>
          </cell>
          <cell r="I189">
            <v>-462</v>
          </cell>
          <cell r="J189">
            <v>0</v>
          </cell>
          <cell r="K189">
            <v>-462</v>
          </cell>
          <cell r="M189">
            <v>-794</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-47</v>
          </cell>
          <cell r="H194">
            <v>0</v>
          </cell>
          <cell r="I194">
            <v>-47</v>
          </cell>
          <cell r="J194">
            <v>0</v>
          </cell>
          <cell r="K194">
            <v>-47</v>
          </cell>
          <cell r="M194">
            <v>-47</v>
          </cell>
        </row>
        <row r="195">
          <cell r="F195">
            <v>-47</v>
          </cell>
          <cell r="H195">
            <v>0</v>
          </cell>
          <cell r="I195">
            <v>-47</v>
          </cell>
          <cell r="J195">
            <v>0</v>
          </cell>
          <cell r="K195">
            <v>-47</v>
          </cell>
          <cell r="M195">
            <v>-47</v>
          </cell>
        </row>
        <row r="197">
          <cell r="F197">
            <v>0</v>
          </cell>
          <cell r="H197">
            <v>0</v>
          </cell>
          <cell r="I197">
            <v>0</v>
          </cell>
          <cell r="J197">
            <v>0</v>
          </cell>
          <cell r="K197">
            <v>0</v>
          </cell>
          <cell r="M197">
            <v>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0</v>
          </cell>
          <cell r="H201">
            <v>0</v>
          </cell>
          <cell r="I201">
            <v>0</v>
          </cell>
          <cell r="J201">
            <v>0</v>
          </cell>
          <cell r="K201">
            <v>0</v>
          </cell>
          <cell r="M201">
            <v>0</v>
          </cell>
        </row>
        <row r="202">
          <cell r="F202">
            <v>0</v>
          </cell>
          <cell r="H202">
            <v>0</v>
          </cell>
          <cell r="I202">
            <v>0</v>
          </cell>
          <cell r="J202">
            <v>0</v>
          </cell>
          <cell r="K202">
            <v>0</v>
          </cell>
          <cell r="M202">
            <v>0</v>
          </cell>
        </row>
        <row r="203">
          <cell r="F203">
            <v>0</v>
          </cell>
          <cell r="H203">
            <v>0</v>
          </cell>
          <cell r="I203">
            <v>0</v>
          </cell>
          <cell r="J203">
            <v>0</v>
          </cell>
          <cell r="K203">
            <v>0</v>
          </cell>
          <cell r="M203">
            <v>0</v>
          </cell>
        </row>
        <row r="204">
          <cell r="F204">
            <v>0</v>
          </cell>
          <cell r="H204">
            <v>0</v>
          </cell>
          <cell r="I204">
            <v>0</v>
          </cell>
          <cell r="J204">
            <v>0</v>
          </cell>
          <cell r="K204">
            <v>0</v>
          </cell>
          <cell r="M204">
            <v>0</v>
          </cell>
        </row>
        <row r="205">
          <cell r="F205">
            <v>0</v>
          </cell>
          <cell r="H205">
            <v>0</v>
          </cell>
          <cell r="I205">
            <v>0</v>
          </cell>
          <cell r="J205">
            <v>0</v>
          </cell>
          <cell r="K205">
            <v>0</v>
          </cell>
          <cell r="M205">
            <v>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0</v>
          </cell>
          <cell r="H208">
            <v>0</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0</v>
          </cell>
          <cell r="H228">
            <v>0</v>
          </cell>
          <cell r="I228">
            <v>0</v>
          </cell>
          <cell r="J228">
            <v>0</v>
          </cell>
          <cell r="K228">
            <v>0</v>
          </cell>
          <cell r="M228">
            <v>0</v>
          </cell>
        </row>
        <row r="229">
          <cell r="F229">
            <v>0</v>
          </cell>
          <cell r="H229">
            <v>0</v>
          </cell>
          <cell r="I229">
            <v>0</v>
          </cell>
          <cell r="J229">
            <v>0</v>
          </cell>
          <cell r="K229">
            <v>0</v>
          </cell>
          <cell r="M229">
            <v>0</v>
          </cell>
        </row>
        <row r="230">
          <cell r="F230">
            <v>0</v>
          </cell>
          <cell r="H230">
            <v>0</v>
          </cell>
          <cell r="I230">
            <v>0</v>
          </cell>
          <cell r="J230">
            <v>0</v>
          </cell>
          <cell r="K230">
            <v>0</v>
          </cell>
          <cell r="M230">
            <v>0</v>
          </cell>
        </row>
        <row r="231">
          <cell r="F231">
            <v>-7579</v>
          </cell>
          <cell r="H231">
            <v>0</v>
          </cell>
          <cell r="I231">
            <v>-7579</v>
          </cell>
          <cell r="J231">
            <v>0</v>
          </cell>
          <cell r="K231">
            <v>-7579</v>
          </cell>
          <cell r="M231">
            <v>-5790</v>
          </cell>
        </row>
        <row r="232">
          <cell r="F232">
            <v>-49</v>
          </cell>
          <cell r="H232">
            <v>0</v>
          </cell>
          <cell r="I232">
            <v>-49</v>
          </cell>
          <cell r="J232">
            <v>0</v>
          </cell>
          <cell r="K232">
            <v>-49</v>
          </cell>
          <cell r="M232">
            <v>-57</v>
          </cell>
        </row>
        <row r="233">
          <cell r="F233">
            <v>0</v>
          </cell>
          <cell r="H233">
            <v>0</v>
          </cell>
          <cell r="I233">
            <v>0</v>
          </cell>
          <cell r="J233">
            <v>0</v>
          </cell>
          <cell r="K233">
            <v>0</v>
          </cell>
          <cell r="M233">
            <v>0</v>
          </cell>
        </row>
        <row r="234">
          <cell r="F234">
            <v>-24327</v>
          </cell>
          <cell r="H234">
            <v>0</v>
          </cell>
          <cell r="I234">
            <v>-24327</v>
          </cell>
          <cell r="J234">
            <v>0</v>
          </cell>
          <cell r="K234">
            <v>-24327</v>
          </cell>
          <cell r="M234">
            <v>-24327</v>
          </cell>
        </row>
        <row r="235">
          <cell r="F235">
            <v>-325</v>
          </cell>
          <cell r="H235">
            <v>0</v>
          </cell>
          <cell r="I235">
            <v>-325</v>
          </cell>
          <cell r="J235">
            <v>0</v>
          </cell>
          <cell r="K235">
            <v>-325</v>
          </cell>
          <cell r="M235">
            <v>-399</v>
          </cell>
        </row>
        <row r="236">
          <cell r="F236">
            <v>-26</v>
          </cell>
          <cell r="H236">
            <v>0</v>
          </cell>
          <cell r="I236">
            <v>-26</v>
          </cell>
          <cell r="J236">
            <v>0</v>
          </cell>
          <cell r="K236">
            <v>-26</v>
          </cell>
          <cell r="M236">
            <v>-84</v>
          </cell>
        </row>
        <row r="237">
          <cell r="F237">
            <v>0</v>
          </cell>
          <cell r="H237">
            <v>0</v>
          </cell>
          <cell r="I237">
            <v>0</v>
          </cell>
          <cell r="J237">
            <v>0</v>
          </cell>
          <cell r="K237">
            <v>0</v>
          </cell>
          <cell r="M237">
            <v>-10124</v>
          </cell>
        </row>
        <row r="238">
          <cell r="F238">
            <v>0</v>
          </cell>
          <cell r="H238">
            <v>0</v>
          </cell>
          <cell r="I238">
            <v>0</v>
          </cell>
          <cell r="J238">
            <v>0</v>
          </cell>
          <cell r="K238">
            <v>0</v>
          </cell>
          <cell r="M238">
            <v>0</v>
          </cell>
        </row>
        <row r="239">
          <cell r="F239">
            <v>-165</v>
          </cell>
          <cell r="H239">
            <v>0</v>
          </cell>
          <cell r="I239">
            <v>-165</v>
          </cell>
          <cell r="J239">
            <v>0</v>
          </cell>
          <cell r="K239">
            <v>-165</v>
          </cell>
          <cell r="M239">
            <v>-165</v>
          </cell>
        </row>
        <row r="240">
          <cell r="F240">
            <v>-17</v>
          </cell>
          <cell r="H240">
            <v>0</v>
          </cell>
          <cell r="I240">
            <v>-17</v>
          </cell>
          <cell r="J240">
            <v>0</v>
          </cell>
          <cell r="K240">
            <v>-17</v>
          </cell>
          <cell r="M240">
            <v>-16</v>
          </cell>
        </row>
        <row r="241">
          <cell r="F241">
            <v>-69</v>
          </cell>
          <cell r="H241">
            <v>0</v>
          </cell>
          <cell r="I241">
            <v>-69</v>
          </cell>
          <cell r="J241">
            <v>0</v>
          </cell>
          <cell r="K241">
            <v>-69</v>
          </cell>
          <cell r="M241">
            <v>-69</v>
          </cell>
        </row>
        <row r="242">
          <cell r="F242">
            <v>-474</v>
          </cell>
          <cell r="H242">
            <v>0</v>
          </cell>
          <cell r="I242">
            <v>-474</v>
          </cell>
          <cell r="J242">
            <v>0</v>
          </cell>
          <cell r="K242">
            <v>-474</v>
          </cell>
          <cell r="M242">
            <v>-474</v>
          </cell>
        </row>
        <row r="243">
          <cell r="F243">
            <v>-139</v>
          </cell>
          <cell r="H243">
            <v>0</v>
          </cell>
          <cell r="I243">
            <v>-139</v>
          </cell>
          <cell r="J243">
            <v>0</v>
          </cell>
          <cell r="K243">
            <v>-139</v>
          </cell>
          <cell r="M243">
            <v>0</v>
          </cell>
        </row>
        <row r="244">
          <cell r="F244">
            <v>0</v>
          </cell>
          <cell r="H244">
            <v>0</v>
          </cell>
          <cell r="I244">
            <v>0</v>
          </cell>
          <cell r="J244">
            <v>-224</v>
          </cell>
          <cell r="K244">
            <v>-224</v>
          </cell>
          <cell r="M244">
            <v>-185</v>
          </cell>
        </row>
        <row r="245">
          <cell r="F245">
            <v>-33170</v>
          </cell>
          <cell r="H245">
            <v>0</v>
          </cell>
          <cell r="I245">
            <v>-33170</v>
          </cell>
          <cell r="J245">
            <v>-224</v>
          </cell>
          <cell r="K245">
            <v>-33394</v>
          </cell>
          <cell r="M245">
            <v>-41690</v>
          </cell>
        </row>
        <row r="247">
          <cell r="F247">
            <v>0</v>
          </cell>
          <cell r="H247">
            <v>0</v>
          </cell>
          <cell r="I247">
            <v>0</v>
          </cell>
          <cell r="J247">
            <v>0</v>
          </cell>
          <cell r="K247">
            <v>0</v>
          </cell>
          <cell r="M247">
            <v>0</v>
          </cell>
        </row>
        <row r="249">
          <cell r="F249">
            <v>0</v>
          </cell>
          <cell r="H249">
            <v>0</v>
          </cell>
          <cell r="I249">
            <v>0</v>
          </cell>
          <cell r="J249">
            <v>0</v>
          </cell>
          <cell r="K249">
            <v>0</v>
          </cell>
          <cell r="M249">
            <v>0</v>
          </cell>
        </row>
        <row r="251">
          <cell r="F251">
            <v>-2</v>
          </cell>
          <cell r="H251">
            <v>0</v>
          </cell>
          <cell r="I251">
            <v>-2</v>
          </cell>
          <cell r="J251">
            <v>0</v>
          </cell>
          <cell r="K251">
            <v>-2</v>
          </cell>
          <cell r="M251">
            <v>-5</v>
          </cell>
        </row>
        <row r="252">
          <cell r="F252">
            <v>0</v>
          </cell>
          <cell r="H252">
            <v>0</v>
          </cell>
          <cell r="I252">
            <v>0</v>
          </cell>
          <cell r="J252">
            <v>0</v>
          </cell>
          <cell r="K252">
            <v>0</v>
          </cell>
          <cell r="M252">
            <v>0</v>
          </cell>
        </row>
        <row r="253">
          <cell r="F253">
            <v>0</v>
          </cell>
          <cell r="H253">
            <v>0</v>
          </cell>
          <cell r="I253">
            <v>0</v>
          </cell>
          <cell r="J253">
            <v>0</v>
          </cell>
          <cell r="K253">
            <v>0</v>
          </cell>
          <cell r="M253">
            <v>0</v>
          </cell>
        </row>
        <row r="254">
          <cell r="F254">
            <v>0</v>
          </cell>
          <cell r="H254">
            <v>0</v>
          </cell>
          <cell r="I254">
            <v>0</v>
          </cell>
          <cell r="J254">
            <v>0</v>
          </cell>
          <cell r="K254">
            <v>0</v>
          </cell>
          <cell r="M254">
            <v>0</v>
          </cell>
        </row>
        <row r="255">
          <cell r="F255">
            <v>0</v>
          </cell>
          <cell r="H255">
            <v>0</v>
          </cell>
          <cell r="I255">
            <v>0</v>
          </cell>
          <cell r="J255">
            <v>0</v>
          </cell>
          <cell r="K255">
            <v>0</v>
          </cell>
          <cell r="M255">
            <v>0</v>
          </cell>
        </row>
        <row r="256">
          <cell r="F256">
            <v>0</v>
          </cell>
          <cell r="H256">
            <v>0</v>
          </cell>
          <cell r="I256">
            <v>0</v>
          </cell>
          <cell r="J256">
            <v>0</v>
          </cell>
          <cell r="K256">
            <v>0</v>
          </cell>
          <cell r="M256">
            <v>0</v>
          </cell>
        </row>
        <row r="257">
          <cell r="F257">
            <v>0</v>
          </cell>
          <cell r="H257">
            <v>0</v>
          </cell>
          <cell r="I257">
            <v>0</v>
          </cell>
          <cell r="J257">
            <v>0</v>
          </cell>
          <cell r="K257">
            <v>0</v>
          </cell>
          <cell r="M257">
            <v>0</v>
          </cell>
        </row>
        <row r="258">
          <cell r="F258">
            <v>0</v>
          </cell>
          <cell r="H258">
            <v>0</v>
          </cell>
          <cell r="I258">
            <v>0</v>
          </cell>
          <cell r="J258">
            <v>0</v>
          </cell>
          <cell r="K258">
            <v>0</v>
          </cell>
          <cell r="M258">
            <v>0</v>
          </cell>
        </row>
        <row r="259">
          <cell r="F259">
            <v>-2</v>
          </cell>
          <cell r="H259">
            <v>0</v>
          </cell>
          <cell r="I259">
            <v>-2</v>
          </cell>
          <cell r="J259">
            <v>0</v>
          </cell>
          <cell r="K259">
            <v>-2</v>
          </cell>
          <cell r="M259">
            <v>-5</v>
          </cell>
        </row>
        <row r="261">
          <cell r="F261">
            <v>-1059</v>
          </cell>
          <cell r="H261">
            <v>0</v>
          </cell>
          <cell r="I261">
            <v>-1059</v>
          </cell>
          <cell r="J261">
            <v>0</v>
          </cell>
          <cell r="K261">
            <v>-1059</v>
          </cell>
          <cell r="M261">
            <v>1525</v>
          </cell>
        </row>
        <row r="262">
          <cell r="F262">
            <v>-1059</v>
          </cell>
          <cell r="H262">
            <v>0</v>
          </cell>
          <cell r="I262">
            <v>-1059</v>
          </cell>
          <cell r="J262">
            <v>0</v>
          </cell>
          <cell r="K262">
            <v>-1059</v>
          </cell>
          <cell r="M262">
            <v>1525</v>
          </cell>
        </row>
        <row r="264">
          <cell r="F264">
            <v>0</v>
          </cell>
          <cell r="H264">
            <v>0</v>
          </cell>
          <cell r="I264">
            <v>0</v>
          </cell>
          <cell r="J264">
            <v>0</v>
          </cell>
          <cell r="K264">
            <v>0</v>
          </cell>
          <cell r="M264">
            <v>0</v>
          </cell>
        </row>
        <row r="265">
          <cell r="F265">
            <v>0</v>
          </cell>
          <cell r="H265">
            <v>0</v>
          </cell>
          <cell r="I265">
            <v>0</v>
          </cell>
          <cell r="J265">
            <v>0</v>
          </cell>
          <cell r="K265">
            <v>0</v>
          </cell>
          <cell r="M265">
            <v>0</v>
          </cell>
        </row>
        <row r="266">
          <cell r="F266">
            <v>0</v>
          </cell>
          <cell r="H266">
            <v>0</v>
          </cell>
          <cell r="I266">
            <v>0</v>
          </cell>
          <cell r="J266">
            <v>0</v>
          </cell>
          <cell r="K266">
            <v>0</v>
          </cell>
          <cell r="M266">
            <v>0</v>
          </cell>
        </row>
        <row r="267">
          <cell r="F267">
            <v>0</v>
          </cell>
          <cell r="H267">
            <v>0</v>
          </cell>
          <cell r="I267">
            <v>0</v>
          </cell>
          <cell r="J267">
            <v>0</v>
          </cell>
          <cell r="K267">
            <v>0</v>
          </cell>
          <cell r="M267">
            <v>0</v>
          </cell>
        </row>
        <row r="268">
          <cell r="F268">
            <v>0</v>
          </cell>
          <cell r="H268">
            <v>0</v>
          </cell>
          <cell r="I268">
            <v>0</v>
          </cell>
          <cell r="J268">
            <v>0</v>
          </cell>
          <cell r="K268">
            <v>0</v>
          </cell>
          <cell r="M268">
            <v>0</v>
          </cell>
        </row>
        <row r="269">
          <cell r="F269">
            <v>0</v>
          </cell>
          <cell r="H269">
            <v>0</v>
          </cell>
          <cell r="I269">
            <v>0</v>
          </cell>
          <cell r="J269">
            <v>0</v>
          </cell>
          <cell r="K269">
            <v>0</v>
          </cell>
          <cell r="M269">
            <v>0</v>
          </cell>
        </row>
        <row r="270">
          <cell r="F270">
            <v>0</v>
          </cell>
          <cell r="H270">
            <v>0</v>
          </cell>
          <cell r="I270">
            <v>0</v>
          </cell>
          <cell r="J270">
            <v>0</v>
          </cell>
          <cell r="K270">
            <v>0</v>
          </cell>
          <cell r="M270">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row r="273">
          <cell r="F273">
            <v>0</v>
          </cell>
          <cell r="H273">
            <v>0</v>
          </cell>
          <cell r="I273">
            <v>0</v>
          </cell>
          <cell r="J273">
            <v>0</v>
          </cell>
          <cell r="K273">
            <v>0</v>
          </cell>
          <cell r="M273">
            <v>0</v>
          </cell>
        </row>
        <row r="274">
          <cell r="F274">
            <v>0</v>
          </cell>
          <cell r="H274">
            <v>0</v>
          </cell>
          <cell r="I274">
            <v>0</v>
          </cell>
          <cell r="J274">
            <v>0</v>
          </cell>
          <cell r="K274">
            <v>0</v>
          </cell>
          <cell r="M274">
            <v>0</v>
          </cell>
        </row>
        <row r="275">
          <cell r="F275">
            <v>0</v>
          </cell>
          <cell r="H275">
            <v>0</v>
          </cell>
          <cell r="I275">
            <v>0</v>
          </cell>
          <cell r="J275">
            <v>0</v>
          </cell>
          <cell r="K275">
            <v>0</v>
          </cell>
          <cell r="M275">
            <v>0</v>
          </cell>
        </row>
        <row r="276">
          <cell r="F276">
            <v>0</v>
          </cell>
          <cell r="H276">
            <v>0</v>
          </cell>
          <cell r="I276">
            <v>0</v>
          </cell>
          <cell r="J276">
            <v>0</v>
          </cell>
          <cell r="K276">
            <v>0</v>
          </cell>
          <cell r="M276">
            <v>0</v>
          </cell>
        </row>
        <row r="277">
          <cell r="F277">
            <v>0</v>
          </cell>
          <cell r="H277">
            <v>0</v>
          </cell>
          <cell r="I277">
            <v>0</v>
          </cell>
          <cell r="J277">
            <v>0</v>
          </cell>
          <cell r="K277">
            <v>0</v>
          </cell>
          <cell r="M277">
            <v>0</v>
          </cell>
        </row>
        <row r="278">
          <cell r="F278">
            <v>0</v>
          </cell>
          <cell r="H278">
            <v>0</v>
          </cell>
          <cell r="I278">
            <v>0</v>
          </cell>
          <cell r="J278">
            <v>0</v>
          </cell>
          <cell r="K278">
            <v>0</v>
          </cell>
          <cell r="M278">
            <v>0</v>
          </cell>
        </row>
        <row r="279">
          <cell r="F279">
            <v>0</v>
          </cell>
          <cell r="H279">
            <v>0</v>
          </cell>
          <cell r="I279">
            <v>0</v>
          </cell>
          <cell r="J279">
            <v>0</v>
          </cell>
          <cell r="K279">
            <v>0</v>
          </cell>
          <cell r="M279">
            <v>0</v>
          </cell>
        </row>
        <row r="280">
          <cell r="F280">
            <v>0</v>
          </cell>
          <cell r="H280">
            <v>0</v>
          </cell>
          <cell r="I280">
            <v>0</v>
          </cell>
          <cell r="J280">
            <v>0</v>
          </cell>
          <cell r="K280">
            <v>0</v>
          </cell>
          <cell r="M280">
            <v>0</v>
          </cell>
        </row>
        <row r="281">
          <cell r="F281">
            <v>0</v>
          </cell>
          <cell r="H281">
            <v>0</v>
          </cell>
          <cell r="I281">
            <v>0</v>
          </cell>
          <cell r="J281">
            <v>0</v>
          </cell>
          <cell r="K281">
            <v>0</v>
          </cell>
          <cell r="M281">
            <v>0</v>
          </cell>
        </row>
        <row r="282">
          <cell r="F282">
            <v>0</v>
          </cell>
          <cell r="H282">
            <v>0</v>
          </cell>
          <cell r="I282">
            <v>0</v>
          </cell>
          <cell r="J282">
            <v>0</v>
          </cell>
          <cell r="K282">
            <v>0</v>
          </cell>
          <cell r="M282">
            <v>84894</v>
          </cell>
        </row>
        <row r="283">
          <cell r="F283">
            <v>0</v>
          </cell>
          <cell r="H283">
            <v>0</v>
          </cell>
          <cell r="I283">
            <v>0</v>
          </cell>
          <cell r="J283">
            <v>0</v>
          </cell>
          <cell r="K283">
            <v>0</v>
          </cell>
          <cell r="M283">
            <v>-61065</v>
          </cell>
        </row>
        <row r="284">
          <cell r="F284">
            <v>0</v>
          </cell>
          <cell r="H284">
            <v>0</v>
          </cell>
          <cell r="I284">
            <v>0</v>
          </cell>
          <cell r="J284">
            <v>0</v>
          </cell>
          <cell r="K284">
            <v>0</v>
          </cell>
          <cell r="M284">
            <v>23829</v>
          </cell>
        </row>
        <row r="286">
          <cell r="F286">
            <v>-157592</v>
          </cell>
          <cell r="H286">
            <v>0</v>
          </cell>
          <cell r="I286">
            <v>-157592</v>
          </cell>
          <cell r="J286">
            <v>0</v>
          </cell>
          <cell r="K286">
            <v>-157592</v>
          </cell>
          <cell r="M286">
            <v>-330512</v>
          </cell>
        </row>
        <row r="287">
          <cell r="F287">
            <v>83419</v>
          </cell>
          <cell r="H287">
            <v>0</v>
          </cell>
          <cell r="I287">
            <v>83419</v>
          </cell>
          <cell r="J287">
            <v>0</v>
          </cell>
          <cell r="K287">
            <v>83419</v>
          </cell>
          <cell r="M287">
            <v>173621</v>
          </cell>
        </row>
        <row r="288">
          <cell r="F288">
            <v>0</v>
          </cell>
          <cell r="H288">
            <v>0</v>
          </cell>
          <cell r="I288">
            <v>0</v>
          </cell>
          <cell r="J288">
            <v>0</v>
          </cell>
          <cell r="K288">
            <v>0</v>
          </cell>
          <cell r="M288">
            <v>0</v>
          </cell>
        </row>
        <row r="289">
          <cell r="F289">
            <v>-131368</v>
          </cell>
          <cell r="H289">
            <v>0</v>
          </cell>
          <cell r="I289">
            <v>-131368</v>
          </cell>
          <cell r="J289">
            <v>0</v>
          </cell>
          <cell r="K289">
            <v>-131368</v>
          </cell>
          <cell r="M289">
            <v>-161206</v>
          </cell>
        </row>
        <row r="290">
          <cell r="F290">
            <v>113790</v>
          </cell>
          <cell r="H290">
            <v>0</v>
          </cell>
          <cell r="I290">
            <v>113790</v>
          </cell>
          <cell r="J290">
            <v>0</v>
          </cell>
          <cell r="K290">
            <v>113790</v>
          </cell>
          <cell r="M290">
            <v>221324</v>
          </cell>
        </row>
        <row r="291">
          <cell r="F291">
            <v>0</v>
          </cell>
          <cell r="H291">
            <v>0</v>
          </cell>
          <cell r="I291">
            <v>0</v>
          </cell>
          <cell r="J291">
            <v>0</v>
          </cell>
          <cell r="K291">
            <v>0</v>
          </cell>
          <cell r="M291">
            <v>0</v>
          </cell>
        </row>
        <row r="292">
          <cell r="F292">
            <v>-1131446</v>
          </cell>
          <cell r="H292">
            <v>0</v>
          </cell>
          <cell r="I292">
            <v>-1131446</v>
          </cell>
          <cell r="J292">
            <v>0</v>
          </cell>
          <cell r="K292">
            <v>-1131446</v>
          </cell>
          <cell r="M292">
            <v>-1007820</v>
          </cell>
        </row>
        <row r="293">
          <cell r="F293">
            <v>-1223197</v>
          </cell>
          <cell r="H293">
            <v>0</v>
          </cell>
          <cell r="I293">
            <v>-1223197</v>
          </cell>
          <cell r="J293">
            <v>0</v>
          </cell>
          <cell r="K293">
            <v>-1223197</v>
          </cell>
          <cell r="M293">
            <v>-1104593</v>
          </cell>
        </row>
        <row r="295">
          <cell r="F295">
            <v>0</v>
          </cell>
          <cell r="H295">
            <v>0</v>
          </cell>
          <cell r="I295">
            <v>0</v>
          </cell>
          <cell r="J295">
            <v>0</v>
          </cell>
          <cell r="K295">
            <v>0</v>
          </cell>
          <cell r="M295">
            <v>0</v>
          </cell>
        </row>
        <row r="296">
          <cell r="F296">
            <v>0</v>
          </cell>
          <cell r="H296">
            <v>0</v>
          </cell>
          <cell r="I296">
            <v>0</v>
          </cell>
          <cell r="J296">
            <v>0</v>
          </cell>
          <cell r="K296">
            <v>0</v>
          </cell>
          <cell r="M296">
            <v>0</v>
          </cell>
        </row>
        <row r="297">
          <cell r="F297">
            <v>0</v>
          </cell>
          <cell r="H297">
            <v>0</v>
          </cell>
          <cell r="I297">
            <v>0</v>
          </cell>
          <cell r="J297">
            <v>0</v>
          </cell>
          <cell r="K297">
            <v>0</v>
          </cell>
          <cell r="M297">
            <v>0</v>
          </cell>
        </row>
        <row r="298">
          <cell r="F298">
            <v>0</v>
          </cell>
          <cell r="H298">
            <v>0</v>
          </cell>
          <cell r="I298">
            <v>0</v>
          </cell>
          <cell r="J298">
            <v>0</v>
          </cell>
          <cell r="K298">
            <v>0</v>
          </cell>
          <cell r="M298">
            <v>0</v>
          </cell>
        </row>
        <row r="299">
          <cell r="F299">
            <v>0</v>
          </cell>
          <cell r="H299">
            <v>0</v>
          </cell>
          <cell r="I299">
            <v>0</v>
          </cell>
          <cell r="J299">
            <v>0</v>
          </cell>
          <cell r="K299">
            <v>0</v>
          </cell>
          <cell r="M299">
            <v>0</v>
          </cell>
        </row>
        <row r="300">
          <cell r="F300">
            <v>0</v>
          </cell>
          <cell r="H300">
            <v>0</v>
          </cell>
          <cell r="I300">
            <v>0</v>
          </cell>
          <cell r="J300">
            <v>0</v>
          </cell>
          <cell r="K300">
            <v>0</v>
          </cell>
          <cell r="M300">
            <v>0</v>
          </cell>
        </row>
        <row r="301">
          <cell r="F301">
            <v>0</v>
          </cell>
          <cell r="H301">
            <v>0</v>
          </cell>
          <cell r="I301">
            <v>0</v>
          </cell>
          <cell r="J301">
            <v>0</v>
          </cell>
          <cell r="K301">
            <v>0</v>
          </cell>
          <cell r="M301">
            <v>0</v>
          </cell>
        </row>
        <row r="302">
          <cell r="F302">
            <v>0</v>
          </cell>
          <cell r="H302">
            <v>0</v>
          </cell>
          <cell r="I302">
            <v>0</v>
          </cell>
          <cell r="J302">
            <v>0</v>
          </cell>
          <cell r="K302">
            <v>0</v>
          </cell>
          <cell r="M302">
            <v>0</v>
          </cell>
        </row>
        <row r="303">
          <cell r="F303">
            <v>607</v>
          </cell>
          <cell r="H303">
            <v>0</v>
          </cell>
          <cell r="I303">
            <v>607</v>
          </cell>
          <cell r="J303">
            <v>0</v>
          </cell>
          <cell r="K303">
            <v>607</v>
          </cell>
          <cell r="M303">
            <v>1464</v>
          </cell>
        </row>
        <row r="304">
          <cell r="F304">
            <v>607</v>
          </cell>
          <cell r="H304">
            <v>0</v>
          </cell>
          <cell r="I304">
            <v>607</v>
          </cell>
          <cell r="J304">
            <v>0</v>
          </cell>
          <cell r="K304">
            <v>607</v>
          </cell>
          <cell r="M304">
            <v>1464</v>
          </cell>
        </row>
        <row r="306">
          <cell r="F306">
            <v>0</v>
          </cell>
          <cell r="H306">
            <v>0</v>
          </cell>
          <cell r="I306">
            <v>0</v>
          </cell>
          <cell r="J306">
            <v>0</v>
          </cell>
          <cell r="K306">
            <v>0</v>
          </cell>
          <cell r="M306">
            <v>0</v>
          </cell>
        </row>
        <row r="307">
          <cell r="F307">
            <v>0</v>
          </cell>
          <cell r="H307">
            <v>0</v>
          </cell>
          <cell r="I307">
            <v>0</v>
          </cell>
          <cell r="J307">
            <v>0</v>
          </cell>
          <cell r="K307">
            <v>0</v>
          </cell>
          <cell r="M307">
            <v>0</v>
          </cell>
        </row>
        <row r="308">
          <cell r="F308">
            <v>0</v>
          </cell>
          <cell r="H308">
            <v>0</v>
          </cell>
          <cell r="I308">
            <v>0</v>
          </cell>
          <cell r="J308">
            <v>0</v>
          </cell>
          <cell r="K308">
            <v>0</v>
          </cell>
          <cell r="M308">
            <v>0</v>
          </cell>
        </row>
        <row r="309">
          <cell r="F309">
            <v>0</v>
          </cell>
          <cell r="H309">
            <v>0</v>
          </cell>
          <cell r="I309">
            <v>0</v>
          </cell>
          <cell r="J309">
            <v>0</v>
          </cell>
          <cell r="K309">
            <v>0</v>
          </cell>
          <cell r="M309">
            <v>0</v>
          </cell>
        </row>
        <row r="310">
          <cell r="F310">
            <v>0</v>
          </cell>
          <cell r="H310">
            <v>0</v>
          </cell>
          <cell r="I310">
            <v>0</v>
          </cell>
          <cell r="J310">
            <v>0</v>
          </cell>
          <cell r="K310">
            <v>0</v>
          </cell>
          <cell r="M310">
            <v>0</v>
          </cell>
        </row>
        <row r="311">
          <cell r="F311">
            <v>0</v>
          </cell>
          <cell r="H311">
            <v>0</v>
          </cell>
          <cell r="I311">
            <v>0</v>
          </cell>
          <cell r="J311">
            <v>0</v>
          </cell>
          <cell r="K311">
            <v>0</v>
          </cell>
          <cell r="M311">
            <v>0</v>
          </cell>
        </row>
        <row r="312">
          <cell r="F312">
            <v>0</v>
          </cell>
          <cell r="H312">
            <v>0</v>
          </cell>
          <cell r="I312">
            <v>0</v>
          </cell>
          <cell r="J312">
            <v>0</v>
          </cell>
          <cell r="K312">
            <v>0</v>
          </cell>
          <cell r="M312">
            <v>0</v>
          </cell>
        </row>
        <row r="313">
          <cell r="F313">
            <v>0</v>
          </cell>
          <cell r="H313">
            <v>0</v>
          </cell>
          <cell r="I313">
            <v>0</v>
          </cell>
          <cell r="J313">
            <v>0</v>
          </cell>
          <cell r="K313">
            <v>0</v>
          </cell>
          <cell r="M313">
            <v>0</v>
          </cell>
        </row>
        <row r="314">
          <cell r="F314">
            <v>0</v>
          </cell>
          <cell r="H314">
            <v>0</v>
          </cell>
          <cell r="I314">
            <v>0</v>
          </cell>
          <cell r="J314">
            <v>0</v>
          </cell>
          <cell r="K314">
            <v>0</v>
          </cell>
          <cell r="M314">
            <v>0</v>
          </cell>
        </row>
        <row r="315">
          <cell r="F315">
            <v>0</v>
          </cell>
          <cell r="H315">
            <v>0</v>
          </cell>
          <cell r="I315">
            <v>0</v>
          </cell>
          <cell r="J315">
            <v>0</v>
          </cell>
          <cell r="K315">
            <v>0</v>
          </cell>
          <cell r="M315">
            <v>0</v>
          </cell>
        </row>
        <row r="316">
          <cell r="F316">
            <v>6274</v>
          </cell>
          <cell r="H316">
            <v>0</v>
          </cell>
          <cell r="I316">
            <v>6274</v>
          </cell>
          <cell r="J316">
            <v>0</v>
          </cell>
          <cell r="K316">
            <v>6274</v>
          </cell>
          <cell r="M316">
            <v>4453</v>
          </cell>
        </row>
        <row r="317">
          <cell r="F317">
            <v>6274</v>
          </cell>
          <cell r="H317">
            <v>0</v>
          </cell>
          <cell r="I317">
            <v>6274</v>
          </cell>
          <cell r="J317">
            <v>0</v>
          </cell>
          <cell r="K317">
            <v>6274</v>
          </cell>
          <cell r="M317">
            <v>4453</v>
          </cell>
        </row>
        <row r="319">
          <cell r="F319">
            <v>0</v>
          </cell>
          <cell r="H319">
            <v>0</v>
          </cell>
          <cell r="I319">
            <v>0</v>
          </cell>
          <cell r="J319">
            <v>0</v>
          </cell>
          <cell r="K319">
            <v>0</v>
          </cell>
          <cell r="M319">
            <v>0</v>
          </cell>
        </row>
        <row r="320">
          <cell r="F320">
            <v>0</v>
          </cell>
          <cell r="H320">
            <v>0</v>
          </cell>
          <cell r="I320">
            <v>0</v>
          </cell>
          <cell r="J320">
            <v>0</v>
          </cell>
          <cell r="K320">
            <v>0</v>
          </cell>
          <cell r="M320">
            <v>0</v>
          </cell>
        </row>
        <row r="321">
          <cell r="F321">
            <v>0</v>
          </cell>
          <cell r="H321">
            <v>0</v>
          </cell>
          <cell r="I321">
            <v>0</v>
          </cell>
          <cell r="J321">
            <v>0</v>
          </cell>
          <cell r="K321">
            <v>0</v>
          </cell>
          <cell r="M321">
            <v>0</v>
          </cell>
        </row>
        <row r="322">
          <cell r="F322">
            <v>0</v>
          </cell>
          <cell r="H322">
            <v>0</v>
          </cell>
          <cell r="I322">
            <v>0</v>
          </cell>
          <cell r="J322">
            <v>0</v>
          </cell>
          <cell r="K322">
            <v>0</v>
          </cell>
          <cell r="M322">
            <v>0</v>
          </cell>
        </row>
        <row r="323">
          <cell r="F323">
            <v>0</v>
          </cell>
          <cell r="H323">
            <v>0</v>
          </cell>
          <cell r="I323">
            <v>0</v>
          </cell>
          <cell r="J323">
            <v>0</v>
          </cell>
          <cell r="K323">
            <v>0</v>
          </cell>
          <cell r="M323">
            <v>0</v>
          </cell>
        </row>
        <row r="324">
          <cell r="F324">
            <v>-5576</v>
          </cell>
          <cell r="H324">
            <v>0</v>
          </cell>
          <cell r="I324">
            <v>-5576</v>
          </cell>
          <cell r="J324">
            <v>0</v>
          </cell>
          <cell r="K324">
            <v>-5576</v>
          </cell>
          <cell r="M324">
            <v>-172</v>
          </cell>
        </row>
        <row r="325">
          <cell r="F325">
            <v>20</v>
          </cell>
          <cell r="H325">
            <v>0</v>
          </cell>
          <cell r="I325">
            <v>20</v>
          </cell>
          <cell r="J325">
            <v>-16</v>
          </cell>
          <cell r="K325">
            <v>4</v>
          </cell>
          <cell r="M325">
            <v>30</v>
          </cell>
        </row>
        <row r="326">
          <cell r="F326">
            <v>0</v>
          </cell>
          <cell r="H326">
            <v>0</v>
          </cell>
          <cell r="I326">
            <v>0</v>
          </cell>
          <cell r="J326">
            <v>0</v>
          </cell>
          <cell r="K326">
            <v>0</v>
          </cell>
          <cell r="M326">
            <v>0</v>
          </cell>
        </row>
        <row r="327">
          <cell r="F327">
            <v>-5556</v>
          </cell>
          <cell r="H327">
            <v>0</v>
          </cell>
          <cell r="I327">
            <v>-5556</v>
          </cell>
          <cell r="J327">
            <v>-16</v>
          </cell>
          <cell r="K327">
            <v>-5572</v>
          </cell>
          <cell r="M327">
            <v>-142</v>
          </cell>
        </row>
        <row r="329">
          <cell r="F329">
            <v>0</v>
          </cell>
          <cell r="H329">
            <v>0</v>
          </cell>
          <cell r="I329">
            <v>0</v>
          </cell>
          <cell r="J329">
            <v>0</v>
          </cell>
          <cell r="K329">
            <v>0</v>
          </cell>
          <cell r="M329">
            <v>0</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0</v>
          </cell>
          <cell r="H336">
            <v>0</v>
          </cell>
          <cell r="I336">
            <v>0</v>
          </cell>
          <cell r="J336">
            <v>0</v>
          </cell>
          <cell r="K336">
            <v>0</v>
          </cell>
          <cell r="M336">
            <v>0</v>
          </cell>
        </row>
        <row r="337">
          <cell r="F337">
            <v>0</v>
          </cell>
          <cell r="H337">
            <v>0</v>
          </cell>
          <cell r="I337">
            <v>0</v>
          </cell>
          <cell r="J337">
            <v>0</v>
          </cell>
          <cell r="K337">
            <v>0</v>
          </cell>
          <cell r="M337">
            <v>0</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0</v>
          </cell>
          <cell r="H341">
            <v>0</v>
          </cell>
          <cell r="I341">
            <v>0</v>
          </cell>
          <cell r="J341">
            <v>0</v>
          </cell>
          <cell r="K341">
            <v>0</v>
          </cell>
          <cell r="M341">
            <v>0</v>
          </cell>
        </row>
        <row r="342">
          <cell r="F342">
            <v>0</v>
          </cell>
          <cell r="H342">
            <v>0</v>
          </cell>
          <cell r="I342">
            <v>0</v>
          </cell>
          <cell r="J342">
            <v>0</v>
          </cell>
          <cell r="K342">
            <v>0</v>
          </cell>
          <cell r="M342">
            <v>0</v>
          </cell>
        </row>
        <row r="343">
          <cell r="F343">
            <v>0</v>
          </cell>
          <cell r="H343">
            <v>0</v>
          </cell>
          <cell r="I343">
            <v>0</v>
          </cell>
          <cell r="J343">
            <v>0</v>
          </cell>
          <cell r="K343">
            <v>0</v>
          </cell>
          <cell r="M343">
            <v>0</v>
          </cell>
        </row>
        <row r="344">
          <cell r="F344">
            <v>0</v>
          </cell>
          <cell r="H344">
            <v>0</v>
          </cell>
          <cell r="I344">
            <v>0</v>
          </cell>
          <cell r="J344">
            <v>0</v>
          </cell>
          <cell r="K344">
            <v>0</v>
          </cell>
          <cell r="M344">
            <v>0</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0</v>
          </cell>
          <cell r="H348">
            <v>0</v>
          </cell>
          <cell r="I348">
            <v>0</v>
          </cell>
          <cell r="J348">
            <v>0</v>
          </cell>
          <cell r="K348">
            <v>0</v>
          </cell>
          <cell r="M348">
            <v>0</v>
          </cell>
        </row>
        <row r="349">
          <cell r="F349">
            <v>0</v>
          </cell>
          <cell r="H349">
            <v>0</v>
          </cell>
          <cell r="I349">
            <v>0</v>
          </cell>
          <cell r="J349">
            <v>0</v>
          </cell>
          <cell r="K349">
            <v>0</v>
          </cell>
          <cell r="M349">
            <v>0</v>
          </cell>
        </row>
        <row r="350">
          <cell r="F350">
            <v>-10933</v>
          </cell>
          <cell r="H350">
            <v>0</v>
          </cell>
          <cell r="I350">
            <v>-10933</v>
          </cell>
          <cell r="J350">
            <v>0</v>
          </cell>
          <cell r="K350">
            <v>-10933</v>
          </cell>
          <cell r="M350">
            <v>-15559</v>
          </cell>
        </row>
        <row r="351">
          <cell r="F351">
            <v>-146</v>
          </cell>
          <cell r="H351">
            <v>0</v>
          </cell>
          <cell r="I351">
            <v>-146</v>
          </cell>
          <cell r="J351">
            <v>0</v>
          </cell>
          <cell r="K351">
            <v>-146</v>
          </cell>
          <cell r="M351">
            <v>-107</v>
          </cell>
        </row>
        <row r="352">
          <cell r="F352">
            <v>-1729</v>
          </cell>
          <cell r="H352">
            <v>0</v>
          </cell>
          <cell r="I352">
            <v>-1729</v>
          </cell>
          <cell r="J352">
            <v>0</v>
          </cell>
          <cell r="K352">
            <v>-1729</v>
          </cell>
          <cell r="M352">
            <v>-4646</v>
          </cell>
        </row>
        <row r="353">
          <cell r="F353">
            <v>-12808</v>
          </cell>
          <cell r="H353">
            <v>0</v>
          </cell>
          <cell r="I353">
            <v>-12808</v>
          </cell>
          <cell r="J353">
            <v>0</v>
          </cell>
          <cell r="K353">
            <v>-12808</v>
          </cell>
          <cell r="M353">
            <v>-20312</v>
          </cell>
        </row>
        <row r="355">
          <cell r="F355">
            <v>0</v>
          </cell>
          <cell r="H355">
            <v>0</v>
          </cell>
          <cell r="I355">
            <v>0</v>
          </cell>
          <cell r="J355">
            <v>0</v>
          </cell>
          <cell r="K355">
            <v>0</v>
          </cell>
          <cell r="M355">
            <v>0</v>
          </cell>
        </row>
        <row r="356">
          <cell r="F356">
            <v>0</v>
          </cell>
          <cell r="H356">
            <v>0</v>
          </cell>
          <cell r="I356">
            <v>0</v>
          </cell>
          <cell r="J356">
            <v>0</v>
          </cell>
          <cell r="K356">
            <v>0</v>
          </cell>
          <cell r="M356">
            <v>0</v>
          </cell>
        </row>
        <row r="357">
          <cell r="F357">
            <v>0</v>
          </cell>
          <cell r="H357">
            <v>0</v>
          </cell>
          <cell r="I357">
            <v>0</v>
          </cell>
          <cell r="J357">
            <v>0</v>
          </cell>
          <cell r="K357">
            <v>0</v>
          </cell>
          <cell r="M357">
            <v>0</v>
          </cell>
        </row>
        <row r="358">
          <cell r="F358">
            <v>-21331</v>
          </cell>
          <cell r="H358">
            <v>0</v>
          </cell>
          <cell r="I358">
            <v>-21331</v>
          </cell>
          <cell r="J358">
            <v>0</v>
          </cell>
          <cell r="K358">
            <v>-21331</v>
          </cell>
          <cell r="M358">
            <v>-23190</v>
          </cell>
        </row>
        <row r="359">
          <cell r="F359">
            <v>0</v>
          </cell>
          <cell r="H359">
            <v>0</v>
          </cell>
          <cell r="I359">
            <v>0</v>
          </cell>
          <cell r="J359">
            <v>0</v>
          </cell>
          <cell r="K359">
            <v>0</v>
          </cell>
          <cell r="M359">
            <v>0</v>
          </cell>
        </row>
        <row r="360">
          <cell r="F360">
            <v>0</v>
          </cell>
          <cell r="H360">
            <v>0</v>
          </cell>
          <cell r="I360">
            <v>0</v>
          </cell>
          <cell r="J360">
            <v>0</v>
          </cell>
          <cell r="K360">
            <v>0</v>
          </cell>
          <cell r="M360">
            <v>0</v>
          </cell>
        </row>
        <row r="361">
          <cell r="F361">
            <v>0</v>
          </cell>
          <cell r="H361">
            <v>0</v>
          </cell>
          <cell r="I361">
            <v>0</v>
          </cell>
          <cell r="J361">
            <v>0</v>
          </cell>
          <cell r="K361">
            <v>0</v>
          </cell>
          <cell r="M361">
            <v>0</v>
          </cell>
        </row>
        <row r="362">
          <cell r="F362">
            <v>-11728</v>
          </cell>
          <cell r="H362">
            <v>0</v>
          </cell>
          <cell r="I362">
            <v>-11728</v>
          </cell>
          <cell r="J362">
            <v>-141</v>
          </cell>
          <cell r="K362">
            <v>-11869</v>
          </cell>
          <cell r="M362">
            <v>-8662</v>
          </cell>
        </row>
        <row r="363">
          <cell r="F363">
            <v>-33059</v>
          </cell>
          <cell r="H363">
            <v>0</v>
          </cell>
          <cell r="I363">
            <v>-33059</v>
          </cell>
          <cell r="J363">
            <v>-141</v>
          </cell>
          <cell r="K363">
            <v>-33200</v>
          </cell>
          <cell r="M363">
            <v>-31852</v>
          </cell>
        </row>
        <row r="365">
          <cell r="F365">
            <v>0</v>
          </cell>
          <cell r="H365">
            <v>0</v>
          </cell>
          <cell r="I365">
            <v>0</v>
          </cell>
          <cell r="J365">
            <v>0</v>
          </cell>
          <cell r="K365">
            <v>0</v>
          </cell>
          <cell r="M365">
            <v>0</v>
          </cell>
        </row>
        <row r="367">
          <cell r="F367">
            <v>0</v>
          </cell>
          <cell r="H367">
            <v>0</v>
          </cell>
          <cell r="I367">
            <v>0</v>
          </cell>
          <cell r="J367">
            <v>0</v>
          </cell>
          <cell r="K367">
            <v>0</v>
          </cell>
          <cell r="M367">
            <v>0</v>
          </cell>
        </row>
        <row r="368">
          <cell r="F368">
            <v>-2969</v>
          </cell>
          <cell r="H368">
            <v>0</v>
          </cell>
          <cell r="I368">
            <v>-2969</v>
          </cell>
          <cell r="J368">
            <v>0</v>
          </cell>
          <cell r="K368">
            <v>-2969</v>
          </cell>
          <cell r="M368">
            <v>0</v>
          </cell>
        </row>
        <row r="369">
          <cell r="F369">
            <v>-2969</v>
          </cell>
          <cell r="H369">
            <v>0</v>
          </cell>
          <cell r="I369">
            <v>-2969</v>
          </cell>
          <cell r="J369">
            <v>0</v>
          </cell>
          <cell r="K369">
            <v>-2969</v>
          </cell>
          <cell r="M369">
            <v>0</v>
          </cell>
        </row>
        <row r="371">
          <cell r="F371">
            <v>0</v>
          </cell>
          <cell r="H371">
            <v>0</v>
          </cell>
          <cell r="I371">
            <v>0</v>
          </cell>
          <cell r="J371">
            <v>0</v>
          </cell>
          <cell r="K371">
            <v>0</v>
          </cell>
          <cell r="M371">
            <v>0</v>
          </cell>
        </row>
        <row r="372">
          <cell r="F372">
            <v>-29</v>
          </cell>
          <cell r="H372">
            <v>0</v>
          </cell>
          <cell r="I372">
            <v>-29</v>
          </cell>
          <cell r="J372">
            <v>0</v>
          </cell>
          <cell r="K372">
            <v>-29</v>
          </cell>
          <cell r="M372">
            <v>0</v>
          </cell>
        </row>
        <row r="373">
          <cell r="F373">
            <v>-29</v>
          </cell>
          <cell r="H373">
            <v>0</v>
          </cell>
          <cell r="I373">
            <v>-29</v>
          </cell>
          <cell r="J373">
            <v>0</v>
          </cell>
          <cell r="K373">
            <v>-29</v>
          </cell>
          <cell r="M373">
            <v>0</v>
          </cell>
        </row>
        <row r="375">
          <cell r="F375">
            <v>0</v>
          </cell>
          <cell r="H375">
            <v>0</v>
          </cell>
          <cell r="I375">
            <v>0</v>
          </cell>
          <cell r="J375">
            <v>0</v>
          </cell>
          <cell r="K375">
            <v>0</v>
          </cell>
          <cell r="M375">
            <v>0</v>
          </cell>
        </row>
        <row r="376">
          <cell r="F376">
            <v>0</v>
          </cell>
          <cell r="H376">
            <v>0</v>
          </cell>
          <cell r="I376">
            <v>0</v>
          </cell>
          <cell r="J376">
            <v>0</v>
          </cell>
          <cell r="K376">
            <v>0</v>
          </cell>
          <cell r="M376">
            <v>0</v>
          </cell>
        </row>
        <row r="377">
          <cell r="F377">
            <v>0</v>
          </cell>
          <cell r="H377">
            <v>0</v>
          </cell>
          <cell r="I377">
            <v>0</v>
          </cell>
          <cell r="J377">
            <v>0</v>
          </cell>
          <cell r="K377">
            <v>0</v>
          </cell>
          <cell r="M377">
            <v>0</v>
          </cell>
        </row>
        <row r="378">
          <cell r="F378">
            <v>0</v>
          </cell>
          <cell r="H378">
            <v>0</v>
          </cell>
          <cell r="I378">
            <v>0</v>
          </cell>
          <cell r="J378">
            <v>0</v>
          </cell>
          <cell r="K378">
            <v>0</v>
          </cell>
          <cell r="M378">
            <v>0</v>
          </cell>
        </row>
        <row r="379">
          <cell r="F379">
            <v>0</v>
          </cell>
          <cell r="H379">
            <v>0</v>
          </cell>
          <cell r="I379">
            <v>0</v>
          </cell>
          <cell r="J379">
            <v>0</v>
          </cell>
          <cell r="K379">
            <v>0</v>
          </cell>
          <cell r="M379">
            <v>0</v>
          </cell>
        </row>
        <row r="380">
          <cell r="F380">
            <v>0</v>
          </cell>
          <cell r="H380">
            <v>0</v>
          </cell>
          <cell r="I380">
            <v>0</v>
          </cell>
          <cell r="J380">
            <v>0</v>
          </cell>
          <cell r="K380">
            <v>0</v>
          </cell>
          <cell r="M380">
            <v>0</v>
          </cell>
        </row>
        <row r="381">
          <cell r="F381">
            <v>0</v>
          </cell>
          <cell r="H381">
            <v>0</v>
          </cell>
          <cell r="I381">
            <v>0</v>
          </cell>
          <cell r="J381">
            <v>0</v>
          </cell>
          <cell r="K381">
            <v>0</v>
          </cell>
          <cell r="M381">
            <v>0</v>
          </cell>
        </row>
        <row r="382">
          <cell r="F382">
            <v>0</v>
          </cell>
          <cell r="H382">
            <v>0</v>
          </cell>
          <cell r="I382">
            <v>0</v>
          </cell>
          <cell r="J382">
            <v>0</v>
          </cell>
          <cell r="K382">
            <v>0</v>
          </cell>
          <cell r="M382">
            <v>0</v>
          </cell>
        </row>
        <row r="383">
          <cell r="F383">
            <v>0</v>
          </cell>
          <cell r="H383">
            <v>0</v>
          </cell>
          <cell r="I383">
            <v>0</v>
          </cell>
          <cell r="J383">
            <v>0</v>
          </cell>
          <cell r="K383">
            <v>0</v>
          </cell>
          <cell r="M383">
            <v>0</v>
          </cell>
        </row>
        <row r="384">
          <cell r="F384">
            <v>0</v>
          </cell>
          <cell r="H384">
            <v>0</v>
          </cell>
          <cell r="I384">
            <v>0</v>
          </cell>
          <cell r="J384">
            <v>0</v>
          </cell>
          <cell r="K384">
            <v>0</v>
          </cell>
          <cell r="M384">
            <v>0</v>
          </cell>
        </row>
        <row r="385">
          <cell r="F385">
            <v>0</v>
          </cell>
          <cell r="H385">
            <v>0</v>
          </cell>
          <cell r="I385">
            <v>0</v>
          </cell>
          <cell r="J385">
            <v>0</v>
          </cell>
          <cell r="K385">
            <v>0</v>
          </cell>
          <cell r="M385">
            <v>0</v>
          </cell>
        </row>
        <row r="386">
          <cell r="F386">
            <v>0</v>
          </cell>
          <cell r="H386">
            <v>0</v>
          </cell>
          <cell r="I386">
            <v>0</v>
          </cell>
          <cell r="J386">
            <v>0</v>
          </cell>
          <cell r="K386">
            <v>0</v>
          </cell>
          <cell r="M386">
            <v>0</v>
          </cell>
        </row>
        <row r="387">
          <cell r="F387">
            <v>0</v>
          </cell>
          <cell r="H387">
            <v>0</v>
          </cell>
          <cell r="I387">
            <v>0</v>
          </cell>
          <cell r="J387">
            <v>0</v>
          </cell>
          <cell r="K387">
            <v>0</v>
          </cell>
          <cell r="M387">
            <v>0</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0</v>
          </cell>
          <cell r="H390">
            <v>0</v>
          </cell>
          <cell r="I390">
            <v>0</v>
          </cell>
          <cell r="J390">
            <v>0</v>
          </cell>
          <cell r="K390">
            <v>0</v>
          </cell>
          <cell r="M390">
            <v>0</v>
          </cell>
        </row>
        <row r="391">
          <cell r="F391">
            <v>-14</v>
          </cell>
          <cell r="H391">
            <v>0</v>
          </cell>
          <cell r="I391">
            <v>-14</v>
          </cell>
          <cell r="J391">
            <v>0</v>
          </cell>
          <cell r="K391">
            <v>-14</v>
          </cell>
          <cell r="M391">
            <v>-169</v>
          </cell>
        </row>
        <row r="392">
          <cell r="F392">
            <v>-1271</v>
          </cell>
          <cell r="H392">
            <v>0</v>
          </cell>
          <cell r="I392">
            <v>-1271</v>
          </cell>
          <cell r="J392">
            <v>0</v>
          </cell>
          <cell r="K392">
            <v>-1271</v>
          </cell>
          <cell r="M392">
            <v>-3</v>
          </cell>
        </row>
        <row r="393">
          <cell r="F393">
            <v>-1</v>
          </cell>
          <cell r="H393">
            <v>0</v>
          </cell>
          <cell r="I393">
            <v>-1</v>
          </cell>
          <cell r="J393">
            <v>0</v>
          </cell>
          <cell r="K393">
            <v>-1</v>
          </cell>
          <cell r="M393">
            <v>0</v>
          </cell>
        </row>
        <row r="394">
          <cell r="F394">
            <v>-90</v>
          </cell>
          <cell r="H394">
            <v>0</v>
          </cell>
          <cell r="I394">
            <v>-90</v>
          </cell>
          <cell r="J394">
            <v>0</v>
          </cell>
          <cell r="K394">
            <v>-90</v>
          </cell>
          <cell r="M394">
            <v>-690</v>
          </cell>
        </row>
        <row r="395">
          <cell r="F395">
            <v>-96</v>
          </cell>
          <cell r="H395">
            <v>0</v>
          </cell>
          <cell r="I395">
            <v>-96</v>
          </cell>
          <cell r="J395">
            <v>0</v>
          </cell>
          <cell r="K395">
            <v>-96</v>
          </cell>
          <cell r="M395">
            <v>-495</v>
          </cell>
        </row>
        <row r="396">
          <cell r="F396">
            <v>-47</v>
          </cell>
          <cell r="H396">
            <v>0</v>
          </cell>
          <cell r="I396">
            <v>-47</v>
          </cell>
          <cell r="J396">
            <v>0</v>
          </cell>
          <cell r="K396">
            <v>-47</v>
          </cell>
          <cell r="M396">
            <v>-128</v>
          </cell>
        </row>
        <row r="397">
          <cell r="F397">
            <v>-435</v>
          </cell>
          <cell r="H397">
            <v>0</v>
          </cell>
          <cell r="I397">
            <v>-435</v>
          </cell>
          <cell r="J397">
            <v>0</v>
          </cell>
          <cell r="K397">
            <v>-435</v>
          </cell>
          <cell r="M397">
            <v>-492</v>
          </cell>
        </row>
        <row r="398">
          <cell r="F398">
            <v>-2</v>
          </cell>
          <cell r="H398">
            <v>0</v>
          </cell>
          <cell r="I398">
            <v>-2</v>
          </cell>
          <cell r="J398">
            <v>0</v>
          </cell>
          <cell r="K398">
            <v>-2</v>
          </cell>
          <cell r="M398">
            <v>0</v>
          </cell>
        </row>
        <row r="399">
          <cell r="F399">
            <v>-2329</v>
          </cell>
          <cell r="H399">
            <v>0</v>
          </cell>
          <cell r="I399">
            <v>-2329</v>
          </cell>
          <cell r="J399">
            <v>0</v>
          </cell>
          <cell r="K399">
            <v>-2329</v>
          </cell>
          <cell r="M399">
            <v>-2655</v>
          </cell>
        </row>
        <row r="400">
          <cell r="F400">
            <v>-4</v>
          </cell>
          <cell r="H400">
            <v>0</v>
          </cell>
          <cell r="I400">
            <v>-4</v>
          </cell>
          <cell r="J400">
            <v>0</v>
          </cell>
          <cell r="K400">
            <v>-4</v>
          </cell>
          <cell r="M400">
            <v>-59</v>
          </cell>
        </row>
        <row r="401">
          <cell r="F401">
            <v>-15</v>
          </cell>
          <cell r="H401">
            <v>0</v>
          </cell>
          <cell r="I401">
            <v>-15</v>
          </cell>
          <cell r="J401">
            <v>0</v>
          </cell>
          <cell r="K401">
            <v>-15</v>
          </cell>
          <cell r="M401">
            <v>0</v>
          </cell>
        </row>
        <row r="402">
          <cell r="F402">
            <v>0</v>
          </cell>
          <cell r="H402">
            <v>0</v>
          </cell>
          <cell r="I402">
            <v>0</v>
          </cell>
          <cell r="J402">
            <v>0</v>
          </cell>
          <cell r="K402">
            <v>0</v>
          </cell>
          <cell r="M402">
            <v>0</v>
          </cell>
        </row>
        <row r="403">
          <cell r="F403">
            <v>-4304</v>
          </cell>
          <cell r="H403">
            <v>0</v>
          </cell>
          <cell r="I403">
            <v>-4304</v>
          </cell>
          <cell r="J403">
            <v>0</v>
          </cell>
          <cell r="K403">
            <v>-4304</v>
          </cell>
          <cell r="M403">
            <v>-4691</v>
          </cell>
        </row>
        <row r="405">
          <cell r="F405">
            <v>0</v>
          </cell>
          <cell r="H405">
            <v>0</v>
          </cell>
          <cell r="I405">
            <v>0</v>
          </cell>
          <cell r="J405">
            <v>0</v>
          </cell>
          <cell r="K405">
            <v>0</v>
          </cell>
          <cell r="M405">
            <v>0</v>
          </cell>
        </row>
        <row r="406">
          <cell r="F406">
            <v>0</v>
          </cell>
          <cell r="H406">
            <v>0</v>
          </cell>
          <cell r="I406">
            <v>0</v>
          </cell>
          <cell r="J406">
            <v>0</v>
          </cell>
          <cell r="K406">
            <v>0</v>
          </cell>
          <cell r="M406">
            <v>0</v>
          </cell>
        </row>
        <row r="407">
          <cell r="F407">
            <v>0</v>
          </cell>
          <cell r="H407">
            <v>0</v>
          </cell>
          <cell r="I407">
            <v>0</v>
          </cell>
          <cell r="J407">
            <v>0</v>
          </cell>
          <cell r="K407">
            <v>0</v>
          </cell>
          <cell r="M407">
            <v>0</v>
          </cell>
        </row>
        <row r="408">
          <cell r="F408">
            <v>1148</v>
          </cell>
          <cell r="H408">
            <v>0</v>
          </cell>
          <cell r="I408">
            <v>1148</v>
          </cell>
          <cell r="J408">
            <v>0</v>
          </cell>
          <cell r="K408">
            <v>1148</v>
          </cell>
          <cell r="M408">
            <v>323</v>
          </cell>
        </row>
        <row r="409">
          <cell r="F409">
            <v>0</v>
          </cell>
          <cell r="H409">
            <v>0</v>
          </cell>
          <cell r="I409">
            <v>0</v>
          </cell>
          <cell r="J409">
            <v>0</v>
          </cell>
          <cell r="K409">
            <v>0</v>
          </cell>
          <cell r="M409">
            <v>-15793</v>
          </cell>
        </row>
        <row r="410">
          <cell r="F410">
            <v>-110</v>
          </cell>
          <cell r="H410">
            <v>0</v>
          </cell>
          <cell r="I410">
            <v>-110</v>
          </cell>
          <cell r="J410">
            <v>157</v>
          </cell>
          <cell r="K410">
            <v>47</v>
          </cell>
          <cell r="M410">
            <v>50</v>
          </cell>
        </row>
        <row r="411">
          <cell r="F411">
            <v>1038</v>
          </cell>
          <cell r="H411">
            <v>0</v>
          </cell>
          <cell r="I411">
            <v>1038</v>
          </cell>
          <cell r="J411">
            <v>157</v>
          </cell>
          <cell r="K411">
            <v>1195</v>
          </cell>
          <cell r="M411">
            <v>-15420</v>
          </cell>
        </row>
        <row r="413">
          <cell r="F413">
            <v>0</v>
          </cell>
          <cell r="H413">
            <v>0</v>
          </cell>
          <cell r="I413">
            <v>0</v>
          </cell>
          <cell r="J413">
            <v>0</v>
          </cell>
          <cell r="K413">
            <v>0</v>
          </cell>
          <cell r="M413">
            <v>0</v>
          </cell>
        </row>
        <row r="414">
          <cell r="F414">
            <v>0</v>
          </cell>
          <cell r="H414">
            <v>0</v>
          </cell>
          <cell r="I414">
            <v>0</v>
          </cell>
          <cell r="J414">
            <v>0</v>
          </cell>
          <cell r="K414">
            <v>0</v>
          </cell>
          <cell r="M414">
            <v>-1248</v>
          </cell>
        </row>
        <row r="415">
          <cell r="F415">
            <v>1699</v>
          </cell>
          <cell r="H415">
            <v>0</v>
          </cell>
          <cell r="I415">
            <v>1699</v>
          </cell>
          <cell r="J415">
            <v>0</v>
          </cell>
          <cell r="K415">
            <v>1699</v>
          </cell>
          <cell r="M415">
            <v>0</v>
          </cell>
        </row>
        <row r="416">
          <cell r="F416">
            <v>1699</v>
          </cell>
          <cell r="H416">
            <v>0</v>
          </cell>
          <cell r="I416">
            <v>1699</v>
          </cell>
          <cell r="J416">
            <v>0</v>
          </cell>
          <cell r="K416">
            <v>1699</v>
          </cell>
          <cell r="M416">
            <v>-1248</v>
          </cell>
        </row>
        <row r="418">
          <cell r="F418">
            <v>0</v>
          </cell>
          <cell r="H418">
            <v>0</v>
          </cell>
          <cell r="I418">
            <v>0</v>
          </cell>
          <cell r="J418">
            <v>0</v>
          </cell>
          <cell r="K418">
            <v>0</v>
          </cell>
          <cell r="M418">
            <v>0</v>
          </cell>
        </row>
        <row r="419">
          <cell r="F419">
            <v>0</v>
          </cell>
          <cell r="H419">
            <v>0</v>
          </cell>
          <cell r="I419">
            <v>0</v>
          </cell>
          <cell r="J419">
            <v>0</v>
          </cell>
          <cell r="K419">
            <v>0</v>
          </cell>
          <cell r="M419">
            <v>0</v>
          </cell>
        </row>
        <row r="420">
          <cell r="F420">
            <v>0</v>
          </cell>
          <cell r="H420">
            <v>0</v>
          </cell>
          <cell r="I420">
            <v>0</v>
          </cell>
          <cell r="J420">
            <v>0</v>
          </cell>
          <cell r="K420">
            <v>0</v>
          </cell>
          <cell r="M420">
            <v>0</v>
          </cell>
        </row>
        <row r="421">
          <cell r="F421">
            <v>9242</v>
          </cell>
          <cell r="H421">
            <v>0</v>
          </cell>
          <cell r="I421">
            <v>9242</v>
          </cell>
          <cell r="J421">
            <v>0</v>
          </cell>
          <cell r="K421">
            <v>9242</v>
          </cell>
          <cell r="M421">
            <v>7683</v>
          </cell>
        </row>
        <row r="422">
          <cell r="F422">
            <v>1501</v>
          </cell>
          <cell r="H422">
            <v>0</v>
          </cell>
          <cell r="I422">
            <v>1501</v>
          </cell>
          <cell r="J422">
            <v>0</v>
          </cell>
          <cell r="K422">
            <v>1501</v>
          </cell>
          <cell r="M422">
            <v>1337</v>
          </cell>
        </row>
        <row r="423">
          <cell r="F423">
            <v>1479</v>
          </cell>
          <cell r="H423">
            <v>0</v>
          </cell>
          <cell r="I423">
            <v>1479</v>
          </cell>
          <cell r="J423">
            <v>0</v>
          </cell>
          <cell r="K423">
            <v>1479</v>
          </cell>
          <cell r="M423">
            <v>1229</v>
          </cell>
        </row>
        <row r="424">
          <cell r="F424">
            <v>12222</v>
          </cell>
          <cell r="H424">
            <v>0</v>
          </cell>
          <cell r="I424">
            <v>12222</v>
          </cell>
          <cell r="J424">
            <v>0</v>
          </cell>
          <cell r="K424">
            <v>12222</v>
          </cell>
          <cell r="M424">
            <v>10249</v>
          </cell>
        </row>
        <row r="426">
          <cell r="F426">
            <v>0</v>
          </cell>
          <cell r="H426">
            <v>0</v>
          </cell>
          <cell r="I426">
            <v>0</v>
          </cell>
          <cell r="J426">
            <v>0</v>
          </cell>
          <cell r="K426">
            <v>0</v>
          </cell>
          <cell r="M426">
            <v>0</v>
          </cell>
        </row>
        <row r="427">
          <cell r="F427">
            <v>951</v>
          </cell>
          <cell r="H427">
            <v>0</v>
          </cell>
          <cell r="I427">
            <v>951</v>
          </cell>
          <cell r="J427">
            <v>0</v>
          </cell>
          <cell r="K427">
            <v>951</v>
          </cell>
          <cell r="M427">
            <v>864</v>
          </cell>
        </row>
        <row r="428">
          <cell r="F428">
            <v>133</v>
          </cell>
          <cell r="H428">
            <v>0</v>
          </cell>
          <cell r="I428">
            <v>133</v>
          </cell>
          <cell r="J428">
            <v>0</v>
          </cell>
          <cell r="K428">
            <v>133</v>
          </cell>
          <cell r="M428">
            <v>0</v>
          </cell>
        </row>
        <row r="429">
          <cell r="F429">
            <v>1084</v>
          </cell>
          <cell r="H429">
            <v>0</v>
          </cell>
          <cell r="I429">
            <v>1084</v>
          </cell>
          <cell r="J429">
            <v>0</v>
          </cell>
          <cell r="K429">
            <v>1084</v>
          </cell>
          <cell r="M429">
            <v>864</v>
          </cell>
        </row>
        <row r="431">
          <cell r="F431">
            <v>0</v>
          </cell>
          <cell r="H431">
            <v>0</v>
          </cell>
          <cell r="I431">
            <v>0</v>
          </cell>
          <cell r="J431">
            <v>0</v>
          </cell>
          <cell r="K431">
            <v>0</v>
          </cell>
          <cell r="M431">
            <v>0</v>
          </cell>
        </row>
        <row r="432">
          <cell r="F432">
            <v>462</v>
          </cell>
          <cell r="H432">
            <v>0</v>
          </cell>
          <cell r="I432">
            <v>462</v>
          </cell>
          <cell r="J432">
            <v>0</v>
          </cell>
          <cell r="K432">
            <v>462</v>
          </cell>
          <cell r="M432">
            <v>384</v>
          </cell>
        </row>
        <row r="433">
          <cell r="F433">
            <v>462</v>
          </cell>
          <cell r="H433">
            <v>0</v>
          </cell>
          <cell r="I433">
            <v>462</v>
          </cell>
          <cell r="J433">
            <v>0</v>
          </cell>
          <cell r="K433">
            <v>462</v>
          </cell>
          <cell r="M433">
            <v>384</v>
          </cell>
        </row>
        <row r="435">
          <cell r="F435">
            <v>0</v>
          </cell>
          <cell r="H435">
            <v>0</v>
          </cell>
          <cell r="I435">
            <v>0</v>
          </cell>
          <cell r="J435">
            <v>0</v>
          </cell>
          <cell r="K435">
            <v>0</v>
          </cell>
          <cell r="M435">
            <v>0</v>
          </cell>
        </row>
        <row r="436">
          <cell r="F436">
            <v>0</v>
          </cell>
          <cell r="H436">
            <v>0</v>
          </cell>
          <cell r="I436">
            <v>0</v>
          </cell>
          <cell r="J436">
            <v>0</v>
          </cell>
          <cell r="K436">
            <v>0</v>
          </cell>
          <cell r="M436">
            <v>0</v>
          </cell>
        </row>
        <row r="437">
          <cell r="F437">
            <v>0</v>
          </cell>
          <cell r="H437">
            <v>0</v>
          </cell>
          <cell r="I437">
            <v>0</v>
          </cell>
          <cell r="J437">
            <v>0</v>
          </cell>
          <cell r="K437">
            <v>0</v>
          </cell>
          <cell r="M437">
            <v>0</v>
          </cell>
        </row>
        <row r="438">
          <cell r="F438">
            <v>0</v>
          </cell>
          <cell r="H438">
            <v>0</v>
          </cell>
          <cell r="I438">
            <v>0</v>
          </cell>
          <cell r="J438">
            <v>0</v>
          </cell>
          <cell r="K438">
            <v>0</v>
          </cell>
          <cell r="M438">
            <v>0</v>
          </cell>
        </row>
        <row r="439">
          <cell r="F439">
            <v>0</v>
          </cell>
          <cell r="H439">
            <v>0</v>
          </cell>
          <cell r="I439">
            <v>0</v>
          </cell>
          <cell r="J439">
            <v>0</v>
          </cell>
          <cell r="K439">
            <v>0</v>
          </cell>
          <cell r="M439">
            <v>0</v>
          </cell>
        </row>
        <row r="440">
          <cell r="F440">
            <v>0</v>
          </cell>
          <cell r="H440">
            <v>0</v>
          </cell>
          <cell r="I440">
            <v>0</v>
          </cell>
          <cell r="J440">
            <v>0</v>
          </cell>
          <cell r="K440">
            <v>0</v>
          </cell>
          <cell r="M440">
            <v>0</v>
          </cell>
        </row>
        <row r="441">
          <cell r="F441">
            <v>0</v>
          </cell>
          <cell r="H441">
            <v>0</v>
          </cell>
          <cell r="I441">
            <v>0</v>
          </cell>
          <cell r="J441">
            <v>0</v>
          </cell>
          <cell r="K441">
            <v>0</v>
          </cell>
          <cell r="M441">
            <v>0</v>
          </cell>
        </row>
        <row r="442">
          <cell r="F442">
            <v>0</v>
          </cell>
          <cell r="H442">
            <v>0</v>
          </cell>
          <cell r="I442">
            <v>0</v>
          </cell>
          <cell r="J442">
            <v>0</v>
          </cell>
          <cell r="K442">
            <v>0</v>
          </cell>
          <cell r="M442">
            <v>0</v>
          </cell>
        </row>
        <row r="443">
          <cell r="F443">
            <v>0</v>
          </cell>
          <cell r="H443">
            <v>0</v>
          </cell>
          <cell r="I443">
            <v>0</v>
          </cell>
          <cell r="J443">
            <v>0</v>
          </cell>
          <cell r="K443">
            <v>0</v>
          </cell>
          <cell r="M443">
            <v>0</v>
          </cell>
        </row>
        <row r="444">
          <cell r="F444">
            <v>0</v>
          </cell>
          <cell r="H444">
            <v>0</v>
          </cell>
          <cell r="I444">
            <v>0</v>
          </cell>
          <cell r="J444">
            <v>0</v>
          </cell>
          <cell r="K444">
            <v>0</v>
          </cell>
          <cell r="M444">
            <v>0</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0</v>
          </cell>
          <cell r="H447">
            <v>0</v>
          </cell>
          <cell r="I447">
            <v>0</v>
          </cell>
          <cell r="J447">
            <v>0</v>
          </cell>
          <cell r="K447">
            <v>0</v>
          </cell>
          <cell r="M447">
            <v>0</v>
          </cell>
        </row>
        <row r="448">
          <cell r="F448">
            <v>0</v>
          </cell>
          <cell r="H448">
            <v>0</v>
          </cell>
          <cell r="I448">
            <v>0</v>
          </cell>
          <cell r="J448">
            <v>0</v>
          </cell>
          <cell r="K448">
            <v>0</v>
          </cell>
          <cell r="M448">
            <v>0</v>
          </cell>
        </row>
        <row r="449">
          <cell r="F449">
            <v>0</v>
          </cell>
          <cell r="H449">
            <v>0</v>
          </cell>
          <cell r="I449">
            <v>0</v>
          </cell>
          <cell r="J449">
            <v>0</v>
          </cell>
          <cell r="K449">
            <v>0</v>
          </cell>
          <cell r="M449">
            <v>0</v>
          </cell>
        </row>
        <row r="450">
          <cell r="F450">
            <v>100</v>
          </cell>
          <cell r="H450">
            <v>0</v>
          </cell>
          <cell r="I450">
            <v>100</v>
          </cell>
          <cell r="J450">
            <v>0</v>
          </cell>
          <cell r="K450">
            <v>100</v>
          </cell>
          <cell r="M450">
            <v>70</v>
          </cell>
        </row>
        <row r="451">
          <cell r="F451">
            <v>100</v>
          </cell>
          <cell r="H451">
            <v>0</v>
          </cell>
          <cell r="I451">
            <v>100</v>
          </cell>
          <cell r="J451">
            <v>0</v>
          </cell>
          <cell r="K451">
            <v>100</v>
          </cell>
          <cell r="M451">
            <v>70</v>
          </cell>
        </row>
        <row r="453">
          <cell r="F453">
            <v>0</v>
          </cell>
          <cell r="H453">
            <v>0</v>
          </cell>
          <cell r="I453">
            <v>0</v>
          </cell>
          <cell r="J453">
            <v>0</v>
          </cell>
          <cell r="K453">
            <v>0</v>
          </cell>
          <cell r="M453">
            <v>0</v>
          </cell>
        </row>
        <row r="455">
          <cell r="F455">
            <v>0</v>
          </cell>
          <cell r="H455">
            <v>0</v>
          </cell>
          <cell r="I455">
            <v>0</v>
          </cell>
          <cell r="J455">
            <v>0</v>
          </cell>
          <cell r="K455">
            <v>0</v>
          </cell>
          <cell r="M455">
            <v>0</v>
          </cell>
        </row>
        <row r="457">
          <cell r="F457">
            <v>0</v>
          </cell>
          <cell r="H457">
            <v>0</v>
          </cell>
          <cell r="I457">
            <v>0</v>
          </cell>
          <cell r="J457">
            <v>0</v>
          </cell>
          <cell r="K457">
            <v>0</v>
          </cell>
          <cell r="M457">
            <v>0</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0</v>
          </cell>
          <cell r="K460">
            <v>0</v>
          </cell>
          <cell r="M460">
            <v>0</v>
          </cell>
        </row>
        <row r="461">
          <cell r="F461">
            <v>0</v>
          </cell>
          <cell r="H461">
            <v>0</v>
          </cell>
          <cell r="I461">
            <v>0</v>
          </cell>
          <cell r="J461">
            <v>0</v>
          </cell>
          <cell r="K461">
            <v>0</v>
          </cell>
          <cell r="M461">
            <v>0</v>
          </cell>
        </row>
        <row r="462">
          <cell r="F462">
            <v>0</v>
          </cell>
          <cell r="H462">
            <v>0</v>
          </cell>
          <cell r="I462">
            <v>0</v>
          </cell>
          <cell r="J462">
            <v>0</v>
          </cell>
          <cell r="K462">
            <v>0</v>
          </cell>
          <cell r="M462">
            <v>0</v>
          </cell>
        </row>
        <row r="463">
          <cell r="F463">
            <v>0</v>
          </cell>
          <cell r="H463">
            <v>0</v>
          </cell>
          <cell r="I463">
            <v>0</v>
          </cell>
          <cell r="J463">
            <v>0</v>
          </cell>
          <cell r="K463">
            <v>0</v>
          </cell>
          <cell r="M463">
            <v>0</v>
          </cell>
        </row>
        <row r="464">
          <cell r="F464">
            <v>0</v>
          </cell>
          <cell r="H464">
            <v>0</v>
          </cell>
          <cell r="I464">
            <v>0</v>
          </cell>
          <cell r="J464">
            <v>0</v>
          </cell>
          <cell r="K464">
            <v>0</v>
          </cell>
          <cell r="M464">
            <v>0</v>
          </cell>
        </row>
        <row r="465">
          <cell r="F465">
            <v>0</v>
          </cell>
          <cell r="H465">
            <v>0</v>
          </cell>
          <cell r="I465">
            <v>0</v>
          </cell>
          <cell r="J465">
            <v>0</v>
          </cell>
          <cell r="K465">
            <v>0</v>
          </cell>
          <cell r="M465">
            <v>0</v>
          </cell>
        </row>
        <row r="466">
          <cell r="F466">
            <v>0</v>
          </cell>
          <cell r="H466">
            <v>0</v>
          </cell>
          <cell r="I466">
            <v>0</v>
          </cell>
          <cell r="J466">
            <v>0</v>
          </cell>
          <cell r="K466">
            <v>0</v>
          </cell>
          <cell r="M466">
            <v>0</v>
          </cell>
        </row>
        <row r="467">
          <cell r="F467">
            <v>0</v>
          </cell>
          <cell r="H467">
            <v>0</v>
          </cell>
          <cell r="I467">
            <v>0</v>
          </cell>
          <cell r="J467">
            <v>0</v>
          </cell>
          <cell r="K467">
            <v>0</v>
          </cell>
          <cell r="M467">
            <v>0</v>
          </cell>
        </row>
        <row r="468">
          <cell r="F468">
            <v>0</v>
          </cell>
          <cell r="H468">
            <v>0</v>
          </cell>
          <cell r="I468">
            <v>0</v>
          </cell>
          <cell r="J468">
            <v>0</v>
          </cell>
          <cell r="K468">
            <v>0</v>
          </cell>
          <cell r="M468">
            <v>0</v>
          </cell>
        </row>
        <row r="469">
          <cell r="F469">
            <v>0</v>
          </cell>
          <cell r="H469">
            <v>0</v>
          </cell>
          <cell r="I469">
            <v>0</v>
          </cell>
          <cell r="J469">
            <v>0</v>
          </cell>
          <cell r="K469">
            <v>0</v>
          </cell>
          <cell r="M469">
            <v>0</v>
          </cell>
        </row>
        <row r="470">
          <cell r="F470">
            <v>0</v>
          </cell>
          <cell r="H470">
            <v>0</v>
          </cell>
          <cell r="I470">
            <v>0</v>
          </cell>
          <cell r="J470">
            <v>0</v>
          </cell>
          <cell r="K470">
            <v>0</v>
          </cell>
          <cell r="M470">
            <v>0</v>
          </cell>
        </row>
        <row r="471">
          <cell r="F471">
            <v>0</v>
          </cell>
          <cell r="H471">
            <v>0</v>
          </cell>
          <cell r="I471">
            <v>0</v>
          </cell>
          <cell r="J471">
            <v>0</v>
          </cell>
          <cell r="K471">
            <v>0</v>
          </cell>
          <cell r="M471">
            <v>0</v>
          </cell>
        </row>
        <row r="472">
          <cell r="F472">
            <v>0</v>
          </cell>
          <cell r="H472">
            <v>0</v>
          </cell>
          <cell r="I472">
            <v>0</v>
          </cell>
          <cell r="J472">
            <v>0</v>
          </cell>
          <cell r="K472">
            <v>0</v>
          </cell>
          <cell r="M472">
            <v>0</v>
          </cell>
        </row>
        <row r="473">
          <cell r="F473">
            <v>0</v>
          </cell>
          <cell r="H473">
            <v>0</v>
          </cell>
          <cell r="I473">
            <v>0</v>
          </cell>
          <cell r="J473">
            <v>0</v>
          </cell>
          <cell r="K473">
            <v>0</v>
          </cell>
          <cell r="M473">
            <v>2</v>
          </cell>
        </row>
        <row r="474">
          <cell r="F474">
            <v>3</v>
          </cell>
          <cell r="H474">
            <v>0</v>
          </cell>
          <cell r="I474">
            <v>3</v>
          </cell>
          <cell r="J474">
            <v>0</v>
          </cell>
          <cell r="K474">
            <v>3</v>
          </cell>
          <cell r="M474">
            <v>1</v>
          </cell>
        </row>
        <row r="475">
          <cell r="F475">
            <v>0</v>
          </cell>
          <cell r="H475">
            <v>0</v>
          </cell>
          <cell r="I475">
            <v>0</v>
          </cell>
          <cell r="J475">
            <v>0</v>
          </cell>
          <cell r="K475">
            <v>0</v>
          </cell>
          <cell r="M475">
            <v>0</v>
          </cell>
        </row>
        <row r="476">
          <cell r="F476">
            <v>48</v>
          </cell>
          <cell r="H476">
            <v>0</v>
          </cell>
          <cell r="I476">
            <v>48</v>
          </cell>
          <cell r="J476">
            <v>0</v>
          </cell>
          <cell r="K476">
            <v>48</v>
          </cell>
          <cell r="M476">
            <v>28</v>
          </cell>
        </row>
        <row r="477">
          <cell r="F477">
            <v>14</v>
          </cell>
          <cell r="H477">
            <v>0</v>
          </cell>
          <cell r="I477">
            <v>14</v>
          </cell>
          <cell r="J477">
            <v>0</v>
          </cell>
          <cell r="K477">
            <v>14</v>
          </cell>
          <cell r="M477">
            <v>8</v>
          </cell>
        </row>
        <row r="478">
          <cell r="F478">
            <v>11</v>
          </cell>
          <cell r="H478">
            <v>0</v>
          </cell>
          <cell r="I478">
            <v>11</v>
          </cell>
          <cell r="J478">
            <v>0</v>
          </cell>
          <cell r="K478">
            <v>11</v>
          </cell>
          <cell r="M478">
            <v>3</v>
          </cell>
        </row>
        <row r="479">
          <cell r="F479">
            <v>0</v>
          </cell>
          <cell r="H479">
            <v>0</v>
          </cell>
          <cell r="I479">
            <v>0</v>
          </cell>
          <cell r="J479">
            <v>0</v>
          </cell>
          <cell r="K479">
            <v>0</v>
          </cell>
          <cell r="M479">
            <v>12</v>
          </cell>
        </row>
        <row r="480">
          <cell r="F480">
            <v>6</v>
          </cell>
          <cell r="H480">
            <v>0</v>
          </cell>
          <cell r="I480">
            <v>6</v>
          </cell>
          <cell r="J480">
            <v>0</v>
          </cell>
          <cell r="K480">
            <v>6</v>
          </cell>
          <cell r="M480">
            <v>2</v>
          </cell>
        </row>
        <row r="481">
          <cell r="F481">
            <v>82</v>
          </cell>
          <cell r="H481">
            <v>0</v>
          </cell>
          <cell r="I481">
            <v>82</v>
          </cell>
          <cell r="J481">
            <v>0</v>
          </cell>
          <cell r="K481">
            <v>82</v>
          </cell>
          <cell r="M481">
            <v>56</v>
          </cell>
        </row>
        <row r="483">
          <cell r="F483">
            <v>0</v>
          </cell>
          <cell r="H483">
            <v>0</v>
          </cell>
          <cell r="I483">
            <v>0</v>
          </cell>
          <cell r="J483">
            <v>0</v>
          </cell>
          <cell r="K483">
            <v>0</v>
          </cell>
          <cell r="M483">
            <v>0</v>
          </cell>
        </row>
        <row r="485">
          <cell r="F485">
            <v>0</v>
          </cell>
          <cell r="H485">
            <v>0</v>
          </cell>
          <cell r="I485">
            <v>0</v>
          </cell>
          <cell r="J485">
            <v>0</v>
          </cell>
          <cell r="K485">
            <v>0</v>
          </cell>
          <cell r="M485">
            <v>0</v>
          </cell>
        </row>
        <row r="486">
          <cell r="F486">
            <v>0</v>
          </cell>
          <cell r="H486">
            <v>0</v>
          </cell>
          <cell r="I486">
            <v>0</v>
          </cell>
          <cell r="J486">
            <v>0</v>
          </cell>
          <cell r="K486">
            <v>0</v>
          </cell>
          <cell r="M486">
            <v>0</v>
          </cell>
        </row>
        <row r="487">
          <cell r="F487">
            <v>0</v>
          </cell>
          <cell r="H487">
            <v>0</v>
          </cell>
          <cell r="I487">
            <v>0</v>
          </cell>
          <cell r="J487">
            <v>0</v>
          </cell>
          <cell r="K487">
            <v>0</v>
          </cell>
          <cell r="M487">
            <v>0</v>
          </cell>
        </row>
        <row r="488">
          <cell r="F488">
            <v>69</v>
          </cell>
          <cell r="H488">
            <v>0</v>
          </cell>
          <cell r="I488">
            <v>69</v>
          </cell>
          <cell r="J488">
            <v>0</v>
          </cell>
          <cell r="K488">
            <v>69</v>
          </cell>
          <cell r="M488">
            <v>10</v>
          </cell>
        </row>
        <row r="489">
          <cell r="F489">
            <v>129</v>
          </cell>
          <cell r="H489">
            <v>0</v>
          </cell>
          <cell r="I489">
            <v>129</v>
          </cell>
          <cell r="J489">
            <v>0</v>
          </cell>
          <cell r="K489">
            <v>129</v>
          </cell>
          <cell r="M489">
            <v>91</v>
          </cell>
        </row>
        <row r="490">
          <cell r="F490">
            <v>7</v>
          </cell>
          <cell r="H490">
            <v>0</v>
          </cell>
          <cell r="I490">
            <v>7</v>
          </cell>
          <cell r="J490">
            <v>0</v>
          </cell>
          <cell r="K490">
            <v>7</v>
          </cell>
          <cell r="M490">
            <v>0</v>
          </cell>
        </row>
        <row r="491">
          <cell r="F491">
            <v>0</v>
          </cell>
          <cell r="H491">
            <v>0</v>
          </cell>
          <cell r="I491">
            <v>0</v>
          </cell>
          <cell r="J491">
            <v>0</v>
          </cell>
          <cell r="K491">
            <v>0</v>
          </cell>
          <cell r="M491">
            <v>0</v>
          </cell>
        </row>
        <row r="492">
          <cell r="F492">
            <v>205</v>
          </cell>
          <cell r="H492">
            <v>0</v>
          </cell>
          <cell r="I492">
            <v>205</v>
          </cell>
          <cell r="J492">
            <v>0</v>
          </cell>
          <cell r="K492">
            <v>205</v>
          </cell>
          <cell r="M492">
            <v>101</v>
          </cell>
        </row>
        <row r="494">
          <cell r="F494">
            <v>0</v>
          </cell>
          <cell r="H494">
            <v>0</v>
          </cell>
          <cell r="I494">
            <v>0</v>
          </cell>
          <cell r="J494">
            <v>0</v>
          </cell>
          <cell r="K494">
            <v>0</v>
          </cell>
          <cell r="M494">
            <v>0</v>
          </cell>
        </row>
        <row r="495">
          <cell r="F495">
            <v>0</v>
          </cell>
          <cell r="H495">
            <v>0</v>
          </cell>
          <cell r="I495">
            <v>0</v>
          </cell>
          <cell r="J495">
            <v>0</v>
          </cell>
          <cell r="K495">
            <v>0</v>
          </cell>
          <cell r="M495">
            <v>0</v>
          </cell>
        </row>
        <row r="496">
          <cell r="F496">
            <v>0</v>
          </cell>
          <cell r="H496">
            <v>0</v>
          </cell>
          <cell r="I496">
            <v>0</v>
          </cell>
          <cell r="J496">
            <v>0</v>
          </cell>
          <cell r="K496">
            <v>0</v>
          </cell>
          <cell r="M496">
            <v>177</v>
          </cell>
        </row>
        <row r="497">
          <cell r="F497">
            <v>0</v>
          </cell>
          <cell r="H497">
            <v>0</v>
          </cell>
          <cell r="I497">
            <v>0</v>
          </cell>
          <cell r="J497">
            <v>0</v>
          </cell>
          <cell r="K497">
            <v>0</v>
          </cell>
          <cell r="M497">
            <v>177</v>
          </cell>
        </row>
        <row r="499">
          <cell r="F499">
            <v>0</v>
          </cell>
          <cell r="H499">
            <v>0</v>
          </cell>
          <cell r="I499">
            <v>0</v>
          </cell>
          <cell r="J499">
            <v>0</v>
          </cell>
          <cell r="K499">
            <v>0</v>
          </cell>
          <cell r="M499">
            <v>0</v>
          </cell>
        </row>
        <row r="500">
          <cell r="F500">
            <v>0</v>
          </cell>
          <cell r="H500">
            <v>0</v>
          </cell>
          <cell r="I500">
            <v>0</v>
          </cell>
          <cell r="J500">
            <v>0</v>
          </cell>
          <cell r="K500">
            <v>0</v>
          </cell>
          <cell r="M500">
            <v>0</v>
          </cell>
        </row>
        <row r="501">
          <cell r="F501">
            <v>3</v>
          </cell>
          <cell r="H501">
            <v>0</v>
          </cell>
          <cell r="I501">
            <v>3</v>
          </cell>
          <cell r="J501">
            <v>0</v>
          </cell>
          <cell r="K501">
            <v>3</v>
          </cell>
          <cell r="M501">
            <v>0</v>
          </cell>
        </row>
        <row r="502">
          <cell r="F502">
            <v>115</v>
          </cell>
          <cell r="H502">
            <v>0</v>
          </cell>
          <cell r="I502">
            <v>115</v>
          </cell>
          <cell r="J502">
            <v>0</v>
          </cell>
          <cell r="K502">
            <v>115</v>
          </cell>
          <cell r="M502">
            <v>74</v>
          </cell>
        </row>
        <row r="503">
          <cell r="F503">
            <v>118</v>
          </cell>
          <cell r="H503">
            <v>0</v>
          </cell>
          <cell r="I503">
            <v>118</v>
          </cell>
          <cell r="J503">
            <v>0</v>
          </cell>
          <cell r="K503">
            <v>118</v>
          </cell>
          <cell r="M503">
            <v>74</v>
          </cell>
        </row>
        <row r="505">
          <cell r="F505">
            <v>0</v>
          </cell>
          <cell r="H505">
            <v>0</v>
          </cell>
          <cell r="I505">
            <v>0</v>
          </cell>
          <cell r="J505">
            <v>0</v>
          </cell>
          <cell r="K505">
            <v>0</v>
          </cell>
          <cell r="M505">
            <v>0</v>
          </cell>
        </row>
        <row r="506">
          <cell r="F506">
            <v>0</v>
          </cell>
          <cell r="H506">
            <v>0</v>
          </cell>
          <cell r="I506">
            <v>0</v>
          </cell>
          <cell r="J506">
            <v>0</v>
          </cell>
          <cell r="K506">
            <v>0</v>
          </cell>
          <cell r="M506">
            <v>0</v>
          </cell>
        </row>
        <row r="507">
          <cell r="F507">
            <v>125</v>
          </cell>
          <cell r="H507">
            <v>0</v>
          </cell>
          <cell r="I507">
            <v>125</v>
          </cell>
          <cell r="J507">
            <v>0</v>
          </cell>
          <cell r="K507">
            <v>125</v>
          </cell>
          <cell r="M507">
            <v>23</v>
          </cell>
        </row>
        <row r="508">
          <cell r="F508">
            <v>13</v>
          </cell>
          <cell r="H508">
            <v>0</v>
          </cell>
          <cell r="I508">
            <v>13</v>
          </cell>
          <cell r="J508">
            <v>0</v>
          </cell>
          <cell r="K508">
            <v>13</v>
          </cell>
          <cell r="M508">
            <v>15</v>
          </cell>
        </row>
        <row r="509">
          <cell r="F509">
            <v>138</v>
          </cell>
          <cell r="H509">
            <v>0</v>
          </cell>
          <cell r="I509">
            <v>138</v>
          </cell>
          <cell r="J509">
            <v>0</v>
          </cell>
          <cell r="K509">
            <v>138</v>
          </cell>
          <cell r="M509">
            <v>38</v>
          </cell>
        </row>
        <row r="511">
          <cell r="F511">
            <v>0</v>
          </cell>
          <cell r="H511">
            <v>0</v>
          </cell>
          <cell r="I511">
            <v>0</v>
          </cell>
          <cell r="J511">
            <v>0</v>
          </cell>
          <cell r="K511">
            <v>0</v>
          </cell>
          <cell r="M511">
            <v>0</v>
          </cell>
        </row>
        <row r="512">
          <cell r="F512">
            <v>0</v>
          </cell>
          <cell r="H512">
            <v>0</v>
          </cell>
          <cell r="I512">
            <v>0</v>
          </cell>
          <cell r="J512">
            <v>0</v>
          </cell>
          <cell r="K512">
            <v>0</v>
          </cell>
          <cell r="M512">
            <v>0</v>
          </cell>
        </row>
        <row r="513">
          <cell r="F513">
            <v>0</v>
          </cell>
          <cell r="H513">
            <v>0</v>
          </cell>
          <cell r="I513">
            <v>0</v>
          </cell>
          <cell r="J513">
            <v>0</v>
          </cell>
          <cell r="K513">
            <v>0</v>
          </cell>
          <cell r="M513">
            <v>0</v>
          </cell>
        </row>
        <row r="514">
          <cell r="F514">
            <v>0</v>
          </cell>
          <cell r="H514">
            <v>0</v>
          </cell>
          <cell r="I514">
            <v>0</v>
          </cell>
          <cell r="J514">
            <v>0</v>
          </cell>
          <cell r="K514">
            <v>0</v>
          </cell>
          <cell r="M514">
            <v>0</v>
          </cell>
        </row>
        <row r="515">
          <cell r="F515">
            <v>0</v>
          </cell>
          <cell r="H515">
            <v>0</v>
          </cell>
          <cell r="I515">
            <v>0</v>
          </cell>
          <cell r="J515">
            <v>0</v>
          </cell>
          <cell r="K515">
            <v>0</v>
          </cell>
          <cell r="M515">
            <v>0</v>
          </cell>
        </row>
        <row r="516">
          <cell r="F516">
            <v>333</v>
          </cell>
          <cell r="H516">
            <v>0</v>
          </cell>
          <cell r="I516">
            <v>333</v>
          </cell>
          <cell r="J516">
            <v>0</v>
          </cell>
          <cell r="K516">
            <v>333</v>
          </cell>
          <cell r="M516">
            <v>252</v>
          </cell>
        </row>
        <row r="517">
          <cell r="F517">
            <v>23</v>
          </cell>
          <cell r="H517">
            <v>0</v>
          </cell>
          <cell r="I517">
            <v>23</v>
          </cell>
          <cell r="J517">
            <v>0</v>
          </cell>
          <cell r="K517">
            <v>23</v>
          </cell>
          <cell r="M517">
            <v>0</v>
          </cell>
        </row>
        <row r="518">
          <cell r="F518">
            <v>356</v>
          </cell>
          <cell r="H518">
            <v>0</v>
          </cell>
          <cell r="I518">
            <v>356</v>
          </cell>
          <cell r="J518">
            <v>0</v>
          </cell>
          <cell r="K518">
            <v>356</v>
          </cell>
          <cell r="M518">
            <v>252</v>
          </cell>
        </row>
        <row r="520">
          <cell r="F520">
            <v>0</v>
          </cell>
          <cell r="H520">
            <v>0</v>
          </cell>
          <cell r="I520">
            <v>0</v>
          </cell>
          <cell r="J520">
            <v>0</v>
          </cell>
          <cell r="K520">
            <v>0</v>
          </cell>
          <cell r="M520">
            <v>0</v>
          </cell>
        </row>
        <row r="522">
          <cell r="F522">
            <v>139</v>
          </cell>
          <cell r="H522">
            <v>0</v>
          </cell>
          <cell r="I522">
            <v>139</v>
          </cell>
          <cell r="J522">
            <v>0</v>
          </cell>
          <cell r="K522">
            <v>139</v>
          </cell>
          <cell r="M522">
            <v>0</v>
          </cell>
        </row>
        <row r="523">
          <cell r="F523">
            <v>139</v>
          </cell>
          <cell r="H523">
            <v>0</v>
          </cell>
          <cell r="I523">
            <v>139</v>
          </cell>
          <cell r="J523">
            <v>0</v>
          </cell>
          <cell r="K523">
            <v>139</v>
          </cell>
          <cell r="M523">
            <v>0</v>
          </cell>
        </row>
        <row r="525">
          <cell r="F525">
            <v>0</v>
          </cell>
          <cell r="H525">
            <v>0</v>
          </cell>
          <cell r="I525">
            <v>0</v>
          </cell>
          <cell r="J525">
            <v>0</v>
          </cell>
          <cell r="K525">
            <v>0</v>
          </cell>
          <cell r="M525">
            <v>0</v>
          </cell>
        </row>
        <row r="527">
          <cell r="F527">
            <v>0</v>
          </cell>
          <cell r="H527">
            <v>0</v>
          </cell>
          <cell r="I527">
            <v>0</v>
          </cell>
          <cell r="J527">
            <v>0</v>
          </cell>
          <cell r="K527">
            <v>0</v>
          </cell>
          <cell r="M527">
            <v>0</v>
          </cell>
        </row>
        <row r="528">
          <cell r="F528">
            <v>0</v>
          </cell>
          <cell r="H528">
            <v>0</v>
          </cell>
          <cell r="I528">
            <v>0</v>
          </cell>
          <cell r="J528">
            <v>0</v>
          </cell>
          <cell r="K528">
            <v>0</v>
          </cell>
          <cell r="M528">
            <v>1213</v>
          </cell>
        </row>
        <row r="529">
          <cell r="F529">
            <v>0</v>
          </cell>
          <cell r="H529">
            <v>0</v>
          </cell>
          <cell r="I529">
            <v>0</v>
          </cell>
          <cell r="J529">
            <v>0</v>
          </cell>
          <cell r="K529">
            <v>0</v>
          </cell>
          <cell r="M529">
            <v>1213</v>
          </cell>
        </row>
        <row r="531">
          <cell r="F531">
            <v>0</v>
          </cell>
          <cell r="H531">
            <v>0</v>
          </cell>
          <cell r="I531">
            <v>0</v>
          </cell>
          <cell r="J531">
            <v>0</v>
          </cell>
          <cell r="K531">
            <v>0</v>
          </cell>
          <cell r="M531">
            <v>0</v>
          </cell>
        </row>
        <row r="532">
          <cell r="F532">
            <v>0</v>
          </cell>
          <cell r="H532">
            <v>0</v>
          </cell>
          <cell r="I532">
            <v>0</v>
          </cell>
          <cell r="J532">
            <v>0</v>
          </cell>
          <cell r="K532">
            <v>0</v>
          </cell>
          <cell r="M532">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5">
          <cell r="F535">
            <v>0</v>
          </cell>
          <cell r="H535">
            <v>0</v>
          </cell>
          <cell r="I535">
            <v>0</v>
          </cell>
          <cell r="J535">
            <v>0</v>
          </cell>
          <cell r="K535">
            <v>0</v>
          </cell>
          <cell r="M535">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8">
          <cell r="F538">
            <v>0</v>
          </cell>
          <cell r="H538">
            <v>0</v>
          </cell>
          <cell r="I538">
            <v>0</v>
          </cell>
          <cell r="J538">
            <v>0</v>
          </cell>
          <cell r="K538">
            <v>0</v>
          </cell>
          <cell r="M538">
            <v>0</v>
          </cell>
        </row>
        <row r="539">
          <cell r="F539">
            <v>-607</v>
          </cell>
          <cell r="H539">
            <v>0</v>
          </cell>
          <cell r="I539">
            <v>-607</v>
          </cell>
          <cell r="J539">
            <v>0</v>
          </cell>
          <cell r="K539">
            <v>-607</v>
          </cell>
          <cell r="M539">
            <v>757</v>
          </cell>
        </row>
        <row r="540">
          <cell r="F540">
            <v>-607</v>
          </cell>
          <cell r="H540">
            <v>0</v>
          </cell>
          <cell r="I540">
            <v>-607</v>
          </cell>
          <cell r="J540">
            <v>0</v>
          </cell>
          <cell r="K540">
            <v>-607</v>
          </cell>
          <cell r="M540">
            <v>757</v>
          </cell>
        </row>
        <row r="542">
          <cell r="F542">
            <v>0</v>
          </cell>
          <cell r="H542">
            <v>0</v>
          </cell>
          <cell r="I542">
            <v>0</v>
          </cell>
          <cell r="J542">
            <v>0</v>
          </cell>
          <cell r="K542">
            <v>0</v>
          </cell>
          <cell r="M542">
            <v>0</v>
          </cell>
        </row>
        <row r="543">
          <cell r="F543">
            <v>-6274</v>
          </cell>
          <cell r="H543">
            <v>0</v>
          </cell>
          <cell r="I543">
            <v>-6274</v>
          </cell>
          <cell r="J543">
            <v>0</v>
          </cell>
          <cell r="K543">
            <v>-6274</v>
          </cell>
          <cell r="M543">
            <v>1309</v>
          </cell>
        </row>
        <row r="544">
          <cell r="F544">
            <v>-6274</v>
          </cell>
          <cell r="H544">
            <v>0</v>
          </cell>
          <cell r="I544">
            <v>-6274</v>
          </cell>
          <cell r="J544">
            <v>0</v>
          </cell>
          <cell r="K544">
            <v>-6274</v>
          </cell>
          <cell r="M544">
            <v>1309</v>
          </cell>
        </row>
        <row r="546">
          <cell r="F546">
            <v>0</v>
          </cell>
          <cell r="H546">
            <v>0</v>
          </cell>
          <cell r="I546">
            <v>0</v>
          </cell>
          <cell r="J546">
            <v>0</v>
          </cell>
          <cell r="K546">
            <v>0</v>
          </cell>
          <cell r="M546">
            <v>0</v>
          </cell>
        </row>
        <row r="548">
          <cell r="F548">
            <v>0</v>
          </cell>
          <cell r="H548">
            <v>0</v>
          </cell>
          <cell r="I548">
            <v>0</v>
          </cell>
          <cell r="J548">
            <v>0</v>
          </cell>
          <cell r="K548">
            <v>0</v>
          </cell>
          <cell r="M548">
            <v>0</v>
          </cell>
        </row>
        <row r="550">
          <cell r="F550">
            <v>0</v>
          </cell>
          <cell r="H550">
            <v>0</v>
          </cell>
          <cell r="I550">
            <v>0</v>
          </cell>
          <cell r="J550">
            <v>0</v>
          </cell>
          <cell r="K550">
            <v>0</v>
          </cell>
          <cell r="M550">
            <v>0</v>
          </cell>
        </row>
        <row r="552">
          <cell r="F552">
            <v>0</v>
          </cell>
          <cell r="H552">
            <v>0</v>
          </cell>
          <cell r="I552">
            <v>0</v>
          </cell>
          <cell r="J552">
            <v>0</v>
          </cell>
          <cell r="K552">
            <v>0</v>
          </cell>
          <cell r="M552">
            <v>0</v>
          </cell>
        </row>
        <row r="553">
          <cell r="F553">
            <v>0</v>
          </cell>
          <cell r="H553">
            <v>0</v>
          </cell>
          <cell r="I553">
            <v>0</v>
          </cell>
          <cell r="J553">
            <v>0</v>
          </cell>
          <cell r="K553">
            <v>0</v>
          </cell>
          <cell r="M553">
            <v>0</v>
          </cell>
        </row>
      </sheetData>
      <sheetData sheetId="11"/>
      <sheetData sheetId="12"/>
      <sheetData sheetId="13">
        <row r="1">
          <cell r="F1" t="str">
            <v>Preliminary</v>
          </cell>
          <cell r="G1" t="str">
            <v>AJE</v>
          </cell>
          <cell r="H1" t="str">
            <v>Adjusted</v>
          </cell>
          <cell r="I1" t="str">
            <v>RJE</v>
          </cell>
          <cell r="J1" t="str">
            <v>Dec 15</v>
          </cell>
        </row>
        <row r="3">
          <cell r="F3">
            <v>353</v>
          </cell>
          <cell r="G3">
            <v>0</v>
          </cell>
          <cell r="H3">
            <v>353</v>
          </cell>
          <cell r="I3">
            <v>0</v>
          </cell>
          <cell r="J3">
            <v>353</v>
          </cell>
        </row>
        <row r="4">
          <cell r="F4">
            <v>204190</v>
          </cell>
          <cell r="G4">
            <v>0</v>
          </cell>
          <cell r="H4">
            <v>204190</v>
          </cell>
          <cell r="I4">
            <v>0</v>
          </cell>
          <cell r="J4">
            <v>204190</v>
          </cell>
        </row>
        <row r="5">
          <cell r="F5">
            <v>12</v>
          </cell>
          <cell r="G5">
            <v>0</v>
          </cell>
          <cell r="H5">
            <v>12</v>
          </cell>
          <cell r="I5">
            <v>0</v>
          </cell>
          <cell r="J5">
            <v>12</v>
          </cell>
        </row>
        <row r="6">
          <cell r="F6">
            <v>54076</v>
          </cell>
          <cell r="G6">
            <v>0</v>
          </cell>
          <cell r="H6">
            <v>54076</v>
          </cell>
          <cell r="I6">
            <v>0</v>
          </cell>
          <cell r="J6">
            <v>54076</v>
          </cell>
        </row>
        <row r="7">
          <cell r="F7">
            <v>4933</v>
          </cell>
          <cell r="G7">
            <v>0</v>
          </cell>
          <cell r="H7">
            <v>4933</v>
          </cell>
          <cell r="I7">
            <v>0</v>
          </cell>
          <cell r="J7">
            <v>4933</v>
          </cell>
        </row>
        <row r="8">
          <cell r="F8">
            <v>1101</v>
          </cell>
          <cell r="G8">
            <v>0</v>
          </cell>
          <cell r="H8">
            <v>1101</v>
          </cell>
          <cell r="I8">
            <v>0</v>
          </cell>
          <cell r="J8">
            <v>1101</v>
          </cell>
        </row>
        <row r="9">
          <cell r="F9">
            <v>144935</v>
          </cell>
          <cell r="G9">
            <v>0</v>
          </cell>
          <cell r="H9">
            <v>144935</v>
          </cell>
          <cell r="I9">
            <v>0</v>
          </cell>
          <cell r="J9">
            <v>144935</v>
          </cell>
        </row>
        <row r="10">
          <cell r="F10">
            <v>8</v>
          </cell>
          <cell r="G10">
            <v>0</v>
          </cell>
          <cell r="H10">
            <v>8</v>
          </cell>
          <cell r="I10">
            <v>0</v>
          </cell>
          <cell r="J10">
            <v>8</v>
          </cell>
        </row>
        <row r="11">
          <cell r="F11">
            <v>136609</v>
          </cell>
          <cell r="G11">
            <v>0</v>
          </cell>
          <cell r="H11">
            <v>136609</v>
          </cell>
          <cell r="I11">
            <v>0</v>
          </cell>
          <cell r="J11">
            <v>136609</v>
          </cell>
        </row>
        <row r="12">
          <cell r="F12">
            <v>4</v>
          </cell>
          <cell r="G12">
            <v>0</v>
          </cell>
          <cell r="H12">
            <v>4</v>
          </cell>
          <cell r="I12">
            <v>0</v>
          </cell>
          <cell r="J12">
            <v>4</v>
          </cell>
        </row>
        <row r="13">
          <cell r="F13">
            <v>719</v>
          </cell>
          <cell r="G13">
            <v>0</v>
          </cell>
          <cell r="H13">
            <v>719</v>
          </cell>
          <cell r="I13">
            <v>0</v>
          </cell>
          <cell r="J13">
            <v>719</v>
          </cell>
        </row>
        <row r="14">
          <cell r="F14">
            <v>835</v>
          </cell>
          <cell r="G14">
            <v>0</v>
          </cell>
          <cell r="H14">
            <v>835</v>
          </cell>
          <cell r="I14">
            <v>0</v>
          </cell>
          <cell r="J14">
            <v>835</v>
          </cell>
        </row>
        <row r="15">
          <cell r="F15">
            <v>4090</v>
          </cell>
          <cell r="G15">
            <v>0</v>
          </cell>
          <cell r="H15">
            <v>4090</v>
          </cell>
          <cell r="I15">
            <v>0</v>
          </cell>
          <cell r="J15">
            <v>4090</v>
          </cell>
        </row>
        <row r="16">
          <cell r="F16">
            <v>150000</v>
          </cell>
          <cell r="G16">
            <v>0</v>
          </cell>
          <cell r="H16">
            <v>150000</v>
          </cell>
          <cell r="I16">
            <v>0</v>
          </cell>
          <cell r="J16">
            <v>150000</v>
          </cell>
        </row>
        <row r="17">
          <cell r="F17">
            <v>0</v>
          </cell>
          <cell r="G17">
            <v>0</v>
          </cell>
          <cell r="H17">
            <v>0</v>
          </cell>
          <cell r="I17">
            <v>0</v>
          </cell>
          <cell r="J17">
            <v>0</v>
          </cell>
        </row>
        <row r="18">
          <cell r="F18">
            <v>0</v>
          </cell>
          <cell r="G18">
            <v>0</v>
          </cell>
          <cell r="H18">
            <v>0</v>
          </cell>
          <cell r="I18">
            <v>0</v>
          </cell>
          <cell r="J18">
            <v>0</v>
          </cell>
        </row>
        <row r="19">
          <cell r="F19">
            <v>0</v>
          </cell>
          <cell r="G19">
            <v>0</v>
          </cell>
          <cell r="H19">
            <v>0</v>
          </cell>
          <cell r="I19">
            <v>0</v>
          </cell>
          <cell r="J19">
            <v>0</v>
          </cell>
        </row>
        <row r="20">
          <cell r="F20">
            <v>0</v>
          </cell>
          <cell r="G20">
            <v>0</v>
          </cell>
          <cell r="H20">
            <v>0</v>
          </cell>
          <cell r="I20">
            <v>0</v>
          </cell>
          <cell r="J20">
            <v>0</v>
          </cell>
        </row>
        <row r="21">
          <cell r="F21">
            <v>0</v>
          </cell>
          <cell r="G21">
            <v>0</v>
          </cell>
          <cell r="H21">
            <v>0</v>
          </cell>
          <cell r="I21">
            <v>0</v>
          </cell>
          <cell r="J21">
            <v>0</v>
          </cell>
        </row>
        <row r="22">
          <cell r="F22">
            <v>0</v>
          </cell>
          <cell r="G22">
            <v>0</v>
          </cell>
          <cell r="H22">
            <v>0</v>
          </cell>
          <cell r="I22">
            <v>0</v>
          </cell>
          <cell r="J22">
            <v>0</v>
          </cell>
        </row>
        <row r="23">
          <cell r="F23">
            <v>0</v>
          </cell>
          <cell r="G23">
            <v>0</v>
          </cell>
          <cell r="H23">
            <v>0</v>
          </cell>
          <cell r="I23">
            <v>0</v>
          </cell>
          <cell r="J23">
            <v>0</v>
          </cell>
        </row>
        <row r="24">
          <cell r="F24">
            <v>0</v>
          </cell>
          <cell r="G24">
            <v>0</v>
          </cell>
          <cell r="H24">
            <v>0</v>
          </cell>
          <cell r="I24">
            <v>0</v>
          </cell>
          <cell r="J24">
            <v>0</v>
          </cell>
        </row>
        <row r="25">
          <cell r="F25">
            <v>0</v>
          </cell>
          <cell r="G25">
            <v>0</v>
          </cell>
          <cell r="H25">
            <v>0</v>
          </cell>
          <cell r="I25">
            <v>0</v>
          </cell>
          <cell r="J25">
            <v>0</v>
          </cell>
        </row>
        <row r="26">
          <cell r="F26">
            <v>0</v>
          </cell>
          <cell r="G26">
            <v>0</v>
          </cell>
          <cell r="H26">
            <v>0</v>
          </cell>
          <cell r="I26">
            <v>0</v>
          </cell>
          <cell r="J26">
            <v>0</v>
          </cell>
        </row>
        <row r="27">
          <cell r="F27">
            <v>701865</v>
          </cell>
          <cell r="G27">
            <v>0</v>
          </cell>
          <cell r="H27">
            <v>701865</v>
          </cell>
          <cell r="I27">
            <v>0</v>
          </cell>
          <cell r="J27">
            <v>701865</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7">
          <cell r="F37">
            <v>252526</v>
          </cell>
          <cell r="G37">
            <v>0</v>
          </cell>
          <cell r="H37">
            <v>252526</v>
          </cell>
          <cell r="I37">
            <v>0</v>
          </cell>
          <cell r="J37">
            <v>252526</v>
          </cell>
        </row>
        <row r="38">
          <cell r="F38">
            <v>5941</v>
          </cell>
          <cell r="G38">
            <v>0</v>
          </cell>
          <cell r="H38">
            <v>5941</v>
          </cell>
          <cell r="I38">
            <v>0</v>
          </cell>
          <cell r="J38">
            <v>5941</v>
          </cell>
        </row>
        <row r="39">
          <cell r="F39">
            <v>-8657</v>
          </cell>
          <cell r="G39">
            <v>0</v>
          </cell>
          <cell r="H39">
            <v>-8657</v>
          </cell>
          <cell r="I39">
            <v>0</v>
          </cell>
          <cell r="J39">
            <v>-8657</v>
          </cell>
        </row>
        <row r="40">
          <cell r="F40">
            <v>0</v>
          </cell>
          <cell r="G40">
            <v>0</v>
          </cell>
          <cell r="H40">
            <v>0</v>
          </cell>
          <cell r="I40">
            <v>0</v>
          </cell>
          <cell r="J40">
            <v>0</v>
          </cell>
        </row>
        <row r="41">
          <cell r="F41">
            <v>-9879</v>
          </cell>
          <cell r="G41">
            <v>0</v>
          </cell>
          <cell r="H41">
            <v>-9879</v>
          </cell>
          <cell r="I41">
            <v>0</v>
          </cell>
          <cell r="J41">
            <v>-9879</v>
          </cell>
        </row>
        <row r="42">
          <cell r="F42">
            <v>0</v>
          </cell>
          <cell r="G42">
            <v>0</v>
          </cell>
          <cell r="H42">
            <v>0</v>
          </cell>
          <cell r="I42">
            <v>0</v>
          </cell>
          <cell r="J42">
            <v>0</v>
          </cell>
        </row>
        <row r="43">
          <cell r="F43">
            <v>84795</v>
          </cell>
          <cell r="G43">
            <v>0</v>
          </cell>
          <cell r="H43">
            <v>84795</v>
          </cell>
          <cell r="I43">
            <v>0</v>
          </cell>
          <cell r="J43">
            <v>84795</v>
          </cell>
        </row>
        <row r="44">
          <cell r="F44">
            <v>0</v>
          </cell>
          <cell r="G44">
            <v>0</v>
          </cell>
          <cell r="H44">
            <v>0</v>
          </cell>
          <cell r="I44">
            <v>0</v>
          </cell>
          <cell r="J44">
            <v>0</v>
          </cell>
        </row>
        <row r="45">
          <cell r="F45">
            <v>-34964</v>
          </cell>
          <cell r="G45">
            <v>0</v>
          </cell>
          <cell r="H45">
            <v>-34964</v>
          </cell>
          <cell r="I45">
            <v>0</v>
          </cell>
          <cell r="J45">
            <v>-34964</v>
          </cell>
        </row>
        <row r="46">
          <cell r="F46">
            <v>-31088</v>
          </cell>
          <cell r="G46">
            <v>0</v>
          </cell>
          <cell r="H46">
            <v>-31088</v>
          </cell>
          <cell r="I46">
            <v>0</v>
          </cell>
          <cell r="J46">
            <v>-31088</v>
          </cell>
        </row>
        <row r="47">
          <cell r="F47">
            <v>-18743</v>
          </cell>
          <cell r="G47">
            <v>0</v>
          </cell>
          <cell r="H47">
            <v>-18743</v>
          </cell>
          <cell r="I47">
            <v>0</v>
          </cell>
          <cell r="J47">
            <v>-18743</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F54">
            <v>0</v>
          </cell>
          <cell r="G54">
            <v>0</v>
          </cell>
          <cell r="H54">
            <v>0</v>
          </cell>
          <cell r="I54">
            <v>0</v>
          </cell>
          <cell r="J54">
            <v>0</v>
          </cell>
        </row>
        <row r="55">
          <cell r="F55">
            <v>0</v>
          </cell>
          <cell r="G55">
            <v>0</v>
          </cell>
          <cell r="H55">
            <v>0</v>
          </cell>
          <cell r="I55">
            <v>0</v>
          </cell>
          <cell r="J55">
            <v>0</v>
          </cell>
        </row>
        <row r="56">
          <cell r="F56">
            <v>0</v>
          </cell>
          <cell r="G56">
            <v>0</v>
          </cell>
          <cell r="H56">
            <v>0</v>
          </cell>
          <cell r="I56">
            <v>0</v>
          </cell>
          <cell r="J56">
            <v>0</v>
          </cell>
        </row>
        <row r="57">
          <cell r="F57">
            <v>0</v>
          </cell>
          <cell r="G57">
            <v>0</v>
          </cell>
          <cell r="H57">
            <v>0</v>
          </cell>
          <cell r="I57">
            <v>0</v>
          </cell>
          <cell r="J57">
            <v>0</v>
          </cell>
        </row>
        <row r="58">
          <cell r="F58">
            <v>239931</v>
          </cell>
          <cell r="G58">
            <v>0</v>
          </cell>
          <cell r="H58">
            <v>239931</v>
          </cell>
          <cell r="I58">
            <v>0</v>
          </cell>
          <cell r="J58">
            <v>239931</v>
          </cell>
        </row>
        <row r="60">
          <cell r="F60">
            <v>0</v>
          </cell>
          <cell r="G60">
            <v>0</v>
          </cell>
          <cell r="H60">
            <v>0</v>
          </cell>
          <cell r="I60">
            <v>0</v>
          </cell>
          <cell r="J60">
            <v>0</v>
          </cell>
        </row>
        <row r="62">
          <cell r="F62">
            <v>95039</v>
          </cell>
          <cell r="G62">
            <v>0</v>
          </cell>
          <cell r="H62">
            <v>95039</v>
          </cell>
          <cell r="I62">
            <v>0</v>
          </cell>
          <cell r="J62">
            <v>95039</v>
          </cell>
        </row>
        <row r="63">
          <cell r="F63">
            <v>-47</v>
          </cell>
          <cell r="G63">
            <v>0</v>
          </cell>
          <cell r="H63">
            <v>-47</v>
          </cell>
          <cell r="I63">
            <v>0</v>
          </cell>
          <cell r="J63">
            <v>-47</v>
          </cell>
        </row>
        <row r="64">
          <cell r="F64">
            <v>-1911</v>
          </cell>
          <cell r="G64">
            <v>0</v>
          </cell>
          <cell r="H64">
            <v>-1911</v>
          </cell>
          <cell r="I64">
            <v>0</v>
          </cell>
          <cell r="J64">
            <v>-1911</v>
          </cell>
        </row>
        <row r="65">
          <cell r="F65">
            <v>0</v>
          </cell>
          <cell r="G65">
            <v>0</v>
          </cell>
          <cell r="H65">
            <v>0</v>
          </cell>
          <cell r="I65">
            <v>0</v>
          </cell>
          <cell r="J65">
            <v>0</v>
          </cell>
        </row>
        <row r="66">
          <cell r="F66">
            <v>3301</v>
          </cell>
          <cell r="G66">
            <v>0</v>
          </cell>
          <cell r="H66">
            <v>3301</v>
          </cell>
          <cell r="I66">
            <v>-3301</v>
          </cell>
          <cell r="J66">
            <v>0</v>
          </cell>
        </row>
        <row r="67">
          <cell r="F67">
            <v>-3301</v>
          </cell>
          <cell r="G67">
            <v>0</v>
          </cell>
          <cell r="H67">
            <v>-3301</v>
          </cell>
          <cell r="I67">
            <v>3301</v>
          </cell>
          <cell r="J67">
            <v>0</v>
          </cell>
        </row>
        <row r="68">
          <cell r="F68">
            <v>173400</v>
          </cell>
          <cell r="G68">
            <v>0</v>
          </cell>
          <cell r="H68">
            <v>173400</v>
          </cell>
          <cell r="I68">
            <v>0</v>
          </cell>
          <cell r="J68">
            <v>173400</v>
          </cell>
        </row>
        <row r="69">
          <cell r="F69">
            <v>-359</v>
          </cell>
          <cell r="G69">
            <v>0</v>
          </cell>
          <cell r="H69">
            <v>-359</v>
          </cell>
          <cell r="I69">
            <v>0</v>
          </cell>
          <cell r="J69">
            <v>-359</v>
          </cell>
        </row>
        <row r="70">
          <cell r="F70">
            <v>17735</v>
          </cell>
          <cell r="G70">
            <v>0</v>
          </cell>
          <cell r="H70">
            <v>17735</v>
          </cell>
          <cell r="I70">
            <v>0</v>
          </cell>
          <cell r="J70">
            <v>17735</v>
          </cell>
        </row>
        <row r="71">
          <cell r="F71">
            <v>0</v>
          </cell>
          <cell r="G71">
            <v>0</v>
          </cell>
          <cell r="H71">
            <v>0</v>
          </cell>
          <cell r="I71">
            <v>0</v>
          </cell>
          <cell r="J71">
            <v>0</v>
          </cell>
        </row>
        <row r="72">
          <cell r="F72">
            <v>0</v>
          </cell>
          <cell r="G72">
            <v>0</v>
          </cell>
          <cell r="H72">
            <v>0</v>
          </cell>
          <cell r="I72">
            <v>0</v>
          </cell>
          <cell r="J72">
            <v>0</v>
          </cell>
        </row>
        <row r="73">
          <cell r="F73">
            <v>0</v>
          </cell>
          <cell r="G73">
            <v>0</v>
          </cell>
          <cell r="H73">
            <v>0</v>
          </cell>
          <cell r="I73">
            <v>0</v>
          </cell>
          <cell r="J73">
            <v>0</v>
          </cell>
        </row>
        <row r="74">
          <cell r="F74">
            <v>0</v>
          </cell>
          <cell r="G74">
            <v>0</v>
          </cell>
          <cell r="H74">
            <v>0</v>
          </cell>
          <cell r="I74">
            <v>0</v>
          </cell>
          <cell r="J74">
            <v>0</v>
          </cell>
        </row>
        <row r="75">
          <cell r="F75">
            <v>0</v>
          </cell>
          <cell r="G75">
            <v>0</v>
          </cell>
          <cell r="H75">
            <v>0</v>
          </cell>
          <cell r="I75">
            <v>0</v>
          </cell>
          <cell r="J75">
            <v>0</v>
          </cell>
        </row>
        <row r="76">
          <cell r="F76">
            <v>0</v>
          </cell>
          <cell r="G76">
            <v>0</v>
          </cell>
          <cell r="H76">
            <v>0</v>
          </cell>
          <cell r="I76">
            <v>0</v>
          </cell>
          <cell r="J76">
            <v>0</v>
          </cell>
        </row>
        <row r="77">
          <cell r="F77">
            <v>0</v>
          </cell>
          <cell r="G77">
            <v>0</v>
          </cell>
          <cell r="H77">
            <v>0</v>
          </cell>
          <cell r="I77">
            <v>0</v>
          </cell>
          <cell r="J77">
            <v>0</v>
          </cell>
        </row>
        <row r="78">
          <cell r="F78">
            <v>0</v>
          </cell>
          <cell r="G78">
            <v>0</v>
          </cell>
          <cell r="H78">
            <v>0</v>
          </cell>
          <cell r="I78">
            <v>0</v>
          </cell>
          <cell r="J78">
            <v>0</v>
          </cell>
        </row>
        <row r="79">
          <cell r="F79">
            <v>283857</v>
          </cell>
          <cell r="G79">
            <v>0</v>
          </cell>
          <cell r="H79">
            <v>283857</v>
          </cell>
          <cell r="I79">
            <v>0</v>
          </cell>
          <cell r="J79">
            <v>283857</v>
          </cell>
        </row>
        <row r="81">
          <cell r="F81">
            <v>0</v>
          </cell>
          <cell r="G81">
            <v>0</v>
          </cell>
          <cell r="H81">
            <v>0</v>
          </cell>
          <cell r="I81">
            <v>0</v>
          </cell>
          <cell r="J81">
            <v>0</v>
          </cell>
        </row>
        <row r="83">
          <cell r="F83">
            <v>0</v>
          </cell>
          <cell r="G83">
            <v>0</v>
          </cell>
          <cell r="H83">
            <v>0</v>
          </cell>
          <cell r="I83">
            <v>0</v>
          </cell>
          <cell r="J83">
            <v>0</v>
          </cell>
        </row>
        <row r="85">
          <cell r="F85">
            <v>1622</v>
          </cell>
          <cell r="G85">
            <v>0</v>
          </cell>
          <cell r="H85">
            <v>1622</v>
          </cell>
          <cell r="I85">
            <v>0</v>
          </cell>
          <cell r="J85">
            <v>1622</v>
          </cell>
        </row>
        <row r="86">
          <cell r="F86">
            <v>45</v>
          </cell>
          <cell r="G86">
            <v>0</v>
          </cell>
          <cell r="H86">
            <v>45</v>
          </cell>
          <cell r="I86">
            <v>0</v>
          </cell>
          <cell r="J86">
            <v>45</v>
          </cell>
        </row>
        <row r="87">
          <cell r="F87">
            <v>923</v>
          </cell>
          <cell r="G87">
            <v>0</v>
          </cell>
          <cell r="H87">
            <v>923</v>
          </cell>
          <cell r="I87">
            <v>0</v>
          </cell>
          <cell r="J87">
            <v>923</v>
          </cell>
        </row>
        <row r="88">
          <cell r="F88">
            <v>21</v>
          </cell>
          <cell r="G88">
            <v>0</v>
          </cell>
          <cell r="H88">
            <v>21</v>
          </cell>
          <cell r="I88">
            <v>0</v>
          </cell>
          <cell r="J88">
            <v>21</v>
          </cell>
        </row>
        <row r="89">
          <cell r="F89">
            <v>10</v>
          </cell>
          <cell r="G89">
            <v>0</v>
          </cell>
          <cell r="H89">
            <v>10</v>
          </cell>
          <cell r="I89">
            <v>0</v>
          </cell>
          <cell r="J89">
            <v>10</v>
          </cell>
        </row>
        <row r="90">
          <cell r="F90">
            <v>8</v>
          </cell>
          <cell r="G90">
            <v>0</v>
          </cell>
          <cell r="H90">
            <v>8</v>
          </cell>
          <cell r="I90">
            <v>0</v>
          </cell>
          <cell r="J90">
            <v>8</v>
          </cell>
        </row>
        <row r="91">
          <cell r="F91">
            <v>120</v>
          </cell>
          <cell r="G91">
            <v>0</v>
          </cell>
          <cell r="H91">
            <v>120</v>
          </cell>
          <cell r="I91">
            <v>0</v>
          </cell>
          <cell r="J91">
            <v>120</v>
          </cell>
        </row>
        <row r="92">
          <cell r="F92">
            <v>792</v>
          </cell>
          <cell r="G92">
            <v>0</v>
          </cell>
          <cell r="H92">
            <v>792</v>
          </cell>
          <cell r="I92">
            <v>0</v>
          </cell>
          <cell r="J92">
            <v>792</v>
          </cell>
        </row>
        <row r="93">
          <cell r="F93">
            <v>4840</v>
          </cell>
          <cell r="G93">
            <v>0</v>
          </cell>
          <cell r="H93">
            <v>4840</v>
          </cell>
          <cell r="I93">
            <v>0</v>
          </cell>
          <cell r="J93">
            <v>4840</v>
          </cell>
        </row>
        <row r="94">
          <cell r="F94">
            <v>43</v>
          </cell>
          <cell r="G94">
            <v>0</v>
          </cell>
          <cell r="H94">
            <v>43</v>
          </cell>
          <cell r="I94">
            <v>0</v>
          </cell>
          <cell r="J94">
            <v>43</v>
          </cell>
        </row>
        <row r="95">
          <cell r="F95">
            <v>10</v>
          </cell>
          <cell r="G95">
            <v>0</v>
          </cell>
          <cell r="H95">
            <v>10</v>
          </cell>
          <cell r="I95">
            <v>0</v>
          </cell>
          <cell r="J95">
            <v>10</v>
          </cell>
        </row>
        <row r="96">
          <cell r="F96">
            <v>9047</v>
          </cell>
          <cell r="G96">
            <v>0</v>
          </cell>
          <cell r="H96">
            <v>9047</v>
          </cell>
          <cell r="I96">
            <v>0</v>
          </cell>
          <cell r="J96">
            <v>9047</v>
          </cell>
        </row>
        <row r="97">
          <cell r="F97">
            <v>0</v>
          </cell>
          <cell r="G97">
            <v>0</v>
          </cell>
          <cell r="H97">
            <v>0</v>
          </cell>
          <cell r="I97">
            <v>0</v>
          </cell>
          <cell r="J97">
            <v>0</v>
          </cell>
        </row>
        <row r="98">
          <cell r="F98">
            <v>0</v>
          </cell>
          <cell r="G98">
            <v>0</v>
          </cell>
          <cell r="H98">
            <v>0</v>
          </cell>
          <cell r="I98">
            <v>0</v>
          </cell>
          <cell r="J98">
            <v>0</v>
          </cell>
        </row>
        <row r="99">
          <cell r="F99">
            <v>0</v>
          </cell>
          <cell r="G99">
            <v>0</v>
          </cell>
          <cell r="H99">
            <v>0</v>
          </cell>
          <cell r="I99">
            <v>0</v>
          </cell>
          <cell r="J99">
            <v>0</v>
          </cell>
        </row>
        <row r="100">
          <cell r="F100">
            <v>0</v>
          </cell>
          <cell r="G100">
            <v>0</v>
          </cell>
          <cell r="H100">
            <v>0</v>
          </cell>
          <cell r="I100">
            <v>0</v>
          </cell>
          <cell r="J100">
            <v>0</v>
          </cell>
        </row>
        <row r="101">
          <cell r="F101">
            <v>0</v>
          </cell>
          <cell r="G101">
            <v>0</v>
          </cell>
          <cell r="H101">
            <v>0</v>
          </cell>
          <cell r="I101">
            <v>0</v>
          </cell>
          <cell r="J101">
            <v>0</v>
          </cell>
        </row>
        <row r="102">
          <cell r="F102">
            <v>0</v>
          </cell>
          <cell r="G102">
            <v>0</v>
          </cell>
          <cell r="H102">
            <v>0</v>
          </cell>
          <cell r="I102">
            <v>0</v>
          </cell>
          <cell r="J102">
            <v>0</v>
          </cell>
        </row>
        <row r="103">
          <cell r="F103">
            <v>0</v>
          </cell>
          <cell r="G103">
            <v>0</v>
          </cell>
          <cell r="H103">
            <v>0</v>
          </cell>
          <cell r="I103">
            <v>0</v>
          </cell>
          <cell r="J103">
            <v>0</v>
          </cell>
        </row>
        <row r="104">
          <cell r="F104">
            <v>0</v>
          </cell>
          <cell r="G104">
            <v>0</v>
          </cell>
          <cell r="H104">
            <v>0</v>
          </cell>
          <cell r="I104">
            <v>0</v>
          </cell>
          <cell r="J104">
            <v>0</v>
          </cell>
        </row>
        <row r="105">
          <cell r="F105">
            <v>0</v>
          </cell>
          <cell r="G105">
            <v>0</v>
          </cell>
          <cell r="H105">
            <v>0</v>
          </cell>
          <cell r="I105">
            <v>0</v>
          </cell>
          <cell r="J105">
            <v>0</v>
          </cell>
        </row>
        <row r="106">
          <cell r="F106">
            <v>0</v>
          </cell>
          <cell r="G106">
            <v>0</v>
          </cell>
          <cell r="H106">
            <v>0</v>
          </cell>
          <cell r="I106">
            <v>0</v>
          </cell>
          <cell r="J106">
            <v>0</v>
          </cell>
        </row>
        <row r="107">
          <cell r="F107">
            <v>0</v>
          </cell>
          <cell r="G107">
            <v>0</v>
          </cell>
          <cell r="H107">
            <v>0</v>
          </cell>
          <cell r="I107">
            <v>0</v>
          </cell>
          <cell r="J107">
            <v>0</v>
          </cell>
        </row>
        <row r="108">
          <cell r="F108">
            <v>0</v>
          </cell>
          <cell r="G108">
            <v>0</v>
          </cell>
          <cell r="H108">
            <v>0</v>
          </cell>
          <cell r="I108">
            <v>0</v>
          </cell>
          <cell r="J108">
            <v>0</v>
          </cell>
        </row>
        <row r="109">
          <cell r="F109">
            <v>0</v>
          </cell>
          <cell r="G109">
            <v>0</v>
          </cell>
          <cell r="H109">
            <v>0</v>
          </cell>
          <cell r="I109">
            <v>0</v>
          </cell>
          <cell r="J109">
            <v>0</v>
          </cell>
        </row>
        <row r="110">
          <cell r="F110">
            <v>0</v>
          </cell>
          <cell r="G110">
            <v>0</v>
          </cell>
          <cell r="H110">
            <v>0</v>
          </cell>
          <cell r="I110">
            <v>0</v>
          </cell>
          <cell r="J110">
            <v>0</v>
          </cell>
        </row>
        <row r="111">
          <cell r="F111">
            <v>0</v>
          </cell>
          <cell r="G111">
            <v>0</v>
          </cell>
          <cell r="H111">
            <v>0</v>
          </cell>
          <cell r="I111">
            <v>0</v>
          </cell>
          <cell r="J111">
            <v>0</v>
          </cell>
        </row>
        <row r="112">
          <cell r="F112">
            <v>0</v>
          </cell>
          <cell r="G112">
            <v>0</v>
          </cell>
          <cell r="H112">
            <v>0</v>
          </cell>
          <cell r="I112">
            <v>0</v>
          </cell>
          <cell r="J112">
            <v>0</v>
          </cell>
        </row>
        <row r="113">
          <cell r="F113">
            <v>0</v>
          </cell>
          <cell r="G113">
            <v>0</v>
          </cell>
          <cell r="H113">
            <v>0</v>
          </cell>
          <cell r="I113">
            <v>0</v>
          </cell>
          <cell r="J113">
            <v>0</v>
          </cell>
        </row>
        <row r="114">
          <cell r="F114">
            <v>0</v>
          </cell>
          <cell r="G114">
            <v>0</v>
          </cell>
          <cell r="H114">
            <v>0</v>
          </cell>
          <cell r="I114">
            <v>0</v>
          </cell>
          <cell r="J114">
            <v>0</v>
          </cell>
        </row>
        <row r="115">
          <cell r="F115">
            <v>0</v>
          </cell>
          <cell r="G115">
            <v>0</v>
          </cell>
          <cell r="H115">
            <v>0</v>
          </cell>
          <cell r="I115">
            <v>0</v>
          </cell>
          <cell r="J115">
            <v>0</v>
          </cell>
        </row>
        <row r="116">
          <cell r="F116">
            <v>0</v>
          </cell>
          <cell r="G116">
            <v>0</v>
          </cell>
          <cell r="H116">
            <v>0</v>
          </cell>
          <cell r="I116">
            <v>0</v>
          </cell>
          <cell r="J116">
            <v>0</v>
          </cell>
        </row>
        <row r="117">
          <cell r="F117">
            <v>0</v>
          </cell>
          <cell r="G117">
            <v>0</v>
          </cell>
          <cell r="H117">
            <v>0</v>
          </cell>
          <cell r="I117">
            <v>0</v>
          </cell>
          <cell r="J117">
            <v>0</v>
          </cell>
        </row>
        <row r="118">
          <cell r="F118">
            <v>0</v>
          </cell>
          <cell r="G118">
            <v>0</v>
          </cell>
          <cell r="H118">
            <v>0</v>
          </cell>
          <cell r="I118">
            <v>0</v>
          </cell>
          <cell r="J118">
            <v>0</v>
          </cell>
        </row>
        <row r="119">
          <cell r="F119">
            <v>0</v>
          </cell>
          <cell r="G119">
            <v>0</v>
          </cell>
          <cell r="H119">
            <v>0</v>
          </cell>
          <cell r="I119">
            <v>0</v>
          </cell>
          <cell r="J119">
            <v>0</v>
          </cell>
        </row>
        <row r="120">
          <cell r="F120">
            <v>0</v>
          </cell>
          <cell r="G120">
            <v>0</v>
          </cell>
          <cell r="H120">
            <v>0</v>
          </cell>
          <cell r="I120">
            <v>0</v>
          </cell>
          <cell r="J120">
            <v>0</v>
          </cell>
        </row>
        <row r="121">
          <cell r="F121">
            <v>0</v>
          </cell>
          <cell r="G121">
            <v>0</v>
          </cell>
          <cell r="H121">
            <v>0</v>
          </cell>
          <cell r="I121">
            <v>0</v>
          </cell>
          <cell r="J121">
            <v>0</v>
          </cell>
        </row>
        <row r="122">
          <cell r="F122">
            <v>17481</v>
          </cell>
          <cell r="G122">
            <v>0</v>
          </cell>
          <cell r="H122">
            <v>17481</v>
          </cell>
          <cell r="I122">
            <v>0</v>
          </cell>
          <cell r="J122">
            <v>17481</v>
          </cell>
        </row>
        <row r="124">
          <cell r="F124">
            <v>0</v>
          </cell>
          <cell r="G124">
            <v>0</v>
          </cell>
          <cell r="H124">
            <v>0</v>
          </cell>
          <cell r="I124">
            <v>0</v>
          </cell>
          <cell r="J124">
            <v>0</v>
          </cell>
        </row>
        <row r="125">
          <cell r="F125">
            <v>0</v>
          </cell>
          <cell r="G125">
            <v>0</v>
          </cell>
          <cell r="H125">
            <v>0</v>
          </cell>
          <cell r="I125">
            <v>0</v>
          </cell>
          <cell r="J125">
            <v>0</v>
          </cell>
        </row>
        <row r="126">
          <cell r="F126">
            <v>29264</v>
          </cell>
          <cell r="G126">
            <v>0</v>
          </cell>
          <cell r="H126">
            <v>29264</v>
          </cell>
          <cell r="I126">
            <v>0</v>
          </cell>
          <cell r="J126">
            <v>29264</v>
          </cell>
        </row>
        <row r="127">
          <cell r="F127">
            <v>-29264</v>
          </cell>
          <cell r="G127">
            <v>0</v>
          </cell>
          <cell r="H127">
            <v>-29264</v>
          </cell>
          <cell r="I127">
            <v>0</v>
          </cell>
          <cell r="J127">
            <v>-29264</v>
          </cell>
        </row>
        <row r="128">
          <cell r="F128">
            <v>5</v>
          </cell>
          <cell r="G128">
            <v>0</v>
          </cell>
          <cell r="H128">
            <v>5</v>
          </cell>
          <cell r="I128">
            <v>0</v>
          </cell>
          <cell r="J128">
            <v>5</v>
          </cell>
        </row>
        <row r="129">
          <cell r="F129">
            <v>0</v>
          </cell>
          <cell r="G129">
            <v>0</v>
          </cell>
          <cell r="H129">
            <v>0</v>
          </cell>
          <cell r="I129">
            <v>0</v>
          </cell>
          <cell r="J129">
            <v>0</v>
          </cell>
        </row>
        <row r="130">
          <cell r="F130">
            <v>0</v>
          </cell>
          <cell r="G130">
            <v>0</v>
          </cell>
          <cell r="H130">
            <v>0</v>
          </cell>
          <cell r="I130">
            <v>0</v>
          </cell>
          <cell r="J130">
            <v>0</v>
          </cell>
        </row>
        <row r="131">
          <cell r="F131">
            <v>0</v>
          </cell>
          <cell r="G131">
            <v>0</v>
          </cell>
          <cell r="H131">
            <v>0</v>
          </cell>
          <cell r="I131">
            <v>0</v>
          </cell>
          <cell r="J131">
            <v>0</v>
          </cell>
        </row>
        <row r="132">
          <cell r="F132">
            <v>0</v>
          </cell>
          <cell r="G132">
            <v>0</v>
          </cell>
          <cell r="H132">
            <v>0</v>
          </cell>
          <cell r="I132">
            <v>0</v>
          </cell>
          <cell r="J132">
            <v>0</v>
          </cell>
        </row>
        <row r="133">
          <cell r="F133">
            <v>5</v>
          </cell>
          <cell r="G133">
            <v>0</v>
          </cell>
          <cell r="H133">
            <v>5</v>
          </cell>
          <cell r="I133">
            <v>0</v>
          </cell>
          <cell r="J133">
            <v>5</v>
          </cell>
        </row>
        <row r="135">
          <cell r="F135">
            <v>136</v>
          </cell>
          <cell r="G135">
            <v>0</v>
          </cell>
          <cell r="H135">
            <v>136</v>
          </cell>
          <cell r="I135">
            <v>0</v>
          </cell>
          <cell r="J135">
            <v>136</v>
          </cell>
        </row>
        <row r="136">
          <cell r="F136">
            <v>0</v>
          </cell>
          <cell r="G136">
            <v>0</v>
          </cell>
          <cell r="H136">
            <v>0</v>
          </cell>
          <cell r="I136">
            <v>0</v>
          </cell>
          <cell r="J136">
            <v>0</v>
          </cell>
        </row>
        <row r="137">
          <cell r="F137">
            <v>3927</v>
          </cell>
          <cell r="G137">
            <v>0</v>
          </cell>
          <cell r="H137">
            <v>3927</v>
          </cell>
          <cell r="I137">
            <v>0</v>
          </cell>
          <cell r="J137">
            <v>3927</v>
          </cell>
        </row>
        <row r="138">
          <cell r="F138">
            <v>0</v>
          </cell>
          <cell r="G138">
            <v>0</v>
          </cell>
          <cell r="H138">
            <v>0</v>
          </cell>
          <cell r="I138">
            <v>0</v>
          </cell>
          <cell r="J138">
            <v>0</v>
          </cell>
        </row>
        <row r="139">
          <cell r="F139">
            <v>0</v>
          </cell>
          <cell r="G139">
            <v>0</v>
          </cell>
          <cell r="H139">
            <v>0</v>
          </cell>
          <cell r="I139">
            <v>0</v>
          </cell>
          <cell r="J139">
            <v>0</v>
          </cell>
        </row>
        <row r="140">
          <cell r="F140">
            <v>0</v>
          </cell>
          <cell r="G140">
            <v>0</v>
          </cell>
          <cell r="H140">
            <v>0</v>
          </cell>
          <cell r="I140">
            <v>0</v>
          </cell>
          <cell r="J140">
            <v>0</v>
          </cell>
        </row>
        <row r="141">
          <cell r="F141">
            <v>0</v>
          </cell>
          <cell r="G141">
            <v>0</v>
          </cell>
          <cell r="H141">
            <v>0</v>
          </cell>
          <cell r="I141">
            <v>0</v>
          </cell>
          <cell r="J141">
            <v>0</v>
          </cell>
        </row>
        <row r="142">
          <cell r="F142">
            <v>0</v>
          </cell>
          <cell r="G142">
            <v>0</v>
          </cell>
          <cell r="H142">
            <v>0</v>
          </cell>
          <cell r="I142">
            <v>0</v>
          </cell>
          <cell r="J142">
            <v>0</v>
          </cell>
        </row>
        <row r="143">
          <cell r="F143">
            <v>4063</v>
          </cell>
          <cell r="G143">
            <v>0</v>
          </cell>
          <cell r="H143">
            <v>4063</v>
          </cell>
          <cell r="I143">
            <v>0</v>
          </cell>
          <cell r="J143">
            <v>4063</v>
          </cell>
        </row>
        <row r="145">
          <cell r="F145">
            <v>2500</v>
          </cell>
          <cell r="G145">
            <v>0</v>
          </cell>
          <cell r="H145">
            <v>2500</v>
          </cell>
          <cell r="I145">
            <v>0</v>
          </cell>
          <cell r="J145">
            <v>2500</v>
          </cell>
        </row>
        <row r="146">
          <cell r="F146">
            <v>0</v>
          </cell>
          <cell r="G146">
            <v>0</v>
          </cell>
          <cell r="H146">
            <v>0</v>
          </cell>
          <cell r="I146">
            <v>0</v>
          </cell>
          <cell r="J146">
            <v>0</v>
          </cell>
        </row>
        <row r="147">
          <cell r="F147">
            <v>0</v>
          </cell>
          <cell r="G147">
            <v>0</v>
          </cell>
          <cell r="H147">
            <v>0</v>
          </cell>
          <cell r="I147">
            <v>0</v>
          </cell>
          <cell r="J147">
            <v>0</v>
          </cell>
        </row>
        <row r="148">
          <cell r="F148">
            <v>0</v>
          </cell>
          <cell r="G148">
            <v>0</v>
          </cell>
          <cell r="H148">
            <v>0</v>
          </cell>
          <cell r="I148">
            <v>0</v>
          </cell>
          <cell r="J148">
            <v>0</v>
          </cell>
        </row>
        <row r="149">
          <cell r="F149">
            <v>2500</v>
          </cell>
          <cell r="G149">
            <v>0</v>
          </cell>
          <cell r="H149">
            <v>2500</v>
          </cell>
          <cell r="I149">
            <v>0</v>
          </cell>
          <cell r="J149">
            <v>2500</v>
          </cell>
        </row>
        <row r="151">
          <cell r="F151">
            <v>200</v>
          </cell>
          <cell r="G151">
            <v>0</v>
          </cell>
          <cell r="H151">
            <v>200</v>
          </cell>
          <cell r="I151">
            <v>0</v>
          </cell>
          <cell r="J151">
            <v>200</v>
          </cell>
        </row>
        <row r="152">
          <cell r="F152">
            <v>0</v>
          </cell>
          <cell r="G152">
            <v>0</v>
          </cell>
          <cell r="H152">
            <v>0</v>
          </cell>
          <cell r="I152">
            <v>0</v>
          </cell>
          <cell r="J152">
            <v>0</v>
          </cell>
        </row>
        <row r="153">
          <cell r="F153">
            <v>200</v>
          </cell>
          <cell r="G153">
            <v>0</v>
          </cell>
          <cell r="H153">
            <v>200</v>
          </cell>
          <cell r="I153">
            <v>0</v>
          </cell>
          <cell r="J153">
            <v>200</v>
          </cell>
        </row>
        <row r="155">
          <cell r="F155">
            <v>1353</v>
          </cell>
          <cell r="G155">
            <v>0</v>
          </cell>
          <cell r="H155">
            <v>1353</v>
          </cell>
          <cell r="I155">
            <v>0</v>
          </cell>
          <cell r="J155">
            <v>1353</v>
          </cell>
        </row>
        <row r="156">
          <cell r="F156">
            <v>0</v>
          </cell>
          <cell r="G156">
            <v>0</v>
          </cell>
          <cell r="H156">
            <v>0</v>
          </cell>
          <cell r="I156">
            <v>0</v>
          </cell>
          <cell r="J156">
            <v>0</v>
          </cell>
        </row>
        <row r="157">
          <cell r="F157">
            <v>1353</v>
          </cell>
          <cell r="G157">
            <v>0</v>
          </cell>
          <cell r="H157">
            <v>1353</v>
          </cell>
          <cell r="I157">
            <v>0</v>
          </cell>
          <cell r="J157">
            <v>1353</v>
          </cell>
        </row>
        <row r="159">
          <cell r="F159">
            <v>0</v>
          </cell>
          <cell r="G159">
            <v>0</v>
          </cell>
          <cell r="H159">
            <v>0</v>
          </cell>
          <cell r="I159">
            <v>0</v>
          </cell>
          <cell r="J159">
            <v>0</v>
          </cell>
        </row>
        <row r="160">
          <cell r="F160">
            <v>-1</v>
          </cell>
          <cell r="G160">
            <v>0</v>
          </cell>
          <cell r="H160">
            <v>-1</v>
          </cell>
          <cell r="I160">
            <v>0</v>
          </cell>
          <cell r="J160">
            <v>-1</v>
          </cell>
        </row>
        <row r="161">
          <cell r="F161">
            <v>-19</v>
          </cell>
          <cell r="G161">
            <v>0</v>
          </cell>
          <cell r="H161">
            <v>-19</v>
          </cell>
          <cell r="I161">
            <v>0</v>
          </cell>
          <cell r="J161">
            <v>-19</v>
          </cell>
        </row>
        <row r="162">
          <cell r="F162">
            <v>91</v>
          </cell>
          <cell r="G162">
            <v>0</v>
          </cell>
          <cell r="H162">
            <v>91</v>
          </cell>
          <cell r="I162">
            <v>0</v>
          </cell>
          <cell r="J162">
            <v>91</v>
          </cell>
        </row>
        <row r="163">
          <cell r="F163">
            <v>0</v>
          </cell>
          <cell r="G163">
            <v>0</v>
          </cell>
          <cell r="H163">
            <v>0</v>
          </cell>
          <cell r="I163">
            <v>0</v>
          </cell>
          <cell r="J163">
            <v>0</v>
          </cell>
        </row>
        <row r="164">
          <cell r="F164">
            <v>0</v>
          </cell>
          <cell r="G164">
            <v>0</v>
          </cell>
          <cell r="H164">
            <v>0</v>
          </cell>
          <cell r="I164">
            <v>0</v>
          </cell>
          <cell r="J164">
            <v>0</v>
          </cell>
        </row>
        <row r="165">
          <cell r="F165">
            <v>71</v>
          </cell>
          <cell r="G165">
            <v>0</v>
          </cell>
          <cell r="H165">
            <v>71</v>
          </cell>
          <cell r="I165">
            <v>0</v>
          </cell>
          <cell r="J165">
            <v>71</v>
          </cell>
        </row>
        <row r="167">
          <cell r="F167">
            <v>50000</v>
          </cell>
          <cell r="G167">
            <v>0</v>
          </cell>
          <cell r="H167">
            <v>50000</v>
          </cell>
          <cell r="I167">
            <v>0</v>
          </cell>
          <cell r="J167">
            <v>50000</v>
          </cell>
        </row>
        <row r="168">
          <cell r="F168">
            <v>50000</v>
          </cell>
          <cell r="G168">
            <v>0</v>
          </cell>
          <cell r="H168">
            <v>50000</v>
          </cell>
          <cell r="I168">
            <v>0</v>
          </cell>
          <cell r="J168">
            <v>50000</v>
          </cell>
        </row>
        <row r="170">
          <cell r="F170">
            <v>0</v>
          </cell>
          <cell r="G170">
            <v>0</v>
          </cell>
          <cell r="H170">
            <v>0</v>
          </cell>
          <cell r="I170">
            <v>0</v>
          </cell>
          <cell r="J170">
            <v>0</v>
          </cell>
        </row>
        <row r="171">
          <cell r="F171">
            <v>0</v>
          </cell>
          <cell r="G171">
            <v>0</v>
          </cell>
          <cell r="H171">
            <v>0</v>
          </cell>
          <cell r="I171">
            <v>0</v>
          </cell>
          <cell r="J171">
            <v>0</v>
          </cell>
        </row>
        <row r="172">
          <cell r="F172">
            <v>0</v>
          </cell>
          <cell r="G172">
            <v>0</v>
          </cell>
          <cell r="H172">
            <v>0</v>
          </cell>
          <cell r="I172">
            <v>0</v>
          </cell>
          <cell r="J172">
            <v>0</v>
          </cell>
        </row>
        <row r="173">
          <cell r="F173">
            <v>0</v>
          </cell>
          <cell r="G173">
            <v>0</v>
          </cell>
          <cell r="H173">
            <v>0</v>
          </cell>
          <cell r="I173">
            <v>0</v>
          </cell>
          <cell r="J173">
            <v>0</v>
          </cell>
        </row>
        <row r="174">
          <cell r="F174">
            <v>-1614</v>
          </cell>
          <cell r="G174">
            <v>0</v>
          </cell>
          <cell r="H174">
            <v>-1614</v>
          </cell>
          <cell r="I174">
            <v>0</v>
          </cell>
          <cell r="J174">
            <v>-1614</v>
          </cell>
        </row>
        <row r="175">
          <cell r="F175">
            <v>-259</v>
          </cell>
          <cell r="G175">
            <v>0</v>
          </cell>
          <cell r="H175">
            <v>-259</v>
          </cell>
          <cell r="I175">
            <v>224</v>
          </cell>
          <cell r="J175">
            <v>-35</v>
          </cell>
        </row>
        <row r="176">
          <cell r="F176">
            <v>-226</v>
          </cell>
          <cell r="G176">
            <v>0</v>
          </cell>
          <cell r="H176">
            <v>-226</v>
          </cell>
          <cell r="I176">
            <v>0</v>
          </cell>
          <cell r="J176">
            <v>-226</v>
          </cell>
        </row>
        <row r="177">
          <cell r="F177">
            <v>0</v>
          </cell>
          <cell r="G177">
            <v>0</v>
          </cell>
          <cell r="H177">
            <v>0</v>
          </cell>
          <cell r="I177">
            <v>0</v>
          </cell>
          <cell r="J177">
            <v>0</v>
          </cell>
        </row>
        <row r="178">
          <cell r="F178">
            <v>-2099</v>
          </cell>
          <cell r="G178">
            <v>0</v>
          </cell>
          <cell r="H178">
            <v>-2099</v>
          </cell>
          <cell r="I178">
            <v>224</v>
          </cell>
          <cell r="J178">
            <v>-1875</v>
          </cell>
        </row>
        <row r="180">
          <cell r="F180">
            <v>0</v>
          </cell>
          <cell r="G180">
            <v>0</v>
          </cell>
          <cell r="H180">
            <v>0</v>
          </cell>
          <cell r="I180">
            <v>0</v>
          </cell>
          <cell r="J180">
            <v>0</v>
          </cell>
        </row>
        <row r="181">
          <cell r="F181">
            <v>-23</v>
          </cell>
          <cell r="G181">
            <v>0</v>
          </cell>
          <cell r="H181">
            <v>-23</v>
          </cell>
          <cell r="I181">
            <v>0</v>
          </cell>
          <cell r="J181">
            <v>-23</v>
          </cell>
        </row>
        <row r="182">
          <cell r="F182">
            <v>-163</v>
          </cell>
          <cell r="G182">
            <v>0</v>
          </cell>
          <cell r="H182">
            <v>-163</v>
          </cell>
          <cell r="I182">
            <v>0</v>
          </cell>
          <cell r="J182">
            <v>-163</v>
          </cell>
        </row>
        <row r="183">
          <cell r="F183">
            <v>-22</v>
          </cell>
          <cell r="G183">
            <v>0</v>
          </cell>
          <cell r="H183">
            <v>-22</v>
          </cell>
          <cell r="I183">
            <v>0</v>
          </cell>
          <cell r="J183">
            <v>-22</v>
          </cell>
        </row>
        <row r="184">
          <cell r="F184">
            <v>-208</v>
          </cell>
          <cell r="G184">
            <v>0</v>
          </cell>
          <cell r="H184">
            <v>-208</v>
          </cell>
          <cell r="I184">
            <v>0</v>
          </cell>
          <cell r="J184">
            <v>-208</v>
          </cell>
        </row>
        <row r="186">
          <cell r="F186">
            <v>0</v>
          </cell>
          <cell r="G186">
            <v>0</v>
          </cell>
          <cell r="H186">
            <v>0</v>
          </cell>
          <cell r="I186">
            <v>0</v>
          </cell>
          <cell r="J186">
            <v>0</v>
          </cell>
        </row>
        <row r="187">
          <cell r="F187">
            <v>-462</v>
          </cell>
          <cell r="G187">
            <v>0</v>
          </cell>
          <cell r="H187">
            <v>-462</v>
          </cell>
          <cell r="I187">
            <v>0</v>
          </cell>
          <cell r="J187">
            <v>-462</v>
          </cell>
        </row>
        <row r="188">
          <cell r="F188">
            <v>-462</v>
          </cell>
          <cell r="G188">
            <v>0</v>
          </cell>
          <cell r="H188">
            <v>-462</v>
          </cell>
          <cell r="I188">
            <v>0</v>
          </cell>
          <cell r="J188">
            <v>-462</v>
          </cell>
        </row>
        <row r="190">
          <cell r="F190">
            <v>0</v>
          </cell>
          <cell r="G190">
            <v>0</v>
          </cell>
          <cell r="H190">
            <v>0</v>
          </cell>
          <cell r="I190">
            <v>0</v>
          </cell>
          <cell r="J190">
            <v>0</v>
          </cell>
        </row>
        <row r="191">
          <cell r="F191">
            <v>0</v>
          </cell>
          <cell r="G191">
            <v>0</v>
          </cell>
          <cell r="H191">
            <v>0</v>
          </cell>
          <cell r="I191">
            <v>0</v>
          </cell>
          <cell r="J191">
            <v>0</v>
          </cell>
        </row>
        <row r="192">
          <cell r="F192">
            <v>0</v>
          </cell>
          <cell r="G192">
            <v>0</v>
          </cell>
          <cell r="H192">
            <v>0</v>
          </cell>
          <cell r="I192">
            <v>0</v>
          </cell>
          <cell r="J192">
            <v>0</v>
          </cell>
        </row>
        <row r="193">
          <cell r="F193">
            <v>-47</v>
          </cell>
          <cell r="G193">
            <v>0</v>
          </cell>
          <cell r="H193">
            <v>-47</v>
          </cell>
          <cell r="I193">
            <v>0</v>
          </cell>
          <cell r="J193">
            <v>-47</v>
          </cell>
        </row>
        <row r="194">
          <cell r="F194">
            <v>-47</v>
          </cell>
          <cell r="G194">
            <v>0</v>
          </cell>
          <cell r="H194">
            <v>-47</v>
          </cell>
          <cell r="I194">
            <v>0</v>
          </cell>
          <cell r="J194">
            <v>-47</v>
          </cell>
        </row>
        <row r="196">
          <cell r="F196">
            <v>0</v>
          </cell>
          <cell r="G196">
            <v>0</v>
          </cell>
          <cell r="H196">
            <v>0</v>
          </cell>
          <cell r="I196">
            <v>0</v>
          </cell>
          <cell r="J196">
            <v>0</v>
          </cell>
        </row>
        <row r="198">
          <cell r="F198">
            <v>0</v>
          </cell>
          <cell r="G198">
            <v>0</v>
          </cell>
          <cell r="H198">
            <v>0</v>
          </cell>
          <cell r="I198">
            <v>0</v>
          </cell>
          <cell r="J198">
            <v>0</v>
          </cell>
        </row>
        <row r="199">
          <cell r="F199">
            <v>0</v>
          </cell>
          <cell r="G199">
            <v>0</v>
          </cell>
          <cell r="H199">
            <v>0</v>
          </cell>
          <cell r="I199">
            <v>0</v>
          </cell>
          <cell r="J199">
            <v>0</v>
          </cell>
        </row>
        <row r="200">
          <cell r="F200">
            <v>0</v>
          </cell>
          <cell r="G200">
            <v>0</v>
          </cell>
          <cell r="H200">
            <v>0</v>
          </cell>
          <cell r="I200">
            <v>0</v>
          </cell>
          <cell r="J200">
            <v>0</v>
          </cell>
        </row>
        <row r="201">
          <cell r="F201">
            <v>0</v>
          </cell>
          <cell r="G201">
            <v>0</v>
          </cell>
          <cell r="H201">
            <v>0</v>
          </cell>
          <cell r="I201">
            <v>0</v>
          </cell>
          <cell r="J201">
            <v>0</v>
          </cell>
        </row>
        <row r="202">
          <cell r="F202">
            <v>0</v>
          </cell>
          <cell r="G202">
            <v>0</v>
          </cell>
          <cell r="H202">
            <v>0</v>
          </cell>
          <cell r="I202">
            <v>0</v>
          </cell>
          <cell r="J202">
            <v>0</v>
          </cell>
        </row>
        <row r="203">
          <cell r="F203">
            <v>0</v>
          </cell>
          <cell r="G203">
            <v>0</v>
          </cell>
          <cell r="H203">
            <v>0</v>
          </cell>
          <cell r="I203">
            <v>0</v>
          </cell>
          <cell r="J203">
            <v>0</v>
          </cell>
        </row>
        <row r="204">
          <cell r="F204">
            <v>0</v>
          </cell>
          <cell r="G204">
            <v>0</v>
          </cell>
          <cell r="H204">
            <v>0</v>
          </cell>
          <cell r="I204">
            <v>0</v>
          </cell>
          <cell r="J204">
            <v>0</v>
          </cell>
        </row>
        <row r="205">
          <cell r="F205">
            <v>0</v>
          </cell>
          <cell r="G205">
            <v>0</v>
          </cell>
          <cell r="H205">
            <v>0</v>
          </cell>
          <cell r="I205">
            <v>0</v>
          </cell>
          <cell r="J205">
            <v>0</v>
          </cell>
        </row>
        <row r="206">
          <cell r="F206">
            <v>0</v>
          </cell>
          <cell r="G206">
            <v>0</v>
          </cell>
          <cell r="H206">
            <v>0</v>
          </cell>
          <cell r="I206">
            <v>0</v>
          </cell>
          <cell r="J206">
            <v>0</v>
          </cell>
        </row>
        <row r="207">
          <cell r="F207">
            <v>0</v>
          </cell>
          <cell r="G207">
            <v>0</v>
          </cell>
          <cell r="H207">
            <v>0</v>
          </cell>
          <cell r="I207">
            <v>0</v>
          </cell>
          <cell r="J207">
            <v>0</v>
          </cell>
        </row>
        <row r="208">
          <cell r="F208">
            <v>0</v>
          </cell>
          <cell r="G208">
            <v>0</v>
          </cell>
          <cell r="H208">
            <v>0</v>
          </cell>
          <cell r="I208">
            <v>0</v>
          </cell>
          <cell r="J208">
            <v>0</v>
          </cell>
        </row>
        <row r="209">
          <cell r="F209">
            <v>0</v>
          </cell>
          <cell r="G209">
            <v>0</v>
          </cell>
          <cell r="H209">
            <v>0</v>
          </cell>
          <cell r="I209">
            <v>0</v>
          </cell>
          <cell r="J209">
            <v>0</v>
          </cell>
        </row>
        <row r="210">
          <cell r="F210">
            <v>0</v>
          </cell>
          <cell r="G210">
            <v>0</v>
          </cell>
          <cell r="H210">
            <v>0</v>
          </cell>
          <cell r="I210">
            <v>0</v>
          </cell>
          <cell r="J210">
            <v>0</v>
          </cell>
        </row>
        <row r="211">
          <cell r="F211">
            <v>0</v>
          </cell>
          <cell r="G211">
            <v>0</v>
          </cell>
          <cell r="H211">
            <v>0</v>
          </cell>
          <cell r="I211">
            <v>0</v>
          </cell>
          <cell r="J211">
            <v>0</v>
          </cell>
        </row>
        <row r="212">
          <cell r="F212">
            <v>0</v>
          </cell>
          <cell r="G212">
            <v>0</v>
          </cell>
          <cell r="H212">
            <v>0</v>
          </cell>
          <cell r="I212">
            <v>0</v>
          </cell>
          <cell r="J212">
            <v>0</v>
          </cell>
        </row>
        <row r="213">
          <cell r="F213">
            <v>0</v>
          </cell>
          <cell r="G213">
            <v>0</v>
          </cell>
          <cell r="H213">
            <v>0</v>
          </cell>
          <cell r="I213">
            <v>0</v>
          </cell>
          <cell r="J213">
            <v>0</v>
          </cell>
        </row>
        <row r="214">
          <cell r="F214">
            <v>0</v>
          </cell>
          <cell r="G214">
            <v>0</v>
          </cell>
          <cell r="H214">
            <v>0</v>
          </cell>
          <cell r="I214">
            <v>0</v>
          </cell>
          <cell r="J214">
            <v>0</v>
          </cell>
        </row>
        <row r="215">
          <cell r="F215">
            <v>0</v>
          </cell>
          <cell r="G215">
            <v>0</v>
          </cell>
          <cell r="H215">
            <v>0</v>
          </cell>
          <cell r="I215">
            <v>0</v>
          </cell>
          <cell r="J215">
            <v>0</v>
          </cell>
        </row>
        <row r="216">
          <cell r="F216">
            <v>0</v>
          </cell>
          <cell r="G216">
            <v>0</v>
          </cell>
          <cell r="H216">
            <v>0</v>
          </cell>
          <cell r="I216">
            <v>0</v>
          </cell>
          <cell r="J216">
            <v>0</v>
          </cell>
        </row>
        <row r="217">
          <cell r="F217">
            <v>0</v>
          </cell>
          <cell r="G217">
            <v>0</v>
          </cell>
          <cell r="H217">
            <v>0</v>
          </cell>
          <cell r="I217">
            <v>0</v>
          </cell>
          <cell r="J217">
            <v>0</v>
          </cell>
        </row>
        <row r="218">
          <cell r="F218">
            <v>0</v>
          </cell>
          <cell r="G218">
            <v>0</v>
          </cell>
          <cell r="H218">
            <v>0</v>
          </cell>
          <cell r="I218">
            <v>0</v>
          </cell>
          <cell r="J218">
            <v>0</v>
          </cell>
        </row>
        <row r="219">
          <cell r="F219">
            <v>0</v>
          </cell>
          <cell r="G219">
            <v>0</v>
          </cell>
          <cell r="H219">
            <v>0</v>
          </cell>
          <cell r="I219">
            <v>0</v>
          </cell>
          <cell r="J219">
            <v>0</v>
          </cell>
        </row>
        <row r="220">
          <cell r="F220">
            <v>0</v>
          </cell>
          <cell r="G220">
            <v>0</v>
          </cell>
          <cell r="H220">
            <v>0</v>
          </cell>
          <cell r="I220">
            <v>0</v>
          </cell>
          <cell r="J220">
            <v>0</v>
          </cell>
        </row>
        <row r="221">
          <cell r="F221">
            <v>0</v>
          </cell>
          <cell r="G221">
            <v>0</v>
          </cell>
          <cell r="H221">
            <v>0</v>
          </cell>
          <cell r="I221">
            <v>0</v>
          </cell>
          <cell r="J221">
            <v>0</v>
          </cell>
        </row>
        <row r="222">
          <cell r="F222">
            <v>0</v>
          </cell>
          <cell r="G222">
            <v>0</v>
          </cell>
          <cell r="H222">
            <v>0</v>
          </cell>
          <cell r="I222">
            <v>0</v>
          </cell>
          <cell r="J222">
            <v>0</v>
          </cell>
        </row>
        <row r="223">
          <cell r="F223">
            <v>0</v>
          </cell>
          <cell r="G223">
            <v>0</v>
          </cell>
          <cell r="H223">
            <v>0</v>
          </cell>
          <cell r="I223">
            <v>0</v>
          </cell>
          <cell r="J223">
            <v>0</v>
          </cell>
        </row>
        <row r="224">
          <cell r="F224">
            <v>0</v>
          </cell>
          <cell r="G224">
            <v>0</v>
          </cell>
          <cell r="H224">
            <v>0</v>
          </cell>
          <cell r="I224">
            <v>0</v>
          </cell>
          <cell r="J224">
            <v>0</v>
          </cell>
        </row>
        <row r="225">
          <cell r="F225">
            <v>0</v>
          </cell>
          <cell r="G225">
            <v>0</v>
          </cell>
          <cell r="H225">
            <v>0</v>
          </cell>
          <cell r="I225">
            <v>0</v>
          </cell>
          <cell r="J225">
            <v>0</v>
          </cell>
        </row>
        <row r="226">
          <cell r="F226">
            <v>0</v>
          </cell>
          <cell r="G226">
            <v>0</v>
          </cell>
          <cell r="H226">
            <v>0</v>
          </cell>
          <cell r="I226">
            <v>0</v>
          </cell>
          <cell r="J226">
            <v>0</v>
          </cell>
        </row>
        <row r="227">
          <cell r="F227">
            <v>0</v>
          </cell>
          <cell r="G227">
            <v>0</v>
          </cell>
          <cell r="H227">
            <v>0</v>
          </cell>
          <cell r="I227">
            <v>0</v>
          </cell>
          <cell r="J227">
            <v>0</v>
          </cell>
        </row>
        <row r="228">
          <cell r="F228">
            <v>0</v>
          </cell>
          <cell r="G228">
            <v>0</v>
          </cell>
          <cell r="H228">
            <v>0</v>
          </cell>
          <cell r="I228">
            <v>0</v>
          </cell>
          <cell r="J228">
            <v>0</v>
          </cell>
        </row>
        <row r="229">
          <cell r="F229">
            <v>0</v>
          </cell>
          <cell r="G229">
            <v>0</v>
          </cell>
          <cell r="H229">
            <v>0</v>
          </cell>
          <cell r="I229">
            <v>0</v>
          </cell>
          <cell r="J229">
            <v>0</v>
          </cell>
        </row>
        <row r="230">
          <cell r="F230">
            <v>-7579</v>
          </cell>
          <cell r="G230">
            <v>0</v>
          </cell>
          <cell r="H230">
            <v>-7579</v>
          </cell>
          <cell r="I230">
            <v>0</v>
          </cell>
          <cell r="J230">
            <v>-7579</v>
          </cell>
        </row>
        <row r="231">
          <cell r="F231">
            <v>-49</v>
          </cell>
          <cell r="G231">
            <v>0</v>
          </cell>
          <cell r="H231">
            <v>-49</v>
          </cell>
          <cell r="I231">
            <v>0</v>
          </cell>
          <cell r="J231">
            <v>-49</v>
          </cell>
        </row>
        <row r="232">
          <cell r="F232">
            <v>0</v>
          </cell>
          <cell r="G232">
            <v>0</v>
          </cell>
          <cell r="H232">
            <v>0</v>
          </cell>
          <cell r="I232">
            <v>0</v>
          </cell>
          <cell r="J232">
            <v>0</v>
          </cell>
        </row>
        <row r="233">
          <cell r="F233">
            <v>-24327</v>
          </cell>
          <cell r="G233">
            <v>0</v>
          </cell>
          <cell r="H233">
            <v>-24327</v>
          </cell>
          <cell r="I233">
            <v>0</v>
          </cell>
          <cell r="J233">
            <v>-24327</v>
          </cell>
        </row>
        <row r="234">
          <cell r="F234">
            <v>-325</v>
          </cell>
          <cell r="G234">
            <v>0</v>
          </cell>
          <cell r="H234">
            <v>-325</v>
          </cell>
          <cell r="I234">
            <v>0</v>
          </cell>
          <cell r="J234">
            <v>-325</v>
          </cell>
        </row>
        <row r="235">
          <cell r="F235">
            <v>-26</v>
          </cell>
          <cell r="G235">
            <v>0</v>
          </cell>
          <cell r="H235">
            <v>-26</v>
          </cell>
          <cell r="I235">
            <v>0</v>
          </cell>
          <cell r="J235">
            <v>-26</v>
          </cell>
        </row>
        <row r="236">
          <cell r="F236">
            <v>0</v>
          </cell>
          <cell r="G236">
            <v>0</v>
          </cell>
          <cell r="H236">
            <v>0</v>
          </cell>
          <cell r="I236">
            <v>0</v>
          </cell>
          <cell r="J236">
            <v>0</v>
          </cell>
        </row>
        <row r="237">
          <cell r="F237">
            <v>0</v>
          </cell>
          <cell r="G237">
            <v>0</v>
          </cell>
          <cell r="H237">
            <v>0</v>
          </cell>
          <cell r="I237">
            <v>0</v>
          </cell>
          <cell r="J237">
            <v>0</v>
          </cell>
        </row>
        <row r="238">
          <cell r="F238">
            <v>-165</v>
          </cell>
          <cell r="G238">
            <v>0</v>
          </cell>
          <cell r="H238">
            <v>-165</v>
          </cell>
          <cell r="I238">
            <v>0</v>
          </cell>
          <cell r="J238">
            <v>-165</v>
          </cell>
        </row>
        <row r="239">
          <cell r="F239">
            <v>-17</v>
          </cell>
          <cell r="G239">
            <v>0</v>
          </cell>
          <cell r="H239">
            <v>-17</v>
          </cell>
          <cell r="I239">
            <v>0</v>
          </cell>
          <cell r="J239">
            <v>-17</v>
          </cell>
        </row>
        <row r="240">
          <cell r="F240">
            <v>-69</v>
          </cell>
          <cell r="G240">
            <v>0</v>
          </cell>
          <cell r="H240">
            <v>-69</v>
          </cell>
          <cell r="I240">
            <v>0</v>
          </cell>
          <cell r="J240">
            <v>-69</v>
          </cell>
        </row>
        <row r="241">
          <cell r="F241">
            <v>-474</v>
          </cell>
          <cell r="G241">
            <v>0</v>
          </cell>
          <cell r="H241">
            <v>-474</v>
          </cell>
          <cell r="I241">
            <v>0</v>
          </cell>
          <cell r="J241">
            <v>-474</v>
          </cell>
        </row>
        <row r="242">
          <cell r="F242">
            <v>-139</v>
          </cell>
          <cell r="G242">
            <v>0</v>
          </cell>
          <cell r="H242">
            <v>-139</v>
          </cell>
          <cell r="I242">
            <v>0</v>
          </cell>
          <cell r="J242">
            <v>-139</v>
          </cell>
        </row>
        <row r="243">
          <cell r="F243">
            <v>0</v>
          </cell>
          <cell r="G243">
            <v>0</v>
          </cell>
          <cell r="H243">
            <v>0</v>
          </cell>
          <cell r="I243">
            <v>-224</v>
          </cell>
          <cell r="J243">
            <v>-224</v>
          </cell>
        </row>
        <row r="244">
          <cell r="F244">
            <v>-33170</v>
          </cell>
          <cell r="G244">
            <v>0</v>
          </cell>
          <cell r="H244">
            <v>-33170</v>
          </cell>
          <cell r="I244">
            <v>-224</v>
          </cell>
          <cell r="J244">
            <v>-33394</v>
          </cell>
        </row>
        <row r="246">
          <cell r="F246">
            <v>0</v>
          </cell>
          <cell r="G246">
            <v>0</v>
          </cell>
          <cell r="H246">
            <v>0</v>
          </cell>
          <cell r="I246">
            <v>0</v>
          </cell>
          <cell r="J246">
            <v>0</v>
          </cell>
        </row>
        <row r="248">
          <cell r="F248">
            <v>0</v>
          </cell>
          <cell r="G248">
            <v>0</v>
          </cell>
          <cell r="H248">
            <v>0</v>
          </cell>
          <cell r="I248">
            <v>0</v>
          </cell>
          <cell r="J248">
            <v>0</v>
          </cell>
        </row>
        <row r="250">
          <cell r="F250">
            <v>-2</v>
          </cell>
          <cell r="G250">
            <v>0</v>
          </cell>
          <cell r="H250">
            <v>-2</v>
          </cell>
          <cell r="I250">
            <v>0</v>
          </cell>
          <cell r="J250">
            <v>-2</v>
          </cell>
        </row>
        <row r="251">
          <cell r="F251">
            <v>0</v>
          </cell>
          <cell r="G251">
            <v>0</v>
          </cell>
          <cell r="H251">
            <v>0</v>
          </cell>
          <cell r="I251">
            <v>0</v>
          </cell>
          <cell r="J251">
            <v>0</v>
          </cell>
        </row>
        <row r="252">
          <cell r="F252">
            <v>0</v>
          </cell>
          <cell r="G252">
            <v>0</v>
          </cell>
          <cell r="H252">
            <v>0</v>
          </cell>
          <cell r="I252">
            <v>0</v>
          </cell>
          <cell r="J252">
            <v>0</v>
          </cell>
        </row>
        <row r="253">
          <cell r="F253">
            <v>0</v>
          </cell>
          <cell r="G253">
            <v>0</v>
          </cell>
          <cell r="H253">
            <v>0</v>
          </cell>
          <cell r="I253">
            <v>0</v>
          </cell>
          <cell r="J253">
            <v>0</v>
          </cell>
        </row>
        <row r="254">
          <cell r="F254">
            <v>0</v>
          </cell>
          <cell r="G254">
            <v>0</v>
          </cell>
          <cell r="H254">
            <v>0</v>
          </cell>
          <cell r="I254">
            <v>0</v>
          </cell>
          <cell r="J254">
            <v>0</v>
          </cell>
        </row>
        <row r="255">
          <cell r="F255">
            <v>0</v>
          </cell>
          <cell r="G255">
            <v>0</v>
          </cell>
          <cell r="H255">
            <v>0</v>
          </cell>
          <cell r="I255">
            <v>0</v>
          </cell>
          <cell r="J255">
            <v>0</v>
          </cell>
        </row>
        <row r="256">
          <cell r="F256">
            <v>0</v>
          </cell>
          <cell r="G256">
            <v>0</v>
          </cell>
          <cell r="H256">
            <v>0</v>
          </cell>
          <cell r="I256">
            <v>0</v>
          </cell>
          <cell r="J256">
            <v>0</v>
          </cell>
        </row>
        <row r="257">
          <cell r="F257">
            <v>0</v>
          </cell>
          <cell r="G257">
            <v>0</v>
          </cell>
          <cell r="H257">
            <v>0</v>
          </cell>
          <cell r="I257">
            <v>0</v>
          </cell>
          <cell r="J257">
            <v>0</v>
          </cell>
        </row>
        <row r="258">
          <cell r="F258">
            <v>-2</v>
          </cell>
          <cell r="G258">
            <v>0</v>
          </cell>
          <cell r="H258">
            <v>-2</v>
          </cell>
          <cell r="I258">
            <v>0</v>
          </cell>
          <cell r="J258">
            <v>-2</v>
          </cell>
        </row>
        <row r="260">
          <cell r="F260">
            <v>-1059</v>
          </cell>
          <cell r="G260">
            <v>0</v>
          </cell>
          <cell r="H260">
            <v>-1059</v>
          </cell>
          <cell r="I260">
            <v>0</v>
          </cell>
          <cell r="J260">
            <v>-1059</v>
          </cell>
        </row>
        <row r="261">
          <cell r="F261">
            <v>-1059</v>
          </cell>
          <cell r="G261">
            <v>0</v>
          </cell>
          <cell r="H261">
            <v>-1059</v>
          </cell>
          <cell r="I261">
            <v>0</v>
          </cell>
          <cell r="J261">
            <v>-1059</v>
          </cell>
        </row>
        <row r="263">
          <cell r="F263">
            <v>0</v>
          </cell>
          <cell r="G263">
            <v>0</v>
          </cell>
          <cell r="H263">
            <v>0</v>
          </cell>
          <cell r="I263">
            <v>0</v>
          </cell>
          <cell r="J263">
            <v>0</v>
          </cell>
        </row>
        <row r="264">
          <cell r="F264">
            <v>0</v>
          </cell>
          <cell r="G264">
            <v>0</v>
          </cell>
          <cell r="H264">
            <v>0</v>
          </cell>
          <cell r="I264">
            <v>0</v>
          </cell>
          <cell r="J264">
            <v>0</v>
          </cell>
        </row>
        <row r="265">
          <cell r="F265">
            <v>0</v>
          </cell>
          <cell r="G265">
            <v>0</v>
          </cell>
          <cell r="H265">
            <v>0</v>
          </cell>
          <cell r="I265">
            <v>0</v>
          </cell>
          <cell r="J265">
            <v>0</v>
          </cell>
        </row>
        <row r="266">
          <cell r="F266">
            <v>0</v>
          </cell>
          <cell r="G266">
            <v>0</v>
          </cell>
          <cell r="H266">
            <v>0</v>
          </cell>
          <cell r="I266">
            <v>0</v>
          </cell>
          <cell r="J266">
            <v>0</v>
          </cell>
        </row>
        <row r="267">
          <cell r="F267">
            <v>0</v>
          </cell>
          <cell r="G267">
            <v>0</v>
          </cell>
          <cell r="H267">
            <v>0</v>
          </cell>
          <cell r="I267">
            <v>0</v>
          </cell>
          <cell r="J267">
            <v>0</v>
          </cell>
        </row>
        <row r="268">
          <cell r="F268">
            <v>0</v>
          </cell>
          <cell r="G268">
            <v>0</v>
          </cell>
          <cell r="H268">
            <v>0</v>
          </cell>
          <cell r="I268">
            <v>0</v>
          </cell>
          <cell r="J268">
            <v>0</v>
          </cell>
        </row>
        <row r="269">
          <cell r="F269">
            <v>0</v>
          </cell>
          <cell r="G269">
            <v>0</v>
          </cell>
          <cell r="H269">
            <v>0</v>
          </cell>
          <cell r="I269">
            <v>0</v>
          </cell>
          <cell r="J269">
            <v>0</v>
          </cell>
        </row>
        <row r="270">
          <cell r="F270">
            <v>0</v>
          </cell>
          <cell r="G270">
            <v>0</v>
          </cell>
          <cell r="H270">
            <v>0</v>
          </cell>
          <cell r="I270">
            <v>0</v>
          </cell>
          <cell r="J270">
            <v>0</v>
          </cell>
        </row>
        <row r="271">
          <cell r="F271">
            <v>0</v>
          </cell>
          <cell r="G271">
            <v>0</v>
          </cell>
          <cell r="H271">
            <v>0</v>
          </cell>
          <cell r="I271">
            <v>0</v>
          </cell>
          <cell r="J271">
            <v>0</v>
          </cell>
        </row>
        <row r="272">
          <cell r="F272">
            <v>0</v>
          </cell>
          <cell r="G272">
            <v>0</v>
          </cell>
          <cell r="H272">
            <v>0</v>
          </cell>
          <cell r="I272">
            <v>0</v>
          </cell>
          <cell r="J272">
            <v>0</v>
          </cell>
        </row>
        <row r="273">
          <cell r="F273">
            <v>0</v>
          </cell>
          <cell r="G273">
            <v>0</v>
          </cell>
          <cell r="H273">
            <v>0</v>
          </cell>
          <cell r="I273">
            <v>0</v>
          </cell>
          <cell r="J273">
            <v>0</v>
          </cell>
        </row>
        <row r="274">
          <cell r="F274">
            <v>0</v>
          </cell>
          <cell r="G274">
            <v>0</v>
          </cell>
          <cell r="H274">
            <v>0</v>
          </cell>
          <cell r="I274">
            <v>0</v>
          </cell>
          <cell r="J274">
            <v>0</v>
          </cell>
        </row>
        <row r="275">
          <cell r="F275">
            <v>0</v>
          </cell>
          <cell r="G275">
            <v>0</v>
          </cell>
          <cell r="H275">
            <v>0</v>
          </cell>
          <cell r="I275">
            <v>0</v>
          </cell>
          <cell r="J275">
            <v>0</v>
          </cell>
        </row>
        <row r="276">
          <cell r="F276">
            <v>0</v>
          </cell>
          <cell r="G276">
            <v>0</v>
          </cell>
          <cell r="H276">
            <v>0</v>
          </cell>
          <cell r="I276">
            <v>0</v>
          </cell>
          <cell r="J276">
            <v>0</v>
          </cell>
        </row>
        <row r="277">
          <cell r="F277">
            <v>0</v>
          </cell>
          <cell r="G277">
            <v>0</v>
          </cell>
          <cell r="H277">
            <v>0</v>
          </cell>
          <cell r="I277">
            <v>0</v>
          </cell>
          <cell r="J277">
            <v>0</v>
          </cell>
        </row>
        <row r="278">
          <cell r="F278">
            <v>0</v>
          </cell>
          <cell r="G278">
            <v>0</v>
          </cell>
          <cell r="H278">
            <v>0</v>
          </cell>
          <cell r="I278">
            <v>0</v>
          </cell>
          <cell r="J278">
            <v>0</v>
          </cell>
        </row>
        <row r="279">
          <cell r="F279">
            <v>0</v>
          </cell>
          <cell r="G279">
            <v>0</v>
          </cell>
          <cell r="H279">
            <v>0</v>
          </cell>
          <cell r="I279">
            <v>0</v>
          </cell>
          <cell r="J279">
            <v>0</v>
          </cell>
        </row>
        <row r="280">
          <cell r="F280">
            <v>0</v>
          </cell>
          <cell r="G280">
            <v>0</v>
          </cell>
          <cell r="H280">
            <v>0</v>
          </cell>
          <cell r="I280">
            <v>0</v>
          </cell>
          <cell r="J280">
            <v>0</v>
          </cell>
        </row>
        <row r="281">
          <cell r="F281">
            <v>0</v>
          </cell>
          <cell r="G281">
            <v>0</v>
          </cell>
          <cell r="H281">
            <v>0</v>
          </cell>
          <cell r="I281">
            <v>0</v>
          </cell>
          <cell r="J281">
            <v>0</v>
          </cell>
        </row>
        <row r="282">
          <cell r="F282">
            <v>0</v>
          </cell>
          <cell r="G282">
            <v>0</v>
          </cell>
          <cell r="H282">
            <v>0</v>
          </cell>
          <cell r="I282">
            <v>0</v>
          </cell>
          <cell r="J282">
            <v>0</v>
          </cell>
        </row>
        <row r="283">
          <cell r="F283">
            <v>0</v>
          </cell>
          <cell r="G283">
            <v>0</v>
          </cell>
          <cell r="H283">
            <v>0</v>
          </cell>
          <cell r="I283">
            <v>0</v>
          </cell>
          <cell r="J283">
            <v>0</v>
          </cell>
        </row>
        <row r="285">
          <cell r="F285">
            <v>-157592</v>
          </cell>
          <cell r="G285">
            <v>0</v>
          </cell>
          <cell r="H285">
            <v>-157592</v>
          </cell>
          <cell r="I285">
            <v>0</v>
          </cell>
          <cell r="J285">
            <v>-157592</v>
          </cell>
        </row>
        <row r="286">
          <cell r="F286">
            <v>83419</v>
          </cell>
          <cell r="G286">
            <v>0</v>
          </cell>
          <cell r="H286">
            <v>83419</v>
          </cell>
          <cell r="I286">
            <v>0</v>
          </cell>
          <cell r="J286">
            <v>83419</v>
          </cell>
        </row>
        <row r="287">
          <cell r="F287">
            <v>0</v>
          </cell>
          <cell r="G287">
            <v>0</v>
          </cell>
          <cell r="H287">
            <v>0</v>
          </cell>
          <cell r="I287">
            <v>0</v>
          </cell>
          <cell r="J287">
            <v>0</v>
          </cell>
        </row>
        <row r="288">
          <cell r="F288">
            <v>-131368</v>
          </cell>
          <cell r="G288">
            <v>0</v>
          </cell>
          <cell r="H288">
            <v>-131368</v>
          </cell>
          <cell r="I288">
            <v>0</v>
          </cell>
          <cell r="J288">
            <v>-131368</v>
          </cell>
        </row>
        <row r="289">
          <cell r="F289">
            <v>113790</v>
          </cell>
          <cell r="G289">
            <v>0</v>
          </cell>
          <cell r="H289">
            <v>113790</v>
          </cell>
          <cell r="I289">
            <v>0</v>
          </cell>
          <cell r="J289">
            <v>113790</v>
          </cell>
        </row>
        <row r="290">
          <cell r="F290">
            <v>0</v>
          </cell>
          <cell r="G290">
            <v>0</v>
          </cell>
          <cell r="H290">
            <v>0</v>
          </cell>
          <cell r="I290">
            <v>0</v>
          </cell>
          <cell r="J290">
            <v>0</v>
          </cell>
        </row>
        <row r="291">
          <cell r="F291">
            <v>-1131446</v>
          </cell>
          <cell r="G291">
            <v>0</v>
          </cell>
          <cell r="H291">
            <v>-1131446</v>
          </cell>
          <cell r="I291">
            <v>0</v>
          </cell>
          <cell r="J291">
            <v>-1131446</v>
          </cell>
        </row>
        <row r="292">
          <cell r="F292">
            <v>-1223197</v>
          </cell>
          <cell r="G292">
            <v>0</v>
          </cell>
          <cell r="H292">
            <v>-1223197</v>
          </cell>
          <cell r="I292">
            <v>0</v>
          </cell>
          <cell r="J292">
            <v>-1223197</v>
          </cell>
        </row>
        <row r="294">
          <cell r="F294">
            <v>0</v>
          </cell>
          <cell r="G294">
            <v>0</v>
          </cell>
          <cell r="H294">
            <v>0</v>
          </cell>
          <cell r="I294">
            <v>0</v>
          </cell>
          <cell r="J294">
            <v>0</v>
          </cell>
        </row>
        <row r="295">
          <cell r="F295">
            <v>0</v>
          </cell>
          <cell r="G295">
            <v>0</v>
          </cell>
          <cell r="H295">
            <v>0</v>
          </cell>
          <cell r="I295">
            <v>0</v>
          </cell>
          <cell r="J295">
            <v>0</v>
          </cell>
        </row>
        <row r="296">
          <cell r="F296">
            <v>0</v>
          </cell>
          <cell r="G296">
            <v>0</v>
          </cell>
          <cell r="H296">
            <v>0</v>
          </cell>
          <cell r="I296">
            <v>0</v>
          </cell>
          <cell r="J296">
            <v>0</v>
          </cell>
        </row>
        <row r="297">
          <cell r="F297">
            <v>0</v>
          </cell>
          <cell r="G297">
            <v>0</v>
          </cell>
          <cell r="H297">
            <v>0</v>
          </cell>
          <cell r="I297">
            <v>0</v>
          </cell>
          <cell r="J297">
            <v>0</v>
          </cell>
        </row>
        <row r="298">
          <cell r="F298">
            <v>0</v>
          </cell>
          <cell r="G298">
            <v>0</v>
          </cell>
          <cell r="H298">
            <v>0</v>
          </cell>
          <cell r="I298">
            <v>0</v>
          </cell>
          <cell r="J298">
            <v>0</v>
          </cell>
        </row>
        <row r="299">
          <cell r="F299">
            <v>0</v>
          </cell>
          <cell r="G299">
            <v>0</v>
          </cell>
          <cell r="H299">
            <v>0</v>
          </cell>
          <cell r="I299">
            <v>0</v>
          </cell>
          <cell r="J299">
            <v>0</v>
          </cell>
        </row>
        <row r="300">
          <cell r="F300">
            <v>0</v>
          </cell>
          <cell r="G300">
            <v>0</v>
          </cell>
          <cell r="H300">
            <v>0</v>
          </cell>
          <cell r="I300">
            <v>0</v>
          </cell>
          <cell r="J300">
            <v>0</v>
          </cell>
        </row>
        <row r="301">
          <cell r="F301">
            <v>0</v>
          </cell>
          <cell r="G301">
            <v>0</v>
          </cell>
          <cell r="H301">
            <v>0</v>
          </cell>
          <cell r="I301">
            <v>0</v>
          </cell>
          <cell r="J301">
            <v>0</v>
          </cell>
        </row>
        <row r="302">
          <cell r="F302">
            <v>607</v>
          </cell>
          <cell r="G302">
            <v>0</v>
          </cell>
          <cell r="H302">
            <v>607</v>
          </cell>
          <cell r="I302">
            <v>0</v>
          </cell>
          <cell r="J302">
            <v>607</v>
          </cell>
        </row>
        <row r="303">
          <cell r="F303">
            <v>607</v>
          </cell>
          <cell r="G303">
            <v>0</v>
          </cell>
          <cell r="H303">
            <v>607</v>
          </cell>
          <cell r="I303">
            <v>0</v>
          </cell>
          <cell r="J303">
            <v>607</v>
          </cell>
        </row>
        <row r="305">
          <cell r="F305">
            <v>0</v>
          </cell>
          <cell r="G305">
            <v>0</v>
          </cell>
          <cell r="H305">
            <v>0</v>
          </cell>
          <cell r="I305">
            <v>0</v>
          </cell>
          <cell r="J305">
            <v>0</v>
          </cell>
        </row>
        <row r="306">
          <cell r="F306">
            <v>0</v>
          </cell>
          <cell r="G306">
            <v>0</v>
          </cell>
          <cell r="H306">
            <v>0</v>
          </cell>
          <cell r="I306">
            <v>0</v>
          </cell>
          <cell r="J306">
            <v>0</v>
          </cell>
        </row>
        <row r="307">
          <cell r="F307">
            <v>0</v>
          </cell>
          <cell r="G307">
            <v>0</v>
          </cell>
          <cell r="H307">
            <v>0</v>
          </cell>
          <cell r="I307">
            <v>0</v>
          </cell>
          <cell r="J307">
            <v>0</v>
          </cell>
        </row>
        <row r="308">
          <cell r="F308">
            <v>0</v>
          </cell>
          <cell r="G308">
            <v>0</v>
          </cell>
          <cell r="H308">
            <v>0</v>
          </cell>
          <cell r="I308">
            <v>0</v>
          </cell>
          <cell r="J308">
            <v>0</v>
          </cell>
        </row>
        <row r="309">
          <cell r="F309">
            <v>0</v>
          </cell>
          <cell r="G309">
            <v>0</v>
          </cell>
          <cell r="H309">
            <v>0</v>
          </cell>
          <cell r="I309">
            <v>0</v>
          </cell>
          <cell r="J309">
            <v>0</v>
          </cell>
        </row>
        <row r="310">
          <cell r="F310">
            <v>0</v>
          </cell>
          <cell r="G310">
            <v>0</v>
          </cell>
          <cell r="H310">
            <v>0</v>
          </cell>
          <cell r="I310">
            <v>0</v>
          </cell>
          <cell r="J310">
            <v>0</v>
          </cell>
        </row>
        <row r="311">
          <cell r="F311">
            <v>0</v>
          </cell>
          <cell r="G311">
            <v>0</v>
          </cell>
          <cell r="H311">
            <v>0</v>
          </cell>
          <cell r="I311">
            <v>0</v>
          </cell>
          <cell r="J311">
            <v>0</v>
          </cell>
        </row>
        <row r="312">
          <cell r="F312">
            <v>0</v>
          </cell>
          <cell r="G312">
            <v>0</v>
          </cell>
          <cell r="H312">
            <v>0</v>
          </cell>
          <cell r="I312">
            <v>0</v>
          </cell>
          <cell r="J312">
            <v>0</v>
          </cell>
        </row>
        <row r="313">
          <cell r="F313">
            <v>0</v>
          </cell>
          <cell r="G313">
            <v>0</v>
          </cell>
          <cell r="H313">
            <v>0</v>
          </cell>
          <cell r="I313">
            <v>0</v>
          </cell>
          <cell r="J313">
            <v>0</v>
          </cell>
        </row>
        <row r="314">
          <cell r="F314">
            <v>0</v>
          </cell>
          <cell r="G314">
            <v>0</v>
          </cell>
          <cell r="H314">
            <v>0</v>
          </cell>
          <cell r="I314">
            <v>0</v>
          </cell>
          <cell r="J314">
            <v>0</v>
          </cell>
        </row>
        <row r="315">
          <cell r="F315">
            <v>6274</v>
          </cell>
          <cell r="G315">
            <v>0</v>
          </cell>
          <cell r="H315">
            <v>6274</v>
          </cell>
          <cell r="I315">
            <v>0</v>
          </cell>
          <cell r="J315">
            <v>6274</v>
          </cell>
        </row>
        <row r="316">
          <cell r="F316">
            <v>6274</v>
          </cell>
          <cell r="G316">
            <v>0</v>
          </cell>
          <cell r="H316">
            <v>6274</v>
          </cell>
          <cell r="I316">
            <v>0</v>
          </cell>
          <cell r="J316">
            <v>6274</v>
          </cell>
        </row>
        <row r="318">
          <cell r="F318">
            <v>0</v>
          </cell>
          <cell r="G318">
            <v>0</v>
          </cell>
          <cell r="H318">
            <v>0</v>
          </cell>
          <cell r="I318">
            <v>0</v>
          </cell>
          <cell r="J318">
            <v>0</v>
          </cell>
        </row>
        <row r="319">
          <cell r="F319">
            <v>0</v>
          </cell>
          <cell r="G319">
            <v>0</v>
          </cell>
          <cell r="H319">
            <v>0</v>
          </cell>
          <cell r="I319">
            <v>0</v>
          </cell>
          <cell r="J319">
            <v>0</v>
          </cell>
        </row>
        <row r="320">
          <cell r="F320">
            <v>0</v>
          </cell>
          <cell r="G320">
            <v>0</v>
          </cell>
          <cell r="H320">
            <v>0</v>
          </cell>
          <cell r="I320">
            <v>0</v>
          </cell>
          <cell r="J320">
            <v>0</v>
          </cell>
        </row>
        <row r="321">
          <cell r="F321">
            <v>0</v>
          </cell>
          <cell r="G321">
            <v>0</v>
          </cell>
          <cell r="H321">
            <v>0</v>
          </cell>
          <cell r="I321">
            <v>0</v>
          </cell>
          <cell r="J321">
            <v>0</v>
          </cell>
        </row>
        <row r="322">
          <cell r="F322">
            <v>0</v>
          </cell>
          <cell r="G322">
            <v>0</v>
          </cell>
          <cell r="H322">
            <v>0</v>
          </cell>
          <cell r="I322">
            <v>0</v>
          </cell>
          <cell r="J322">
            <v>0</v>
          </cell>
        </row>
        <row r="323">
          <cell r="F323">
            <v>-5576</v>
          </cell>
          <cell r="G323">
            <v>0</v>
          </cell>
          <cell r="H323">
            <v>-5576</v>
          </cell>
          <cell r="I323">
            <v>0</v>
          </cell>
          <cell r="J323">
            <v>-5576</v>
          </cell>
        </row>
        <row r="324">
          <cell r="F324">
            <v>20</v>
          </cell>
          <cell r="G324">
            <v>0</v>
          </cell>
          <cell r="H324">
            <v>20</v>
          </cell>
          <cell r="I324">
            <v>-16</v>
          </cell>
          <cell r="J324">
            <v>4</v>
          </cell>
        </row>
        <row r="325">
          <cell r="F325">
            <v>0</v>
          </cell>
          <cell r="G325">
            <v>0</v>
          </cell>
          <cell r="H325">
            <v>0</v>
          </cell>
          <cell r="I325">
            <v>0</v>
          </cell>
          <cell r="J325">
            <v>0</v>
          </cell>
        </row>
        <row r="326">
          <cell r="F326">
            <v>-5556</v>
          </cell>
          <cell r="G326">
            <v>0</v>
          </cell>
          <cell r="H326">
            <v>-5556</v>
          </cell>
          <cell r="I326">
            <v>-16</v>
          </cell>
          <cell r="J326">
            <v>-5572</v>
          </cell>
        </row>
        <row r="328">
          <cell r="F328">
            <v>0</v>
          </cell>
          <cell r="G328">
            <v>0</v>
          </cell>
          <cell r="H328">
            <v>0</v>
          </cell>
          <cell r="I328">
            <v>0</v>
          </cell>
          <cell r="J328">
            <v>0</v>
          </cell>
        </row>
        <row r="330">
          <cell r="F330">
            <v>0</v>
          </cell>
          <cell r="G330">
            <v>0</v>
          </cell>
          <cell r="H330">
            <v>0</v>
          </cell>
          <cell r="I330">
            <v>0</v>
          </cell>
          <cell r="J330">
            <v>0</v>
          </cell>
        </row>
        <row r="331">
          <cell r="F331">
            <v>0</v>
          </cell>
          <cell r="G331">
            <v>0</v>
          </cell>
          <cell r="H331">
            <v>0</v>
          </cell>
          <cell r="I331">
            <v>0</v>
          </cell>
          <cell r="J331">
            <v>0</v>
          </cell>
        </row>
        <row r="332">
          <cell r="F332">
            <v>0</v>
          </cell>
          <cell r="G332">
            <v>0</v>
          </cell>
          <cell r="H332">
            <v>0</v>
          </cell>
          <cell r="I332">
            <v>0</v>
          </cell>
          <cell r="J332">
            <v>0</v>
          </cell>
        </row>
        <row r="333">
          <cell r="F333">
            <v>0</v>
          </cell>
          <cell r="G333">
            <v>0</v>
          </cell>
          <cell r="H333">
            <v>0</v>
          </cell>
          <cell r="I333">
            <v>0</v>
          </cell>
          <cell r="J333">
            <v>0</v>
          </cell>
        </row>
        <row r="334">
          <cell r="F334">
            <v>0</v>
          </cell>
          <cell r="G334">
            <v>0</v>
          </cell>
          <cell r="H334">
            <v>0</v>
          </cell>
          <cell r="I334">
            <v>0</v>
          </cell>
          <cell r="J334">
            <v>0</v>
          </cell>
        </row>
        <row r="335">
          <cell r="F335">
            <v>0</v>
          </cell>
          <cell r="G335">
            <v>0</v>
          </cell>
          <cell r="H335">
            <v>0</v>
          </cell>
          <cell r="I335">
            <v>0</v>
          </cell>
          <cell r="J335">
            <v>0</v>
          </cell>
        </row>
        <row r="336">
          <cell r="F336">
            <v>0</v>
          </cell>
          <cell r="G336">
            <v>0</v>
          </cell>
          <cell r="H336">
            <v>0</v>
          </cell>
          <cell r="I336">
            <v>0</v>
          </cell>
          <cell r="J336">
            <v>0</v>
          </cell>
        </row>
        <row r="337">
          <cell r="F337">
            <v>0</v>
          </cell>
          <cell r="G337">
            <v>0</v>
          </cell>
          <cell r="H337">
            <v>0</v>
          </cell>
          <cell r="I337">
            <v>0</v>
          </cell>
          <cell r="J337">
            <v>0</v>
          </cell>
        </row>
        <row r="338">
          <cell r="F338">
            <v>0</v>
          </cell>
          <cell r="G338">
            <v>0</v>
          </cell>
          <cell r="H338">
            <v>0</v>
          </cell>
          <cell r="I338">
            <v>0</v>
          </cell>
          <cell r="J338">
            <v>0</v>
          </cell>
        </row>
        <row r="339">
          <cell r="F339">
            <v>0</v>
          </cell>
          <cell r="G339">
            <v>0</v>
          </cell>
          <cell r="H339">
            <v>0</v>
          </cell>
          <cell r="I339">
            <v>0</v>
          </cell>
          <cell r="J339">
            <v>0</v>
          </cell>
        </row>
        <row r="340">
          <cell r="F340">
            <v>0</v>
          </cell>
          <cell r="G340">
            <v>0</v>
          </cell>
          <cell r="H340">
            <v>0</v>
          </cell>
          <cell r="I340">
            <v>0</v>
          </cell>
          <cell r="J340">
            <v>0</v>
          </cell>
        </row>
        <row r="341">
          <cell r="F341">
            <v>0</v>
          </cell>
          <cell r="G341">
            <v>0</v>
          </cell>
          <cell r="H341">
            <v>0</v>
          </cell>
          <cell r="I341">
            <v>0</v>
          </cell>
          <cell r="J341">
            <v>0</v>
          </cell>
        </row>
        <row r="342">
          <cell r="F342">
            <v>0</v>
          </cell>
          <cell r="G342">
            <v>0</v>
          </cell>
          <cell r="H342">
            <v>0</v>
          </cell>
          <cell r="I342">
            <v>0</v>
          </cell>
          <cell r="J342">
            <v>0</v>
          </cell>
        </row>
        <row r="343">
          <cell r="F343">
            <v>0</v>
          </cell>
          <cell r="G343">
            <v>0</v>
          </cell>
          <cell r="H343">
            <v>0</v>
          </cell>
          <cell r="I343">
            <v>0</v>
          </cell>
          <cell r="J343">
            <v>0</v>
          </cell>
        </row>
        <row r="344">
          <cell r="F344">
            <v>0</v>
          </cell>
          <cell r="G344">
            <v>0</v>
          </cell>
          <cell r="H344">
            <v>0</v>
          </cell>
          <cell r="I344">
            <v>0</v>
          </cell>
          <cell r="J344">
            <v>0</v>
          </cell>
        </row>
        <row r="345">
          <cell r="F345">
            <v>0</v>
          </cell>
          <cell r="G345">
            <v>0</v>
          </cell>
          <cell r="H345">
            <v>0</v>
          </cell>
          <cell r="I345">
            <v>0</v>
          </cell>
          <cell r="J345">
            <v>0</v>
          </cell>
        </row>
        <row r="346">
          <cell r="F346">
            <v>0</v>
          </cell>
          <cell r="G346">
            <v>0</v>
          </cell>
          <cell r="H346">
            <v>0</v>
          </cell>
          <cell r="I346">
            <v>0</v>
          </cell>
          <cell r="J346">
            <v>0</v>
          </cell>
        </row>
        <row r="347">
          <cell r="F347">
            <v>0</v>
          </cell>
          <cell r="G347">
            <v>0</v>
          </cell>
          <cell r="H347">
            <v>0</v>
          </cell>
          <cell r="I347">
            <v>0</v>
          </cell>
          <cell r="J347">
            <v>0</v>
          </cell>
        </row>
        <row r="348">
          <cell r="F348">
            <v>0</v>
          </cell>
          <cell r="G348">
            <v>0</v>
          </cell>
          <cell r="H348">
            <v>0</v>
          </cell>
          <cell r="I348">
            <v>0</v>
          </cell>
          <cell r="J348">
            <v>0</v>
          </cell>
        </row>
        <row r="349">
          <cell r="F349">
            <v>-10933</v>
          </cell>
          <cell r="G349">
            <v>0</v>
          </cell>
          <cell r="H349">
            <v>-10933</v>
          </cell>
          <cell r="I349">
            <v>0</v>
          </cell>
          <cell r="J349">
            <v>-10933</v>
          </cell>
        </row>
        <row r="350">
          <cell r="F350">
            <v>-146</v>
          </cell>
          <cell r="G350">
            <v>0</v>
          </cell>
          <cell r="H350">
            <v>-146</v>
          </cell>
          <cell r="I350">
            <v>0</v>
          </cell>
          <cell r="J350">
            <v>-146</v>
          </cell>
        </row>
        <row r="351">
          <cell r="F351">
            <v>-1729</v>
          </cell>
          <cell r="G351">
            <v>0</v>
          </cell>
          <cell r="H351">
            <v>-1729</v>
          </cell>
          <cell r="I351">
            <v>0</v>
          </cell>
          <cell r="J351">
            <v>-1729</v>
          </cell>
        </row>
        <row r="352">
          <cell r="F352">
            <v>-12808</v>
          </cell>
          <cell r="G352">
            <v>0</v>
          </cell>
          <cell r="H352">
            <v>-12808</v>
          </cell>
          <cell r="I352">
            <v>0</v>
          </cell>
          <cell r="J352">
            <v>-12808</v>
          </cell>
        </row>
        <row r="354">
          <cell r="F354">
            <v>0</v>
          </cell>
          <cell r="G354">
            <v>0</v>
          </cell>
          <cell r="H354">
            <v>0</v>
          </cell>
          <cell r="I354">
            <v>0</v>
          </cell>
          <cell r="J354">
            <v>0</v>
          </cell>
        </row>
        <row r="355">
          <cell r="F355">
            <v>0</v>
          </cell>
          <cell r="G355">
            <v>0</v>
          </cell>
          <cell r="H355">
            <v>0</v>
          </cell>
          <cell r="I355">
            <v>0</v>
          </cell>
          <cell r="J355">
            <v>0</v>
          </cell>
        </row>
        <row r="356">
          <cell r="F356">
            <v>0</v>
          </cell>
          <cell r="G356">
            <v>0</v>
          </cell>
          <cell r="H356">
            <v>0</v>
          </cell>
          <cell r="I356">
            <v>0</v>
          </cell>
          <cell r="J356">
            <v>0</v>
          </cell>
        </row>
        <row r="357">
          <cell r="F357">
            <v>-21331</v>
          </cell>
          <cell r="G357">
            <v>0</v>
          </cell>
          <cell r="H357">
            <v>-21331</v>
          </cell>
          <cell r="I357">
            <v>0</v>
          </cell>
          <cell r="J357">
            <v>-21331</v>
          </cell>
        </row>
        <row r="358">
          <cell r="F358">
            <v>0</v>
          </cell>
          <cell r="G358">
            <v>0</v>
          </cell>
          <cell r="H358">
            <v>0</v>
          </cell>
          <cell r="I358">
            <v>0</v>
          </cell>
          <cell r="J358">
            <v>0</v>
          </cell>
        </row>
        <row r="359">
          <cell r="F359">
            <v>0</v>
          </cell>
          <cell r="G359">
            <v>0</v>
          </cell>
          <cell r="H359">
            <v>0</v>
          </cell>
          <cell r="I359">
            <v>0</v>
          </cell>
          <cell r="J359">
            <v>0</v>
          </cell>
        </row>
        <row r="360">
          <cell r="F360">
            <v>0</v>
          </cell>
          <cell r="G360">
            <v>0</v>
          </cell>
          <cell r="H360">
            <v>0</v>
          </cell>
          <cell r="I360">
            <v>0</v>
          </cell>
          <cell r="J360">
            <v>0</v>
          </cell>
        </row>
        <row r="361">
          <cell r="F361">
            <v>-11728</v>
          </cell>
          <cell r="G361">
            <v>0</v>
          </cell>
          <cell r="H361">
            <v>-11728</v>
          </cell>
          <cell r="I361">
            <v>-141</v>
          </cell>
          <cell r="J361">
            <v>-11869</v>
          </cell>
        </row>
        <row r="362">
          <cell r="F362">
            <v>-33059</v>
          </cell>
          <cell r="G362">
            <v>0</v>
          </cell>
          <cell r="H362">
            <v>-33059</v>
          </cell>
          <cell r="I362">
            <v>-141</v>
          </cell>
          <cell r="J362">
            <v>-33200</v>
          </cell>
        </row>
        <row r="364">
          <cell r="F364">
            <v>0</v>
          </cell>
          <cell r="G364">
            <v>0</v>
          </cell>
          <cell r="H364">
            <v>0</v>
          </cell>
          <cell r="I364">
            <v>0</v>
          </cell>
          <cell r="J364">
            <v>0</v>
          </cell>
        </row>
        <row r="366">
          <cell r="F366">
            <v>0</v>
          </cell>
          <cell r="G366">
            <v>0</v>
          </cell>
          <cell r="H366">
            <v>0</v>
          </cell>
          <cell r="I366">
            <v>0</v>
          </cell>
          <cell r="J366">
            <v>0</v>
          </cell>
        </row>
        <row r="367">
          <cell r="F367">
            <v>-2969</v>
          </cell>
          <cell r="G367">
            <v>0</v>
          </cell>
          <cell r="H367">
            <v>-2969</v>
          </cell>
          <cell r="I367">
            <v>0</v>
          </cell>
          <cell r="J367">
            <v>-2969</v>
          </cell>
        </row>
        <row r="368">
          <cell r="F368">
            <v>-2969</v>
          </cell>
          <cell r="G368">
            <v>0</v>
          </cell>
          <cell r="H368">
            <v>-2969</v>
          </cell>
          <cell r="I368">
            <v>0</v>
          </cell>
          <cell r="J368">
            <v>-2969</v>
          </cell>
        </row>
        <row r="370">
          <cell r="F370">
            <v>0</v>
          </cell>
          <cell r="G370">
            <v>0</v>
          </cell>
          <cell r="H370">
            <v>0</v>
          </cell>
          <cell r="I370">
            <v>0</v>
          </cell>
          <cell r="J370">
            <v>0</v>
          </cell>
        </row>
        <row r="371">
          <cell r="F371">
            <v>-29</v>
          </cell>
          <cell r="G371">
            <v>0</v>
          </cell>
          <cell r="H371">
            <v>-29</v>
          </cell>
          <cell r="I371">
            <v>0</v>
          </cell>
          <cell r="J371">
            <v>-29</v>
          </cell>
        </row>
        <row r="372">
          <cell r="F372">
            <v>-29</v>
          </cell>
          <cell r="G372">
            <v>0</v>
          </cell>
          <cell r="H372">
            <v>-29</v>
          </cell>
          <cell r="I372">
            <v>0</v>
          </cell>
          <cell r="J372">
            <v>-29</v>
          </cell>
        </row>
        <row r="374">
          <cell r="F374">
            <v>0</v>
          </cell>
          <cell r="G374">
            <v>0</v>
          </cell>
          <cell r="H374">
            <v>0</v>
          </cell>
          <cell r="I374">
            <v>0</v>
          </cell>
          <cell r="J374">
            <v>0</v>
          </cell>
        </row>
        <row r="375">
          <cell r="F375">
            <v>0</v>
          </cell>
          <cell r="G375">
            <v>0</v>
          </cell>
          <cell r="H375">
            <v>0</v>
          </cell>
          <cell r="I375">
            <v>0</v>
          </cell>
          <cell r="J375">
            <v>0</v>
          </cell>
        </row>
        <row r="376">
          <cell r="F376">
            <v>0</v>
          </cell>
          <cell r="G376">
            <v>0</v>
          </cell>
          <cell r="H376">
            <v>0</v>
          </cell>
          <cell r="I376">
            <v>0</v>
          </cell>
          <cell r="J376">
            <v>0</v>
          </cell>
        </row>
        <row r="377">
          <cell r="F377">
            <v>0</v>
          </cell>
          <cell r="G377">
            <v>0</v>
          </cell>
          <cell r="H377">
            <v>0</v>
          </cell>
          <cell r="I377">
            <v>0</v>
          </cell>
          <cell r="J377">
            <v>0</v>
          </cell>
        </row>
        <row r="378">
          <cell r="F378">
            <v>0</v>
          </cell>
          <cell r="G378">
            <v>0</v>
          </cell>
          <cell r="H378">
            <v>0</v>
          </cell>
          <cell r="I378">
            <v>0</v>
          </cell>
          <cell r="J378">
            <v>0</v>
          </cell>
        </row>
        <row r="379">
          <cell r="F379">
            <v>0</v>
          </cell>
          <cell r="G379">
            <v>0</v>
          </cell>
          <cell r="H379">
            <v>0</v>
          </cell>
          <cell r="I379">
            <v>0</v>
          </cell>
          <cell r="J379">
            <v>0</v>
          </cell>
        </row>
        <row r="380">
          <cell r="F380">
            <v>0</v>
          </cell>
          <cell r="G380">
            <v>0</v>
          </cell>
          <cell r="H380">
            <v>0</v>
          </cell>
          <cell r="I380">
            <v>0</v>
          </cell>
          <cell r="J380">
            <v>0</v>
          </cell>
        </row>
        <row r="381">
          <cell r="F381">
            <v>0</v>
          </cell>
          <cell r="G381">
            <v>0</v>
          </cell>
          <cell r="H381">
            <v>0</v>
          </cell>
          <cell r="I381">
            <v>0</v>
          </cell>
          <cell r="J381">
            <v>0</v>
          </cell>
        </row>
        <row r="382">
          <cell r="F382">
            <v>0</v>
          </cell>
          <cell r="G382">
            <v>0</v>
          </cell>
          <cell r="H382">
            <v>0</v>
          </cell>
          <cell r="I382">
            <v>0</v>
          </cell>
          <cell r="J382">
            <v>0</v>
          </cell>
        </row>
        <row r="383">
          <cell r="F383">
            <v>0</v>
          </cell>
          <cell r="G383">
            <v>0</v>
          </cell>
          <cell r="H383">
            <v>0</v>
          </cell>
          <cell r="I383">
            <v>0</v>
          </cell>
          <cell r="J383">
            <v>0</v>
          </cell>
        </row>
        <row r="384">
          <cell r="F384">
            <v>0</v>
          </cell>
          <cell r="G384">
            <v>0</v>
          </cell>
          <cell r="H384">
            <v>0</v>
          </cell>
          <cell r="I384">
            <v>0</v>
          </cell>
          <cell r="J384">
            <v>0</v>
          </cell>
        </row>
        <row r="385">
          <cell r="F385">
            <v>0</v>
          </cell>
          <cell r="G385">
            <v>0</v>
          </cell>
          <cell r="H385">
            <v>0</v>
          </cell>
          <cell r="I385">
            <v>0</v>
          </cell>
          <cell r="J385">
            <v>0</v>
          </cell>
        </row>
        <row r="386">
          <cell r="F386">
            <v>0</v>
          </cell>
          <cell r="G386">
            <v>0</v>
          </cell>
          <cell r="H386">
            <v>0</v>
          </cell>
          <cell r="I386">
            <v>0</v>
          </cell>
          <cell r="J386">
            <v>0</v>
          </cell>
        </row>
        <row r="387">
          <cell r="F387">
            <v>0</v>
          </cell>
          <cell r="G387">
            <v>0</v>
          </cell>
          <cell r="H387">
            <v>0</v>
          </cell>
          <cell r="I387">
            <v>0</v>
          </cell>
          <cell r="J387">
            <v>0</v>
          </cell>
        </row>
        <row r="388">
          <cell r="F388">
            <v>0</v>
          </cell>
          <cell r="G388">
            <v>0</v>
          </cell>
          <cell r="H388">
            <v>0</v>
          </cell>
          <cell r="I388">
            <v>0</v>
          </cell>
          <cell r="J388">
            <v>0</v>
          </cell>
        </row>
        <row r="389">
          <cell r="F389">
            <v>0</v>
          </cell>
          <cell r="G389">
            <v>0</v>
          </cell>
          <cell r="H389">
            <v>0</v>
          </cell>
          <cell r="I389">
            <v>0</v>
          </cell>
          <cell r="J389">
            <v>0</v>
          </cell>
        </row>
        <row r="390">
          <cell r="F390">
            <v>-14</v>
          </cell>
          <cell r="G390">
            <v>0</v>
          </cell>
          <cell r="H390">
            <v>-14</v>
          </cell>
          <cell r="I390">
            <v>0</v>
          </cell>
          <cell r="J390">
            <v>-14</v>
          </cell>
        </row>
        <row r="391">
          <cell r="F391">
            <v>-1271</v>
          </cell>
          <cell r="G391">
            <v>0</v>
          </cell>
          <cell r="H391">
            <v>-1271</v>
          </cell>
          <cell r="I391">
            <v>0</v>
          </cell>
          <cell r="J391">
            <v>-1271</v>
          </cell>
        </row>
        <row r="392">
          <cell r="F392">
            <v>-1</v>
          </cell>
          <cell r="G392">
            <v>0</v>
          </cell>
          <cell r="H392">
            <v>-1</v>
          </cell>
          <cell r="I392">
            <v>0</v>
          </cell>
          <cell r="J392">
            <v>-1</v>
          </cell>
        </row>
        <row r="393">
          <cell r="F393">
            <v>-90</v>
          </cell>
          <cell r="G393">
            <v>0</v>
          </cell>
          <cell r="H393">
            <v>-90</v>
          </cell>
          <cell r="I393">
            <v>0</v>
          </cell>
          <cell r="J393">
            <v>-90</v>
          </cell>
        </row>
        <row r="394">
          <cell r="F394">
            <v>-96</v>
          </cell>
          <cell r="G394">
            <v>0</v>
          </cell>
          <cell r="H394">
            <v>-96</v>
          </cell>
          <cell r="I394">
            <v>0</v>
          </cell>
          <cell r="J394">
            <v>-96</v>
          </cell>
        </row>
        <row r="395">
          <cell r="F395">
            <v>-47</v>
          </cell>
          <cell r="G395">
            <v>0</v>
          </cell>
          <cell r="H395">
            <v>-47</v>
          </cell>
          <cell r="I395">
            <v>0</v>
          </cell>
          <cell r="J395">
            <v>-47</v>
          </cell>
        </row>
        <row r="396">
          <cell r="F396">
            <v>-435</v>
          </cell>
          <cell r="G396">
            <v>0</v>
          </cell>
          <cell r="H396">
            <v>-435</v>
          </cell>
          <cell r="I396">
            <v>0</v>
          </cell>
          <cell r="J396">
            <v>-435</v>
          </cell>
        </row>
        <row r="397">
          <cell r="F397">
            <v>-2</v>
          </cell>
          <cell r="G397">
            <v>0</v>
          </cell>
          <cell r="H397">
            <v>-2</v>
          </cell>
          <cell r="I397">
            <v>0</v>
          </cell>
          <cell r="J397">
            <v>-2</v>
          </cell>
        </row>
        <row r="398">
          <cell r="F398">
            <v>-2329</v>
          </cell>
          <cell r="G398">
            <v>0</v>
          </cell>
          <cell r="H398">
            <v>-2329</v>
          </cell>
          <cell r="I398">
            <v>0</v>
          </cell>
          <cell r="J398">
            <v>-2329</v>
          </cell>
        </row>
        <row r="399">
          <cell r="F399">
            <v>-4</v>
          </cell>
          <cell r="G399">
            <v>0</v>
          </cell>
          <cell r="H399">
            <v>-4</v>
          </cell>
          <cell r="I399">
            <v>0</v>
          </cell>
          <cell r="J399">
            <v>-4</v>
          </cell>
        </row>
        <row r="400">
          <cell r="F400">
            <v>-15</v>
          </cell>
          <cell r="G400">
            <v>0</v>
          </cell>
          <cell r="H400">
            <v>-15</v>
          </cell>
          <cell r="I400">
            <v>0</v>
          </cell>
          <cell r="J400">
            <v>-15</v>
          </cell>
        </row>
        <row r="401">
          <cell r="F401">
            <v>0</v>
          </cell>
          <cell r="G401">
            <v>0</v>
          </cell>
          <cell r="H401">
            <v>0</v>
          </cell>
          <cell r="I401">
            <v>0</v>
          </cell>
          <cell r="J401">
            <v>0</v>
          </cell>
        </row>
        <row r="402">
          <cell r="F402">
            <v>-4304</v>
          </cell>
          <cell r="G402">
            <v>0</v>
          </cell>
          <cell r="H402">
            <v>-4304</v>
          </cell>
          <cell r="I402">
            <v>0</v>
          </cell>
          <cell r="J402">
            <v>-4304</v>
          </cell>
        </row>
        <row r="404">
          <cell r="F404">
            <v>0</v>
          </cell>
          <cell r="G404">
            <v>0</v>
          </cell>
          <cell r="H404">
            <v>0</v>
          </cell>
          <cell r="I404">
            <v>0</v>
          </cell>
          <cell r="J404">
            <v>0</v>
          </cell>
        </row>
        <row r="405">
          <cell r="F405">
            <v>0</v>
          </cell>
          <cell r="G405">
            <v>0</v>
          </cell>
          <cell r="H405">
            <v>0</v>
          </cell>
          <cell r="I405">
            <v>0</v>
          </cell>
          <cell r="J405">
            <v>0</v>
          </cell>
        </row>
        <row r="406">
          <cell r="F406">
            <v>0</v>
          </cell>
          <cell r="G406">
            <v>0</v>
          </cell>
          <cell r="H406">
            <v>0</v>
          </cell>
          <cell r="I406">
            <v>0</v>
          </cell>
          <cell r="J406">
            <v>0</v>
          </cell>
        </row>
        <row r="407">
          <cell r="F407">
            <v>1148</v>
          </cell>
          <cell r="G407">
            <v>0</v>
          </cell>
          <cell r="H407">
            <v>1148</v>
          </cell>
          <cell r="I407">
            <v>0</v>
          </cell>
          <cell r="J407">
            <v>1148</v>
          </cell>
        </row>
        <row r="408">
          <cell r="F408">
            <v>0</v>
          </cell>
          <cell r="G408">
            <v>0</v>
          </cell>
          <cell r="H408">
            <v>0</v>
          </cell>
          <cell r="I408">
            <v>0</v>
          </cell>
          <cell r="J408">
            <v>0</v>
          </cell>
        </row>
        <row r="409">
          <cell r="F409">
            <v>-110</v>
          </cell>
          <cell r="G409">
            <v>0</v>
          </cell>
          <cell r="H409">
            <v>-110</v>
          </cell>
          <cell r="I409">
            <v>157</v>
          </cell>
          <cell r="J409">
            <v>47</v>
          </cell>
        </row>
        <row r="410">
          <cell r="F410">
            <v>1038</v>
          </cell>
          <cell r="G410">
            <v>0</v>
          </cell>
          <cell r="H410">
            <v>1038</v>
          </cell>
          <cell r="I410">
            <v>157</v>
          </cell>
          <cell r="J410">
            <v>1195</v>
          </cell>
        </row>
        <row r="412">
          <cell r="F412">
            <v>0</v>
          </cell>
          <cell r="G412">
            <v>0</v>
          </cell>
          <cell r="H412">
            <v>0</v>
          </cell>
          <cell r="I412">
            <v>0</v>
          </cell>
          <cell r="J412">
            <v>0</v>
          </cell>
        </row>
        <row r="413">
          <cell r="F413">
            <v>0</v>
          </cell>
          <cell r="G413">
            <v>0</v>
          </cell>
          <cell r="H413">
            <v>0</v>
          </cell>
          <cell r="I413">
            <v>0</v>
          </cell>
          <cell r="J413">
            <v>0</v>
          </cell>
        </row>
        <row r="414">
          <cell r="F414">
            <v>1699</v>
          </cell>
          <cell r="G414">
            <v>0</v>
          </cell>
          <cell r="H414">
            <v>1699</v>
          </cell>
          <cell r="I414">
            <v>0</v>
          </cell>
          <cell r="J414">
            <v>1699</v>
          </cell>
        </row>
        <row r="415">
          <cell r="F415">
            <v>1699</v>
          </cell>
          <cell r="G415">
            <v>0</v>
          </cell>
          <cell r="H415">
            <v>1699</v>
          </cell>
          <cell r="I415">
            <v>0</v>
          </cell>
          <cell r="J415">
            <v>1699</v>
          </cell>
        </row>
        <row r="417">
          <cell r="F417">
            <v>0</v>
          </cell>
          <cell r="G417">
            <v>0</v>
          </cell>
          <cell r="H417">
            <v>0</v>
          </cell>
          <cell r="I417">
            <v>0</v>
          </cell>
          <cell r="J417">
            <v>0</v>
          </cell>
        </row>
        <row r="418">
          <cell r="F418">
            <v>0</v>
          </cell>
          <cell r="G418">
            <v>0</v>
          </cell>
          <cell r="H418">
            <v>0</v>
          </cell>
          <cell r="I418">
            <v>0</v>
          </cell>
          <cell r="J418">
            <v>0</v>
          </cell>
        </row>
        <row r="419">
          <cell r="F419">
            <v>0</v>
          </cell>
          <cell r="G419">
            <v>0</v>
          </cell>
          <cell r="H419">
            <v>0</v>
          </cell>
          <cell r="I419">
            <v>0</v>
          </cell>
          <cell r="J419">
            <v>0</v>
          </cell>
        </row>
        <row r="420">
          <cell r="F420">
            <v>9242</v>
          </cell>
          <cell r="G420">
            <v>0</v>
          </cell>
          <cell r="H420">
            <v>9242</v>
          </cell>
          <cell r="I420">
            <v>0</v>
          </cell>
          <cell r="J420">
            <v>9242</v>
          </cell>
        </row>
        <row r="421">
          <cell r="F421">
            <v>1501</v>
          </cell>
          <cell r="G421">
            <v>0</v>
          </cell>
          <cell r="H421">
            <v>1501</v>
          </cell>
          <cell r="I421">
            <v>0</v>
          </cell>
          <cell r="J421">
            <v>1501</v>
          </cell>
        </row>
        <row r="422">
          <cell r="F422">
            <v>1479</v>
          </cell>
          <cell r="G422">
            <v>0</v>
          </cell>
          <cell r="H422">
            <v>1479</v>
          </cell>
          <cell r="I422">
            <v>0</v>
          </cell>
          <cell r="J422">
            <v>1479</v>
          </cell>
        </row>
        <row r="423">
          <cell r="F423">
            <v>12222</v>
          </cell>
          <cell r="G423">
            <v>0</v>
          </cell>
          <cell r="H423">
            <v>12222</v>
          </cell>
          <cell r="I423">
            <v>0</v>
          </cell>
          <cell r="J423">
            <v>12222</v>
          </cell>
        </row>
        <row r="425">
          <cell r="F425">
            <v>0</v>
          </cell>
          <cell r="G425">
            <v>0</v>
          </cell>
          <cell r="H425">
            <v>0</v>
          </cell>
          <cell r="I425">
            <v>0</v>
          </cell>
          <cell r="J425">
            <v>0</v>
          </cell>
        </row>
        <row r="426">
          <cell r="F426">
            <v>951</v>
          </cell>
          <cell r="G426">
            <v>0</v>
          </cell>
          <cell r="H426">
            <v>951</v>
          </cell>
          <cell r="I426">
            <v>0</v>
          </cell>
          <cell r="J426">
            <v>951</v>
          </cell>
        </row>
        <row r="427">
          <cell r="F427">
            <v>133</v>
          </cell>
          <cell r="G427">
            <v>0</v>
          </cell>
          <cell r="H427">
            <v>133</v>
          </cell>
          <cell r="I427">
            <v>0</v>
          </cell>
          <cell r="J427">
            <v>133</v>
          </cell>
        </row>
        <row r="428">
          <cell r="F428">
            <v>1084</v>
          </cell>
          <cell r="G428">
            <v>0</v>
          </cell>
          <cell r="H428">
            <v>1084</v>
          </cell>
          <cell r="I428">
            <v>0</v>
          </cell>
          <cell r="J428">
            <v>1084</v>
          </cell>
        </row>
        <row r="430">
          <cell r="F430">
            <v>0</v>
          </cell>
          <cell r="G430">
            <v>0</v>
          </cell>
          <cell r="H430">
            <v>0</v>
          </cell>
          <cell r="I430">
            <v>0</v>
          </cell>
          <cell r="J430">
            <v>0</v>
          </cell>
        </row>
        <row r="431">
          <cell r="F431">
            <v>462</v>
          </cell>
          <cell r="G431">
            <v>0</v>
          </cell>
          <cell r="H431">
            <v>462</v>
          </cell>
          <cell r="I431">
            <v>0</v>
          </cell>
          <cell r="J431">
            <v>462</v>
          </cell>
        </row>
        <row r="432">
          <cell r="F432">
            <v>462</v>
          </cell>
          <cell r="G432">
            <v>0</v>
          </cell>
          <cell r="H432">
            <v>462</v>
          </cell>
          <cell r="I432">
            <v>0</v>
          </cell>
          <cell r="J432">
            <v>462</v>
          </cell>
        </row>
        <row r="434">
          <cell r="F434">
            <v>0</v>
          </cell>
          <cell r="G434">
            <v>0</v>
          </cell>
          <cell r="H434">
            <v>0</v>
          </cell>
          <cell r="I434">
            <v>0</v>
          </cell>
          <cell r="J434">
            <v>0</v>
          </cell>
        </row>
        <row r="435">
          <cell r="F435">
            <v>0</v>
          </cell>
          <cell r="G435">
            <v>0</v>
          </cell>
          <cell r="H435">
            <v>0</v>
          </cell>
          <cell r="I435">
            <v>0</v>
          </cell>
          <cell r="J435">
            <v>0</v>
          </cell>
        </row>
        <row r="436">
          <cell r="F436">
            <v>0</v>
          </cell>
          <cell r="G436">
            <v>0</v>
          </cell>
          <cell r="H436">
            <v>0</v>
          </cell>
          <cell r="I436">
            <v>0</v>
          </cell>
          <cell r="J436">
            <v>0</v>
          </cell>
        </row>
        <row r="437">
          <cell r="F437">
            <v>0</v>
          </cell>
          <cell r="G437">
            <v>0</v>
          </cell>
          <cell r="H437">
            <v>0</v>
          </cell>
          <cell r="I437">
            <v>0</v>
          </cell>
          <cell r="J437">
            <v>0</v>
          </cell>
        </row>
        <row r="438">
          <cell r="F438">
            <v>0</v>
          </cell>
          <cell r="G438">
            <v>0</v>
          </cell>
          <cell r="H438">
            <v>0</v>
          </cell>
          <cell r="I438">
            <v>0</v>
          </cell>
          <cell r="J438">
            <v>0</v>
          </cell>
        </row>
        <row r="439">
          <cell r="F439">
            <v>0</v>
          </cell>
          <cell r="G439">
            <v>0</v>
          </cell>
          <cell r="H439">
            <v>0</v>
          </cell>
          <cell r="I439">
            <v>0</v>
          </cell>
          <cell r="J439">
            <v>0</v>
          </cell>
        </row>
        <row r="440">
          <cell r="F440">
            <v>0</v>
          </cell>
          <cell r="G440">
            <v>0</v>
          </cell>
          <cell r="H440">
            <v>0</v>
          </cell>
          <cell r="I440">
            <v>0</v>
          </cell>
          <cell r="J440">
            <v>0</v>
          </cell>
        </row>
        <row r="441">
          <cell r="F441">
            <v>0</v>
          </cell>
          <cell r="G441">
            <v>0</v>
          </cell>
          <cell r="H441">
            <v>0</v>
          </cell>
          <cell r="I441">
            <v>0</v>
          </cell>
          <cell r="J441">
            <v>0</v>
          </cell>
        </row>
        <row r="442">
          <cell r="F442">
            <v>0</v>
          </cell>
          <cell r="G442">
            <v>0</v>
          </cell>
          <cell r="H442">
            <v>0</v>
          </cell>
          <cell r="I442">
            <v>0</v>
          </cell>
          <cell r="J442">
            <v>0</v>
          </cell>
        </row>
        <row r="443">
          <cell r="F443">
            <v>0</v>
          </cell>
          <cell r="G443">
            <v>0</v>
          </cell>
          <cell r="H443">
            <v>0</v>
          </cell>
          <cell r="I443">
            <v>0</v>
          </cell>
          <cell r="J443">
            <v>0</v>
          </cell>
        </row>
        <row r="444">
          <cell r="F444">
            <v>0</v>
          </cell>
          <cell r="G444">
            <v>0</v>
          </cell>
          <cell r="H444">
            <v>0</v>
          </cell>
          <cell r="I444">
            <v>0</v>
          </cell>
          <cell r="J444">
            <v>0</v>
          </cell>
        </row>
        <row r="445">
          <cell r="F445">
            <v>0</v>
          </cell>
          <cell r="G445">
            <v>0</v>
          </cell>
          <cell r="H445">
            <v>0</v>
          </cell>
          <cell r="I445">
            <v>0</v>
          </cell>
          <cell r="J445">
            <v>0</v>
          </cell>
        </row>
        <row r="446">
          <cell r="F446">
            <v>0</v>
          </cell>
          <cell r="G446">
            <v>0</v>
          </cell>
          <cell r="H446">
            <v>0</v>
          </cell>
          <cell r="I446">
            <v>0</v>
          </cell>
          <cell r="J446">
            <v>0</v>
          </cell>
        </row>
        <row r="447">
          <cell r="F447">
            <v>0</v>
          </cell>
          <cell r="G447">
            <v>0</v>
          </cell>
          <cell r="H447">
            <v>0</v>
          </cell>
          <cell r="I447">
            <v>0</v>
          </cell>
          <cell r="J447">
            <v>0</v>
          </cell>
        </row>
        <row r="448">
          <cell r="F448">
            <v>0</v>
          </cell>
          <cell r="G448">
            <v>0</v>
          </cell>
          <cell r="H448">
            <v>0</v>
          </cell>
          <cell r="I448">
            <v>0</v>
          </cell>
          <cell r="J448">
            <v>0</v>
          </cell>
        </row>
        <row r="449">
          <cell r="F449">
            <v>100</v>
          </cell>
          <cell r="G449">
            <v>0</v>
          </cell>
          <cell r="H449">
            <v>100</v>
          </cell>
          <cell r="I449">
            <v>0</v>
          </cell>
          <cell r="J449">
            <v>100</v>
          </cell>
        </row>
        <row r="450">
          <cell r="F450">
            <v>100</v>
          </cell>
          <cell r="G450">
            <v>0</v>
          </cell>
          <cell r="H450">
            <v>100</v>
          </cell>
          <cell r="I450">
            <v>0</v>
          </cell>
          <cell r="J450">
            <v>100</v>
          </cell>
        </row>
        <row r="452">
          <cell r="F452">
            <v>0</v>
          </cell>
          <cell r="G452">
            <v>0</v>
          </cell>
          <cell r="H452">
            <v>0</v>
          </cell>
          <cell r="I452">
            <v>0</v>
          </cell>
          <cell r="J452">
            <v>0</v>
          </cell>
        </row>
        <row r="454">
          <cell r="F454">
            <v>0</v>
          </cell>
          <cell r="G454">
            <v>0</v>
          </cell>
          <cell r="H454">
            <v>0</v>
          </cell>
          <cell r="I454">
            <v>0</v>
          </cell>
          <cell r="J454">
            <v>0</v>
          </cell>
        </row>
        <row r="456">
          <cell r="F456">
            <v>0</v>
          </cell>
          <cell r="G456">
            <v>0</v>
          </cell>
          <cell r="H456">
            <v>0</v>
          </cell>
          <cell r="I456">
            <v>0</v>
          </cell>
          <cell r="J456">
            <v>0</v>
          </cell>
        </row>
        <row r="457">
          <cell r="F457">
            <v>0</v>
          </cell>
          <cell r="G457">
            <v>0</v>
          </cell>
          <cell r="H457">
            <v>0</v>
          </cell>
          <cell r="I457">
            <v>0</v>
          </cell>
          <cell r="J457">
            <v>0</v>
          </cell>
        </row>
        <row r="458">
          <cell r="F458">
            <v>0</v>
          </cell>
          <cell r="G458">
            <v>0</v>
          </cell>
          <cell r="H458">
            <v>0</v>
          </cell>
          <cell r="I458">
            <v>0</v>
          </cell>
          <cell r="J458">
            <v>0</v>
          </cell>
        </row>
        <row r="459">
          <cell r="F459">
            <v>0</v>
          </cell>
          <cell r="G459">
            <v>0</v>
          </cell>
          <cell r="H459">
            <v>0</v>
          </cell>
          <cell r="I459">
            <v>0</v>
          </cell>
          <cell r="J459">
            <v>0</v>
          </cell>
        </row>
        <row r="460">
          <cell r="F460">
            <v>0</v>
          </cell>
          <cell r="G460">
            <v>0</v>
          </cell>
          <cell r="H460">
            <v>0</v>
          </cell>
          <cell r="I460">
            <v>0</v>
          </cell>
          <cell r="J460">
            <v>0</v>
          </cell>
        </row>
        <row r="461">
          <cell r="F461">
            <v>0</v>
          </cell>
          <cell r="G461">
            <v>0</v>
          </cell>
          <cell r="H461">
            <v>0</v>
          </cell>
          <cell r="I461">
            <v>0</v>
          </cell>
          <cell r="J461">
            <v>0</v>
          </cell>
        </row>
        <row r="462">
          <cell r="F462">
            <v>0</v>
          </cell>
          <cell r="G462">
            <v>0</v>
          </cell>
          <cell r="H462">
            <v>0</v>
          </cell>
          <cell r="I462">
            <v>0</v>
          </cell>
          <cell r="J462">
            <v>0</v>
          </cell>
        </row>
        <row r="463">
          <cell r="F463">
            <v>0</v>
          </cell>
          <cell r="G463">
            <v>0</v>
          </cell>
          <cell r="H463">
            <v>0</v>
          </cell>
          <cell r="I463">
            <v>0</v>
          </cell>
          <cell r="J463">
            <v>0</v>
          </cell>
        </row>
        <row r="464">
          <cell r="F464">
            <v>0</v>
          </cell>
          <cell r="G464">
            <v>0</v>
          </cell>
          <cell r="H464">
            <v>0</v>
          </cell>
          <cell r="I464">
            <v>0</v>
          </cell>
          <cell r="J464">
            <v>0</v>
          </cell>
        </row>
        <row r="465">
          <cell r="F465">
            <v>0</v>
          </cell>
          <cell r="G465">
            <v>0</v>
          </cell>
          <cell r="H465">
            <v>0</v>
          </cell>
          <cell r="I465">
            <v>0</v>
          </cell>
          <cell r="J465">
            <v>0</v>
          </cell>
        </row>
        <row r="466">
          <cell r="F466">
            <v>0</v>
          </cell>
          <cell r="G466">
            <v>0</v>
          </cell>
          <cell r="H466">
            <v>0</v>
          </cell>
          <cell r="I466">
            <v>0</v>
          </cell>
          <cell r="J466">
            <v>0</v>
          </cell>
        </row>
        <row r="467">
          <cell r="F467">
            <v>0</v>
          </cell>
          <cell r="G467">
            <v>0</v>
          </cell>
          <cell r="H467">
            <v>0</v>
          </cell>
          <cell r="I467">
            <v>0</v>
          </cell>
          <cell r="J467">
            <v>0</v>
          </cell>
        </row>
        <row r="468">
          <cell r="F468">
            <v>0</v>
          </cell>
          <cell r="G468">
            <v>0</v>
          </cell>
          <cell r="H468">
            <v>0</v>
          </cell>
          <cell r="I468">
            <v>0</v>
          </cell>
          <cell r="J468">
            <v>0</v>
          </cell>
        </row>
        <row r="469">
          <cell r="F469">
            <v>0</v>
          </cell>
          <cell r="G469">
            <v>0</v>
          </cell>
          <cell r="H469">
            <v>0</v>
          </cell>
          <cell r="I469">
            <v>0</v>
          </cell>
          <cell r="J469">
            <v>0</v>
          </cell>
        </row>
        <row r="470">
          <cell r="F470">
            <v>0</v>
          </cell>
          <cell r="G470">
            <v>0</v>
          </cell>
          <cell r="H470">
            <v>0</v>
          </cell>
          <cell r="I470">
            <v>0</v>
          </cell>
          <cell r="J470">
            <v>0</v>
          </cell>
        </row>
        <row r="471">
          <cell r="F471">
            <v>0</v>
          </cell>
          <cell r="G471">
            <v>0</v>
          </cell>
          <cell r="H471">
            <v>0</v>
          </cell>
          <cell r="I471">
            <v>0</v>
          </cell>
          <cell r="J471">
            <v>0</v>
          </cell>
        </row>
        <row r="472">
          <cell r="F472">
            <v>0</v>
          </cell>
          <cell r="G472">
            <v>0</v>
          </cell>
          <cell r="H472">
            <v>0</v>
          </cell>
          <cell r="I472">
            <v>0</v>
          </cell>
          <cell r="J472">
            <v>0</v>
          </cell>
        </row>
        <row r="473">
          <cell r="F473">
            <v>3</v>
          </cell>
          <cell r="G473">
            <v>0</v>
          </cell>
          <cell r="H473">
            <v>3</v>
          </cell>
          <cell r="I473">
            <v>0</v>
          </cell>
          <cell r="J473">
            <v>3</v>
          </cell>
        </row>
        <row r="474">
          <cell r="F474">
            <v>0</v>
          </cell>
          <cell r="G474">
            <v>0</v>
          </cell>
          <cell r="H474">
            <v>0</v>
          </cell>
          <cell r="I474">
            <v>0</v>
          </cell>
          <cell r="J474">
            <v>0</v>
          </cell>
        </row>
        <row r="475">
          <cell r="F475">
            <v>48</v>
          </cell>
          <cell r="G475">
            <v>0</v>
          </cell>
          <cell r="H475">
            <v>48</v>
          </cell>
          <cell r="I475">
            <v>0</v>
          </cell>
          <cell r="J475">
            <v>48</v>
          </cell>
        </row>
        <row r="476">
          <cell r="F476">
            <v>14</v>
          </cell>
          <cell r="G476">
            <v>0</v>
          </cell>
          <cell r="H476">
            <v>14</v>
          </cell>
          <cell r="I476">
            <v>0</v>
          </cell>
          <cell r="J476">
            <v>14</v>
          </cell>
        </row>
        <row r="477">
          <cell r="F477">
            <v>11</v>
          </cell>
          <cell r="G477">
            <v>0</v>
          </cell>
          <cell r="H477">
            <v>11</v>
          </cell>
          <cell r="I477">
            <v>0</v>
          </cell>
          <cell r="J477">
            <v>11</v>
          </cell>
        </row>
        <row r="478">
          <cell r="F478">
            <v>0</v>
          </cell>
          <cell r="G478">
            <v>0</v>
          </cell>
          <cell r="H478">
            <v>0</v>
          </cell>
          <cell r="I478">
            <v>0</v>
          </cell>
          <cell r="J478">
            <v>0</v>
          </cell>
        </row>
        <row r="479">
          <cell r="F479">
            <v>6</v>
          </cell>
          <cell r="G479">
            <v>0</v>
          </cell>
          <cell r="H479">
            <v>6</v>
          </cell>
          <cell r="I479">
            <v>0</v>
          </cell>
          <cell r="J479">
            <v>6</v>
          </cell>
        </row>
        <row r="480">
          <cell r="F480">
            <v>82</v>
          </cell>
          <cell r="G480">
            <v>0</v>
          </cell>
          <cell r="H480">
            <v>82</v>
          </cell>
          <cell r="I480">
            <v>0</v>
          </cell>
          <cell r="J480">
            <v>82</v>
          </cell>
        </row>
        <row r="482">
          <cell r="F482">
            <v>0</v>
          </cell>
          <cell r="G482">
            <v>0</v>
          </cell>
          <cell r="H482">
            <v>0</v>
          </cell>
          <cell r="I482">
            <v>0</v>
          </cell>
          <cell r="J482">
            <v>0</v>
          </cell>
        </row>
        <row r="484">
          <cell r="F484">
            <v>0</v>
          </cell>
          <cell r="G484">
            <v>0</v>
          </cell>
          <cell r="H484">
            <v>0</v>
          </cell>
          <cell r="I484">
            <v>0</v>
          </cell>
          <cell r="J484">
            <v>0</v>
          </cell>
        </row>
        <row r="485">
          <cell r="F485">
            <v>0</v>
          </cell>
          <cell r="G485">
            <v>0</v>
          </cell>
          <cell r="H485">
            <v>0</v>
          </cell>
          <cell r="I485">
            <v>0</v>
          </cell>
          <cell r="J485">
            <v>0</v>
          </cell>
        </row>
        <row r="486">
          <cell r="F486">
            <v>0</v>
          </cell>
          <cell r="G486">
            <v>0</v>
          </cell>
          <cell r="H486">
            <v>0</v>
          </cell>
          <cell r="I486">
            <v>0</v>
          </cell>
          <cell r="J486">
            <v>0</v>
          </cell>
        </row>
        <row r="487">
          <cell r="F487">
            <v>69</v>
          </cell>
          <cell r="G487">
            <v>0</v>
          </cell>
          <cell r="H487">
            <v>69</v>
          </cell>
          <cell r="I487">
            <v>0</v>
          </cell>
          <cell r="J487">
            <v>69</v>
          </cell>
        </row>
        <row r="488">
          <cell r="F488">
            <v>129</v>
          </cell>
          <cell r="G488">
            <v>0</v>
          </cell>
          <cell r="H488">
            <v>129</v>
          </cell>
          <cell r="I488">
            <v>0</v>
          </cell>
          <cell r="J488">
            <v>129</v>
          </cell>
        </row>
        <row r="489">
          <cell r="F489">
            <v>7</v>
          </cell>
          <cell r="G489">
            <v>0</v>
          </cell>
          <cell r="H489">
            <v>7</v>
          </cell>
          <cell r="I489">
            <v>0</v>
          </cell>
          <cell r="J489">
            <v>7</v>
          </cell>
        </row>
        <row r="490">
          <cell r="F490">
            <v>0</v>
          </cell>
          <cell r="G490">
            <v>0</v>
          </cell>
          <cell r="H490">
            <v>0</v>
          </cell>
          <cell r="I490">
            <v>0</v>
          </cell>
          <cell r="J490">
            <v>0</v>
          </cell>
        </row>
        <row r="491">
          <cell r="F491">
            <v>205</v>
          </cell>
          <cell r="G491">
            <v>0</v>
          </cell>
          <cell r="H491">
            <v>205</v>
          </cell>
          <cell r="I491">
            <v>0</v>
          </cell>
          <cell r="J491">
            <v>205</v>
          </cell>
        </row>
        <row r="493">
          <cell r="F493">
            <v>0</v>
          </cell>
          <cell r="G493">
            <v>0</v>
          </cell>
          <cell r="H493">
            <v>0</v>
          </cell>
          <cell r="I493">
            <v>0</v>
          </cell>
          <cell r="J493">
            <v>0</v>
          </cell>
        </row>
        <row r="494">
          <cell r="F494">
            <v>0</v>
          </cell>
          <cell r="G494">
            <v>0</v>
          </cell>
          <cell r="H494">
            <v>0</v>
          </cell>
          <cell r="I494">
            <v>0</v>
          </cell>
          <cell r="J494">
            <v>0</v>
          </cell>
        </row>
        <row r="495">
          <cell r="F495">
            <v>0</v>
          </cell>
          <cell r="G495">
            <v>0</v>
          </cell>
          <cell r="H495">
            <v>0</v>
          </cell>
          <cell r="I495">
            <v>0</v>
          </cell>
          <cell r="J495">
            <v>0</v>
          </cell>
        </row>
        <row r="496">
          <cell r="F496">
            <v>0</v>
          </cell>
          <cell r="G496">
            <v>0</v>
          </cell>
          <cell r="H496">
            <v>0</v>
          </cell>
          <cell r="I496">
            <v>0</v>
          </cell>
          <cell r="J496">
            <v>0</v>
          </cell>
        </row>
        <row r="498">
          <cell r="F498">
            <v>0</v>
          </cell>
          <cell r="G498">
            <v>0</v>
          </cell>
          <cell r="H498">
            <v>0</v>
          </cell>
          <cell r="I498">
            <v>0</v>
          </cell>
          <cell r="J498">
            <v>0</v>
          </cell>
        </row>
        <row r="499">
          <cell r="F499">
            <v>0</v>
          </cell>
          <cell r="G499">
            <v>0</v>
          </cell>
          <cell r="H499">
            <v>0</v>
          </cell>
          <cell r="I499">
            <v>0</v>
          </cell>
          <cell r="J499">
            <v>0</v>
          </cell>
        </row>
        <row r="500">
          <cell r="F500">
            <v>3</v>
          </cell>
          <cell r="G500">
            <v>0</v>
          </cell>
          <cell r="H500">
            <v>3</v>
          </cell>
          <cell r="I500">
            <v>0</v>
          </cell>
          <cell r="J500">
            <v>3</v>
          </cell>
        </row>
        <row r="501">
          <cell r="F501">
            <v>115</v>
          </cell>
          <cell r="G501">
            <v>0</v>
          </cell>
          <cell r="H501">
            <v>115</v>
          </cell>
          <cell r="I501">
            <v>0</v>
          </cell>
          <cell r="J501">
            <v>115</v>
          </cell>
        </row>
        <row r="502">
          <cell r="F502">
            <v>118</v>
          </cell>
          <cell r="G502">
            <v>0</v>
          </cell>
          <cell r="H502">
            <v>118</v>
          </cell>
          <cell r="I502">
            <v>0</v>
          </cell>
          <cell r="J502">
            <v>118</v>
          </cell>
        </row>
        <row r="504">
          <cell r="F504">
            <v>0</v>
          </cell>
          <cell r="G504">
            <v>0</v>
          </cell>
          <cell r="H504">
            <v>0</v>
          </cell>
          <cell r="I504">
            <v>0</v>
          </cell>
          <cell r="J504">
            <v>0</v>
          </cell>
        </row>
        <row r="505">
          <cell r="F505">
            <v>0</v>
          </cell>
          <cell r="G505">
            <v>0</v>
          </cell>
          <cell r="H505">
            <v>0</v>
          </cell>
          <cell r="I505">
            <v>0</v>
          </cell>
          <cell r="J505">
            <v>0</v>
          </cell>
        </row>
        <row r="506">
          <cell r="F506">
            <v>125</v>
          </cell>
          <cell r="G506">
            <v>0</v>
          </cell>
          <cell r="H506">
            <v>125</v>
          </cell>
          <cell r="I506">
            <v>0</v>
          </cell>
          <cell r="J506">
            <v>125</v>
          </cell>
        </row>
        <row r="507">
          <cell r="F507">
            <v>13</v>
          </cell>
          <cell r="G507">
            <v>0</v>
          </cell>
          <cell r="H507">
            <v>13</v>
          </cell>
          <cell r="I507">
            <v>0</v>
          </cell>
          <cell r="J507">
            <v>13</v>
          </cell>
        </row>
        <row r="508">
          <cell r="F508">
            <v>138</v>
          </cell>
          <cell r="G508">
            <v>0</v>
          </cell>
          <cell r="H508">
            <v>138</v>
          </cell>
          <cell r="I508">
            <v>0</v>
          </cell>
          <cell r="J508">
            <v>138</v>
          </cell>
        </row>
        <row r="510">
          <cell r="F510">
            <v>0</v>
          </cell>
          <cell r="G510">
            <v>0</v>
          </cell>
          <cell r="H510">
            <v>0</v>
          </cell>
          <cell r="I510">
            <v>0</v>
          </cell>
          <cell r="J510">
            <v>0</v>
          </cell>
        </row>
        <row r="511">
          <cell r="F511">
            <v>0</v>
          </cell>
          <cell r="G511">
            <v>0</v>
          </cell>
          <cell r="H511">
            <v>0</v>
          </cell>
          <cell r="I511">
            <v>0</v>
          </cell>
          <cell r="J511">
            <v>0</v>
          </cell>
        </row>
        <row r="512">
          <cell r="F512">
            <v>0</v>
          </cell>
          <cell r="G512">
            <v>0</v>
          </cell>
          <cell r="H512">
            <v>0</v>
          </cell>
          <cell r="I512">
            <v>0</v>
          </cell>
          <cell r="J512">
            <v>0</v>
          </cell>
        </row>
        <row r="513">
          <cell r="F513">
            <v>0</v>
          </cell>
          <cell r="G513">
            <v>0</v>
          </cell>
          <cell r="H513">
            <v>0</v>
          </cell>
          <cell r="I513">
            <v>0</v>
          </cell>
          <cell r="J513">
            <v>0</v>
          </cell>
        </row>
        <row r="514">
          <cell r="F514">
            <v>0</v>
          </cell>
          <cell r="G514">
            <v>0</v>
          </cell>
          <cell r="H514">
            <v>0</v>
          </cell>
          <cell r="I514">
            <v>0</v>
          </cell>
          <cell r="J514">
            <v>0</v>
          </cell>
        </row>
        <row r="515">
          <cell r="F515">
            <v>333</v>
          </cell>
          <cell r="G515">
            <v>0</v>
          </cell>
          <cell r="H515">
            <v>333</v>
          </cell>
          <cell r="I515">
            <v>0</v>
          </cell>
          <cell r="J515">
            <v>333</v>
          </cell>
        </row>
        <row r="516">
          <cell r="F516">
            <v>23</v>
          </cell>
          <cell r="G516">
            <v>0</v>
          </cell>
          <cell r="H516">
            <v>23</v>
          </cell>
          <cell r="I516">
            <v>0</v>
          </cell>
          <cell r="J516">
            <v>23</v>
          </cell>
        </row>
        <row r="517">
          <cell r="F517">
            <v>356</v>
          </cell>
          <cell r="G517">
            <v>0</v>
          </cell>
          <cell r="H517">
            <v>356</v>
          </cell>
          <cell r="I517">
            <v>0</v>
          </cell>
          <cell r="J517">
            <v>356</v>
          </cell>
        </row>
        <row r="519">
          <cell r="F519">
            <v>0</v>
          </cell>
          <cell r="G519">
            <v>0</v>
          </cell>
          <cell r="H519">
            <v>0</v>
          </cell>
          <cell r="I519">
            <v>0</v>
          </cell>
          <cell r="J519">
            <v>0</v>
          </cell>
        </row>
        <row r="521">
          <cell r="F521">
            <v>139</v>
          </cell>
          <cell r="G521">
            <v>0</v>
          </cell>
          <cell r="H521">
            <v>139</v>
          </cell>
          <cell r="I521">
            <v>0</v>
          </cell>
          <cell r="J521">
            <v>139</v>
          </cell>
        </row>
        <row r="522">
          <cell r="F522">
            <v>139</v>
          </cell>
          <cell r="G522">
            <v>0</v>
          </cell>
          <cell r="H522">
            <v>139</v>
          </cell>
          <cell r="I522">
            <v>0</v>
          </cell>
          <cell r="J522">
            <v>139</v>
          </cell>
        </row>
        <row r="524">
          <cell r="F524">
            <v>0</v>
          </cell>
          <cell r="G524">
            <v>0</v>
          </cell>
          <cell r="H524">
            <v>0</v>
          </cell>
          <cell r="I524">
            <v>0</v>
          </cell>
          <cell r="J524">
            <v>0</v>
          </cell>
        </row>
        <row r="526">
          <cell r="F526">
            <v>0</v>
          </cell>
          <cell r="G526">
            <v>0</v>
          </cell>
          <cell r="H526">
            <v>0</v>
          </cell>
          <cell r="I526">
            <v>0</v>
          </cell>
          <cell r="J526">
            <v>0</v>
          </cell>
        </row>
        <row r="527">
          <cell r="F527">
            <v>0</v>
          </cell>
          <cell r="G527">
            <v>0</v>
          </cell>
          <cell r="H527">
            <v>0</v>
          </cell>
          <cell r="I527">
            <v>0</v>
          </cell>
          <cell r="J527">
            <v>0</v>
          </cell>
        </row>
        <row r="528">
          <cell r="F528">
            <v>0</v>
          </cell>
          <cell r="G528">
            <v>0</v>
          </cell>
          <cell r="H528">
            <v>0</v>
          </cell>
          <cell r="I528">
            <v>0</v>
          </cell>
          <cell r="J528">
            <v>0</v>
          </cell>
        </row>
        <row r="530">
          <cell r="F530">
            <v>0</v>
          </cell>
          <cell r="G530">
            <v>0</v>
          </cell>
          <cell r="H530">
            <v>0</v>
          </cell>
          <cell r="I530">
            <v>0</v>
          </cell>
          <cell r="J530">
            <v>0</v>
          </cell>
        </row>
        <row r="531">
          <cell r="F531">
            <v>0</v>
          </cell>
          <cell r="G531">
            <v>0</v>
          </cell>
          <cell r="H531">
            <v>0</v>
          </cell>
          <cell r="I531">
            <v>0</v>
          </cell>
          <cell r="J531">
            <v>0</v>
          </cell>
        </row>
        <row r="532">
          <cell r="F532">
            <v>0</v>
          </cell>
          <cell r="G532">
            <v>0</v>
          </cell>
          <cell r="H532">
            <v>0</v>
          </cell>
          <cell r="I532">
            <v>0</v>
          </cell>
          <cell r="J532">
            <v>0</v>
          </cell>
        </row>
        <row r="533">
          <cell r="F533">
            <v>0</v>
          </cell>
          <cell r="G533">
            <v>0</v>
          </cell>
          <cell r="H533">
            <v>0</v>
          </cell>
          <cell r="I533">
            <v>0</v>
          </cell>
          <cell r="J533">
            <v>0</v>
          </cell>
        </row>
        <row r="534">
          <cell r="F534">
            <v>0</v>
          </cell>
          <cell r="G534">
            <v>0</v>
          </cell>
          <cell r="H534">
            <v>0</v>
          </cell>
          <cell r="I534">
            <v>0</v>
          </cell>
          <cell r="J534">
            <v>0</v>
          </cell>
        </row>
        <row r="535">
          <cell r="F535">
            <v>0</v>
          </cell>
          <cell r="G535">
            <v>0</v>
          </cell>
          <cell r="H535">
            <v>0</v>
          </cell>
          <cell r="I535">
            <v>0</v>
          </cell>
          <cell r="J535">
            <v>0</v>
          </cell>
        </row>
        <row r="536">
          <cell r="F536">
            <v>0</v>
          </cell>
          <cell r="G536">
            <v>0</v>
          </cell>
          <cell r="H536">
            <v>0</v>
          </cell>
          <cell r="I536">
            <v>0</v>
          </cell>
          <cell r="J536">
            <v>0</v>
          </cell>
        </row>
        <row r="537">
          <cell r="F537">
            <v>0</v>
          </cell>
          <cell r="G537">
            <v>0</v>
          </cell>
          <cell r="H537">
            <v>0</v>
          </cell>
          <cell r="I537">
            <v>0</v>
          </cell>
          <cell r="J537">
            <v>0</v>
          </cell>
        </row>
        <row r="538">
          <cell r="F538">
            <v>-607</v>
          </cell>
          <cell r="G538">
            <v>0</v>
          </cell>
          <cell r="H538">
            <v>-607</v>
          </cell>
          <cell r="I538">
            <v>0</v>
          </cell>
          <cell r="J538">
            <v>-607</v>
          </cell>
        </row>
        <row r="539">
          <cell r="F539">
            <v>-607</v>
          </cell>
          <cell r="G539">
            <v>0</v>
          </cell>
          <cell r="H539">
            <v>-607</v>
          </cell>
          <cell r="I539">
            <v>0</v>
          </cell>
          <cell r="J539">
            <v>-607</v>
          </cell>
        </row>
        <row r="541">
          <cell r="F541">
            <v>0</v>
          </cell>
          <cell r="G541">
            <v>0</v>
          </cell>
          <cell r="H541">
            <v>0</v>
          </cell>
          <cell r="I541">
            <v>0</v>
          </cell>
          <cell r="J541">
            <v>0</v>
          </cell>
        </row>
        <row r="542">
          <cell r="F542">
            <v>-6274</v>
          </cell>
          <cell r="G542">
            <v>0</v>
          </cell>
          <cell r="H542">
            <v>-6274</v>
          </cell>
          <cell r="I542">
            <v>0</v>
          </cell>
          <cell r="J542">
            <v>-6274</v>
          </cell>
        </row>
        <row r="543">
          <cell r="F543">
            <v>-6274</v>
          </cell>
          <cell r="G543">
            <v>0</v>
          </cell>
          <cell r="H543">
            <v>-6274</v>
          </cell>
          <cell r="I543">
            <v>0</v>
          </cell>
          <cell r="J543">
            <v>-6274</v>
          </cell>
        </row>
        <row r="545">
          <cell r="F545">
            <v>0</v>
          </cell>
          <cell r="G545">
            <v>0</v>
          </cell>
          <cell r="H545">
            <v>0</v>
          </cell>
          <cell r="I545">
            <v>0</v>
          </cell>
          <cell r="J545">
            <v>0</v>
          </cell>
        </row>
        <row r="547">
          <cell r="F547">
            <v>0</v>
          </cell>
          <cell r="G547">
            <v>0</v>
          </cell>
          <cell r="H547">
            <v>0</v>
          </cell>
          <cell r="I547">
            <v>0</v>
          </cell>
          <cell r="J547">
            <v>0</v>
          </cell>
        </row>
        <row r="549">
          <cell r="F549">
            <v>0</v>
          </cell>
          <cell r="G549">
            <v>0</v>
          </cell>
          <cell r="H549">
            <v>0</v>
          </cell>
          <cell r="I549">
            <v>0</v>
          </cell>
          <cell r="J549">
            <v>0</v>
          </cell>
        </row>
        <row r="551">
          <cell r="F551">
            <v>0</v>
          </cell>
          <cell r="G551">
            <v>0</v>
          </cell>
          <cell r="H551">
            <v>0</v>
          </cell>
          <cell r="I551">
            <v>0</v>
          </cell>
          <cell r="J551">
            <v>0</v>
          </cell>
        </row>
        <row r="552">
          <cell r="F552">
            <v>0</v>
          </cell>
          <cell r="G552">
            <v>0</v>
          </cell>
          <cell r="H552">
            <v>0</v>
          </cell>
          <cell r="I552">
            <v>0</v>
          </cell>
          <cell r="J552">
            <v>0</v>
          </cell>
        </row>
      </sheetData>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BS"/>
      <sheetName val="Pn L"/>
      <sheetName val="CF "/>
      <sheetName val="DS"/>
      <sheetName val="UH"/>
      <sheetName val="Note 1-4"/>
      <sheetName val="Note 4.1 -7"/>
      <sheetName val="Note 7.3 -11"/>
      <sheetName val="Lead 2017."/>
      <sheetName val="Note 7.1-7.2"/>
      <sheetName val="12 - 18"/>
      <sheetName val="Note 19"/>
      <sheetName val="Note 20-22"/>
      <sheetName val="Links"/>
      <sheetName val="Realised"/>
      <sheetName val="Lead"/>
      <sheetName val="Unit Sold and Redeem"/>
      <sheetName val="Pattern of holding"/>
      <sheetName val="FISGF RP"/>
    </sheetNames>
    <sheetDataSet>
      <sheetData sheetId="0" refreshError="1"/>
      <sheetData sheetId="1"/>
      <sheetData sheetId="2"/>
      <sheetData sheetId="3"/>
      <sheetData sheetId="4"/>
      <sheetData sheetId="5"/>
      <sheetData sheetId="6"/>
      <sheetData sheetId="7"/>
      <sheetData sheetId="8"/>
      <sheetData sheetId="9">
        <row r="30">
          <cell r="K30">
            <v>603989377</v>
          </cell>
        </row>
      </sheetData>
      <sheetData sheetId="10"/>
      <sheetData sheetId="11"/>
      <sheetData sheetId="12" refreshError="1"/>
      <sheetData sheetId="13" refreshError="1"/>
      <sheetData sheetId="14">
        <row r="1">
          <cell r="F1" t="str">
            <v>Preliminary</v>
          </cell>
          <cell r="K1" t="str">
            <v>PY1</v>
          </cell>
        </row>
        <row r="3">
          <cell r="K3">
            <v>0</v>
          </cell>
        </row>
        <row r="4">
          <cell r="K4">
            <v>0</v>
          </cell>
        </row>
        <row r="5">
          <cell r="K5">
            <v>25366</v>
          </cell>
        </row>
        <row r="6">
          <cell r="K6">
            <v>0</v>
          </cell>
        </row>
        <row r="7">
          <cell r="K7">
            <v>0</v>
          </cell>
        </row>
        <row r="8">
          <cell r="K8">
            <v>0</v>
          </cell>
        </row>
        <row r="9">
          <cell r="K9">
            <v>0</v>
          </cell>
        </row>
        <row r="10">
          <cell r="K10">
            <v>0</v>
          </cell>
        </row>
        <row r="11">
          <cell r="K11">
            <v>0</v>
          </cell>
        </row>
        <row r="12">
          <cell r="K12">
            <v>0</v>
          </cell>
        </row>
        <row r="13">
          <cell r="K13">
            <v>0</v>
          </cell>
        </row>
        <row r="14">
          <cell r="K14">
            <v>10029010</v>
          </cell>
        </row>
        <row r="15">
          <cell r="K15">
            <v>0</v>
          </cell>
        </row>
        <row r="16">
          <cell r="K16">
            <v>11353</v>
          </cell>
        </row>
        <row r="17">
          <cell r="K17">
            <v>5962</v>
          </cell>
        </row>
        <row r="18">
          <cell r="K18">
            <v>14685</v>
          </cell>
        </row>
        <row r="19">
          <cell r="K19">
            <v>16375</v>
          </cell>
        </row>
        <row r="20">
          <cell r="K20">
            <v>16335</v>
          </cell>
        </row>
        <row r="21">
          <cell r="K21">
            <v>-38089</v>
          </cell>
        </row>
        <row r="22">
          <cell r="K22">
            <v>0</v>
          </cell>
        </row>
        <row r="23">
          <cell r="K23">
            <v>8700</v>
          </cell>
        </row>
        <row r="24">
          <cell r="K24">
            <v>655200720</v>
          </cell>
        </row>
        <row r="25">
          <cell r="K25">
            <v>8950</v>
          </cell>
        </row>
        <row r="26">
          <cell r="K26">
            <v>56374</v>
          </cell>
        </row>
        <row r="27">
          <cell r="K27">
            <v>96131</v>
          </cell>
        </row>
        <row r="28">
          <cell r="K28">
            <v>0</v>
          </cell>
        </row>
        <row r="29">
          <cell r="K29">
            <v>0</v>
          </cell>
        </row>
        <row r="30">
          <cell r="K30">
            <v>665451872</v>
          </cell>
        </row>
        <row r="32">
          <cell r="K32">
            <v>0</v>
          </cell>
        </row>
        <row r="33">
          <cell r="K33">
            <v>0</v>
          </cell>
        </row>
        <row r="34">
          <cell r="K34">
            <v>0</v>
          </cell>
        </row>
        <row r="35">
          <cell r="K35">
            <v>0</v>
          </cell>
        </row>
        <row r="36">
          <cell r="K36">
            <v>0</v>
          </cell>
        </row>
        <row r="37">
          <cell r="K37">
            <v>0</v>
          </cell>
        </row>
        <row r="38">
          <cell r="K38">
            <v>0</v>
          </cell>
        </row>
        <row r="40">
          <cell r="K40">
            <v>0</v>
          </cell>
        </row>
        <row r="41">
          <cell r="K41">
            <v>0</v>
          </cell>
        </row>
        <row r="43">
          <cell r="K43">
            <v>0</v>
          </cell>
        </row>
        <row r="44">
          <cell r="K44">
            <v>0</v>
          </cell>
        </row>
        <row r="45">
          <cell r="K45">
            <v>0</v>
          </cell>
        </row>
        <row r="46">
          <cell r="K46">
            <v>0</v>
          </cell>
        </row>
        <row r="48">
          <cell r="K48">
            <v>100000</v>
          </cell>
        </row>
        <row r="49">
          <cell r="K49">
            <v>0</v>
          </cell>
        </row>
        <row r="50">
          <cell r="K50">
            <v>100000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313437</v>
          </cell>
        </row>
        <row r="64">
          <cell r="K64">
            <v>5232206</v>
          </cell>
        </row>
        <row r="65">
          <cell r="K65">
            <v>502288</v>
          </cell>
        </row>
        <row r="66">
          <cell r="K66">
            <v>639864</v>
          </cell>
        </row>
        <row r="67">
          <cell r="K67">
            <v>0</v>
          </cell>
        </row>
        <row r="68">
          <cell r="K68">
            <v>0</v>
          </cell>
        </row>
        <row r="69">
          <cell r="K69">
            <v>0</v>
          </cell>
        </row>
        <row r="70">
          <cell r="K70">
            <v>0</v>
          </cell>
        </row>
        <row r="71">
          <cell r="K71">
            <v>0</v>
          </cell>
        </row>
        <row r="72">
          <cell r="K72">
            <v>0</v>
          </cell>
        </row>
        <row r="73">
          <cell r="K73">
            <v>6687795</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2">
          <cell r="K92">
            <v>0</v>
          </cell>
        </row>
        <row r="93">
          <cell r="K93">
            <v>0</v>
          </cell>
        </row>
        <row r="95">
          <cell r="K95">
            <v>0</v>
          </cell>
        </row>
        <row r="96">
          <cell r="K96">
            <v>5574</v>
          </cell>
        </row>
        <row r="97">
          <cell r="K97">
            <v>2029</v>
          </cell>
        </row>
        <row r="98">
          <cell r="K98">
            <v>0</v>
          </cell>
        </row>
        <row r="99">
          <cell r="K99">
            <v>0</v>
          </cell>
        </row>
        <row r="100">
          <cell r="K100">
            <v>0</v>
          </cell>
        </row>
        <row r="101">
          <cell r="K101">
            <v>0</v>
          </cell>
        </row>
        <row r="102">
          <cell r="K102">
            <v>0</v>
          </cell>
        </row>
        <row r="103">
          <cell r="K103">
            <v>0</v>
          </cell>
        </row>
        <row r="104">
          <cell r="K104">
            <v>0</v>
          </cell>
        </row>
        <row r="105">
          <cell r="K105">
            <v>30713</v>
          </cell>
        </row>
        <row r="106">
          <cell r="K106">
            <v>443</v>
          </cell>
        </row>
        <row r="107">
          <cell r="K107">
            <v>221</v>
          </cell>
        </row>
        <row r="108">
          <cell r="K108">
            <v>5423739</v>
          </cell>
        </row>
        <row r="109">
          <cell r="K109">
            <v>276</v>
          </cell>
        </row>
        <row r="110">
          <cell r="K110">
            <v>1112</v>
          </cell>
        </row>
        <row r="111">
          <cell r="K111">
            <v>5725</v>
          </cell>
        </row>
        <row r="112">
          <cell r="K112">
            <v>0</v>
          </cell>
        </row>
        <row r="113">
          <cell r="K113">
            <v>0</v>
          </cell>
        </row>
        <row r="114">
          <cell r="K114">
            <v>5469832</v>
          </cell>
        </row>
        <row r="116">
          <cell r="K116">
            <v>0</v>
          </cell>
        </row>
        <row r="118">
          <cell r="K118">
            <v>0</v>
          </cell>
        </row>
        <row r="120">
          <cell r="K120">
            <v>185446</v>
          </cell>
        </row>
        <row r="121">
          <cell r="K121">
            <v>0</v>
          </cell>
        </row>
        <row r="122">
          <cell r="K122">
            <v>0</v>
          </cell>
        </row>
        <row r="123">
          <cell r="K123">
            <v>185446</v>
          </cell>
        </row>
        <row r="125">
          <cell r="K125">
            <v>0</v>
          </cell>
        </row>
        <row r="126">
          <cell r="K126">
            <v>0</v>
          </cell>
        </row>
        <row r="127">
          <cell r="K127">
            <v>4946137</v>
          </cell>
        </row>
        <row r="128">
          <cell r="K128">
            <v>2282760</v>
          </cell>
        </row>
        <row r="129">
          <cell r="K129">
            <v>75234</v>
          </cell>
        </row>
        <row r="130">
          <cell r="K130">
            <v>-373008</v>
          </cell>
        </row>
        <row r="131">
          <cell r="K131">
            <v>0</v>
          </cell>
        </row>
        <row r="132">
          <cell r="K132">
            <v>99762234</v>
          </cell>
        </row>
        <row r="133">
          <cell r="K133">
            <v>8709861</v>
          </cell>
        </row>
        <row r="134">
          <cell r="K134">
            <v>11358435</v>
          </cell>
        </row>
        <row r="135">
          <cell r="K135">
            <v>99000000</v>
          </cell>
        </row>
        <row r="136">
          <cell r="K136">
            <v>0</v>
          </cell>
        </row>
        <row r="137">
          <cell r="K137">
            <v>225761653</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8">
          <cell r="K198">
            <v>0</v>
          </cell>
        </row>
        <row r="199">
          <cell r="K199">
            <v>0</v>
          </cell>
        </row>
        <row r="200">
          <cell r="K200">
            <v>0</v>
          </cell>
        </row>
        <row r="202">
          <cell r="K202">
            <v>0</v>
          </cell>
        </row>
        <row r="203">
          <cell r="K203">
            <v>0</v>
          </cell>
        </row>
        <row r="204">
          <cell r="K204">
            <v>0</v>
          </cell>
        </row>
        <row r="205">
          <cell r="K205">
            <v>0</v>
          </cell>
        </row>
        <row r="206">
          <cell r="K206">
            <v>0</v>
          </cell>
        </row>
        <row r="207">
          <cell r="K207">
            <v>0</v>
          </cell>
        </row>
        <row r="209">
          <cell r="K209">
            <v>0</v>
          </cell>
        </row>
        <row r="210">
          <cell r="K210">
            <v>0</v>
          </cell>
        </row>
        <row r="211">
          <cell r="K211">
            <v>0</v>
          </cell>
        </row>
        <row r="212">
          <cell r="K212">
            <v>0</v>
          </cell>
        </row>
        <row r="213">
          <cell r="K213">
            <v>0</v>
          </cell>
        </row>
        <row r="215">
          <cell r="K215">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6">
          <cell r="K226">
            <v>0</v>
          </cell>
        </row>
        <row r="227">
          <cell r="K227">
            <v>0</v>
          </cell>
        </row>
        <row r="229">
          <cell r="K229">
            <v>0</v>
          </cell>
        </row>
        <row r="230">
          <cell r="K230">
            <v>0</v>
          </cell>
        </row>
        <row r="232">
          <cell r="K232">
            <v>-1690977</v>
          </cell>
        </row>
        <row r="233">
          <cell r="K233">
            <v>-253648</v>
          </cell>
        </row>
        <row r="234">
          <cell r="K234">
            <v>0</v>
          </cell>
        </row>
        <row r="235">
          <cell r="K235">
            <v>0</v>
          </cell>
        </row>
        <row r="236">
          <cell r="K236">
            <v>-1944625</v>
          </cell>
        </row>
        <row r="238">
          <cell r="K238">
            <v>0</v>
          </cell>
        </row>
        <row r="239">
          <cell r="K239">
            <v>0</v>
          </cell>
        </row>
        <row r="241">
          <cell r="K241">
            <v>-2843962</v>
          </cell>
        </row>
        <row r="242">
          <cell r="K242">
            <v>-412981</v>
          </cell>
        </row>
        <row r="243">
          <cell r="K243">
            <v>-3256943</v>
          </cell>
        </row>
        <row r="245">
          <cell r="K245">
            <v>0</v>
          </cell>
        </row>
        <row r="246">
          <cell r="K246">
            <v>-158481</v>
          </cell>
        </row>
        <row r="247">
          <cell r="K247">
            <v>-158481</v>
          </cell>
        </row>
        <row r="249">
          <cell r="K249">
            <v>0</v>
          </cell>
        </row>
        <row r="251">
          <cell r="K251">
            <v>-594134</v>
          </cell>
        </row>
        <row r="252">
          <cell r="K252">
            <v>-594134</v>
          </cell>
        </row>
        <row r="254">
          <cell r="K254">
            <v>0</v>
          </cell>
        </row>
        <row r="255">
          <cell r="K255">
            <v>-2000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-262442</v>
          </cell>
        </row>
        <row r="282">
          <cell r="K282">
            <v>0</v>
          </cell>
        </row>
        <row r="283">
          <cell r="K283">
            <v>-144279</v>
          </cell>
        </row>
        <row r="284">
          <cell r="K284">
            <v>-4913683</v>
          </cell>
        </row>
        <row r="285">
          <cell r="K285">
            <v>-11874</v>
          </cell>
        </row>
        <row r="286">
          <cell r="K286">
            <v>-102534</v>
          </cell>
        </row>
        <row r="287">
          <cell r="K287">
            <v>0</v>
          </cell>
        </row>
        <row r="288">
          <cell r="K288">
            <v>-68873</v>
          </cell>
        </row>
        <row r="289">
          <cell r="K289">
            <v>0</v>
          </cell>
        </row>
        <row r="290">
          <cell r="K290">
            <v>0</v>
          </cell>
        </row>
        <row r="291">
          <cell r="K291">
            <v>-237439</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-5743124</v>
          </cell>
        </row>
        <row r="318">
          <cell r="K318">
            <v>-70722</v>
          </cell>
        </row>
        <row r="319">
          <cell r="K319">
            <v>-70722</v>
          </cell>
        </row>
        <row r="321">
          <cell r="K321">
            <v>0</v>
          </cell>
        </row>
        <row r="323">
          <cell r="K323">
            <v>-5044472</v>
          </cell>
        </row>
        <row r="324">
          <cell r="K324">
            <v>-5044472</v>
          </cell>
        </row>
        <row r="326">
          <cell r="K326">
            <v>0</v>
          </cell>
        </row>
        <row r="327">
          <cell r="K327">
            <v>0</v>
          </cell>
        </row>
        <row r="329">
          <cell r="K329">
            <v>-5610930524</v>
          </cell>
        </row>
        <row r="330">
          <cell r="K330">
            <v>4722878031</v>
          </cell>
        </row>
        <row r="331">
          <cell r="K331">
            <v>0</v>
          </cell>
        </row>
        <row r="332">
          <cell r="K332">
            <v>50572098</v>
          </cell>
        </row>
        <row r="333">
          <cell r="K333">
            <v>11814372</v>
          </cell>
        </row>
        <row r="334">
          <cell r="K334">
            <v>0</v>
          </cell>
        </row>
        <row r="335">
          <cell r="K335">
            <v>0</v>
          </cell>
        </row>
        <row r="336">
          <cell r="K336">
            <v>-825666023</v>
          </cell>
        </row>
        <row r="338">
          <cell r="K338">
            <v>0</v>
          </cell>
        </row>
        <row r="340">
          <cell r="K340">
            <v>0</v>
          </cell>
        </row>
        <row r="342">
          <cell r="K342">
            <v>0</v>
          </cell>
        </row>
        <row r="344">
          <cell r="K344">
            <v>0</v>
          </cell>
        </row>
        <row r="346">
          <cell r="K346">
            <v>0</v>
          </cell>
        </row>
        <row r="347">
          <cell r="K347">
            <v>0</v>
          </cell>
        </row>
        <row r="348">
          <cell r="K348">
            <v>-9821183</v>
          </cell>
        </row>
        <row r="349">
          <cell r="K349">
            <v>0</v>
          </cell>
        </row>
        <row r="350">
          <cell r="K350">
            <v>0</v>
          </cell>
        </row>
        <row r="351">
          <cell r="K351">
            <v>0</v>
          </cell>
        </row>
        <row r="352">
          <cell r="K352">
            <v>-7179020</v>
          </cell>
        </row>
        <row r="353">
          <cell r="K353">
            <v>-3283530</v>
          </cell>
        </row>
        <row r="354">
          <cell r="K354">
            <v>0</v>
          </cell>
        </row>
        <row r="355">
          <cell r="K355">
            <v>0</v>
          </cell>
        </row>
        <row r="356">
          <cell r="K356">
            <v>-4750225</v>
          </cell>
        </row>
        <row r="357">
          <cell r="K357">
            <v>0</v>
          </cell>
        </row>
        <row r="358">
          <cell r="K358">
            <v>-25033958</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8">
          <cell r="K388">
            <v>-160275</v>
          </cell>
        </row>
        <row r="389">
          <cell r="K389">
            <v>0</v>
          </cell>
        </row>
        <row r="390">
          <cell r="K390">
            <v>0</v>
          </cell>
        </row>
        <row r="391">
          <cell r="K391">
            <v>-1160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-669</v>
          </cell>
        </row>
        <row r="401">
          <cell r="K401">
            <v>0</v>
          </cell>
        </row>
        <row r="402">
          <cell r="K402">
            <v>0</v>
          </cell>
        </row>
        <row r="403">
          <cell r="K403">
            <v>204680</v>
          </cell>
        </row>
        <row r="404">
          <cell r="K404">
            <v>-212</v>
          </cell>
        </row>
        <row r="405">
          <cell r="K405">
            <v>-11137</v>
          </cell>
        </row>
        <row r="406">
          <cell r="K406">
            <v>-2897</v>
          </cell>
        </row>
        <row r="407">
          <cell r="K407">
            <v>-470</v>
          </cell>
        </row>
        <row r="408">
          <cell r="K408">
            <v>-46103</v>
          </cell>
        </row>
        <row r="409">
          <cell r="K409">
            <v>0</v>
          </cell>
        </row>
        <row r="410">
          <cell r="K410">
            <v>0</v>
          </cell>
        </row>
        <row r="411">
          <cell r="K411">
            <v>-557</v>
          </cell>
        </row>
        <row r="412">
          <cell r="K412">
            <v>-48053518</v>
          </cell>
        </row>
        <row r="413">
          <cell r="K413">
            <v>-427</v>
          </cell>
        </row>
        <row r="414">
          <cell r="K414">
            <v>-27837</v>
          </cell>
        </row>
        <row r="415">
          <cell r="K415">
            <v>-5782</v>
          </cell>
        </row>
        <row r="416">
          <cell r="K416">
            <v>0</v>
          </cell>
        </row>
        <row r="417">
          <cell r="K417">
            <v>0</v>
          </cell>
        </row>
        <row r="418">
          <cell r="K418">
            <v>0</v>
          </cell>
        </row>
        <row r="419">
          <cell r="K419">
            <v>-48106364</v>
          </cell>
        </row>
        <row r="421">
          <cell r="K421">
            <v>0</v>
          </cell>
        </row>
        <row r="422">
          <cell r="K422">
            <v>0</v>
          </cell>
        </row>
        <row r="423">
          <cell r="K423">
            <v>0</v>
          </cell>
        </row>
        <row r="424">
          <cell r="K424">
            <v>0</v>
          </cell>
        </row>
        <row r="425">
          <cell r="K425">
            <v>0</v>
          </cell>
        </row>
        <row r="427">
          <cell r="K427">
            <v>0</v>
          </cell>
        </row>
        <row r="428">
          <cell r="K428">
            <v>0</v>
          </cell>
        </row>
        <row r="429">
          <cell r="K429">
            <v>-6448995</v>
          </cell>
        </row>
        <row r="430">
          <cell r="K430">
            <v>0</v>
          </cell>
        </row>
        <row r="431">
          <cell r="K431">
            <v>0</v>
          </cell>
        </row>
        <row r="432">
          <cell r="K432">
            <v>-6448995</v>
          </cell>
        </row>
        <row r="434">
          <cell r="K434">
            <v>0</v>
          </cell>
        </row>
        <row r="436">
          <cell r="K436">
            <v>11882677</v>
          </cell>
        </row>
        <row r="437">
          <cell r="K437">
            <v>11882677</v>
          </cell>
        </row>
        <row r="439">
          <cell r="K439">
            <v>1315172</v>
          </cell>
        </row>
        <row r="440">
          <cell r="K440">
            <v>1315172</v>
          </cell>
        </row>
        <row r="442">
          <cell r="K442">
            <v>0</v>
          </cell>
        </row>
        <row r="443">
          <cell r="K443">
            <v>13375</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13375</v>
          </cell>
        </row>
        <row r="477">
          <cell r="K477">
            <v>32255</v>
          </cell>
        </row>
        <row r="478">
          <cell r="K478">
            <v>32255</v>
          </cell>
        </row>
        <row r="480">
          <cell r="K480">
            <v>477093</v>
          </cell>
        </row>
        <row r="481">
          <cell r="K481">
            <v>477093</v>
          </cell>
        </row>
        <row r="483">
          <cell r="K483">
            <v>594134</v>
          </cell>
        </row>
        <row r="484">
          <cell r="K484">
            <v>594134</v>
          </cell>
        </row>
        <row r="486">
          <cell r="K486">
            <v>708910</v>
          </cell>
        </row>
        <row r="487">
          <cell r="K487">
            <v>708910</v>
          </cell>
        </row>
        <row r="489">
          <cell r="K489">
            <v>50000</v>
          </cell>
        </row>
        <row r="490">
          <cell r="K490">
            <v>204547</v>
          </cell>
        </row>
        <row r="491">
          <cell r="K491">
            <v>254547</v>
          </cell>
        </row>
        <row r="493">
          <cell r="K493">
            <v>0</v>
          </cell>
        </row>
        <row r="494">
          <cell r="K494">
            <v>0</v>
          </cell>
        </row>
        <row r="495">
          <cell r="K495">
            <v>6352</v>
          </cell>
        </row>
        <row r="496">
          <cell r="K496">
            <v>130225</v>
          </cell>
        </row>
        <row r="497">
          <cell r="K497">
            <v>136577</v>
          </cell>
        </row>
        <row r="499">
          <cell r="K499">
            <v>528380</v>
          </cell>
        </row>
        <row r="500">
          <cell r="K500">
            <v>0</v>
          </cell>
        </row>
        <row r="501">
          <cell r="K501">
            <v>350834</v>
          </cell>
        </row>
        <row r="502">
          <cell r="K502">
            <v>879214</v>
          </cell>
        </row>
        <row r="504">
          <cell r="K504">
            <v>1782402</v>
          </cell>
        </row>
        <row r="505">
          <cell r="K505">
            <v>285185</v>
          </cell>
        </row>
        <row r="506">
          <cell r="K506">
            <v>0</v>
          </cell>
        </row>
        <row r="507">
          <cell r="K507">
            <v>0</v>
          </cell>
        </row>
        <row r="508">
          <cell r="K508">
            <v>2067587</v>
          </cell>
        </row>
        <row r="510">
          <cell r="K510">
            <v>1248532</v>
          </cell>
        </row>
        <row r="511">
          <cell r="K511">
            <v>1248532</v>
          </cell>
        </row>
        <row r="513">
          <cell r="K513">
            <v>0</v>
          </cell>
        </row>
        <row r="514">
          <cell r="K514">
            <v>0</v>
          </cell>
        </row>
        <row r="516">
          <cell r="K516">
            <v>1901228</v>
          </cell>
        </row>
        <row r="517">
          <cell r="K517">
            <v>0</v>
          </cell>
        </row>
        <row r="518">
          <cell r="K518">
            <v>1901228</v>
          </cell>
        </row>
        <row r="520">
          <cell r="K520">
            <v>-3100058</v>
          </cell>
        </row>
        <row r="521">
          <cell r="K521">
            <v>-3100058</v>
          </cell>
        </row>
        <row r="523">
          <cell r="K523">
            <v>0</v>
          </cell>
        </row>
        <row r="525">
          <cell r="K525">
            <v>0</v>
          </cell>
        </row>
        <row r="526">
          <cell r="K526">
            <v>0</v>
          </cell>
        </row>
        <row r="528">
          <cell r="K528">
            <v>0</v>
          </cell>
        </row>
        <row r="529">
          <cell r="K529">
            <v>0</v>
          </cell>
        </row>
        <row r="530">
          <cell r="K530">
            <v>0</v>
          </cell>
        </row>
      </sheetData>
      <sheetData sheetId="15">
        <row r="10">
          <cell r="F10">
            <v>-3158776.494949495</v>
          </cell>
        </row>
      </sheetData>
      <sheetData sheetId="16">
        <row r="2">
          <cell r="F2" t="str">
            <v>Preliminary</v>
          </cell>
        </row>
      </sheetData>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ecurity Holding June 04"/>
      <sheetName val="Holding_Position"/>
      <sheetName val="Maturity_Profile"/>
      <sheetName val="PIVOT_ALL"/>
      <sheetName val="MTM_with_Yields"/>
      <sheetName val="Security_Holding_June_04"/>
      <sheetName val="Holding_Position2"/>
      <sheetName val="Maturity_Profile2"/>
      <sheetName val="PIVOT_ALL2"/>
      <sheetName val="MTM_with_Yields2"/>
      <sheetName val="Security_Holding_June_042"/>
      <sheetName val="Holding_Position1"/>
      <sheetName val="Maturity_Profile1"/>
      <sheetName val="PIVOT_ALL1"/>
      <sheetName val="MTM_with_Yields1"/>
      <sheetName val="Security_Holding_June_041"/>
      <sheetName val="Profit Worksheet"/>
      <sheetName val="Sheet2"/>
      <sheetName val="Rate Input"/>
      <sheetName val="Sheet3"/>
      <sheetName val="Implied Rate"/>
      <sheetName val="BAHRAIN"/>
      <sheetName val="DOHA QATAR "/>
      <sheetName val="PAKISTAN"/>
      <sheetName val="rate "/>
      <sheetName val="UAE"/>
      <sheetName val="A-C CODE &amp; NAME"/>
      <sheetName val="Lookups"/>
      <sheetName val="CHALLAN"/>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AR Drop Downs"/>
    </sheetNames>
    <sheetDataSet>
      <sheetData sheetId="0"/>
      <sheetData sheetId="1"/>
      <sheetData sheetId="2"/>
      <sheetData sheetId="3" refreshError="1">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 val="Rang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Sheet3"/>
    </sheetNames>
    <sheetDataSet>
      <sheetData sheetId="0"/>
      <sheetData sheetId="1" refreshError="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Data-922"/>
      <sheetName val="A-C CODE &amp; NAME"/>
      <sheetName val="December 06"/>
      <sheetName val="November 06"/>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Macro1"/>
      <sheetName val="BS_OVS"/>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Value In Use - Trea"/>
      <sheetName val="Currency"/>
      <sheetName val="DropDow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sheetName val="sale"/>
      <sheetName val="others"/>
      <sheetName val="INCOME 2004"/>
      <sheetName val="PUR&amp;SAL"/>
      <sheetName val="INCOME_2004"/>
      <sheetName val="recn"/>
      <sheetName val="AL905"/>
      <sheetName val="Deferred Liner"/>
      <sheetName val="Note 6- 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Investments"/>
      <sheetName val="P&amp;L &amp; Notes"/>
      <sheetName val="Iron Curtain Metho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Ttl-data"/>
      <sheetName val="Cash &amp; bank"/>
      <sheetName val="F-b_1200"/>
      <sheetName val="betas-barra-march"/>
      <sheetName val="Analytics Summary"/>
      <sheetName val="Asset Verification"/>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 val="Affair-income Exp September 200"/>
      <sheetName val="FORM_2_September_(2)"/>
      <sheetName val="Form_1"/>
      <sheetName val="FORM_2_September"/>
      <sheetName val="Affair-income_Exp_September_200"/>
      <sheetName val="DOHA_QATAR_"/>
      <sheetName val="rate_"/>
      <sheetName val="Abu_Dhabi"/>
      <sheetName val="highlights_"/>
      <sheetName val="FORM_2_September_(2)2"/>
      <sheetName val="Form_12"/>
      <sheetName val="FORM_2_September2"/>
      <sheetName val="Affair-income_Exp_September_202"/>
      <sheetName val="DOHA_QATAR_2"/>
      <sheetName val="rate_2"/>
      <sheetName val="Abu_Dhabi2"/>
      <sheetName val="highlights_2"/>
      <sheetName val="FORM_2_September_(2)1"/>
      <sheetName val="Form_11"/>
      <sheetName val="FORM_2_September1"/>
      <sheetName val="Affair-income_Exp_September_201"/>
      <sheetName val="DOHA_QATAR_1"/>
      <sheetName val="rate_1"/>
      <sheetName val="Abu_Dhabi1"/>
      <sheetName val="highlights_1"/>
      <sheetName val="BalanceSheet"/>
      <sheetName val="Revenue-Fire-Marine-Motor"/>
      <sheetName val="I-B"/>
      <sheetName val="I-BR"/>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s>
    <sheetDataSet>
      <sheetData sheetId="0" refreshError="1"/>
      <sheetData sheetId="1" refreshError="1"/>
      <sheetData sheetId="2" refreshError="1">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efreshError="1">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s>
    <sheetDataSet>
      <sheetData sheetId="0"/>
      <sheetData sheetId="1"/>
      <sheetData sheetId="2"/>
      <sheetData sheetId="3"/>
      <sheetData sheetId="4"/>
      <sheetData sheetId="5" refreshError="1">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sheetName val="AC-CODES"/>
      <sheetName val="Cash Flow  HOH"/>
      <sheetName val="Sheet13"/>
    </sheetNames>
    <sheetDataSet>
      <sheetData sheetId="0"/>
      <sheetData sheetId="1"/>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Tobac WACC"/>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efreshError="1"/>
      <sheetData sheetId="11">
        <row r="1">
          <cell r="A1" t="str">
            <v>BRISTOL MYERS SQUIBB PAKISTAN</v>
          </cell>
        </row>
      </sheetData>
      <sheetData sheetId="12">
        <row r="1">
          <cell r="A1" t="str">
            <v>BRISTOL MYERS SQUIBB PAKISTAN</v>
          </cell>
        </row>
      </sheetData>
      <sheetData sheetId="13" refreshError="1"/>
      <sheetData sheetId="14" refreshError="1"/>
      <sheetData sheetId="15" refreshError="1"/>
      <sheetData sheetId="16" refreshError="1"/>
      <sheetData sheetId="17">
        <row r="1">
          <cell r="A1" t="str">
            <v>BRISTOL MYERS SQUIBB PAKISTAN</v>
          </cell>
        </row>
      </sheetData>
      <sheetData sheetId="18">
        <row r="1">
          <cell r="A1" t="str">
            <v>BRISTOL MYERS SQUIBB PAKISTAN</v>
          </cell>
        </row>
      </sheetData>
      <sheetData sheetId="19">
        <row r="1">
          <cell r="A1" t="str">
            <v>BRISTOL MYERS SQUIBB PAKISTAN</v>
          </cell>
        </row>
      </sheetData>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sheetData sheetId="30" refreshError="1"/>
      <sheetData sheetId="31"/>
      <sheetData sheetId="32" refreshError="1"/>
      <sheetData sheetId="33"/>
      <sheetData sheetId="34" refreshError="1"/>
      <sheetData sheetId="35"/>
      <sheetData sheetId="36" refreshError="1"/>
      <sheetData sheetId="37" refreshError="1"/>
      <sheetData sheetId="3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sheetName val="fixd assts dspsl Note16.1"/>
      <sheetName val="consolidatednew"/>
      <sheetName val="consolidated"/>
      <sheetName val="topsheet"/>
      <sheetName val="stats-add"/>
      <sheetName val="stats-del"/>
      <sheetName val="depglobal"/>
      <sheetName val="depglobalMM"/>
      <sheetName val="depglobalMM (2)"/>
      <sheetName val="EffectiveRate"/>
      <sheetName val="vouchingvehicles"/>
      <sheetName val="vouchingcomp"/>
      <sheetName val="vouchingoffeqp"/>
      <sheetName val="vouchingfurniture"/>
      <sheetName val="vouchingdel (4)"/>
      <sheetName val="vouchingdel (3)"/>
      <sheetName val="vouchingdel (5)"/>
      <sheetName val="INCOME 2004"/>
      <sheetName val="PURCHASES2004"/>
      <sheetName val="Trading summary - March 06"/>
      <sheetName val="ورقة2"/>
      <sheetName val="Wstat 96"/>
      <sheetName val="2000_ Projects Summary"/>
      <sheetName val="fixd_assts_dspsl_Note16_1"/>
      <sheetName val="depglobalMM_(2)"/>
      <sheetName val="vouchingdel_(4)"/>
      <sheetName val="vouchingdel_(3)"/>
      <sheetName val="vouchingdel_(5)"/>
      <sheetName val="INCOME_2004"/>
      <sheetName val="Trading_summary_-_March_06"/>
      <sheetName val="Wstat_96"/>
      <sheetName val="2000__Projects_Summary"/>
      <sheetName val="3 cash flow working"/>
      <sheetName val="Links"/>
      <sheetName val="CURRENT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R64"/>
  <sheetViews>
    <sheetView tabSelected="1" view="pageBreakPreview" zoomScaleSheetLayoutView="100" workbookViewId="0">
      <selection activeCell="N17" sqref="N17"/>
    </sheetView>
  </sheetViews>
  <sheetFormatPr defaultColWidth="9" defaultRowHeight="13.8"/>
  <cols>
    <col min="1" max="1" width="5.09765625" style="1446" customWidth="1"/>
    <col min="2" max="2" width="3.59765625" style="1446" customWidth="1"/>
    <col min="3" max="3" width="31" style="1446" customWidth="1"/>
    <col min="4" max="4" width="17.19921875" style="1446" customWidth="1"/>
    <col min="5" max="5" width="5.59765625" style="1446" customWidth="1"/>
    <col min="6" max="6" width="15.59765625" style="1446" customWidth="1"/>
    <col min="7" max="7" width="0.69921875" style="1446" customWidth="1"/>
    <col min="8" max="8" width="15.59765625" style="1446" customWidth="1"/>
    <col min="9" max="9" width="16.09765625" style="1446" hidden="1" customWidth="1"/>
    <col min="10" max="10" width="11.69921875" style="1446" hidden="1" customWidth="1"/>
    <col min="11" max="11" width="11.19921875" style="1446" hidden="1" customWidth="1"/>
    <col min="12" max="12" width="9.69921875" style="1446" hidden="1" customWidth="1"/>
    <col min="13" max="13" width="7.09765625" style="1446" customWidth="1"/>
    <col min="14" max="14" width="13.5" style="1446" bestFit="1" customWidth="1"/>
    <col min="15" max="15" width="11.69921875" style="1446" bestFit="1" customWidth="1"/>
    <col min="16" max="16" width="12.3984375" style="1446" bestFit="1" customWidth="1"/>
    <col min="17" max="16384" width="9" style="1446"/>
  </cols>
  <sheetData>
    <row r="1" spans="1:18" ht="18.75" customHeight="1">
      <c r="A1" s="2311" t="s">
        <v>1069</v>
      </c>
      <c r="B1" s="2311"/>
      <c r="C1" s="2311"/>
      <c r="D1" s="2311"/>
      <c r="E1" s="2311"/>
      <c r="F1" s="2311"/>
      <c r="G1" s="2311"/>
      <c r="H1" s="2311"/>
      <c r="I1" s="1941"/>
      <c r="J1" s="1445"/>
      <c r="K1" s="1445"/>
    </row>
    <row r="2" spans="1:18" ht="18.75" customHeight="1">
      <c r="A2" s="2311" t="s">
        <v>632</v>
      </c>
      <c r="B2" s="2311"/>
      <c r="C2" s="2311"/>
      <c r="D2" s="2311"/>
      <c r="E2" s="2311"/>
      <c r="F2" s="2311"/>
      <c r="G2" s="2311"/>
      <c r="H2" s="2311"/>
      <c r="I2" s="1941"/>
      <c r="J2" s="1445"/>
      <c r="K2" s="1445"/>
    </row>
    <row r="3" spans="1:18" ht="18.75" customHeight="1">
      <c r="A3" s="2311" t="s">
        <v>3195</v>
      </c>
      <c r="B3" s="2311"/>
      <c r="C3" s="2311"/>
      <c r="D3" s="2311"/>
      <c r="E3" s="2311"/>
      <c r="F3" s="2311"/>
      <c r="G3" s="2311"/>
      <c r="H3" s="2311"/>
      <c r="I3" s="1941"/>
      <c r="J3" s="1445"/>
      <c r="K3" s="1445"/>
    </row>
    <row r="4" spans="1:18" ht="15" customHeight="1">
      <c r="A4" s="1445"/>
      <c r="B4" s="1445"/>
      <c r="C4" s="1445"/>
      <c r="D4" s="1445"/>
      <c r="E4" s="1445"/>
      <c r="F4" s="1445"/>
      <c r="H4" s="1445"/>
      <c r="I4" s="1445"/>
      <c r="J4" s="1445"/>
      <c r="K4" s="1445"/>
      <c r="N4" s="2246"/>
    </row>
    <row r="5" spans="1:18" ht="15" customHeight="1">
      <c r="A5" s="1445"/>
      <c r="B5" s="1445"/>
      <c r="C5" s="1445"/>
      <c r="D5" s="1445"/>
      <c r="E5" s="1445"/>
      <c r="F5" s="1445"/>
      <c r="H5" s="1445"/>
      <c r="I5" s="1445"/>
      <c r="J5" s="1445"/>
      <c r="K5" s="1445"/>
      <c r="N5" s="2246"/>
    </row>
    <row r="6" spans="1:18" ht="15" customHeight="1">
      <c r="A6" s="1445"/>
      <c r="B6" s="1445"/>
      <c r="C6" s="1445"/>
      <c r="D6" s="1445"/>
      <c r="E6" s="1445"/>
      <c r="F6" s="1450" t="s">
        <v>715</v>
      </c>
      <c r="G6" s="1448"/>
      <c r="H6" s="1450" t="s">
        <v>630</v>
      </c>
      <c r="I6" s="1450"/>
      <c r="J6" s="1445"/>
      <c r="K6" s="1445"/>
      <c r="N6" s="2246"/>
    </row>
    <row r="7" spans="1:18" ht="15" customHeight="1">
      <c r="A7" s="1445"/>
      <c r="B7" s="1445"/>
      <c r="C7" s="1445"/>
      <c r="D7" s="1445"/>
      <c r="E7" s="1445"/>
      <c r="F7" s="1767" t="s">
        <v>2778</v>
      </c>
      <c r="G7" s="1768"/>
      <c r="H7" s="1767" t="s">
        <v>2496</v>
      </c>
      <c r="I7" s="2013"/>
      <c r="J7" s="1447"/>
      <c r="K7" s="1447"/>
    </row>
    <row r="8" spans="1:18" ht="15" customHeight="1">
      <c r="E8" s="1445"/>
      <c r="F8" s="1769">
        <v>2021</v>
      </c>
      <c r="G8" s="1770"/>
      <c r="H8" s="1769">
        <v>2020</v>
      </c>
      <c r="I8" s="1769"/>
      <c r="J8" s="1447"/>
      <c r="K8" s="1447"/>
    </row>
    <row r="9" spans="1:18" ht="15" customHeight="1">
      <c r="E9" s="1451" t="s">
        <v>51</v>
      </c>
      <c r="F9" s="2312" t="s">
        <v>2595</v>
      </c>
      <c r="G9" s="2313"/>
      <c r="H9" s="2313"/>
      <c r="I9" s="1942"/>
      <c r="J9" s="1452"/>
      <c r="K9" s="1452"/>
      <c r="R9" s="2246"/>
    </row>
    <row r="10" spans="1:18" ht="15" customHeight="1">
      <c r="A10" s="1445" t="s">
        <v>461</v>
      </c>
      <c r="B10" s="1445"/>
      <c r="C10" s="1445"/>
      <c r="D10" s="1445"/>
      <c r="E10" s="1451"/>
      <c r="F10" s="1453"/>
      <c r="H10" s="1453"/>
      <c r="I10" s="1453"/>
      <c r="J10" s="1453"/>
      <c r="K10" s="1453"/>
      <c r="P10" s="2246"/>
      <c r="R10" s="2246"/>
    </row>
    <row r="11" spans="1:18" ht="15" customHeight="1">
      <c r="A11" s="1446" t="s">
        <v>195</v>
      </c>
      <c r="E11" s="1454" t="str">
        <f>'Notes 1-6'!A107</f>
        <v>6.</v>
      </c>
      <c r="F11" s="1474">
        <f>'Notes 1-6'!J111</f>
        <v>686114</v>
      </c>
      <c r="G11" s="1455"/>
      <c r="H11" s="1456">
        <v>265332</v>
      </c>
      <c r="I11" s="1976">
        <f t="shared" ref="I11:I15" si="0">F11-H11</f>
        <v>420782</v>
      </c>
      <c r="J11" s="1457"/>
      <c r="K11" s="1457">
        <f>636823785.67/1000</f>
        <v>636823.78567000001</v>
      </c>
      <c r="L11" s="1458">
        <f t="shared" ref="L11:L16" si="1">+F11-K11</f>
        <v>49290.214329999988</v>
      </c>
      <c r="M11" s="1459"/>
      <c r="N11" s="1458">
        <v>962445.93</v>
      </c>
      <c r="O11" s="1610"/>
      <c r="P11" s="1457"/>
      <c r="Q11" s="1449"/>
      <c r="R11" s="2246"/>
    </row>
    <row r="12" spans="1:18" ht="15" customHeight="1">
      <c r="A12" s="1446" t="s">
        <v>112</v>
      </c>
      <c r="E12" s="1454">
        <f>'Notes 1-6'!A120</f>
        <v>7</v>
      </c>
      <c r="F12" s="1460">
        <f>'Notes 1-6'!J125</f>
        <v>11260226.018000003</v>
      </c>
      <c r="G12" s="1455"/>
      <c r="H12" s="1461">
        <v>11903844</v>
      </c>
      <c r="I12" s="1976">
        <f t="shared" si="0"/>
        <v>-643617.98199999705</v>
      </c>
      <c r="J12" s="1462">
        <f>F12/F29</f>
        <v>0.95326480299868011</v>
      </c>
      <c r="K12" s="1457">
        <f>7204894670.68/1000</f>
        <v>7204894.6706800004</v>
      </c>
      <c r="L12" s="1458">
        <f t="shared" si="1"/>
        <v>4055331.3473200025</v>
      </c>
      <c r="M12" s="1459"/>
      <c r="N12" s="1458">
        <v>103731947.94</v>
      </c>
      <c r="O12" s="2302"/>
      <c r="P12" s="1458"/>
      <c r="Q12" s="1449"/>
      <c r="R12" s="2246"/>
    </row>
    <row r="13" spans="1:18" ht="15" customHeight="1">
      <c r="A13" s="1446" t="s">
        <v>196</v>
      </c>
      <c r="E13" s="1454"/>
      <c r="F13" s="1460">
        <f>'TB-31 Dec'!G31</f>
        <v>1111943</v>
      </c>
      <c r="G13" s="1455"/>
      <c r="H13" s="1461">
        <v>499859</v>
      </c>
      <c r="I13" s="1976">
        <f t="shared" si="0"/>
        <v>612084</v>
      </c>
      <c r="J13" s="1457"/>
      <c r="K13" s="1457"/>
      <c r="L13" s="1458">
        <f t="shared" si="1"/>
        <v>1111943</v>
      </c>
      <c r="M13" s="1459"/>
      <c r="N13" s="2250">
        <f>+F13-H13</f>
        <v>612084</v>
      </c>
      <c r="O13" s="1449"/>
      <c r="P13" s="1458"/>
      <c r="Q13" s="1449"/>
      <c r="R13" s="2246"/>
    </row>
    <row r="14" spans="1:18" ht="15" customHeight="1">
      <c r="A14" s="1463" t="s">
        <v>2407</v>
      </c>
      <c r="E14" s="1454"/>
      <c r="F14" s="1460">
        <f>'TB-31 Dec'!E49+'TB-31 Dec'!E48</f>
        <v>103699</v>
      </c>
      <c r="G14" s="1455"/>
      <c r="H14" s="1464">
        <v>16830</v>
      </c>
      <c r="I14" s="1976">
        <f t="shared" si="0"/>
        <v>86869</v>
      </c>
      <c r="J14" s="1465"/>
      <c r="K14" s="1465">
        <f>+(5372297.52+136523471.6)/1000</f>
        <v>141895.76912000001</v>
      </c>
      <c r="L14" s="1458">
        <f t="shared" si="1"/>
        <v>-38196.769120000012</v>
      </c>
      <c r="M14" s="1459"/>
      <c r="N14" s="2250">
        <f t="shared" ref="N14:N15" si="2">+F14-H14</f>
        <v>86869</v>
      </c>
      <c r="O14" s="1449"/>
      <c r="P14" s="1458"/>
      <c r="Q14" s="1449"/>
      <c r="R14" s="2246"/>
    </row>
    <row r="15" spans="1:18" ht="15" customHeight="1">
      <c r="A15" s="1446" t="s">
        <v>2378</v>
      </c>
      <c r="E15" s="1454"/>
      <c r="F15" s="1964">
        <f>'TB-31 Dec'!F64+'TB-31 Dec'!E53+'TB-31 Dec'!E55+'TB-31 Dec'!C75+'TB-31 Dec'!F72</f>
        <v>17313</v>
      </c>
      <c r="G15" s="1455"/>
      <c r="H15" s="1466">
        <v>74522</v>
      </c>
      <c r="I15" s="1976">
        <f t="shared" si="0"/>
        <v>-57209</v>
      </c>
      <c r="J15" s="1465"/>
      <c r="K15" s="1465">
        <f>+(5000+1423903+631922+2750636+500000+41122.04+318373+2655115+204392.49+174596+891967.24)/1000</f>
        <v>9597.0267700000004</v>
      </c>
      <c r="L15" s="1458">
        <f t="shared" si="1"/>
        <v>7715.9732299999996</v>
      </c>
      <c r="M15" s="1459"/>
      <c r="N15" s="2250">
        <f t="shared" si="2"/>
        <v>-57209</v>
      </c>
      <c r="O15" s="1449"/>
      <c r="P15" s="1458"/>
      <c r="Q15" s="1449"/>
      <c r="R15" s="2246"/>
    </row>
    <row r="16" spans="1:18" s="1445" customFormat="1" ht="15" customHeight="1">
      <c r="A16" s="1445" t="s">
        <v>53</v>
      </c>
      <c r="E16" s="1446"/>
      <c r="F16" s="1468">
        <f>SUM(F11:F15)</f>
        <v>13179295.018000003</v>
      </c>
      <c r="H16" s="1469">
        <f>SUM(H11:H15)</f>
        <v>12760387</v>
      </c>
      <c r="I16" s="1469">
        <f>15183694707/1000</f>
        <v>15183694.707</v>
      </c>
      <c r="J16" s="1465">
        <v>10970875</v>
      </c>
      <c r="K16" s="1465">
        <f>7993211436/1000</f>
        <v>7993211.4359999998</v>
      </c>
      <c r="L16" s="1458">
        <f t="shared" si="1"/>
        <v>5186083.5820000032</v>
      </c>
      <c r="M16" s="1459"/>
      <c r="N16" s="1467"/>
      <c r="O16" s="1470"/>
      <c r="P16" s="2247"/>
      <c r="Q16" s="1470"/>
      <c r="R16" s="1983"/>
    </row>
    <row r="17" spans="1:18" ht="15" customHeight="1">
      <c r="F17" s="1468"/>
      <c r="H17" s="1469"/>
      <c r="I17" s="1469"/>
      <c r="J17" s="1465"/>
      <c r="K17" s="1465"/>
      <c r="L17" s="1449"/>
      <c r="M17" s="1449"/>
      <c r="N17" s="1467"/>
      <c r="O17" s="1449"/>
      <c r="P17" s="1458"/>
      <c r="Q17" s="1449"/>
      <c r="R17" s="2246"/>
    </row>
    <row r="18" spans="1:18" ht="15" customHeight="1">
      <c r="A18" s="1445" t="s">
        <v>54</v>
      </c>
      <c r="B18" s="1445"/>
      <c r="C18" s="1445"/>
      <c r="D18" s="1445"/>
      <c r="F18" s="1468"/>
      <c r="H18" s="1469"/>
      <c r="I18" s="1469"/>
      <c r="J18" s="1465"/>
      <c r="K18" s="1465"/>
      <c r="L18" s="1449"/>
      <c r="M18" s="1449"/>
      <c r="N18" s="1471"/>
      <c r="O18" s="1449"/>
      <c r="P18" s="1458"/>
      <c r="Q18" s="1449"/>
      <c r="R18" s="2246"/>
    </row>
    <row r="19" spans="1:18" ht="15" customHeight="1">
      <c r="A19" s="1472" t="s">
        <v>2514</v>
      </c>
      <c r="E19" s="1473"/>
      <c r="F19" s="1474"/>
      <c r="G19" s="1445"/>
      <c r="H19" s="1475"/>
      <c r="I19" s="1610"/>
      <c r="J19" s="1457"/>
      <c r="K19" s="1457"/>
      <c r="L19" s="1457"/>
      <c r="M19" s="1459"/>
      <c r="N19" s="1449"/>
      <c r="O19" s="1449"/>
      <c r="P19" s="1458">
        <v>19992441.68</v>
      </c>
      <c r="Q19" s="1458"/>
      <c r="R19" s="2246"/>
    </row>
    <row r="20" spans="1:18" ht="15" customHeight="1">
      <c r="A20" s="1772" t="s">
        <v>574</v>
      </c>
      <c r="E20" s="1473"/>
      <c r="F20" s="1460">
        <f>'TB-31 Dec'!D89+'TB-31 Dec'!D91+'TB-31 Dec'!D123+'TB-31 Dec'!D124+'TB-31 Dec'!D90</f>
        <v>65466</v>
      </c>
      <c r="G20" s="1445"/>
      <c r="H20" s="1478">
        <v>63617</v>
      </c>
      <c r="I20" s="1976">
        <f t="shared" ref="I20" si="3">F20-H20</f>
        <v>1849</v>
      </c>
      <c r="J20" s="1457">
        <f>35666</f>
        <v>35666</v>
      </c>
      <c r="K20" s="1457">
        <f>(10515053.68+179151.78+1366958.01+525604.28+11912607.16)/1000</f>
        <v>24499.374909999995</v>
      </c>
      <c r="L20" s="1458">
        <f t="shared" ref="L20:L27" si="4">+F20-K20</f>
        <v>40966.625090000001</v>
      </c>
      <c r="M20" s="1459"/>
      <c r="N20" s="1458">
        <f>+F20-H20</f>
        <v>1849</v>
      </c>
      <c r="O20" s="1449"/>
      <c r="P20" s="1458">
        <v>1004007.24</v>
      </c>
      <c r="Q20" s="1458">
        <v>236461597.28999999</v>
      </c>
      <c r="R20" s="2246"/>
    </row>
    <row r="21" spans="1:18" ht="15" customHeight="1">
      <c r="A21" s="1472" t="s">
        <v>2516</v>
      </c>
      <c r="E21" s="1473"/>
      <c r="F21" s="1460"/>
      <c r="G21" s="1445"/>
      <c r="H21" s="1478"/>
      <c r="I21" s="1610"/>
      <c r="J21" s="1457"/>
      <c r="K21" s="1457"/>
      <c r="L21" s="1458">
        <f t="shared" si="4"/>
        <v>0</v>
      </c>
      <c r="M21" s="1459"/>
      <c r="N21" s="1458">
        <f t="shared" ref="N21:N26" si="5">+F21-H21</f>
        <v>0</v>
      </c>
      <c r="O21" s="1449"/>
      <c r="P21" s="1458">
        <v>2599128.08</v>
      </c>
      <c r="Q21" s="1458">
        <v>984485000</v>
      </c>
      <c r="R21" s="2246"/>
    </row>
    <row r="22" spans="1:18" ht="15" customHeight="1">
      <c r="A22" s="1772" t="s">
        <v>2515</v>
      </c>
      <c r="B22" s="1476"/>
      <c r="C22" s="1476"/>
      <c r="D22" s="1476"/>
      <c r="E22" s="1477"/>
      <c r="F22" s="1460">
        <f>'TB-31 Dec'!D95+'TB-31 Dec'!D93</f>
        <v>1223</v>
      </c>
      <c r="G22" s="1445"/>
      <c r="H22" s="1478">
        <v>1258</v>
      </c>
      <c r="I22" s="1976">
        <f t="shared" ref="I22:I26" si="6">F22-H22</f>
        <v>-35</v>
      </c>
      <c r="J22" s="1457"/>
      <c r="K22" s="1457">
        <f>(77243+594165)/1000</f>
        <v>671.40800000000002</v>
      </c>
      <c r="L22" s="1458">
        <f t="shared" si="4"/>
        <v>551.59199999999998</v>
      </c>
      <c r="M22" s="1459"/>
      <c r="N22" s="1458">
        <f t="shared" si="5"/>
        <v>-35</v>
      </c>
      <c r="O22" s="2251"/>
      <c r="P22" s="1458">
        <v>999383.08</v>
      </c>
      <c r="Q22" s="1458"/>
      <c r="R22" s="2246"/>
    </row>
    <row r="23" spans="1:18" ht="15" customHeight="1">
      <c r="A23" s="1479" t="s">
        <v>987</v>
      </c>
      <c r="E23" s="1477"/>
      <c r="F23" s="1460">
        <f>'TB-31 Dec'!D97</f>
        <v>629</v>
      </c>
      <c r="G23" s="1445"/>
      <c r="H23" s="1480">
        <v>2286</v>
      </c>
      <c r="I23" s="1976">
        <f t="shared" si="6"/>
        <v>-1657</v>
      </c>
      <c r="J23" s="1481"/>
      <c r="K23" s="1481">
        <f>391017.69/1000</f>
        <v>391.01769000000002</v>
      </c>
      <c r="L23" s="1458">
        <f t="shared" si="4"/>
        <v>237.98230999999998</v>
      </c>
      <c r="M23" s="1459"/>
      <c r="N23" s="1458">
        <f t="shared" si="5"/>
        <v>-1657</v>
      </c>
      <c r="O23" s="1449"/>
      <c r="P23" s="1458">
        <v>40872213.350000001</v>
      </c>
      <c r="Q23" s="1458"/>
    </row>
    <row r="24" spans="1:18" ht="15" customHeight="1">
      <c r="A24" s="1446" t="s">
        <v>988</v>
      </c>
      <c r="E24" s="1477"/>
      <c r="F24" s="1460">
        <f>'TB-31 Dec'!H96</f>
        <v>1220947</v>
      </c>
      <c r="G24" s="1445"/>
      <c r="H24" s="1480">
        <v>24138</v>
      </c>
      <c r="I24" s="1976">
        <f t="shared" si="6"/>
        <v>1196809</v>
      </c>
      <c r="J24" s="1481"/>
      <c r="K24" s="1481">
        <f>13499994.48/1000</f>
        <v>13499.994480000001</v>
      </c>
      <c r="L24" s="1458">
        <f t="shared" si="4"/>
        <v>1207447.0055199999</v>
      </c>
      <c r="M24" s="1459"/>
      <c r="N24" s="1458">
        <f t="shared" si="5"/>
        <v>1196809</v>
      </c>
      <c r="O24" s="1449"/>
      <c r="P24" s="1449"/>
      <c r="Q24" s="1449"/>
    </row>
    <row r="25" spans="1:18" ht="15" customHeight="1">
      <c r="A25" s="1446" t="s">
        <v>153</v>
      </c>
      <c r="E25" s="1477"/>
      <c r="F25" s="1460">
        <f>'TB-31 Dec'!D101</f>
        <v>386</v>
      </c>
      <c r="H25" s="1989">
        <v>69139.600000000006</v>
      </c>
      <c r="I25" s="1976">
        <f>F25-H25</f>
        <v>-68753.600000000006</v>
      </c>
      <c r="J25" s="1482">
        <f>J27/F29</f>
        <v>-4.951691195038152E-2</v>
      </c>
      <c r="K25" s="1483">
        <f>385569.99/1000</f>
        <v>385.56999000000002</v>
      </c>
      <c r="L25" s="1458">
        <f t="shared" si="4"/>
        <v>0.43000999999998157</v>
      </c>
      <c r="M25" s="1459"/>
      <c r="N25" s="1458">
        <f t="shared" si="5"/>
        <v>-68753.600000000006</v>
      </c>
      <c r="O25" s="1449"/>
      <c r="P25" s="2245">
        <v>1081866</v>
      </c>
      <c r="Q25" s="1449"/>
    </row>
    <row r="26" spans="1:18" ht="15" customHeight="1">
      <c r="A26" s="1446" t="s">
        <v>55</v>
      </c>
      <c r="E26" s="1477" t="str">
        <f>'7-16'!A5</f>
        <v>8.</v>
      </c>
      <c r="F26" s="1964">
        <f>'7-16'!J17</f>
        <v>78369</v>
      </c>
      <c r="G26" s="1445"/>
      <c r="H26" s="1990">
        <v>202766</v>
      </c>
      <c r="I26" s="1976">
        <f t="shared" si="6"/>
        <v>-124397</v>
      </c>
      <c r="J26" s="1465"/>
      <c r="K26" s="1465"/>
      <c r="L26" s="1458">
        <f t="shared" si="4"/>
        <v>78369</v>
      </c>
      <c r="M26" s="1459"/>
      <c r="N26" s="1458">
        <f t="shared" si="5"/>
        <v>-124397</v>
      </c>
      <c r="O26" s="1449"/>
      <c r="P26" s="2245">
        <v>140645</v>
      </c>
      <c r="Q26" s="1449"/>
    </row>
    <row r="27" spans="1:18" s="1445" customFormat="1" ht="15" customHeight="1">
      <c r="A27" s="1445" t="s">
        <v>56</v>
      </c>
      <c r="E27" s="1446"/>
      <c r="F27" s="1468">
        <f>SUM(F19:F26)</f>
        <v>1367020</v>
      </c>
      <c r="H27" s="1469">
        <f>SUM(H19:H26)-0.5</f>
        <v>363204.1</v>
      </c>
      <c r="I27" s="1469">
        <f>3217762423/1000</f>
        <v>3217762.423</v>
      </c>
      <c r="J27" s="1465">
        <f>F29-H29</f>
        <v>-584907.38199999742</v>
      </c>
      <c r="K27" s="1484">
        <f>171411426/1000</f>
        <v>171411.42600000001</v>
      </c>
      <c r="L27" s="1458">
        <f t="shared" si="4"/>
        <v>1195608.574</v>
      </c>
      <c r="M27" s="1449"/>
      <c r="N27" s="1470"/>
      <c r="O27" s="1470"/>
      <c r="P27" s="2247">
        <f>SUM(P25:P26)</f>
        <v>1222511</v>
      </c>
      <c r="Q27" s="1470"/>
    </row>
    <row r="28" spans="1:18" s="1445" customFormat="1" ht="15" customHeight="1">
      <c r="E28" s="1446"/>
      <c r="F28" s="1485"/>
      <c r="H28" s="1485"/>
      <c r="I28" s="1485"/>
      <c r="J28" s="1486"/>
      <c r="K28" s="1486"/>
      <c r="L28" s="1470"/>
      <c r="M28" s="1470"/>
      <c r="N28" s="1470"/>
      <c r="O28" s="1470"/>
      <c r="P28" s="1470"/>
      <c r="Q28" s="1470"/>
    </row>
    <row r="29" spans="1:18" ht="15" customHeight="1" thickBot="1">
      <c r="A29" s="1445" t="s">
        <v>57</v>
      </c>
      <c r="B29" s="1445"/>
      <c r="C29" s="1445"/>
      <c r="D29" s="1445"/>
      <c r="F29" s="1487">
        <f>+F16-F27</f>
        <v>11812275.018000003</v>
      </c>
      <c r="H29" s="1488">
        <f>H16-H27-0.5</f>
        <v>12397182.4</v>
      </c>
      <c r="I29" s="1457">
        <f>11965932284/1000</f>
        <v>11965932.284</v>
      </c>
      <c r="J29" s="1489" t="e">
        <f>F29-UHF!E44</f>
        <v>#REF!</v>
      </c>
      <c r="K29" s="1457">
        <f>7821800010/1000</f>
        <v>7821800.0099999998</v>
      </c>
      <c r="L29" s="1458">
        <f>+F29-K29</f>
        <v>3990475.0080000032</v>
      </c>
      <c r="M29" s="1449"/>
      <c r="N29" s="1449"/>
      <c r="O29" s="1449"/>
      <c r="P29" s="1449"/>
      <c r="Q29" s="1449"/>
    </row>
    <row r="30" spans="1:18" ht="15" customHeight="1" thickTop="1">
      <c r="F30" s="1485"/>
      <c r="H30" s="1479"/>
      <c r="I30" s="1479">
        <v>369241</v>
      </c>
      <c r="J30" s="1457"/>
      <c r="K30" s="1457"/>
      <c r="L30" s="1459"/>
      <c r="M30" s="1449"/>
      <c r="N30" s="1457"/>
      <c r="O30" s="1449"/>
      <c r="P30" s="1449"/>
      <c r="Q30" s="1449"/>
    </row>
    <row r="31" spans="1:18" ht="15" customHeight="1" thickBot="1">
      <c r="A31" s="1445" t="s">
        <v>2517</v>
      </c>
      <c r="B31" s="1445"/>
      <c r="C31" s="1445"/>
      <c r="D31" s="1445"/>
      <c r="F31" s="1490">
        <f>'UHF New V2'!H31</f>
        <v>11812275</v>
      </c>
      <c r="H31" s="1491">
        <f>H29</f>
        <v>12397182.4</v>
      </c>
      <c r="I31" s="1457">
        <f>F29-F31</f>
        <v>1.8000002950429916E-2</v>
      </c>
      <c r="J31" s="1459">
        <v>10982994.800000001</v>
      </c>
      <c r="K31" s="1459"/>
      <c r="L31" s="1457"/>
      <c r="M31" s="1449"/>
      <c r="N31" s="1449"/>
      <c r="O31" s="1449"/>
      <c r="P31" s="1449"/>
      <c r="Q31" s="1449"/>
    </row>
    <row r="32" spans="1:18" ht="15" customHeight="1" thickTop="1">
      <c r="F32" s="1485"/>
      <c r="H32" s="1479"/>
      <c r="I32" s="1479"/>
      <c r="J32" s="1457"/>
      <c r="K32" s="1457"/>
      <c r="L32" s="1492"/>
      <c r="M32" s="1449"/>
      <c r="N32" s="1449"/>
      <c r="O32" s="1449"/>
      <c r="P32" s="1449"/>
      <c r="Q32" s="1449"/>
    </row>
    <row r="33" spans="1:17" ht="15" customHeight="1">
      <c r="A33" s="1445" t="s">
        <v>2518</v>
      </c>
      <c r="B33" s="1445"/>
      <c r="C33" s="1445"/>
      <c r="D33" s="1445"/>
      <c r="E33" s="1477" t="str">
        <f>'7-16'!A42</f>
        <v>9.</v>
      </c>
      <c r="F33" s="1485"/>
      <c r="H33" s="1479"/>
      <c r="I33" s="1479"/>
      <c r="J33" s="1457">
        <f>F29-F31</f>
        <v>1.8000002950429916E-2</v>
      </c>
      <c r="K33" s="1457"/>
      <c r="L33" s="1449"/>
      <c r="M33" s="1449"/>
      <c r="N33" s="1449"/>
      <c r="O33" s="1449"/>
      <c r="P33" s="1449"/>
      <c r="Q33" s="1449"/>
    </row>
    <row r="34" spans="1:17" ht="15" customHeight="1">
      <c r="F34" s="1479"/>
      <c r="H34" s="1479"/>
      <c r="I34" s="1479"/>
      <c r="J34" s="1457"/>
      <c r="K34" s="1457"/>
      <c r="L34" s="1459"/>
      <c r="M34" s="1449"/>
      <c r="N34" s="1449"/>
      <c r="O34" s="1449"/>
      <c r="P34" s="1449"/>
      <c r="Q34" s="1449"/>
    </row>
    <row r="35" spans="1:17" s="1445" customFormat="1" ht="15" customHeight="1">
      <c r="E35" s="1446"/>
      <c r="F35" s="2314" t="s">
        <v>2519</v>
      </c>
      <c r="G35" s="2315"/>
      <c r="H35" s="2315"/>
      <c r="I35" s="1943">
        <v>54773935.039999999</v>
      </c>
      <c r="J35" s="1493"/>
      <c r="K35" s="1498">
        <f>(I35)/F37</f>
        <v>0.45453018467882955</v>
      </c>
      <c r="L35" s="1470"/>
      <c r="M35" s="1470"/>
      <c r="N35" s="1470"/>
      <c r="O35" s="1470"/>
      <c r="P35" s="1470"/>
      <c r="Q35" s="1470"/>
    </row>
    <row r="36" spans="1:17" s="1445" customFormat="1" ht="15" customHeight="1">
      <c r="E36" s="1446"/>
      <c r="F36" s="1494"/>
      <c r="H36" s="1494"/>
      <c r="I36" s="1494">
        <v>89875778.340000004</v>
      </c>
      <c r="J36" s="1495"/>
      <c r="K36" s="2206">
        <f>I36/F37</f>
        <v>0.74581557993233694</v>
      </c>
      <c r="L36" s="1470"/>
      <c r="M36" s="1470"/>
      <c r="N36" s="1470"/>
      <c r="O36" s="1470"/>
      <c r="P36" s="1470"/>
      <c r="Q36" s="1470"/>
    </row>
    <row r="37" spans="1:17" s="1445" customFormat="1" ht="15" customHeight="1" thickBot="1">
      <c r="A37" s="1445" t="s">
        <v>314</v>
      </c>
      <c r="E37" s="1477"/>
      <c r="F37" s="1496">
        <v>120506705.3549</v>
      </c>
      <c r="H37" s="1497">
        <v>119629978</v>
      </c>
      <c r="I37" s="1610"/>
      <c r="J37" s="1457">
        <v>58707</v>
      </c>
      <c r="K37" s="1457"/>
      <c r="L37" s="1470"/>
      <c r="M37" s="1470"/>
      <c r="N37" s="1470"/>
      <c r="O37" s="1470"/>
      <c r="P37" s="1470"/>
      <c r="Q37" s="1470"/>
    </row>
    <row r="38" spans="1:17" s="1445" customFormat="1" ht="15" customHeight="1" thickTop="1">
      <c r="E38" s="1446"/>
      <c r="F38" s="1485"/>
      <c r="H38" s="1485"/>
      <c r="I38" s="1485"/>
      <c r="J38" s="1486">
        <f>H29+J37</f>
        <v>12455889.4</v>
      </c>
      <c r="K38" s="1486"/>
      <c r="L38" s="1470"/>
      <c r="M38" s="1470"/>
      <c r="N38" s="1470"/>
      <c r="O38" s="1470"/>
      <c r="P38" s="1470"/>
      <c r="Q38" s="1470"/>
    </row>
    <row r="39" spans="1:17" s="1445" customFormat="1" ht="15" customHeight="1">
      <c r="E39" s="1446"/>
      <c r="F39" s="2310" t="s">
        <v>2520</v>
      </c>
      <c r="G39" s="2310"/>
      <c r="H39" s="2310"/>
      <c r="I39" s="1944"/>
      <c r="J39" s="1498">
        <f>J38/H37*1000</f>
        <v>104.12013450341018</v>
      </c>
      <c r="K39" s="1493"/>
      <c r="L39" s="1470"/>
      <c r="M39" s="1470"/>
      <c r="N39" s="1470"/>
      <c r="O39" s="1470"/>
      <c r="P39" s="1470"/>
      <c r="Q39" s="1470"/>
    </row>
    <row r="40" spans="1:17" s="1445" customFormat="1" ht="15" customHeight="1" thickBot="1">
      <c r="A40" s="1499" t="s">
        <v>156</v>
      </c>
      <c r="B40" s="1500"/>
      <c r="C40" s="1500"/>
      <c r="E40" s="1477"/>
      <c r="F40" s="1501">
        <f>ROUND(F29/F37*1000,4)</f>
        <v>98.021699999999996</v>
      </c>
      <c r="H40" s="1502">
        <f>H29/H37*1000</f>
        <v>103.6293963039933</v>
      </c>
      <c r="I40" s="1981">
        <v>0</v>
      </c>
      <c r="J40" s="1503"/>
      <c r="K40" s="1503"/>
      <c r="L40" s="1470"/>
      <c r="M40" s="1470"/>
      <c r="N40" s="1470"/>
      <c r="O40" s="1470"/>
      <c r="P40" s="1470"/>
      <c r="Q40" s="1470"/>
    </row>
    <row r="41" spans="1:17" ht="15" customHeight="1" thickTop="1">
      <c r="F41" s="1485"/>
      <c r="H41" s="1479"/>
      <c r="I41" s="1479"/>
      <c r="J41" s="1457"/>
      <c r="K41" s="1457"/>
      <c r="L41" s="1449"/>
      <c r="M41" s="1449"/>
      <c r="N41" s="1449"/>
      <c r="O41" s="1449"/>
      <c r="P41" s="1449"/>
      <c r="Q41" s="1449"/>
    </row>
    <row r="42" spans="1:17" ht="15" customHeight="1">
      <c r="F42" s="1479"/>
      <c r="H42" s="1479"/>
      <c r="I42" s="1479"/>
      <c r="J42" s="1457"/>
      <c r="K42" s="1457"/>
      <c r="L42" s="1449"/>
      <c r="M42" s="1449"/>
      <c r="N42" s="1449"/>
      <c r="O42" s="1449"/>
      <c r="P42" s="1449"/>
      <c r="Q42" s="1449"/>
    </row>
    <row r="43" spans="1:17">
      <c r="A43" s="1446" t="s">
        <v>3328</v>
      </c>
      <c r="I43" s="1446">
        <v>82582</v>
      </c>
      <c r="J43" s="1449"/>
      <c r="K43" s="1449"/>
      <c r="L43" s="1449"/>
      <c r="M43" s="1449"/>
      <c r="N43" s="1449"/>
      <c r="O43" s="1449"/>
      <c r="P43" s="1449"/>
      <c r="Q43" s="1449"/>
    </row>
    <row r="44" spans="1:17" s="1506" customFormat="1">
      <c r="A44" s="1505"/>
      <c r="B44" s="1505"/>
      <c r="C44" s="1505"/>
      <c r="D44" s="1505"/>
      <c r="E44" s="1505"/>
      <c r="F44" s="1505"/>
      <c r="G44" s="1505"/>
      <c r="H44" s="1505"/>
      <c r="I44" s="1505"/>
      <c r="J44" s="1505"/>
      <c r="K44" s="1505"/>
    </row>
    <row r="45" spans="1:17" s="1506" customFormat="1" ht="15" customHeight="1">
      <c r="A45" s="2309" t="s">
        <v>2524</v>
      </c>
      <c r="B45" s="2309"/>
      <c r="C45" s="2309"/>
      <c r="D45" s="2309"/>
      <c r="E45" s="2309"/>
      <c r="F45" s="2309"/>
      <c r="G45" s="2309"/>
      <c r="H45" s="2309"/>
      <c r="I45" s="2017"/>
      <c r="J45" s="1507"/>
      <c r="K45" s="1507"/>
    </row>
    <row r="46" spans="1:17" s="1513" customFormat="1" ht="15" customHeight="1">
      <c r="A46" s="2309" t="s">
        <v>148</v>
      </c>
      <c r="B46" s="2309"/>
      <c r="C46" s="2309"/>
      <c r="D46" s="2309"/>
      <c r="E46" s="2309"/>
      <c r="F46" s="2309"/>
      <c r="G46" s="2309"/>
      <c r="H46" s="2309"/>
      <c r="I46" s="2017">
        <v>0</v>
      </c>
      <c r="J46" s="2017"/>
      <c r="K46" s="1511"/>
    </row>
    <row r="47" spans="1:17" s="1513" customFormat="1">
      <c r="A47" s="2017"/>
      <c r="B47" s="2017"/>
      <c r="C47" s="2017"/>
      <c r="D47" s="2017"/>
      <c r="E47" s="2017"/>
      <c r="F47" s="2017"/>
      <c r="G47" s="2017"/>
      <c r="H47" s="2074"/>
      <c r="I47" s="2017"/>
      <c r="J47" s="2017"/>
      <c r="K47" s="1511"/>
    </row>
    <row r="48" spans="1:17" s="1513" customFormat="1">
      <c r="A48" s="2017"/>
      <c r="B48" s="2017"/>
      <c r="C48" s="2017"/>
      <c r="D48" s="2017"/>
      <c r="E48" s="2017"/>
      <c r="F48" s="2017"/>
      <c r="G48" s="2017"/>
      <c r="H48" s="2074"/>
      <c r="I48" s="2017"/>
      <c r="J48" s="2017"/>
      <c r="K48" s="1511"/>
    </row>
    <row r="49" spans="1:11" s="1513" customFormat="1">
      <c r="B49" s="2017"/>
      <c r="C49" s="2017"/>
      <c r="D49" s="2017"/>
      <c r="E49" s="1510"/>
      <c r="F49" s="2017"/>
      <c r="G49" s="1511"/>
      <c r="H49" s="1512"/>
      <c r="I49" s="1512"/>
      <c r="J49" s="2017"/>
      <c r="K49" s="1511"/>
    </row>
    <row r="50" spans="1:11" s="1513" customFormat="1">
      <c r="B50" s="2017"/>
      <c r="C50" s="2017"/>
      <c r="D50" s="2017"/>
      <c r="E50" s="1510"/>
      <c r="F50" s="2017"/>
      <c r="G50" s="1511"/>
      <c r="H50" s="1512"/>
      <c r="I50" s="1512"/>
      <c r="J50" s="2017"/>
      <c r="K50" s="1511"/>
    </row>
    <row r="51" spans="1:11" s="1513" customFormat="1">
      <c r="A51" s="1513" t="s">
        <v>2526</v>
      </c>
      <c r="B51" s="2017"/>
      <c r="C51" s="2017"/>
      <c r="D51" s="1778" t="s">
        <v>2526</v>
      </c>
      <c r="E51" s="1510"/>
      <c r="F51" s="2017"/>
      <c r="G51" s="1511"/>
      <c r="H51" s="1777" t="s">
        <v>2528</v>
      </c>
      <c r="I51" s="1777"/>
      <c r="J51" s="2017"/>
      <c r="K51" s="1511"/>
    </row>
    <row r="52" spans="1:11" s="1513" customFormat="1">
      <c r="A52" s="1508" t="s">
        <v>2525</v>
      </c>
      <c r="B52" s="1515"/>
      <c r="C52" s="2017"/>
      <c r="D52" s="1779" t="s">
        <v>2529</v>
      </c>
      <c r="E52" s="1510"/>
      <c r="F52" s="2017"/>
      <c r="G52" s="1516"/>
      <c r="H52" s="2074" t="s">
        <v>2527</v>
      </c>
      <c r="I52" s="2017"/>
      <c r="J52" s="2017"/>
      <c r="K52" s="1511"/>
    </row>
    <row r="53" spans="1:11" s="1513" customFormat="1">
      <c r="A53" s="1519"/>
      <c r="B53" s="1520"/>
      <c r="C53" s="1521"/>
      <c r="D53" s="1521"/>
      <c r="E53" s="1522"/>
      <c r="F53" s="1521"/>
      <c r="G53" s="1523"/>
      <c r="H53" s="1524"/>
      <c r="I53" s="1524"/>
      <c r="J53" s="2017"/>
      <c r="K53" s="1511"/>
    </row>
    <row r="54" spans="1:11">
      <c r="A54" s="1517"/>
    </row>
    <row r="64" spans="1:11">
      <c r="B64" s="1446" t="s">
        <v>2799</v>
      </c>
      <c r="I64" s="1446">
        <v>0</v>
      </c>
    </row>
  </sheetData>
  <mergeCells count="8">
    <mergeCell ref="A45:H45"/>
    <mergeCell ref="A46:H46"/>
    <mergeCell ref="F39:H39"/>
    <mergeCell ref="A1:H1"/>
    <mergeCell ref="A2:H2"/>
    <mergeCell ref="A3:H3"/>
    <mergeCell ref="F9:H9"/>
    <mergeCell ref="F35:H35"/>
  </mergeCells>
  <phoneticPr fontId="39" type="noConversion"/>
  <pageMargins left="0.75" right="0.25" top="0.75" bottom="0" header="0.25" footer="0"/>
  <pageSetup paperSize="9" scale="90" fitToHeight="0" orientation="portrait" useFirstPageNumber="1" r:id="rId1"/>
  <headerFooter>
    <oddHeader>&amp;C&amp;"Arial Black,Regular"&amp;11&amp;P</oddHeader>
  </headerFooter>
  <cellWatches>
    <cellWatch r="L34"/>
    <cellWatch r="J29"/>
    <cellWatch r="J33"/>
  </cellWatch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B719"/>
  <sheetViews>
    <sheetView view="pageBreakPreview" topLeftCell="A169" zoomScale="90" zoomScaleSheetLayoutView="90" workbookViewId="0">
      <selection activeCell="C23" sqref="C23"/>
    </sheetView>
  </sheetViews>
  <sheetFormatPr defaultColWidth="10.19921875" defaultRowHeight="13.8"/>
  <cols>
    <col min="1" max="1" width="4.19921875" style="1446" customWidth="1"/>
    <col min="2" max="2" width="42.69921875" style="1446" customWidth="1"/>
    <col min="3" max="3" width="11.59765625" style="1692" customWidth="1"/>
    <col min="4" max="4" width="12.09765625" style="1692" customWidth="1"/>
    <col min="5" max="5" width="13.59765625" style="1692" customWidth="1"/>
    <col min="6" max="7" width="11.59765625" style="1692" customWidth="1"/>
    <col min="8" max="8" width="11.09765625" style="1692" customWidth="1"/>
    <col min="9" max="9" width="14.5" style="1692" customWidth="1"/>
    <col min="10" max="10" width="11.69921875" style="1446" customWidth="1"/>
    <col min="11" max="12" width="13.69921875" style="1446" customWidth="1"/>
    <col min="13" max="13" width="7.19921875" style="1446" hidden="1" customWidth="1"/>
    <col min="14" max="14" width="11.5" style="1562" hidden="1" customWidth="1"/>
    <col min="15" max="15" width="12.59765625" style="1562" hidden="1" customWidth="1"/>
    <col min="16" max="16" width="11.19921875" style="1446" hidden="1" customWidth="1"/>
    <col min="17" max="17" width="8.59765625" style="1446" hidden="1" customWidth="1"/>
    <col min="18" max="18" width="10" style="1446" hidden="1" customWidth="1"/>
    <col min="19" max="19" width="7.59765625" style="1446" hidden="1" customWidth="1"/>
    <col min="20" max="20" width="13" style="1446" hidden="1" customWidth="1"/>
    <col min="21" max="21" width="9.19921875" style="1446" hidden="1" customWidth="1"/>
    <col min="22" max="22" width="10.19921875" style="1547" hidden="1" customWidth="1"/>
    <col min="23" max="31" width="10.19921875" style="1446" hidden="1" customWidth="1"/>
    <col min="32" max="45" width="10.19921875" style="1446" customWidth="1"/>
    <col min="46" max="16381" width="10.19921875" style="1446"/>
    <col min="16382" max="16382" width="12.19921875" style="1446" bestFit="1" customWidth="1"/>
    <col min="16383" max="16384" width="10.19921875" style="1446"/>
  </cols>
  <sheetData>
    <row r="1" spans="1:23">
      <c r="A1" s="1677">
        <v>7.1</v>
      </c>
      <c r="B1" s="1696" t="s">
        <v>2567</v>
      </c>
      <c r="C1" s="1697"/>
      <c r="D1" s="1697"/>
      <c r="E1" s="1697"/>
      <c r="F1" s="1697"/>
      <c r="G1" s="1697"/>
      <c r="H1" s="1697"/>
      <c r="I1" s="1697"/>
      <c r="J1" s="1698"/>
      <c r="K1" s="1698"/>
      <c r="L1" s="1698"/>
      <c r="N1" s="2011"/>
      <c r="O1" s="2011"/>
      <c r="V1" s="1446"/>
    </row>
    <row r="2" spans="1:23">
      <c r="A2" s="1677"/>
      <c r="B2" s="1696"/>
      <c r="C2" s="1697"/>
      <c r="D2" s="1697"/>
      <c r="E2" s="1697"/>
      <c r="F2" s="1697"/>
      <c r="G2" s="1697"/>
      <c r="H2" s="1697"/>
      <c r="I2" s="1697"/>
      <c r="J2" s="1698"/>
      <c r="K2" s="1698"/>
      <c r="L2" s="1698"/>
      <c r="N2" s="2011"/>
      <c r="O2" s="2011">
        <f>BS!F31</f>
        <v>11812275</v>
      </c>
      <c r="V2" s="1446"/>
    </row>
    <row r="3" spans="1:23" s="1831" customFormat="1" ht="15" customHeight="1">
      <c r="A3" s="1828"/>
      <c r="B3" s="2376" t="s">
        <v>116</v>
      </c>
      <c r="C3" s="2380" t="s">
        <v>2364</v>
      </c>
      <c r="D3" s="2381"/>
      <c r="E3" s="2381"/>
      <c r="F3" s="2381"/>
      <c r="G3" s="2382"/>
      <c r="H3" s="2377" t="str">
        <f>G4</f>
        <v>As at September 30, 2021</v>
      </c>
      <c r="I3" s="2378"/>
      <c r="J3" s="2379"/>
      <c r="K3" s="2386" t="s">
        <v>2557</v>
      </c>
      <c r="L3" s="2386" t="s">
        <v>2558</v>
      </c>
      <c r="M3" s="1446"/>
      <c r="N3" s="1986"/>
      <c r="O3" s="1986"/>
      <c r="P3" s="1446"/>
      <c r="Q3" s="1446"/>
      <c r="R3" s="1446"/>
      <c r="S3" s="1446"/>
      <c r="T3" s="1446"/>
      <c r="U3" s="1675" t="s">
        <v>166</v>
      </c>
      <c r="V3" s="1740">
        <f>ROUND(BS!$F$29,0)</f>
        <v>11812275</v>
      </c>
      <c r="W3" s="1681"/>
    </row>
    <row r="4" spans="1:23" s="1831" customFormat="1" ht="15" customHeight="1">
      <c r="A4" s="1828"/>
      <c r="B4" s="2376"/>
      <c r="C4" s="2383" t="s">
        <v>3203</v>
      </c>
      <c r="D4" s="2383" t="s">
        <v>2554</v>
      </c>
      <c r="E4" s="2383" t="s">
        <v>2555</v>
      </c>
      <c r="F4" s="2383" t="s">
        <v>2420</v>
      </c>
      <c r="G4" s="2383" t="s">
        <v>3202</v>
      </c>
      <c r="H4" s="2383" t="s">
        <v>984</v>
      </c>
      <c r="I4" s="2383" t="s">
        <v>3226</v>
      </c>
      <c r="J4" s="2383" t="s">
        <v>2556</v>
      </c>
      <c r="K4" s="2386"/>
      <c r="L4" s="2386"/>
      <c r="M4" s="1446"/>
      <c r="N4" s="1986"/>
      <c r="O4" s="1986"/>
      <c r="P4" s="1446"/>
      <c r="Q4" s="1446"/>
      <c r="R4" s="1446"/>
      <c r="S4" s="1446"/>
      <c r="T4" s="1446"/>
      <c r="U4" s="1832" t="s">
        <v>167</v>
      </c>
      <c r="V4" s="1818">
        <f>ROUND(BS!$F$12,0)</f>
        <v>11260226</v>
      </c>
      <c r="W4" s="1681"/>
    </row>
    <row r="5" spans="1:23" s="1831" customFormat="1">
      <c r="A5" s="1828"/>
      <c r="B5" s="2376"/>
      <c r="C5" s="2384"/>
      <c r="D5" s="2384"/>
      <c r="E5" s="2384"/>
      <c r="F5" s="2384"/>
      <c r="G5" s="2384"/>
      <c r="H5" s="2384"/>
      <c r="I5" s="2384"/>
      <c r="J5" s="2384"/>
      <c r="K5" s="2386"/>
      <c r="L5" s="2386"/>
      <c r="M5" s="1446"/>
      <c r="N5" s="1986"/>
      <c r="O5" s="1562"/>
      <c r="P5" s="1446"/>
      <c r="Q5" s="1446"/>
      <c r="R5" s="1446"/>
      <c r="S5" s="1446"/>
      <c r="T5" s="1446"/>
      <c r="U5" s="1675"/>
      <c r="V5" s="1742"/>
      <c r="W5" s="1681"/>
    </row>
    <row r="6" spans="1:23" s="1831" customFormat="1" ht="28.5" customHeight="1">
      <c r="A6" s="1828"/>
      <c r="B6" s="2376"/>
      <c r="C6" s="2385"/>
      <c r="D6" s="2385"/>
      <c r="E6" s="2385"/>
      <c r="F6" s="2385"/>
      <c r="G6" s="2385"/>
      <c r="H6" s="2384"/>
      <c r="I6" s="2384"/>
      <c r="J6" s="2384"/>
      <c r="K6" s="2386"/>
      <c r="L6" s="2386"/>
      <c r="M6" s="1446"/>
      <c r="N6" s="1986"/>
      <c r="O6" s="1986"/>
      <c r="P6" s="1446"/>
      <c r="Q6" s="1446"/>
      <c r="R6" s="1446"/>
      <c r="S6" s="1446"/>
      <c r="T6" s="1446"/>
      <c r="V6" s="1833"/>
    </row>
    <row r="7" spans="1:23" s="1831" customFormat="1">
      <c r="A7" s="1828"/>
      <c r="B7" s="1834"/>
      <c r="D7" s="1836"/>
      <c r="E7" s="1836"/>
      <c r="F7" s="1836"/>
      <c r="G7" s="1836"/>
      <c r="H7" s="2387" t="s">
        <v>2559</v>
      </c>
      <c r="I7" s="2387"/>
      <c r="J7" s="2387"/>
      <c r="K7" s="2387" t="s">
        <v>2570</v>
      </c>
      <c r="L7" s="2387"/>
      <c r="M7" s="1446"/>
      <c r="N7" s="2012"/>
      <c r="O7" s="2012"/>
      <c r="P7" s="1446"/>
      <c r="Q7" s="1446"/>
      <c r="R7" s="1446"/>
      <c r="S7" s="1446"/>
      <c r="T7" s="1446"/>
      <c r="V7" s="1833"/>
    </row>
    <row r="8" spans="1:23" s="1831" customFormat="1">
      <c r="A8" s="1828"/>
      <c r="B8" s="1868" t="s">
        <v>2551</v>
      </c>
      <c r="D8" s="1987"/>
      <c r="E8" s="1987"/>
      <c r="F8" s="1987"/>
      <c r="G8" s="1987"/>
      <c r="H8" s="1871"/>
      <c r="I8" s="1871"/>
      <c r="J8" s="1871"/>
      <c r="K8" s="1988"/>
      <c r="L8" s="1988"/>
      <c r="M8" s="1446"/>
      <c r="N8" s="2012"/>
      <c r="O8" s="2012"/>
      <c r="P8" s="1446"/>
      <c r="Q8" s="1446"/>
      <c r="R8" s="1446"/>
      <c r="S8" s="1446"/>
      <c r="T8" s="1446"/>
      <c r="V8" s="1833"/>
    </row>
    <row r="9" spans="1:23" s="1831" customFormat="1">
      <c r="A9" s="1828"/>
      <c r="B9" s="1834"/>
      <c r="D9" s="1987"/>
      <c r="E9" s="1987"/>
      <c r="F9" s="1987"/>
      <c r="G9" s="1987"/>
      <c r="H9" s="1871"/>
      <c r="I9" s="1871"/>
      <c r="J9" s="1871"/>
      <c r="K9" s="1988"/>
      <c r="L9" s="1988"/>
      <c r="M9" s="1446"/>
      <c r="N9" s="2012"/>
      <c r="O9" s="2012"/>
      <c r="P9" s="1446"/>
      <c r="Q9" s="1446"/>
      <c r="R9" s="1446"/>
      <c r="S9" s="1446"/>
      <c r="T9" s="1446"/>
      <c r="V9" s="1833"/>
    </row>
    <row r="10" spans="1:23" ht="16.8">
      <c r="A10" s="1652"/>
      <c r="B10" s="2284" t="s">
        <v>2361</v>
      </c>
      <c r="C10" s="2260"/>
      <c r="D10" s="2260"/>
      <c r="E10" s="1839"/>
      <c r="F10" s="1839"/>
      <c r="G10" s="1839"/>
      <c r="H10" s="1839"/>
      <c r="I10" s="1839"/>
      <c r="J10" s="1839"/>
      <c r="K10" s="1854"/>
      <c r="L10" s="1854"/>
      <c r="N10" s="1818"/>
      <c r="O10" s="1818"/>
      <c r="U10" s="1840"/>
    </row>
    <row r="11" spans="1:23" ht="15.6">
      <c r="A11" s="1652"/>
      <c r="B11" s="2283" t="s">
        <v>488</v>
      </c>
      <c r="C11" s="2262">
        <v>0</v>
      </c>
      <c r="D11" s="2262">
        <v>226600</v>
      </c>
      <c r="E11" s="2262">
        <v>0</v>
      </c>
      <c r="F11" s="2262">
        <v>221000</v>
      </c>
      <c r="G11" s="2262">
        <f>C11+D11+E11-F11</f>
        <v>5600</v>
      </c>
      <c r="H11" s="2262">
        <v>695.87800000000004</v>
      </c>
      <c r="I11" s="2262">
        <v>487.928</v>
      </c>
      <c r="J11" s="2304">
        <f>+I11-H11</f>
        <v>-207.95000000000005</v>
      </c>
      <c r="K11" s="2267">
        <f>I11/BS!$F$29</f>
        <v>4.1306860808479009E-5</v>
      </c>
      <c r="L11" s="2267">
        <v>1E-4</v>
      </c>
      <c r="N11" s="1854">
        <v>179269921</v>
      </c>
      <c r="O11" s="1854">
        <v>178259495</v>
      </c>
      <c r="U11" s="1840"/>
      <c r="V11" s="1562"/>
    </row>
    <row r="12" spans="1:23" ht="15.6">
      <c r="A12" s="1652"/>
      <c r="B12" s="2283" t="s">
        <v>1161</v>
      </c>
      <c r="C12" s="2262">
        <v>486300</v>
      </c>
      <c r="D12" s="2262">
        <v>0</v>
      </c>
      <c r="E12" s="2262">
        <v>0</v>
      </c>
      <c r="F12" s="2262">
        <v>116300</v>
      </c>
      <c r="G12" s="2262">
        <f t="shared" ref="G12:G15" si="0">C12+D12+E12-F12</f>
        <v>370000</v>
      </c>
      <c r="H12" s="2262">
        <v>127938.6</v>
      </c>
      <c r="I12" s="2262">
        <v>97480.2</v>
      </c>
      <c r="J12" s="2304">
        <f t="shared" ref="J12:J15" si="1">+I12-H12</f>
        <v>-30458.400000000009</v>
      </c>
      <c r="K12" s="2267">
        <f>I12/BS!$F$29</f>
        <v>8.2524492404262417E-3</v>
      </c>
      <c r="L12" s="2267">
        <v>2.5999999999999999E-3</v>
      </c>
      <c r="N12" s="1854">
        <v>84681467</v>
      </c>
      <c r="O12" s="1854">
        <v>101753400</v>
      </c>
      <c r="U12" s="1840"/>
      <c r="V12" s="1562"/>
    </row>
    <row r="13" spans="1:23" ht="15.6">
      <c r="A13" s="1652"/>
      <c r="B13" s="2283" t="s">
        <v>2942</v>
      </c>
      <c r="C13" s="2262">
        <v>179790</v>
      </c>
      <c r="D13" s="2262">
        <v>0</v>
      </c>
      <c r="E13" s="2262">
        <v>0</v>
      </c>
      <c r="F13" s="2262">
        <v>84780</v>
      </c>
      <c r="G13" s="2262">
        <f t="shared" si="0"/>
        <v>95010</v>
      </c>
      <c r="H13" s="2262">
        <v>119155.841</v>
      </c>
      <c r="I13" s="2262">
        <v>110983.08100000001</v>
      </c>
      <c r="J13" s="2304">
        <f t="shared" si="1"/>
        <v>-8172.7599999999948</v>
      </c>
      <c r="K13" s="2267">
        <f>I13/BS!$F$29</f>
        <v>9.3955720494891693E-3</v>
      </c>
      <c r="L13" s="2267">
        <v>1.1999999999999999E-3</v>
      </c>
      <c r="N13" s="1854"/>
      <c r="U13" s="1840"/>
      <c r="V13" s="1842"/>
    </row>
    <row r="14" spans="1:23" ht="15.6">
      <c r="A14" s="1652"/>
      <c r="B14" s="2283" t="s">
        <v>2004</v>
      </c>
      <c r="C14" s="2262">
        <v>90000</v>
      </c>
      <c r="D14" s="2262">
        <v>0</v>
      </c>
      <c r="E14" s="2262">
        <v>0</v>
      </c>
      <c r="F14" s="2262">
        <v>90000</v>
      </c>
      <c r="G14" s="2262">
        <f t="shared" si="0"/>
        <v>0</v>
      </c>
      <c r="H14" s="2262">
        <v>0</v>
      </c>
      <c r="I14" s="2262">
        <v>0</v>
      </c>
      <c r="J14" s="2304">
        <f t="shared" si="1"/>
        <v>0</v>
      </c>
      <c r="K14" s="2267">
        <f>I14/BS!$F$29</f>
        <v>0</v>
      </c>
      <c r="L14" s="2267">
        <v>0</v>
      </c>
    </row>
    <row r="15" spans="1:23" ht="15.6">
      <c r="A15" s="1652"/>
      <c r="B15" s="2283" t="s">
        <v>3243</v>
      </c>
      <c r="C15" s="2262">
        <v>265000</v>
      </c>
      <c r="D15" s="2262">
        <v>305900</v>
      </c>
      <c r="E15" s="2262">
        <v>0</v>
      </c>
      <c r="F15" s="2262">
        <v>110900</v>
      </c>
      <c r="G15" s="2262">
        <f t="shared" si="0"/>
        <v>460000</v>
      </c>
      <c r="H15" s="2262">
        <v>161465.56599999999</v>
      </c>
      <c r="I15" s="2262">
        <v>123073</v>
      </c>
      <c r="J15" s="2304">
        <f t="shared" si="1"/>
        <v>-38392.565999999992</v>
      </c>
      <c r="K15" s="2267">
        <f>I15/BS!$F$29</f>
        <v>1.0419076749606371E-2</v>
      </c>
      <c r="L15" s="2267">
        <v>5.6000000000000008E-3</v>
      </c>
      <c r="N15" s="1854">
        <v>251731048</v>
      </c>
      <c r="O15" s="1854">
        <v>322224978</v>
      </c>
    </row>
    <row r="16" spans="1:23" ht="16.2" thickBot="1">
      <c r="A16" s="1652"/>
      <c r="B16" s="2261"/>
      <c r="C16" s="2262"/>
      <c r="D16" s="2262"/>
      <c r="E16" s="1701"/>
      <c r="F16" s="2262"/>
      <c r="G16" s="2262"/>
      <c r="H16" s="2280">
        <f>SUM(H11:H15)</f>
        <v>409255.88500000001</v>
      </c>
      <c r="I16" s="2280">
        <f>SUM(I11:I15)</f>
        <v>332024.20900000003</v>
      </c>
      <c r="J16" s="2305">
        <f>SUM(J11:J15)</f>
        <v>-77231.675999999992</v>
      </c>
      <c r="K16" s="2281">
        <f>SUM(K11:K15)</f>
        <v>2.8108404900330258E-2</v>
      </c>
      <c r="L16" s="2281">
        <f>SUM(L11:L15)</f>
        <v>9.5000000000000015E-3</v>
      </c>
      <c r="U16" s="1840"/>
    </row>
    <row r="17" spans="1:21" ht="17.399999999999999" thickTop="1">
      <c r="A17" s="1652"/>
      <c r="B17" s="2284" t="s">
        <v>1025</v>
      </c>
      <c r="C17" s="2264"/>
      <c r="D17" s="2264"/>
      <c r="E17" s="1701"/>
      <c r="F17" s="2264"/>
      <c r="G17" s="2264"/>
      <c r="H17" s="2264"/>
      <c r="I17" s="2264"/>
      <c r="J17" s="2306"/>
      <c r="K17" s="2265"/>
      <c r="L17" s="2268"/>
      <c r="N17" s="1854"/>
      <c r="U17" s="1840"/>
    </row>
    <row r="18" spans="1:21" ht="15.6">
      <c r="A18" s="1652"/>
      <c r="B18" s="2283" t="s">
        <v>1162</v>
      </c>
      <c r="C18" s="2262">
        <v>0</v>
      </c>
      <c r="D18" s="2262">
        <v>256000</v>
      </c>
      <c r="E18" s="2262">
        <v>0</v>
      </c>
      <c r="F18" s="2262">
        <v>0</v>
      </c>
      <c r="G18" s="2262">
        <f t="shared" ref="G18:G20" si="2">C18+D18+E18-F18</f>
        <v>256000</v>
      </c>
      <c r="H18" s="2262">
        <v>18012.133999999998</v>
      </c>
      <c r="I18" s="2262">
        <v>15815.68</v>
      </c>
      <c r="J18" s="2304">
        <f>+I18-H18</f>
        <v>-2196.4539999999979</v>
      </c>
      <c r="K18" s="2267">
        <f>I18/BS!$F$29</f>
        <v>1.3389190461532139E-3</v>
      </c>
      <c r="L18" s="2267">
        <v>2.0999999999999999E-3</v>
      </c>
    </row>
    <row r="19" spans="1:21" ht="15.6">
      <c r="A19" s="1652"/>
      <c r="B19" s="2283" t="s">
        <v>3244</v>
      </c>
      <c r="C19" s="2262">
        <v>2065504</v>
      </c>
      <c r="D19" s="2262">
        <v>0</v>
      </c>
      <c r="E19" s="2262">
        <v>230000</v>
      </c>
      <c r="F19" s="2262">
        <v>915504</v>
      </c>
      <c r="G19" s="2262">
        <f t="shared" si="2"/>
        <v>1380000</v>
      </c>
      <c r="H19" s="2262">
        <v>79499.453999999998</v>
      </c>
      <c r="I19" s="2262">
        <v>68254.8</v>
      </c>
      <c r="J19" s="2304">
        <f>+I19-H19</f>
        <v>-11244.653999999995</v>
      </c>
      <c r="K19" s="2267">
        <f>I19/BS!$F$29</f>
        <v>5.778294180925409E-3</v>
      </c>
      <c r="L19" s="2267">
        <v>8.199999999999999E-3</v>
      </c>
      <c r="N19" s="1854">
        <v>193383558</v>
      </c>
      <c r="O19" s="1854">
        <v>169597800</v>
      </c>
    </row>
    <row r="20" spans="1:21" ht="15.6">
      <c r="A20" s="1652"/>
      <c r="B20" s="2283" t="s">
        <v>1781</v>
      </c>
      <c r="C20" s="2262">
        <v>633300</v>
      </c>
      <c r="D20" s="2262">
        <v>0</v>
      </c>
      <c r="E20" s="2262">
        <v>0</v>
      </c>
      <c r="F20" s="2262">
        <v>11300</v>
      </c>
      <c r="G20" s="2262">
        <f t="shared" si="2"/>
        <v>622000</v>
      </c>
      <c r="H20" s="2262">
        <v>262969.15999999997</v>
      </c>
      <c r="I20" s="2262">
        <v>241553.7</v>
      </c>
      <c r="J20" s="2304">
        <f>+I20-H20</f>
        <v>-21415.459999999963</v>
      </c>
      <c r="K20" s="2267">
        <f>I20/BS!$F$29</f>
        <v>2.0449379957028693E-2</v>
      </c>
      <c r="L20" s="2267">
        <v>7.7000000000000002E-3</v>
      </c>
      <c r="U20" s="1840"/>
    </row>
    <row r="21" spans="1:21" ht="16.2" thickBot="1">
      <c r="A21" s="1652"/>
      <c r="B21" s="2261"/>
      <c r="C21" s="2262"/>
      <c r="D21" s="2262"/>
      <c r="E21" s="1701"/>
      <c r="F21" s="2262"/>
      <c r="G21" s="2262"/>
      <c r="H21" s="2280">
        <f>SUM(H18:H20)</f>
        <v>360480.74799999996</v>
      </c>
      <c r="I21" s="2280">
        <f t="shared" ref="I21:L21" si="3">SUM(I18:I20)</f>
        <v>325624.18000000005</v>
      </c>
      <c r="J21" s="2305">
        <f t="shared" si="3"/>
        <v>-34856.567999999956</v>
      </c>
      <c r="K21" s="2281">
        <f t="shared" si="3"/>
        <v>2.7566593184107317E-2</v>
      </c>
      <c r="L21" s="2281">
        <f t="shared" si="3"/>
        <v>1.7999999999999999E-2</v>
      </c>
      <c r="N21" s="1854"/>
      <c r="U21" s="1840"/>
    </row>
    <row r="22" spans="1:21" ht="17.399999999999999" thickTop="1">
      <c r="A22" s="1652"/>
      <c r="B22" s="2284" t="s">
        <v>2787</v>
      </c>
      <c r="C22" s="2264"/>
      <c r="D22" s="2264"/>
      <c r="E22" s="1701"/>
      <c r="F22" s="2264"/>
      <c r="G22" s="2264"/>
      <c r="H22" s="2264"/>
      <c r="I22" s="2264"/>
      <c r="J22" s="2306"/>
      <c r="K22" s="2265"/>
      <c r="L22" s="2268"/>
      <c r="N22" s="1854"/>
      <c r="O22" s="1854"/>
      <c r="U22" s="1690"/>
    </row>
    <row r="23" spans="1:21" ht="15.6">
      <c r="A23" s="1652"/>
      <c r="B23" s="2283" t="s">
        <v>493</v>
      </c>
      <c r="C23" s="2262">
        <v>0</v>
      </c>
      <c r="D23" s="2262">
        <v>2994000</v>
      </c>
      <c r="E23" s="2262">
        <v>0</v>
      </c>
      <c r="F23" s="2262">
        <v>924000</v>
      </c>
      <c r="G23" s="2262">
        <f t="shared" ref="G23" si="4">C23+D23+E23-F23</f>
        <v>2070000</v>
      </c>
      <c r="H23" s="2262">
        <v>68681.565000000002</v>
      </c>
      <c r="I23" s="2262">
        <v>57028.5</v>
      </c>
      <c r="J23" s="2304">
        <f>+I23-H23</f>
        <v>-11653.065000000002</v>
      </c>
      <c r="K23" s="2267">
        <f>I23/BS!$F$29</f>
        <v>4.8279014764808434E-3</v>
      </c>
      <c r="L23" s="2267">
        <v>4.1999999999999997E-3</v>
      </c>
      <c r="N23" s="1854">
        <v>229954585</v>
      </c>
      <c r="O23" s="1854">
        <v>221634945</v>
      </c>
      <c r="U23" s="1690"/>
    </row>
    <row r="24" spans="1:21" ht="16.2" thickBot="1">
      <c r="A24" s="1652"/>
      <c r="B24" s="2261"/>
      <c r="C24" s="2262"/>
      <c r="D24" s="2262"/>
      <c r="E24" s="1701"/>
      <c r="F24" s="2262"/>
      <c r="G24" s="2262"/>
      <c r="H24" s="2280">
        <f>SUM(H23)</f>
        <v>68681.565000000002</v>
      </c>
      <c r="I24" s="2280">
        <f t="shared" ref="I24:L24" si="5">SUM(I23)</f>
        <v>57028.5</v>
      </c>
      <c r="J24" s="2305">
        <f t="shared" si="5"/>
        <v>-11653.065000000002</v>
      </c>
      <c r="K24" s="2281">
        <f t="shared" si="5"/>
        <v>4.8279014764808434E-3</v>
      </c>
      <c r="L24" s="2281">
        <f t="shared" si="5"/>
        <v>4.1999999999999997E-3</v>
      </c>
      <c r="N24" s="1854">
        <v>0</v>
      </c>
      <c r="O24" s="1854">
        <v>0</v>
      </c>
      <c r="U24" s="1690"/>
    </row>
    <row r="25" spans="1:21" ht="17.399999999999999" thickTop="1">
      <c r="A25" s="1652"/>
      <c r="B25" s="2284" t="s">
        <v>1029</v>
      </c>
      <c r="C25" s="2264"/>
      <c r="D25" s="2264"/>
      <c r="E25" s="1701"/>
      <c r="F25" s="2264"/>
      <c r="G25" s="2264"/>
      <c r="H25" s="2264"/>
      <c r="I25" s="2264"/>
      <c r="J25" s="2306"/>
      <c r="K25" s="2265"/>
      <c r="L25" s="2268"/>
      <c r="N25" s="1854">
        <v>93766517</v>
      </c>
      <c r="O25" s="1854">
        <v>110190474</v>
      </c>
      <c r="U25" s="1690"/>
    </row>
    <row r="26" spans="1:21" ht="15.6">
      <c r="A26" s="1652"/>
      <c r="B26" s="2283" t="s">
        <v>1860</v>
      </c>
      <c r="C26" s="2262">
        <v>0</v>
      </c>
      <c r="D26" s="2262">
        <v>247100</v>
      </c>
      <c r="E26" s="2262">
        <v>0</v>
      </c>
      <c r="F26" s="2262">
        <v>0</v>
      </c>
      <c r="G26" s="2262">
        <f t="shared" ref="G26:G34" si="6">C26+D26+E26-F26</f>
        <v>247100</v>
      </c>
      <c r="H26" s="2262">
        <v>39258.68</v>
      </c>
      <c r="I26" s="2262">
        <v>35043.722000000002</v>
      </c>
      <c r="J26" s="2304">
        <f>+I26-H26</f>
        <v>-4214.9579999999987</v>
      </c>
      <c r="K26" s="2267">
        <f>I26/BS!$F$29</f>
        <v>2.9667208007432113E-3</v>
      </c>
      <c r="L26" s="2267">
        <v>4.0000000000000002E-4</v>
      </c>
      <c r="N26" s="1854">
        <v>584223136</v>
      </c>
      <c r="O26" s="1854">
        <v>811106774</v>
      </c>
      <c r="U26" s="1690"/>
    </row>
    <row r="27" spans="1:21" ht="15.6">
      <c r="A27" s="1652"/>
      <c r="B27" s="2283" t="s">
        <v>1062</v>
      </c>
      <c r="C27" s="2262">
        <v>48000</v>
      </c>
      <c r="D27" s="2262">
        <v>1809200</v>
      </c>
      <c r="E27" s="2262">
        <v>0</v>
      </c>
      <c r="F27" s="2262">
        <v>288900</v>
      </c>
      <c r="G27" s="2262">
        <f t="shared" si="6"/>
        <v>1568300</v>
      </c>
      <c r="H27" s="2262">
        <v>256259.75</v>
      </c>
      <c r="I27" s="2262">
        <v>224611.92600000001</v>
      </c>
      <c r="J27" s="2304">
        <f t="shared" ref="J27:J34" si="7">+I27-H27</f>
        <v>-31647.823999999993</v>
      </c>
      <c r="K27" s="2267">
        <f>I27/BS!$F$29</f>
        <v>1.9015128386168426E-2</v>
      </c>
      <c r="L27" s="2267">
        <v>8.1000000000000013E-3</v>
      </c>
      <c r="N27" s="1854">
        <v>247433330</v>
      </c>
      <c r="O27" s="1854">
        <v>280121450</v>
      </c>
      <c r="U27" s="1690"/>
    </row>
    <row r="28" spans="1:21" ht="15.6">
      <c r="A28" s="1652"/>
      <c r="B28" s="2283" t="s">
        <v>481</v>
      </c>
      <c r="C28" s="2262">
        <v>1851480</v>
      </c>
      <c r="D28" s="2262">
        <v>648285</v>
      </c>
      <c r="E28" s="2262">
        <v>0</v>
      </c>
      <c r="F28" s="2262">
        <v>1186840</v>
      </c>
      <c r="G28" s="2262">
        <f t="shared" si="6"/>
        <v>1312925</v>
      </c>
      <c r="H28" s="2262">
        <v>143774.872</v>
      </c>
      <c r="I28" s="2262">
        <v>116088.829</v>
      </c>
      <c r="J28" s="2304">
        <f t="shared" si="7"/>
        <v>-27686.043000000005</v>
      </c>
      <c r="K28" s="2267">
        <f>I28/BS!$F$29</f>
        <v>9.8278129169105301E-3</v>
      </c>
      <c r="L28" s="2267">
        <v>3.0000000000000001E-3</v>
      </c>
      <c r="N28" s="1854">
        <v>177624321</v>
      </c>
      <c r="O28" s="1854">
        <v>221217300</v>
      </c>
      <c r="U28" s="1690"/>
    </row>
    <row r="29" spans="1:21" ht="15.6">
      <c r="A29" s="1652"/>
      <c r="B29" s="2283" t="s">
        <v>640</v>
      </c>
      <c r="C29" s="2262">
        <v>0</v>
      </c>
      <c r="D29" s="2262">
        <v>10198000</v>
      </c>
      <c r="E29" s="2262">
        <v>0</v>
      </c>
      <c r="F29" s="2262">
        <v>0</v>
      </c>
      <c r="G29" s="2262">
        <f t="shared" si="6"/>
        <v>10198000</v>
      </c>
      <c r="H29" s="2262">
        <v>221953.351</v>
      </c>
      <c r="I29" s="2262">
        <v>183054.1</v>
      </c>
      <c r="J29" s="2304">
        <f t="shared" si="7"/>
        <v>-38899.250999999989</v>
      </c>
      <c r="K29" s="2267">
        <f>I29/BS!$F$29</f>
        <v>1.549693854241076E-2</v>
      </c>
      <c r="L29" s="2267">
        <v>7.4000000000000003E-3</v>
      </c>
      <c r="N29" s="1854"/>
      <c r="U29" s="1840"/>
    </row>
    <row r="30" spans="1:21" ht="15.6">
      <c r="A30" s="1652"/>
      <c r="B30" s="2283" t="s">
        <v>334</v>
      </c>
      <c r="C30" s="2262">
        <v>1583670</v>
      </c>
      <c r="D30" s="2262">
        <v>0</v>
      </c>
      <c r="E30" s="2262">
        <v>0</v>
      </c>
      <c r="F30" s="2262">
        <v>0</v>
      </c>
      <c r="G30" s="2262">
        <f t="shared" si="6"/>
        <v>1583670</v>
      </c>
      <c r="H30" s="2262">
        <v>327012.01799999998</v>
      </c>
      <c r="I30" s="2262">
        <v>272296.21999999997</v>
      </c>
      <c r="J30" s="2304">
        <f t="shared" si="7"/>
        <v>-54715.79800000001</v>
      </c>
      <c r="K30" s="2267">
        <f>I30/BS!$F$29</f>
        <v>2.3051970901885068E-2</v>
      </c>
      <c r="L30" s="2267">
        <v>7.9000000000000008E-3</v>
      </c>
      <c r="N30" s="1854"/>
      <c r="U30" s="1840"/>
    </row>
    <row r="31" spans="1:21" ht="15.6">
      <c r="A31" s="1652"/>
      <c r="B31" s="2283" t="s">
        <v>125</v>
      </c>
      <c r="C31" s="2262">
        <v>946003</v>
      </c>
      <c r="D31" s="2262">
        <v>35000</v>
      </c>
      <c r="E31" s="2262">
        <v>0</v>
      </c>
      <c r="F31" s="2262">
        <v>211169</v>
      </c>
      <c r="G31" s="2262">
        <f t="shared" si="6"/>
        <v>769834</v>
      </c>
      <c r="H31" s="2262">
        <v>665709.64</v>
      </c>
      <c r="I31" s="2262">
        <v>556512.99899999995</v>
      </c>
      <c r="J31" s="2304">
        <f t="shared" si="7"/>
        <v>-109196.64100000006</v>
      </c>
      <c r="K31" s="2267">
        <f>I31/BS!$F$29</f>
        <v>4.7113108876314161E-2</v>
      </c>
      <c r="L31" s="2267">
        <v>2.3999999999999998E-3</v>
      </c>
      <c r="N31" s="1854"/>
      <c r="O31" s="1854"/>
      <c r="U31" s="1690"/>
    </row>
    <row r="32" spans="1:21" ht="15.6">
      <c r="A32" s="1652"/>
      <c r="B32" s="2283" t="s">
        <v>170</v>
      </c>
      <c r="C32" s="2262">
        <v>9075771</v>
      </c>
      <c r="D32" s="2262">
        <v>1800000</v>
      </c>
      <c r="E32" s="2262">
        <v>0</v>
      </c>
      <c r="F32" s="2262">
        <v>1582985</v>
      </c>
      <c r="G32" s="2262">
        <f t="shared" si="6"/>
        <v>9292786</v>
      </c>
      <c r="H32" s="2262">
        <v>423242.72600000002</v>
      </c>
      <c r="I32" s="2262">
        <v>327106.06699999998</v>
      </c>
      <c r="J32" s="2304">
        <f t="shared" si="7"/>
        <v>-96136.659000000043</v>
      </c>
      <c r="K32" s="2267">
        <f>I32/BS!$F$29</f>
        <v>2.7692046324822531E-2</v>
      </c>
      <c r="L32" s="2267">
        <v>8.5000000000000006E-3</v>
      </c>
      <c r="N32" s="1854">
        <v>18182990</v>
      </c>
      <c r="O32" s="1854">
        <v>17490716</v>
      </c>
      <c r="U32" s="1690"/>
    </row>
    <row r="33" spans="1:23" ht="15.6">
      <c r="A33" s="1652"/>
      <c r="B33" s="2283" t="s">
        <v>482</v>
      </c>
      <c r="C33" s="2262">
        <v>2502000</v>
      </c>
      <c r="D33" s="2262">
        <v>0</v>
      </c>
      <c r="E33" s="2262">
        <v>0</v>
      </c>
      <c r="F33" s="2262">
        <v>2502000</v>
      </c>
      <c r="G33" s="2262">
        <f t="shared" si="6"/>
        <v>0</v>
      </c>
      <c r="H33" s="2262">
        <v>0</v>
      </c>
      <c r="I33" s="2262">
        <v>0</v>
      </c>
      <c r="J33" s="2304">
        <f t="shared" si="7"/>
        <v>0</v>
      </c>
      <c r="K33" s="2267">
        <f>I33/BS!$F$29</f>
        <v>0</v>
      </c>
      <c r="L33" s="2267">
        <v>0</v>
      </c>
      <c r="N33" s="1854">
        <v>299637608</v>
      </c>
      <c r="O33" s="1854">
        <v>454682550</v>
      </c>
      <c r="U33" s="1690"/>
    </row>
    <row r="34" spans="1:23" ht="15.6">
      <c r="A34" s="1652"/>
      <c r="B34" s="2283" t="s">
        <v>1870</v>
      </c>
      <c r="C34" s="2262">
        <v>7193000</v>
      </c>
      <c r="D34" s="2262">
        <v>0</v>
      </c>
      <c r="E34" s="2262">
        <v>0</v>
      </c>
      <c r="F34" s="2262">
        <v>7192520</v>
      </c>
      <c r="G34" s="2262">
        <f t="shared" si="6"/>
        <v>480</v>
      </c>
      <c r="H34" s="2262">
        <v>4.6130000000000004</v>
      </c>
      <c r="I34" s="2262">
        <v>3.37</v>
      </c>
      <c r="J34" s="2304">
        <f t="shared" si="7"/>
        <v>-1.2430000000000003</v>
      </c>
      <c r="K34" s="2267">
        <f>I34/BS!$F$29</f>
        <v>2.8529643907415492E-7</v>
      </c>
      <c r="L34" s="2267">
        <v>0</v>
      </c>
      <c r="N34" s="1854">
        <v>106726514</v>
      </c>
      <c r="O34" s="1854">
        <v>102170908</v>
      </c>
      <c r="U34" s="1690"/>
    </row>
    <row r="35" spans="1:23" ht="16.2" thickBot="1">
      <c r="A35" s="1652"/>
      <c r="B35" s="2261"/>
      <c r="C35" s="2262"/>
      <c r="D35" s="2262"/>
      <c r="E35" s="1701"/>
      <c r="F35" s="2262"/>
      <c r="G35" s="2262"/>
      <c r="H35" s="2280">
        <f>SUM(H26:H34)</f>
        <v>2077215.6500000001</v>
      </c>
      <c r="I35" s="2280">
        <f t="shared" ref="I35:L35" si="8">SUM(I26:I34)</f>
        <v>1714717.2330000002</v>
      </c>
      <c r="J35" s="2305">
        <f t="shared" si="8"/>
        <v>-362498.41700000013</v>
      </c>
      <c r="K35" s="2281">
        <f t="shared" si="8"/>
        <v>0.14516401204569379</v>
      </c>
      <c r="L35" s="2281">
        <f t="shared" si="8"/>
        <v>3.7699999999999997E-2</v>
      </c>
      <c r="N35" s="1854"/>
      <c r="O35" s="1854"/>
      <c r="U35" s="1690"/>
    </row>
    <row r="36" spans="1:23" ht="17.399999999999999" thickTop="1">
      <c r="A36" s="1652"/>
      <c r="B36" s="2284" t="s">
        <v>1031</v>
      </c>
      <c r="C36" s="2264"/>
      <c r="D36" s="2264"/>
      <c r="E36" s="1701"/>
      <c r="F36" s="2264"/>
      <c r="G36" s="2264"/>
      <c r="H36" s="2264"/>
      <c r="I36" s="2264"/>
      <c r="J36" s="2306"/>
      <c r="K36" s="2265"/>
      <c r="L36" s="2268"/>
      <c r="N36" s="1854"/>
      <c r="O36" s="1854"/>
      <c r="U36" s="1690"/>
    </row>
    <row r="37" spans="1:23" ht="15.6">
      <c r="A37" s="1652"/>
      <c r="B37" s="2283" t="s">
        <v>1063</v>
      </c>
      <c r="C37" s="2262">
        <v>113850</v>
      </c>
      <c r="D37" s="2262">
        <v>67400</v>
      </c>
      <c r="E37" s="2262">
        <v>0</v>
      </c>
      <c r="F37" s="2262">
        <v>71250</v>
      </c>
      <c r="G37" s="2262">
        <f t="shared" ref="G37:G41" si="9">C37+D37+E37-F37</f>
        <v>110000</v>
      </c>
      <c r="H37" s="2262">
        <v>62685.26</v>
      </c>
      <c r="I37" s="2262">
        <v>68708.2</v>
      </c>
      <c r="J37" s="2304">
        <f t="shared" ref="J37:J41" si="10">+I37-H37</f>
        <v>6022.9399999999951</v>
      </c>
      <c r="K37" s="2267">
        <f>I37/BS!$F$29</f>
        <v>5.8166779807699853E-3</v>
      </c>
      <c r="L37" s="2267">
        <v>3.2000000000000002E-3</v>
      </c>
      <c r="N37" s="1854">
        <v>143135678</v>
      </c>
      <c r="O37" s="1854">
        <v>157509057</v>
      </c>
      <c r="U37" s="1690"/>
    </row>
    <row r="38" spans="1:23" ht="15.6">
      <c r="A38" s="1652"/>
      <c r="B38" s="2283" t="s">
        <v>2114</v>
      </c>
      <c r="C38" s="2262">
        <v>0</v>
      </c>
      <c r="D38" s="2262">
        <v>1500</v>
      </c>
      <c r="E38" s="2262">
        <v>0</v>
      </c>
      <c r="F38" s="2262">
        <v>0</v>
      </c>
      <c r="G38" s="2262">
        <f t="shared" si="9"/>
        <v>1500</v>
      </c>
      <c r="H38" s="2262">
        <v>337.5</v>
      </c>
      <c r="I38" s="2262">
        <v>340.90499999999997</v>
      </c>
      <c r="J38" s="2304">
        <f t="shared" si="10"/>
        <v>3.4049999999999727</v>
      </c>
      <c r="K38" s="2267">
        <f>I38/BS!$F$29</f>
        <v>2.8860232214413881E-5</v>
      </c>
      <c r="L38" s="2267">
        <v>1E-4</v>
      </c>
      <c r="N38" s="1854">
        <v>249443175</v>
      </c>
      <c r="O38" s="1854">
        <v>228594298</v>
      </c>
      <c r="U38" s="1690"/>
    </row>
    <row r="39" spans="1:23" ht="15.6">
      <c r="A39" s="1652"/>
      <c r="B39" s="2283" t="s">
        <v>1032</v>
      </c>
      <c r="C39" s="2262">
        <v>4999655</v>
      </c>
      <c r="D39" s="2262">
        <v>332000</v>
      </c>
      <c r="E39" s="2262">
        <v>0</v>
      </c>
      <c r="F39" s="2262">
        <v>3131500</v>
      </c>
      <c r="G39" s="2262">
        <f t="shared" si="9"/>
        <v>2200155</v>
      </c>
      <c r="H39" s="2262">
        <v>105126.70600000001</v>
      </c>
      <c r="I39" s="2262">
        <v>121162.53599999999</v>
      </c>
      <c r="J39" s="2304">
        <f t="shared" si="10"/>
        <v>16035.829999999987</v>
      </c>
      <c r="K39" s="2267">
        <f>I39/BS!$F$29</f>
        <v>1.0257341267060564E-2</v>
      </c>
      <c r="L39" s="2267">
        <v>2.3999999999999998E-3</v>
      </c>
      <c r="N39" s="1854">
        <v>220040692</v>
      </c>
      <c r="O39" s="1854">
        <v>271664005</v>
      </c>
      <c r="U39" s="1690"/>
    </row>
    <row r="40" spans="1:23" ht="15.6">
      <c r="A40" s="1652"/>
      <c r="B40" s="2283" t="s">
        <v>2129</v>
      </c>
      <c r="C40" s="2262">
        <v>8650000</v>
      </c>
      <c r="D40" s="2262">
        <v>1275000</v>
      </c>
      <c r="E40" s="2262">
        <v>0</v>
      </c>
      <c r="F40" s="2262">
        <v>1873000</v>
      </c>
      <c r="G40" s="2262">
        <f t="shared" si="9"/>
        <v>8052000</v>
      </c>
      <c r="H40" s="2262">
        <v>122985.443</v>
      </c>
      <c r="I40" s="2262">
        <v>112647.48</v>
      </c>
      <c r="J40" s="2304">
        <f t="shared" si="10"/>
        <v>-10337.963000000003</v>
      </c>
      <c r="K40" s="2267">
        <f>I40/BS!$F$29</f>
        <v>9.5364762358092232E-3</v>
      </c>
      <c r="L40" s="2267">
        <v>5.3E-3</v>
      </c>
      <c r="N40" s="1854">
        <v>96678846</v>
      </c>
      <c r="O40" s="1854">
        <v>106259400</v>
      </c>
      <c r="U40" s="1690"/>
    </row>
    <row r="41" spans="1:23" ht="15.6">
      <c r="A41" s="1652"/>
      <c r="B41" s="2283" t="s">
        <v>3245</v>
      </c>
      <c r="C41" s="2262">
        <v>0</v>
      </c>
      <c r="D41" s="2262">
        <v>35600</v>
      </c>
      <c r="E41" s="2262">
        <v>0</v>
      </c>
      <c r="F41" s="2262">
        <v>0</v>
      </c>
      <c r="G41" s="2262">
        <f t="shared" si="9"/>
        <v>35600</v>
      </c>
      <c r="H41" s="2262">
        <v>13182.776</v>
      </c>
      <c r="I41" s="2262">
        <v>10073.376</v>
      </c>
      <c r="J41" s="2304">
        <f t="shared" si="10"/>
        <v>-3109.3999999999996</v>
      </c>
      <c r="K41" s="2267">
        <f>I41/BS!$F$29</f>
        <v>8.5278881372553546E-4</v>
      </c>
      <c r="L41" s="2267">
        <v>1.7000000000000001E-3</v>
      </c>
      <c r="N41" s="1854">
        <v>59724318</v>
      </c>
      <c r="O41" s="1854">
        <v>58277750</v>
      </c>
      <c r="U41" s="1690"/>
    </row>
    <row r="42" spans="1:23" ht="16.2" thickBot="1">
      <c r="A42" s="1652"/>
      <c r="B42" s="2261"/>
      <c r="C42" s="2262"/>
      <c r="D42" s="2262"/>
      <c r="E42" s="1701"/>
      <c r="F42" s="2262"/>
      <c r="G42" s="2262"/>
      <c r="H42" s="2280">
        <f>SUM(H37:H41)</f>
        <v>304317.685</v>
      </c>
      <c r="I42" s="2280">
        <f t="shared" ref="I42:L42" si="11">SUM(I37:I41)</f>
        <v>312932.49699999997</v>
      </c>
      <c r="J42" s="2305">
        <f t="shared" si="11"/>
        <v>8614.8119999999781</v>
      </c>
      <c r="K42" s="2281">
        <f t="shared" si="11"/>
        <v>2.6492144529579719E-2</v>
      </c>
      <c r="L42" s="2281">
        <f t="shared" si="11"/>
        <v>1.2699999999999999E-2</v>
      </c>
      <c r="N42" s="1854">
        <v>711523915</v>
      </c>
      <c r="O42" s="1854">
        <v>869598806</v>
      </c>
      <c r="U42" s="1690"/>
    </row>
    <row r="43" spans="1:23" ht="17.399999999999999" thickTop="1">
      <c r="A43" s="1652"/>
      <c r="B43" s="2284" t="s">
        <v>1033</v>
      </c>
      <c r="C43" s="2264"/>
      <c r="D43" s="2264"/>
      <c r="E43" s="1701"/>
      <c r="F43" s="2264"/>
      <c r="G43" s="2264"/>
      <c r="H43" s="2264"/>
      <c r="I43" s="2264"/>
      <c r="J43" s="2306"/>
      <c r="K43" s="2265"/>
      <c r="L43" s="2268"/>
      <c r="N43" s="1854">
        <v>75073095</v>
      </c>
      <c r="O43" s="1854">
        <v>90460245</v>
      </c>
      <c r="U43" s="1690"/>
    </row>
    <row r="44" spans="1:23" ht="15.6">
      <c r="A44" s="1849"/>
      <c r="B44" s="2283" t="s">
        <v>1034</v>
      </c>
      <c r="C44" s="2262">
        <v>62100</v>
      </c>
      <c r="D44" s="2262">
        <v>500000</v>
      </c>
      <c r="E44" s="2262">
        <v>0</v>
      </c>
      <c r="F44" s="2262">
        <v>0</v>
      </c>
      <c r="G44" s="2262">
        <f t="shared" ref="G44:G54" si="12">C44+D44+E44-F44</f>
        <v>562100</v>
      </c>
      <c r="H44" s="2262">
        <v>40104.711000000003</v>
      </c>
      <c r="I44" s="2262">
        <v>38222.800000000003</v>
      </c>
      <c r="J44" s="2304">
        <f t="shared" ref="J44:J54" si="13">+I44-H44</f>
        <v>-1881.9110000000001</v>
      </c>
      <c r="K44" s="2267">
        <f>I44/BS!$F$29</f>
        <v>3.2358542229802994E-3</v>
      </c>
      <c r="L44" s="2267">
        <v>5.0000000000000001E-4</v>
      </c>
      <c r="N44" s="1854">
        <v>208094609</v>
      </c>
      <c r="O44" s="1854">
        <v>217165667</v>
      </c>
      <c r="U44" s="1840"/>
    </row>
    <row r="45" spans="1:23" ht="15.6">
      <c r="A45" s="1849"/>
      <c r="B45" s="2283" t="s">
        <v>1064</v>
      </c>
      <c r="C45" s="2262">
        <v>4268538</v>
      </c>
      <c r="D45" s="2262">
        <v>992990</v>
      </c>
      <c r="E45" s="2262">
        <v>0</v>
      </c>
      <c r="F45" s="2262">
        <v>1961528</v>
      </c>
      <c r="G45" s="2262">
        <f t="shared" si="12"/>
        <v>3300000</v>
      </c>
      <c r="H45" s="2262">
        <v>230698.38</v>
      </c>
      <c r="I45" s="2262">
        <v>228195</v>
      </c>
      <c r="J45" s="2304">
        <f t="shared" si="13"/>
        <v>-2503.3800000000047</v>
      </c>
      <c r="K45" s="2267">
        <f>I45/BS!$F$29</f>
        <v>1.9318463179384803E-2</v>
      </c>
      <c r="L45" s="2267">
        <v>3.0000000000000001E-3</v>
      </c>
      <c r="N45" s="1854">
        <v>671463555</v>
      </c>
      <c r="O45" s="1854">
        <v>682375879</v>
      </c>
      <c r="U45" s="1840"/>
    </row>
    <row r="46" spans="1:23" ht="15.6">
      <c r="A46" s="1652"/>
      <c r="B46" s="2283" t="s">
        <v>3246</v>
      </c>
      <c r="C46" s="2262">
        <v>6586952</v>
      </c>
      <c r="D46" s="2262">
        <v>4977309</v>
      </c>
      <c r="E46" s="2262">
        <v>0</v>
      </c>
      <c r="F46" s="2262">
        <v>745761</v>
      </c>
      <c r="G46" s="2262">
        <f t="shared" si="12"/>
        <v>10818500</v>
      </c>
      <c r="H46" s="2262">
        <v>345439.03200000001</v>
      </c>
      <c r="I46" s="2262">
        <v>349978.47499999998</v>
      </c>
      <c r="J46" s="2304">
        <f t="shared" si="13"/>
        <v>4539.4429999999702</v>
      </c>
      <c r="K46" s="2267">
        <f>I46/BS!$F$29</f>
        <v>2.9628371712196778E-2</v>
      </c>
      <c r="L46" s="2267">
        <v>6.0999999999999995E-3</v>
      </c>
      <c r="N46" s="1854"/>
      <c r="O46" s="1854"/>
      <c r="U46" s="1690"/>
    </row>
    <row r="47" spans="1:23" s="1831" customFormat="1" ht="15" customHeight="1">
      <c r="A47" s="1828"/>
      <c r="B47" s="2283" t="s">
        <v>2488</v>
      </c>
      <c r="C47" s="2262">
        <v>0</v>
      </c>
      <c r="D47" s="2262">
        <v>820000</v>
      </c>
      <c r="E47" s="2262">
        <v>0</v>
      </c>
      <c r="F47" s="2262">
        <v>820000</v>
      </c>
      <c r="G47" s="2262">
        <f t="shared" si="12"/>
        <v>0</v>
      </c>
      <c r="H47" s="2262">
        <v>0</v>
      </c>
      <c r="I47" s="2262">
        <v>0</v>
      </c>
      <c r="J47" s="2304">
        <f t="shared" si="13"/>
        <v>0</v>
      </c>
      <c r="K47" s="2267">
        <f>I47/BS!$F$29</f>
        <v>0</v>
      </c>
      <c r="L47" s="2267">
        <v>0</v>
      </c>
      <c r="M47" s="1446"/>
      <c r="N47" s="1986"/>
      <c r="O47" s="1986"/>
      <c r="P47" s="1446"/>
      <c r="Q47" s="1446"/>
      <c r="R47" s="1446"/>
      <c r="S47" s="1446"/>
      <c r="T47" s="1446"/>
      <c r="U47" s="1675" t="s">
        <v>166</v>
      </c>
      <c r="V47" s="1690">
        <f>ROUND(BS!$F$29,0)</f>
        <v>11812275</v>
      </c>
      <c r="W47" s="1681"/>
    </row>
    <row r="48" spans="1:23" s="1831" customFormat="1" ht="15" customHeight="1">
      <c r="A48" s="1828"/>
      <c r="B48" s="2283" t="s">
        <v>1035</v>
      </c>
      <c r="C48" s="2262">
        <v>0</v>
      </c>
      <c r="D48" s="2262">
        <v>7500000</v>
      </c>
      <c r="E48" s="2262">
        <v>0</v>
      </c>
      <c r="F48" s="2262">
        <v>0</v>
      </c>
      <c r="G48" s="2262">
        <f t="shared" si="12"/>
        <v>7500000</v>
      </c>
      <c r="H48" s="2262">
        <v>156893.25</v>
      </c>
      <c r="I48" s="2262">
        <v>197400</v>
      </c>
      <c r="J48" s="2304">
        <f t="shared" si="13"/>
        <v>40506.75</v>
      </c>
      <c r="K48" s="2267">
        <f>I48/BS!$F$29</f>
        <v>1.6711429398586997E-2</v>
      </c>
      <c r="L48" s="2267">
        <v>4.8999999999999998E-3</v>
      </c>
      <c r="M48" s="1446"/>
      <c r="N48" s="1986"/>
      <c r="O48" s="1986"/>
      <c r="P48" s="1446"/>
      <c r="Q48" s="1446"/>
      <c r="R48" s="1446"/>
      <c r="S48" s="1446"/>
      <c r="T48" s="1446"/>
      <c r="U48" s="1832" t="s">
        <v>167</v>
      </c>
      <c r="V48" s="1819">
        <f>ROUND(BS!$F$12,0)</f>
        <v>11260226</v>
      </c>
      <c r="W48" s="1681"/>
    </row>
    <row r="49" spans="1:23" s="1831" customFormat="1" ht="15" customHeight="1">
      <c r="A49" s="1828"/>
      <c r="B49" s="2283" t="s">
        <v>393</v>
      </c>
      <c r="C49" s="2262">
        <v>4148266</v>
      </c>
      <c r="D49" s="2262">
        <v>1406735</v>
      </c>
      <c r="E49" s="2262">
        <v>0</v>
      </c>
      <c r="F49" s="2262">
        <v>260000</v>
      </c>
      <c r="G49" s="2262">
        <f t="shared" si="12"/>
        <v>5295001</v>
      </c>
      <c r="H49" s="2262">
        <v>647450.48300000001</v>
      </c>
      <c r="I49" s="2262">
        <v>579008.35900000005</v>
      </c>
      <c r="J49" s="2304">
        <f t="shared" si="13"/>
        <v>-68442.123999999953</v>
      </c>
      <c r="K49" s="2267">
        <f>I49/BS!$F$29</f>
        <v>4.9017514248329355E-2</v>
      </c>
      <c r="L49" s="2267">
        <v>3.5999999999999999E-3</v>
      </c>
      <c r="M49" s="1446"/>
      <c r="N49" s="1986"/>
      <c r="O49" s="1986"/>
      <c r="P49" s="1446"/>
      <c r="Q49" s="1446"/>
      <c r="R49" s="1446"/>
      <c r="S49" s="1446"/>
      <c r="T49" s="1446"/>
      <c r="U49" s="1675"/>
      <c r="V49" s="1742"/>
      <c r="W49" s="1681"/>
    </row>
    <row r="50" spans="1:23" s="1831" customFormat="1" ht="15" customHeight="1">
      <c r="A50" s="1828"/>
      <c r="B50" s="2283" t="s">
        <v>1036</v>
      </c>
      <c r="C50" s="2262">
        <v>1842500</v>
      </c>
      <c r="D50" s="2262">
        <v>2286000</v>
      </c>
      <c r="E50" s="2262">
        <v>0</v>
      </c>
      <c r="F50" s="2262">
        <v>0</v>
      </c>
      <c r="G50" s="2262">
        <f t="shared" si="12"/>
        <v>4128500</v>
      </c>
      <c r="H50" s="2262">
        <v>171055.728</v>
      </c>
      <c r="I50" s="2262">
        <v>179589.75</v>
      </c>
      <c r="J50" s="2304">
        <f t="shared" si="13"/>
        <v>8534.0219999999972</v>
      </c>
      <c r="K50" s="2267">
        <f>I50/BS!$F$29</f>
        <v>1.5203654649619499E-2</v>
      </c>
      <c r="L50" s="2267">
        <v>3.9000000000000003E-3</v>
      </c>
      <c r="M50" s="1446"/>
      <c r="N50" s="1986"/>
      <c r="O50" s="1986"/>
      <c r="P50" s="1446"/>
      <c r="Q50" s="1446"/>
      <c r="R50" s="1446"/>
      <c r="S50" s="1446"/>
      <c r="T50" s="1446"/>
      <c r="V50" s="1833"/>
    </row>
    <row r="51" spans="1:23" s="1831" customFormat="1" ht="15" customHeight="1">
      <c r="A51" s="1828"/>
      <c r="B51" s="2283" t="s">
        <v>1037</v>
      </c>
      <c r="C51" s="2262">
        <v>0</v>
      </c>
      <c r="D51" s="2262">
        <v>800000</v>
      </c>
      <c r="E51" s="2262">
        <v>0</v>
      </c>
      <c r="F51" s="2262">
        <v>799155</v>
      </c>
      <c r="G51" s="2262">
        <f t="shared" si="12"/>
        <v>845</v>
      </c>
      <c r="H51" s="2262">
        <v>135.792</v>
      </c>
      <c r="I51" s="2262">
        <v>127.333</v>
      </c>
      <c r="J51" s="2304">
        <f t="shared" si="13"/>
        <v>-8.4590000000000032</v>
      </c>
      <c r="K51" s="2267">
        <f>I51/BS!$F$29</f>
        <v>1.0779718539059159E-5</v>
      </c>
      <c r="L51" s="2267">
        <v>0</v>
      </c>
      <c r="M51" s="1446"/>
      <c r="N51" s="1986"/>
      <c r="O51" s="1986"/>
      <c r="P51" s="1446"/>
      <c r="Q51" s="1446"/>
      <c r="R51" s="1446"/>
      <c r="S51" s="1446"/>
      <c r="T51" s="1446"/>
      <c r="V51" s="1833"/>
    </row>
    <row r="52" spans="1:23" s="1831" customFormat="1" ht="14.25" customHeight="1">
      <c r="A52" s="1828"/>
      <c r="B52" s="2283" t="s">
        <v>340</v>
      </c>
      <c r="C52" s="2262">
        <v>2959978</v>
      </c>
      <c r="D52" s="2262">
        <v>0</v>
      </c>
      <c r="E52" s="2262">
        <v>414214</v>
      </c>
      <c r="F52" s="2262">
        <v>198545</v>
      </c>
      <c r="G52" s="2262">
        <f t="shared" si="12"/>
        <v>3175647</v>
      </c>
      <c r="H52" s="2262">
        <v>318697.136</v>
      </c>
      <c r="I52" s="2262">
        <v>444368.28499999997</v>
      </c>
      <c r="J52" s="2304">
        <f t="shared" si="13"/>
        <v>125671.14899999998</v>
      </c>
      <c r="K52" s="2267">
        <f>I52/BS!$F$29</f>
        <v>3.7619195652222312E-2</v>
      </c>
      <c r="L52" s="2267">
        <v>2E-3</v>
      </c>
      <c r="M52" s="1446"/>
      <c r="N52" s="2012"/>
      <c r="O52" s="2012"/>
      <c r="P52" s="1446"/>
      <c r="Q52" s="1446"/>
      <c r="R52" s="1446"/>
      <c r="S52" s="1446"/>
      <c r="T52" s="1446"/>
      <c r="V52" s="1833"/>
    </row>
    <row r="53" spans="1:23" s="1831" customFormat="1" ht="15.6">
      <c r="A53" s="1828"/>
      <c r="B53" s="2283" t="s">
        <v>1368</v>
      </c>
      <c r="C53" s="2262">
        <v>5215500</v>
      </c>
      <c r="D53" s="2262">
        <v>0</v>
      </c>
      <c r="E53" s="2262">
        <v>0</v>
      </c>
      <c r="F53" s="2262">
        <v>5215500</v>
      </c>
      <c r="G53" s="2262">
        <f t="shared" si="12"/>
        <v>0</v>
      </c>
      <c r="H53" s="2262">
        <v>0</v>
      </c>
      <c r="I53" s="2262">
        <v>0</v>
      </c>
      <c r="J53" s="2304">
        <f t="shared" si="13"/>
        <v>0</v>
      </c>
      <c r="K53" s="2267">
        <f>I53/BS!$F$29</f>
        <v>0</v>
      </c>
      <c r="L53" s="2267">
        <v>0</v>
      </c>
      <c r="M53" s="1446"/>
      <c r="N53" s="2012"/>
      <c r="O53" s="2012"/>
      <c r="P53" s="1446"/>
      <c r="Q53" s="1446"/>
      <c r="R53" s="1446"/>
      <c r="S53" s="1446"/>
      <c r="T53" s="1446"/>
      <c r="V53" s="1833"/>
    </row>
    <row r="54" spans="1:23" ht="15.6">
      <c r="A54" s="1652"/>
      <c r="B54" s="2283" t="s">
        <v>1038</v>
      </c>
      <c r="C54" s="2262">
        <v>5044022</v>
      </c>
      <c r="D54" s="2262">
        <v>1938415</v>
      </c>
      <c r="E54" s="2262">
        <v>0</v>
      </c>
      <c r="F54" s="2262">
        <v>1567437</v>
      </c>
      <c r="G54" s="2262">
        <f t="shared" si="12"/>
        <v>5415000</v>
      </c>
      <c r="H54" s="2262">
        <v>663185.33900000004</v>
      </c>
      <c r="I54" s="2262">
        <v>642002.4</v>
      </c>
      <c r="J54" s="2304">
        <f t="shared" si="13"/>
        <v>-21182.939000000013</v>
      </c>
      <c r="K54" s="2267">
        <f>I54/BS!$F$29</f>
        <v>5.4350444687555267E-2</v>
      </c>
      <c r="L54" s="2267">
        <v>4.4000000000000003E-3</v>
      </c>
      <c r="N54" s="1854">
        <v>132468330</v>
      </c>
      <c r="O54" s="1854">
        <v>162914220</v>
      </c>
      <c r="U54" s="1840"/>
    </row>
    <row r="55" spans="1:23" ht="16.2" thickBot="1">
      <c r="A55" s="1652"/>
      <c r="B55" s="2261"/>
      <c r="C55" s="2262"/>
      <c r="D55" s="2262"/>
      <c r="E55" s="1701"/>
      <c r="F55" s="2262"/>
      <c r="G55" s="2262"/>
      <c r="H55" s="2280">
        <f>SUM(H44:H54)</f>
        <v>2573659.8510000003</v>
      </c>
      <c r="I55" s="2280">
        <f t="shared" ref="I55:L55" si="14">SUM(I44:I54)</f>
        <v>2658892.4020000002</v>
      </c>
      <c r="J55" s="2305">
        <f t="shared" si="14"/>
        <v>85232.550999999978</v>
      </c>
      <c r="K55" s="2281">
        <f t="shared" si="14"/>
        <v>0.22509570746941435</v>
      </c>
      <c r="L55" s="2281">
        <f t="shared" si="14"/>
        <v>2.8400000000000002E-2</v>
      </c>
      <c r="N55" s="1854">
        <v>0</v>
      </c>
      <c r="O55" s="1854">
        <v>0</v>
      </c>
      <c r="U55" s="1840"/>
    </row>
    <row r="56" spans="1:23" ht="17.399999999999999" thickTop="1">
      <c r="A56" s="1652"/>
      <c r="B56" s="2284" t="s">
        <v>2803</v>
      </c>
      <c r="C56" s="2264"/>
      <c r="D56" s="2264"/>
      <c r="E56" s="1701"/>
      <c r="F56" s="2264"/>
      <c r="G56" s="2264"/>
      <c r="H56" s="2264"/>
      <c r="I56" s="2264"/>
      <c r="J56" s="2306"/>
      <c r="K56" s="2265"/>
      <c r="L56" s="2268"/>
      <c r="N56" s="1854"/>
      <c r="O56" s="1854"/>
      <c r="U56" s="1840"/>
    </row>
    <row r="57" spans="1:23" ht="15.6">
      <c r="A57" s="1652"/>
      <c r="B57" s="2283" t="s">
        <v>3247</v>
      </c>
      <c r="C57" s="2262">
        <v>0</v>
      </c>
      <c r="D57" s="2262">
        <v>979000</v>
      </c>
      <c r="E57" s="2262">
        <v>0</v>
      </c>
      <c r="F57" s="2262">
        <v>0</v>
      </c>
      <c r="G57" s="2262">
        <f t="shared" ref="G57:G61" si="15">C57+D57+E57-F57</f>
        <v>979000</v>
      </c>
      <c r="H57" s="2262">
        <v>30628.601999999999</v>
      </c>
      <c r="I57" s="2262">
        <v>26912.71</v>
      </c>
      <c r="J57" s="2304">
        <f t="shared" ref="J57:J61" si="16">+I57-H57</f>
        <v>-3715.8919999999998</v>
      </c>
      <c r="K57" s="2267">
        <f>I57/BS!$F$29</f>
        <v>2.278368050099525E-3</v>
      </c>
      <c r="L57" s="2267">
        <v>1.7000000000000001E-3</v>
      </c>
      <c r="N57" s="1854"/>
      <c r="O57" s="1854"/>
      <c r="U57" s="1840"/>
    </row>
    <row r="58" spans="1:23" ht="15.6">
      <c r="A58" s="1652"/>
      <c r="B58" s="2283" t="s">
        <v>1957</v>
      </c>
      <c r="C58" s="2262">
        <v>4389000</v>
      </c>
      <c r="D58" s="2262">
        <v>0</v>
      </c>
      <c r="E58" s="2262">
        <v>0</v>
      </c>
      <c r="F58" s="2262">
        <v>3339000</v>
      </c>
      <c r="G58" s="2262">
        <f t="shared" si="15"/>
        <v>1050000</v>
      </c>
      <c r="H58" s="2262">
        <v>26155.5</v>
      </c>
      <c r="I58" s="2262">
        <v>21850.5</v>
      </c>
      <c r="J58" s="2304">
        <f t="shared" si="16"/>
        <v>-4305</v>
      </c>
      <c r="K58" s="2267">
        <f>I58/BS!$F$29</f>
        <v>1.8498130094925288E-3</v>
      </c>
      <c r="L58" s="2267">
        <v>1.2999999999999999E-3</v>
      </c>
      <c r="N58" s="1854"/>
      <c r="O58" s="1854"/>
      <c r="U58" s="1840"/>
    </row>
    <row r="59" spans="1:23" ht="15.6">
      <c r="A59" s="1652"/>
      <c r="B59" s="2283" t="s">
        <v>1963</v>
      </c>
      <c r="C59" s="2262">
        <v>0</v>
      </c>
      <c r="D59" s="2262">
        <v>3387500</v>
      </c>
      <c r="E59" s="2262">
        <v>0</v>
      </c>
      <c r="F59" s="2262">
        <v>0</v>
      </c>
      <c r="G59" s="2262">
        <f t="shared" si="15"/>
        <v>3387500</v>
      </c>
      <c r="H59" s="2262">
        <v>144183.179</v>
      </c>
      <c r="I59" s="2262">
        <v>132620.625</v>
      </c>
      <c r="J59" s="2304">
        <f t="shared" si="16"/>
        <v>-11562.554000000004</v>
      </c>
      <c r="K59" s="2267">
        <f>I59/BS!$F$29</f>
        <v>1.1227356694447729E-2</v>
      </c>
      <c r="L59" s="2267">
        <v>1.1399999999999999E-2</v>
      </c>
      <c r="N59" s="1854">
        <v>0</v>
      </c>
      <c r="O59" s="1854">
        <v>0</v>
      </c>
      <c r="U59" s="1840"/>
    </row>
    <row r="60" spans="1:23" ht="15.6">
      <c r="A60" s="1652"/>
      <c r="B60" s="2283" t="s">
        <v>1040</v>
      </c>
      <c r="C60" s="2262">
        <v>612700</v>
      </c>
      <c r="D60" s="2262">
        <v>89800</v>
      </c>
      <c r="E60" s="2262">
        <v>0</v>
      </c>
      <c r="F60" s="2262">
        <v>202700</v>
      </c>
      <c r="G60" s="2262">
        <f t="shared" si="15"/>
        <v>499800</v>
      </c>
      <c r="H60" s="2262">
        <v>101396.375</v>
      </c>
      <c r="I60" s="2262">
        <v>83351.645999999993</v>
      </c>
      <c r="J60" s="2304">
        <f t="shared" si="16"/>
        <v>-18044.729000000007</v>
      </c>
      <c r="K60" s="2267">
        <f>I60/BS!$F$29</f>
        <v>7.0563583960740438E-3</v>
      </c>
      <c r="L60" s="2267">
        <v>3.8E-3</v>
      </c>
      <c r="N60" s="1854">
        <v>468989</v>
      </c>
      <c r="O60" s="1854">
        <v>755933</v>
      </c>
      <c r="U60" s="1840"/>
    </row>
    <row r="61" spans="1:23" ht="15.6">
      <c r="A61" s="1652"/>
      <c r="B61" s="2283" t="s">
        <v>1981</v>
      </c>
      <c r="C61" s="2262">
        <v>0</v>
      </c>
      <c r="D61" s="2262">
        <v>550000</v>
      </c>
      <c r="E61" s="2262">
        <v>0</v>
      </c>
      <c r="F61" s="2262">
        <v>0</v>
      </c>
      <c r="G61" s="2262">
        <f t="shared" si="15"/>
        <v>550000</v>
      </c>
      <c r="H61" s="2262">
        <v>62778.21</v>
      </c>
      <c r="I61" s="2262">
        <v>53691</v>
      </c>
      <c r="J61" s="2304">
        <f t="shared" si="16"/>
        <v>-9087.2099999999991</v>
      </c>
      <c r="K61" s="2267">
        <f>I61/BS!$F$29</f>
        <v>4.545356412560965E-3</v>
      </c>
      <c r="L61" s="2267">
        <v>1.9E-3</v>
      </c>
      <c r="N61" s="1854"/>
      <c r="O61" s="1854"/>
      <c r="U61" s="1840"/>
    </row>
    <row r="62" spans="1:23" ht="16.2" thickBot="1">
      <c r="A62" s="1652"/>
      <c r="B62" s="2261"/>
      <c r="C62" s="2262"/>
      <c r="D62" s="2262"/>
      <c r="E62" s="1701"/>
      <c r="F62" s="2262"/>
      <c r="G62" s="2262"/>
      <c r="H62" s="2280">
        <f>SUM(H57:H61)</f>
        <v>365141.86600000004</v>
      </c>
      <c r="I62" s="2280">
        <f t="shared" ref="I62:L62" si="17">SUM(I57:I61)</f>
        <v>318426.48099999997</v>
      </c>
      <c r="J62" s="2305">
        <f t="shared" si="17"/>
        <v>-46715.385000000009</v>
      </c>
      <c r="K62" s="2281">
        <f t="shared" si="17"/>
        <v>2.695725256267479E-2</v>
      </c>
      <c r="L62" s="2281">
        <f t="shared" si="17"/>
        <v>2.01E-2</v>
      </c>
      <c r="N62" s="1854"/>
      <c r="O62" s="1854"/>
      <c r="U62" s="1840"/>
    </row>
    <row r="63" spans="1:23" ht="16.2" thickTop="1">
      <c r="A63" s="1652"/>
      <c r="B63" s="2261"/>
      <c r="C63" s="2262"/>
      <c r="D63" s="2262"/>
      <c r="E63" s="1701"/>
      <c r="F63" s="2262"/>
      <c r="G63" s="2262"/>
      <c r="H63" s="2262"/>
      <c r="I63" s="2262"/>
      <c r="J63" s="2304"/>
      <c r="K63" s="2263"/>
      <c r="L63" s="2267"/>
      <c r="N63" s="1854"/>
      <c r="O63" s="1854"/>
      <c r="U63" s="1840"/>
    </row>
    <row r="64" spans="1:23" ht="16.8">
      <c r="A64" s="1652"/>
      <c r="B64" s="2284" t="s">
        <v>2804</v>
      </c>
      <c r="C64" s="2264"/>
      <c r="D64" s="2264"/>
      <c r="E64" s="1701"/>
      <c r="F64" s="2264"/>
      <c r="G64" s="2264"/>
      <c r="H64" s="2264"/>
      <c r="I64" s="2264"/>
      <c r="J64" s="2306"/>
      <c r="K64" s="2265"/>
      <c r="L64" s="2268"/>
      <c r="N64" s="1854">
        <v>190063</v>
      </c>
      <c r="O64" s="1854">
        <v>186607</v>
      </c>
      <c r="U64" s="1840"/>
    </row>
    <row r="65" spans="1:21" ht="15.6">
      <c r="A65" s="1652"/>
      <c r="B65" s="2283" t="s">
        <v>332</v>
      </c>
      <c r="C65" s="2262">
        <v>982598</v>
      </c>
      <c r="D65" s="2262">
        <v>543011</v>
      </c>
      <c r="E65" s="2262">
        <v>0</v>
      </c>
      <c r="F65" s="2262">
        <v>0</v>
      </c>
      <c r="G65" s="2262">
        <f t="shared" ref="G65:G67" si="18">C65+D65+E65-F65</f>
        <v>1525609</v>
      </c>
      <c r="H65" s="2262">
        <v>450514.016</v>
      </c>
      <c r="I65" s="2262">
        <v>426789.11800000002</v>
      </c>
      <c r="J65" s="2304">
        <f t="shared" ref="J65:J67" si="19">+I65-H65</f>
        <v>-23724.897999999986</v>
      </c>
      <c r="K65" s="2267">
        <f>I65/BS!$F$29</f>
        <v>3.61309838578633E-2</v>
      </c>
      <c r="L65" s="2267">
        <v>2.5999999999999999E-3</v>
      </c>
      <c r="N65" s="1854"/>
      <c r="O65" s="1854"/>
      <c r="U65" s="1840"/>
    </row>
    <row r="66" spans="1:21" ht="15.6">
      <c r="A66" s="1652"/>
      <c r="B66" s="2283" t="s">
        <v>2440</v>
      </c>
      <c r="C66" s="2262">
        <v>0</v>
      </c>
      <c r="D66" s="2262">
        <v>825000</v>
      </c>
      <c r="E66" s="2262">
        <v>0</v>
      </c>
      <c r="F66" s="2262">
        <v>0</v>
      </c>
      <c r="G66" s="2262">
        <f t="shared" si="18"/>
        <v>825000</v>
      </c>
      <c r="H66" s="2262">
        <v>59441.167999999998</v>
      </c>
      <c r="I66" s="2262">
        <v>57981</v>
      </c>
      <c r="J66" s="2304">
        <f t="shared" si="19"/>
        <v>-1460.1679999999978</v>
      </c>
      <c r="K66" s="2267">
        <f>I66/BS!$F$29</f>
        <v>4.9085379329253933E-3</v>
      </c>
      <c r="L66" s="2267">
        <v>5.9999999999999995E-4</v>
      </c>
      <c r="N66" s="1854"/>
      <c r="O66" s="1854"/>
      <c r="U66" s="1840"/>
    </row>
    <row r="67" spans="1:21" ht="15.6">
      <c r="A67" s="1652"/>
      <c r="B67" s="2283" t="s">
        <v>2075</v>
      </c>
      <c r="C67" s="2262">
        <v>6848000</v>
      </c>
      <c r="D67" s="2262">
        <v>0</v>
      </c>
      <c r="E67" s="2262">
        <v>0</v>
      </c>
      <c r="F67" s="2262">
        <v>5501000</v>
      </c>
      <c r="G67" s="2262">
        <f t="shared" si="18"/>
        <v>1347000</v>
      </c>
      <c r="H67" s="2262">
        <v>35574.269999999997</v>
      </c>
      <c r="I67" s="2262">
        <v>30307.5</v>
      </c>
      <c r="J67" s="2304">
        <f t="shared" si="19"/>
        <v>-5266.7699999999968</v>
      </c>
      <c r="K67" s="2267">
        <f>I67/BS!$F$29</f>
        <v>2.5657631534836646E-3</v>
      </c>
      <c r="L67" s="2267">
        <v>1E-3</v>
      </c>
      <c r="N67" s="1854"/>
      <c r="O67" s="1854"/>
      <c r="U67" s="1840"/>
    </row>
    <row r="68" spans="1:21" ht="16.2" thickBot="1">
      <c r="A68" s="1652"/>
      <c r="B68" s="2261"/>
      <c r="C68" s="2262"/>
      <c r="D68" s="2262"/>
      <c r="E68" s="1701"/>
      <c r="F68" s="2262"/>
      <c r="G68" s="2262"/>
      <c r="H68" s="2280">
        <f>SUM(H65:H67)</f>
        <v>545529.45400000003</v>
      </c>
      <c r="I68" s="2280">
        <f t="shared" ref="I68:L68" si="20">SUM(I65:I67)</f>
        <v>515077.61800000002</v>
      </c>
      <c r="J68" s="2305">
        <f t="shared" si="20"/>
        <v>-30451.835999999981</v>
      </c>
      <c r="K68" s="2281">
        <f t="shared" si="20"/>
        <v>4.3605284944272356E-2</v>
      </c>
      <c r="L68" s="2281">
        <f t="shared" si="20"/>
        <v>4.1999999999999997E-3</v>
      </c>
      <c r="N68" s="1854"/>
      <c r="O68" s="1854"/>
      <c r="U68" s="1840"/>
    </row>
    <row r="69" spans="1:21" ht="17.399999999999999" thickTop="1">
      <c r="A69" s="1849"/>
      <c r="B69" s="2284" t="s">
        <v>3248</v>
      </c>
      <c r="C69" s="2264"/>
      <c r="D69" s="2264"/>
      <c r="E69" s="1701"/>
      <c r="F69" s="2264"/>
      <c r="G69" s="2264"/>
      <c r="H69" s="2264"/>
      <c r="I69" s="2264"/>
      <c r="J69" s="2306"/>
      <c r="K69" s="2265"/>
      <c r="L69" s="2268"/>
      <c r="N69" s="1854">
        <v>62737725</v>
      </c>
      <c r="O69" s="1854">
        <v>71547810</v>
      </c>
      <c r="U69" s="1547"/>
    </row>
    <row r="70" spans="1:21" ht="15.6">
      <c r="A70" s="1849"/>
      <c r="B70" s="2283" t="s">
        <v>3249</v>
      </c>
      <c r="C70" s="2262">
        <v>5223000</v>
      </c>
      <c r="D70" s="2262">
        <v>1627000</v>
      </c>
      <c r="E70" s="2262">
        <v>0</v>
      </c>
      <c r="F70" s="2262">
        <v>0</v>
      </c>
      <c r="G70" s="2262">
        <f t="shared" ref="G70:G75" si="21">C70+D70+E70-F70</f>
        <v>6850000</v>
      </c>
      <c r="H70" s="2262">
        <v>126988.04</v>
      </c>
      <c r="I70" s="2262">
        <v>97270</v>
      </c>
      <c r="J70" s="2304">
        <f t="shared" ref="J70:J75" si="22">+I70-H70</f>
        <v>-29718.039999999994</v>
      </c>
      <c r="K70" s="2267">
        <f>I70/BS!$F$29</f>
        <v>8.2346541925053564E-3</v>
      </c>
      <c r="L70" s="2267">
        <v>2.2799999999999997E-2</v>
      </c>
      <c r="N70" s="1854">
        <v>20427255</v>
      </c>
      <c r="O70" s="1854">
        <v>20017800</v>
      </c>
      <c r="U70" s="1547"/>
    </row>
    <row r="71" spans="1:21" ht="15.6">
      <c r="A71" s="1849"/>
      <c r="B71" s="2283" t="s">
        <v>2211</v>
      </c>
      <c r="C71" s="2262">
        <v>3055500</v>
      </c>
      <c r="D71" s="2262">
        <v>0</v>
      </c>
      <c r="E71" s="2262">
        <v>0</v>
      </c>
      <c r="F71" s="2262">
        <v>3055500</v>
      </c>
      <c r="G71" s="2262">
        <f t="shared" si="21"/>
        <v>0</v>
      </c>
      <c r="H71" s="2262">
        <v>0</v>
      </c>
      <c r="I71" s="2262">
        <v>0</v>
      </c>
      <c r="J71" s="2304">
        <f t="shared" si="22"/>
        <v>0</v>
      </c>
      <c r="K71" s="2267">
        <f>I71/BS!$F$29</f>
        <v>0</v>
      </c>
      <c r="L71" s="2267">
        <v>0</v>
      </c>
      <c r="M71" s="1627" t="e">
        <f>#REF!-#REF!</f>
        <v>#REF!</v>
      </c>
      <c r="N71" s="1854">
        <v>29497760</v>
      </c>
      <c r="O71" s="1854">
        <v>36208800</v>
      </c>
      <c r="U71" s="1547"/>
    </row>
    <row r="72" spans="1:21" ht="15.6">
      <c r="A72" s="1652"/>
      <c r="B72" s="2283" t="s">
        <v>2943</v>
      </c>
      <c r="C72" s="2262">
        <v>202000</v>
      </c>
      <c r="D72" s="2262">
        <v>0</v>
      </c>
      <c r="E72" s="2262">
        <v>0</v>
      </c>
      <c r="F72" s="2262">
        <v>0</v>
      </c>
      <c r="G72" s="2262">
        <f t="shared" si="21"/>
        <v>202000</v>
      </c>
      <c r="H72" s="2262">
        <v>117523.6</v>
      </c>
      <c r="I72" s="2262">
        <v>102207.96</v>
      </c>
      <c r="J72" s="2304">
        <f t="shared" si="22"/>
        <v>-15315.64</v>
      </c>
      <c r="K72" s="2267">
        <f>I72/BS!$F$29</f>
        <v>8.6526905142533129E-3</v>
      </c>
      <c r="L72" s="2267">
        <v>7.3000000000000001E-3</v>
      </c>
      <c r="N72" s="1854"/>
      <c r="O72" s="1818"/>
      <c r="U72" s="1547"/>
    </row>
    <row r="73" spans="1:21" ht="15.6">
      <c r="A73" s="1652"/>
      <c r="B73" s="2283" t="s">
        <v>2203</v>
      </c>
      <c r="C73" s="2262">
        <v>3033</v>
      </c>
      <c r="D73" s="2262">
        <v>0</v>
      </c>
      <c r="E73" s="2262">
        <v>0</v>
      </c>
      <c r="F73" s="2262">
        <v>0</v>
      </c>
      <c r="G73" s="2262">
        <f t="shared" si="21"/>
        <v>3033</v>
      </c>
      <c r="H73" s="2262">
        <v>17591.400000000001</v>
      </c>
      <c r="I73" s="2262">
        <v>18306.580999999998</v>
      </c>
      <c r="J73" s="2304">
        <f t="shared" si="22"/>
        <v>715.18099999999686</v>
      </c>
      <c r="K73" s="2267">
        <f>I73/BS!$F$29</f>
        <v>1.5497929884043268E-3</v>
      </c>
      <c r="L73" s="2267">
        <v>1E-4</v>
      </c>
      <c r="N73" s="1818"/>
      <c r="O73" s="1818"/>
      <c r="U73" s="1547"/>
    </row>
    <row r="74" spans="1:21" ht="15.6">
      <c r="A74" s="1652"/>
      <c r="B74" s="2283" t="s">
        <v>3250</v>
      </c>
      <c r="C74" s="2262">
        <v>3488000</v>
      </c>
      <c r="D74" s="2262">
        <v>0</v>
      </c>
      <c r="E74" s="2262">
        <v>0</v>
      </c>
      <c r="F74" s="2262">
        <v>2388000</v>
      </c>
      <c r="G74" s="2262">
        <f t="shared" si="21"/>
        <v>1100000</v>
      </c>
      <c r="H74" s="2262">
        <v>40414</v>
      </c>
      <c r="I74" s="2262">
        <v>39523</v>
      </c>
      <c r="J74" s="2304">
        <f t="shared" si="22"/>
        <v>-891</v>
      </c>
      <c r="K74" s="2267">
        <f>I74/BS!$F$29</f>
        <v>3.3459261606907493E-3</v>
      </c>
      <c r="L74" s="2267">
        <v>9.7999999999999997E-3</v>
      </c>
      <c r="N74" s="1854">
        <v>19356</v>
      </c>
      <c r="O74" s="1854">
        <v>27183</v>
      </c>
      <c r="U74" s="1840"/>
    </row>
    <row r="75" spans="1:21" ht="15.6">
      <c r="A75" s="1652"/>
      <c r="B75" s="2283" t="s">
        <v>1604</v>
      </c>
      <c r="C75" s="2262">
        <v>0</v>
      </c>
      <c r="D75" s="2262">
        <v>560000</v>
      </c>
      <c r="E75" s="2262">
        <v>0</v>
      </c>
      <c r="F75" s="2262">
        <v>0</v>
      </c>
      <c r="G75" s="2262">
        <f t="shared" si="21"/>
        <v>560000</v>
      </c>
      <c r="H75" s="2262">
        <v>17964.464</v>
      </c>
      <c r="I75" s="2262">
        <v>17483.2</v>
      </c>
      <c r="J75" s="2304">
        <f t="shared" si="22"/>
        <v>-481.26399999999921</v>
      </c>
      <c r="K75" s="2267">
        <f>I75/BS!$F$29</f>
        <v>1.4800874491457761E-3</v>
      </c>
      <c r="L75" s="2267">
        <v>5.9999999999999995E-4</v>
      </c>
      <c r="N75" s="1854"/>
      <c r="O75" s="1818"/>
      <c r="U75" s="1547"/>
    </row>
    <row r="76" spans="1:21" ht="16.2" thickBot="1">
      <c r="A76" s="1652"/>
      <c r="B76" s="2261"/>
      <c r="C76" s="2262"/>
      <c r="D76" s="2262"/>
      <c r="E76" s="1701"/>
      <c r="F76" s="2262"/>
      <c r="G76" s="2262"/>
      <c r="H76" s="2280">
        <f>SUM(H70:H75)</f>
        <v>320481.50400000002</v>
      </c>
      <c r="I76" s="2280">
        <f t="shared" ref="I76:L76" si="23">SUM(I70:I75)</f>
        <v>274790.74100000004</v>
      </c>
      <c r="J76" s="2305">
        <f t="shared" si="23"/>
        <v>-45690.762999999992</v>
      </c>
      <c r="K76" s="2281">
        <f t="shared" si="23"/>
        <v>2.3263151304999525E-2</v>
      </c>
      <c r="L76" s="2281">
        <f t="shared" si="23"/>
        <v>4.0599999999999997E-2</v>
      </c>
      <c r="N76" s="1818"/>
      <c r="O76" s="1818"/>
      <c r="U76" s="1547"/>
    </row>
    <row r="77" spans="1:21" ht="17.399999999999999" thickTop="1">
      <c r="A77" s="1652"/>
      <c r="B77" s="2284" t="s">
        <v>2788</v>
      </c>
      <c r="C77" s="2264"/>
      <c r="D77" s="2264"/>
      <c r="E77" s="1701"/>
      <c r="F77" s="2264"/>
      <c r="G77" s="2264"/>
      <c r="H77" s="2264"/>
      <c r="I77" s="2264"/>
      <c r="J77" s="2306"/>
      <c r="K77" s="2265"/>
      <c r="L77" s="2268"/>
      <c r="N77" s="1818">
        <v>124328050</v>
      </c>
      <c r="O77" s="1818">
        <v>150575500</v>
      </c>
      <c r="U77" s="1547"/>
    </row>
    <row r="78" spans="1:21" ht="15.6">
      <c r="A78" s="1652"/>
      <c r="B78" s="2286" t="s">
        <v>3306</v>
      </c>
      <c r="C78" s="2262">
        <v>542500</v>
      </c>
      <c r="D78" s="2262">
        <v>0</v>
      </c>
      <c r="E78" s="2262">
        <v>0</v>
      </c>
      <c r="F78" s="2262">
        <v>196000</v>
      </c>
      <c r="G78" s="2262">
        <f t="shared" ref="G78" si="24">C78+D78+E78-F78</f>
        <v>346500</v>
      </c>
      <c r="H78" s="2262">
        <v>11555.775</v>
      </c>
      <c r="I78" s="2262">
        <v>10561.32</v>
      </c>
      <c r="J78" s="2304">
        <f t="shared" ref="J78" si="25">+I78-H78</f>
        <v>-994.45499999999993</v>
      </c>
      <c r="K78" s="2267">
        <f>I78/BS!$F$29</f>
        <v>8.9409702905716732E-4</v>
      </c>
      <c r="L78" s="2267">
        <v>1.1000000000000001E-3</v>
      </c>
      <c r="N78" s="1818">
        <v>0</v>
      </c>
      <c r="O78" s="1818">
        <v>0</v>
      </c>
      <c r="U78" s="1547"/>
    </row>
    <row r="79" spans="1:21" ht="16.2" thickBot="1">
      <c r="A79" s="1652"/>
      <c r="B79" s="2261"/>
      <c r="C79" s="2262"/>
      <c r="D79" s="2262"/>
      <c r="E79" s="1701"/>
      <c r="F79" s="2262"/>
      <c r="G79" s="2262"/>
      <c r="H79" s="2280">
        <f>SUM(H78)</f>
        <v>11555.775</v>
      </c>
      <c r="I79" s="2280">
        <f t="shared" ref="I79:L79" si="26">SUM(I78)</f>
        <v>10561.32</v>
      </c>
      <c r="J79" s="2305">
        <f t="shared" si="26"/>
        <v>-994.45499999999993</v>
      </c>
      <c r="K79" s="2281">
        <f t="shared" si="26"/>
        <v>8.9409702905716732E-4</v>
      </c>
      <c r="L79" s="2281">
        <f t="shared" si="26"/>
        <v>1.1000000000000001E-3</v>
      </c>
      <c r="N79" s="1854"/>
      <c r="O79" s="1818"/>
      <c r="U79" s="1547"/>
    </row>
    <row r="80" spans="1:21" ht="17.399999999999999" thickTop="1">
      <c r="A80" s="1652"/>
      <c r="B80" s="2284" t="s">
        <v>1043</v>
      </c>
      <c r="C80" s="2264"/>
      <c r="D80" s="2264"/>
      <c r="E80" s="1701"/>
      <c r="F80" s="2264"/>
      <c r="G80" s="2264"/>
      <c r="H80" s="2264"/>
      <c r="I80" s="2264"/>
      <c r="J80" s="2306"/>
      <c r="K80" s="2265"/>
      <c r="L80" s="2268"/>
      <c r="N80" s="1818"/>
      <c r="O80" s="1818"/>
      <c r="U80" s="1547"/>
    </row>
    <row r="81" spans="1:21" ht="15.6">
      <c r="A81" s="1652"/>
      <c r="B81" s="2283" t="s">
        <v>3251</v>
      </c>
      <c r="C81" s="2262">
        <v>1034500</v>
      </c>
      <c r="D81" s="2262">
        <v>0</v>
      </c>
      <c r="E81" s="2262">
        <v>0</v>
      </c>
      <c r="F81" s="2262">
        <v>0</v>
      </c>
      <c r="G81" s="2262">
        <f t="shared" ref="G81:G82" si="27">C81+D81+E81-F81</f>
        <v>1034500</v>
      </c>
      <c r="H81" s="2262">
        <v>42900.714999999997</v>
      </c>
      <c r="I81" s="2262">
        <v>36476.47</v>
      </c>
      <c r="J81" s="2304">
        <f t="shared" ref="J81:J82" si="28">+I81-H81</f>
        <v>-6424.2449999999953</v>
      </c>
      <c r="K81" s="2267">
        <f>I81/BS!$F$29</f>
        <v>3.0880139468828604E-3</v>
      </c>
      <c r="L81" s="2267">
        <v>3.0000000000000001E-3</v>
      </c>
      <c r="N81" s="1854">
        <v>70515010</v>
      </c>
      <c r="O81" s="1854">
        <v>81764786</v>
      </c>
      <c r="U81" s="1547"/>
    </row>
    <row r="82" spans="1:21" ht="15.6">
      <c r="A82" s="1652"/>
      <c r="B82" s="2283" t="s">
        <v>3252</v>
      </c>
      <c r="C82" s="2262">
        <v>0</v>
      </c>
      <c r="D82" s="2262">
        <v>103100</v>
      </c>
      <c r="E82" s="2262">
        <v>0</v>
      </c>
      <c r="F82" s="2262">
        <v>0</v>
      </c>
      <c r="G82" s="2262">
        <f t="shared" si="27"/>
        <v>103100</v>
      </c>
      <c r="H82" s="2262">
        <v>32047.046999999999</v>
      </c>
      <c r="I82" s="2262">
        <v>28063.82</v>
      </c>
      <c r="J82" s="2304">
        <f t="shared" si="28"/>
        <v>-3983.226999999999</v>
      </c>
      <c r="K82" s="2267">
        <f>I82/BS!$F$29</f>
        <v>2.3758183717560982E-3</v>
      </c>
      <c r="L82" s="2267">
        <v>1.1999999999999999E-3</v>
      </c>
      <c r="N82" s="1854"/>
      <c r="O82" s="1854"/>
      <c r="U82" s="1547"/>
    </row>
    <row r="83" spans="1:21" ht="16.2" thickBot="1">
      <c r="A83" s="1652"/>
      <c r="B83" s="2261"/>
      <c r="C83" s="2262"/>
      <c r="D83" s="2262"/>
      <c r="E83" s="1701"/>
      <c r="F83" s="2262"/>
      <c r="G83" s="2262"/>
      <c r="H83" s="2280">
        <f>SUM(H81:H82)</f>
        <v>74947.761999999988</v>
      </c>
      <c r="I83" s="2280">
        <f t="shared" ref="I83:L83" si="29">SUM(I81:I82)</f>
        <v>64540.29</v>
      </c>
      <c r="J83" s="2305">
        <f t="shared" si="29"/>
        <v>-10407.471999999994</v>
      </c>
      <c r="K83" s="2281">
        <f t="shared" si="29"/>
        <v>5.463832318638959E-3</v>
      </c>
      <c r="L83" s="2281">
        <f t="shared" si="29"/>
        <v>4.1999999999999997E-3</v>
      </c>
      <c r="N83" s="2012"/>
      <c r="O83" s="2012"/>
    </row>
    <row r="84" spans="1:21" ht="17.399999999999999" thickTop="1">
      <c r="A84" s="1652"/>
      <c r="B84" s="2284" t="s">
        <v>3253</v>
      </c>
      <c r="C84" s="2264"/>
      <c r="D84" s="2264"/>
      <c r="E84" s="1701"/>
      <c r="F84" s="2264"/>
      <c r="G84" s="2264"/>
      <c r="H84" s="2264"/>
      <c r="I84" s="2264"/>
      <c r="J84" s="2306"/>
      <c r="K84" s="2265"/>
      <c r="L84" s="2268"/>
      <c r="N84" s="2012">
        <v>0</v>
      </c>
      <c r="O84" s="2012">
        <v>0</v>
      </c>
    </row>
    <row r="85" spans="1:21" ht="15.6">
      <c r="A85" s="1652"/>
      <c r="B85" s="2283" t="s">
        <v>1077</v>
      </c>
      <c r="C85" s="2262">
        <v>68000</v>
      </c>
      <c r="D85" s="2262">
        <v>0</v>
      </c>
      <c r="E85" s="2262">
        <v>0</v>
      </c>
      <c r="F85" s="2262">
        <v>68000</v>
      </c>
      <c r="G85" s="2262">
        <f t="shared" ref="G85" si="30">C85+D85+E85-F85</f>
        <v>0</v>
      </c>
      <c r="H85" s="2262">
        <v>0</v>
      </c>
      <c r="I85" s="2262">
        <v>0</v>
      </c>
      <c r="J85" s="2304">
        <f t="shared" ref="J85" si="31">+I85-H85</f>
        <v>0</v>
      </c>
      <c r="K85" s="2266">
        <f t="shared" ref="K85:L85" si="32">I85-J85</f>
        <v>0</v>
      </c>
      <c r="L85" s="2266">
        <f t="shared" si="32"/>
        <v>0</v>
      </c>
      <c r="N85" s="2012">
        <v>14662771</v>
      </c>
      <c r="O85" s="2012">
        <v>15713638</v>
      </c>
    </row>
    <row r="86" spans="1:21" ht="16.2" thickBot="1">
      <c r="A86" s="1652"/>
      <c r="B86" s="2261"/>
      <c r="C86" s="2262"/>
      <c r="D86" s="2262"/>
      <c r="E86" s="1701"/>
      <c r="F86" s="2262"/>
      <c r="G86" s="2262"/>
      <c r="H86" s="2280">
        <f>SUM(H85)</f>
        <v>0</v>
      </c>
      <c r="I86" s="2280">
        <f t="shared" ref="I86:L86" si="33">SUM(I85)</f>
        <v>0</v>
      </c>
      <c r="J86" s="2305">
        <f t="shared" si="33"/>
        <v>0</v>
      </c>
      <c r="K86" s="2281">
        <f t="shared" si="33"/>
        <v>0</v>
      </c>
      <c r="L86" s="2281">
        <f t="shared" si="33"/>
        <v>0</v>
      </c>
      <c r="N86" s="2012">
        <v>55169434</v>
      </c>
      <c r="O86" s="2012">
        <v>64811520</v>
      </c>
    </row>
    <row r="87" spans="1:21" ht="17.399999999999999" thickTop="1">
      <c r="A87" s="1652"/>
      <c r="B87" s="2284" t="s">
        <v>2789</v>
      </c>
      <c r="C87" s="2264"/>
      <c r="D87" s="2264"/>
      <c r="E87" s="1701"/>
      <c r="F87" s="2264"/>
      <c r="G87" s="2264"/>
      <c r="H87" s="2264"/>
      <c r="I87" s="2264"/>
      <c r="J87" s="2306"/>
      <c r="K87" s="2265"/>
      <c r="L87" s="2268"/>
      <c r="N87" s="2012"/>
      <c r="O87" s="2012"/>
    </row>
    <row r="88" spans="1:21" ht="15.6">
      <c r="A88" s="1652"/>
      <c r="B88" s="2283" t="s">
        <v>2180</v>
      </c>
      <c r="C88" s="2262">
        <v>4040</v>
      </c>
      <c r="D88" s="2262">
        <v>25000</v>
      </c>
      <c r="E88" s="2262">
        <v>0</v>
      </c>
      <c r="F88" s="2262">
        <v>0</v>
      </c>
      <c r="G88" s="2262">
        <f t="shared" ref="G88:G90" si="34">C88+D88+E88-F88</f>
        <v>29040</v>
      </c>
      <c r="H88" s="2262">
        <v>49126.175000000003</v>
      </c>
      <c r="I88" s="2262">
        <v>51499.826000000001</v>
      </c>
      <c r="J88" s="2304">
        <f t="shared" ref="J88:J90" si="35">+I88-H88</f>
        <v>2373.650999999998</v>
      </c>
      <c r="K88" s="2267">
        <f>I88/BS!$F$29</f>
        <v>4.3598566678749494E-3</v>
      </c>
      <c r="L88" s="2267">
        <v>3.8E-3</v>
      </c>
      <c r="N88" s="2012"/>
      <c r="O88" s="2012"/>
    </row>
    <row r="89" spans="1:21" ht="15.6">
      <c r="A89" s="1652"/>
      <c r="B89" s="2283" t="s">
        <v>3254</v>
      </c>
      <c r="C89" s="2262">
        <v>36</v>
      </c>
      <c r="D89" s="2262">
        <v>60500</v>
      </c>
      <c r="E89" s="2262">
        <v>0</v>
      </c>
      <c r="F89" s="2262">
        <v>60500</v>
      </c>
      <c r="G89" s="2262">
        <f t="shared" si="34"/>
        <v>36</v>
      </c>
      <c r="H89" s="2262">
        <v>1.5880000000000001</v>
      </c>
      <c r="I89" s="2262">
        <v>1.6160000000000001</v>
      </c>
      <c r="J89" s="2304">
        <f t="shared" si="35"/>
        <v>2.8000000000000025E-2</v>
      </c>
      <c r="K89" s="2267">
        <f>I89/BS!$F$29</f>
        <v>1.3680683844030693E-7</v>
      </c>
      <c r="L89" s="2267">
        <v>0</v>
      </c>
      <c r="N89" s="2012">
        <v>312897183</v>
      </c>
      <c r="O89" s="2012">
        <v>346515950</v>
      </c>
    </row>
    <row r="90" spans="1:21" ht="15.6">
      <c r="A90" s="1652"/>
      <c r="B90" s="2283" t="s">
        <v>3255</v>
      </c>
      <c r="C90" s="2262">
        <v>403</v>
      </c>
      <c r="D90" s="2262">
        <v>50300</v>
      </c>
      <c r="E90" s="2262">
        <v>0</v>
      </c>
      <c r="F90" s="2262">
        <v>0</v>
      </c>
      <c r="G90" s="2262">
        <f t="shared" si="34"/>
        <v>50703</v>
      </c>
      <c r="H90" s="2262">
        <v>23205.206999999999</v>
      </c>
      <c r="I90" s="2262">
        <v>22611.003000000001</v>
      </c>
      <c r="J90" s="2304">
        <f t="shared" si="35"/>
        <v>-594.2039999999979</v>
      </c>
      <c r="K90" s="2267">
        <f>I90/BS!$F$29</f>
        <v>1.9141954420756778E-3</v>
      </c>
      <c r="L90" s="2267">
        <v>1.1000000000000001E-3</v>
      </c>
      <c r="N90" s="1854">
        <v>529751220</v>
      </c>
      <c r="O90" s="1854">
        <v>499491031</v>
      </c>
      <c r="U90" s="1690"/>
    </row>
    <row r="91" spans="1:21" ht="16.2" thickBot="1">
      <c r="A91" s="1652"/>
      <c r="B91" s="2261"/>
      <c r="C91" s="2262"/>
      <c r="D91" s="2262"/>
      <c r="E91" s="1701"/>
      <c r="F91" s="2262"/>
      <c r="G91" s="2262"/>
      <c r="H91" s="2280">
        <f>SUM(H88:H90)</f>
        <v>72332.97</v>
      </c>
      <c r="I91" s="2280">
        <f t="shared" ref="I91:L91" si="36">SUM(I88:I90)</f>
        <v>74112.445000000007</v>
      </c>
      <c r="J91" s="2305">
        <f t="shared" si="36"/>
        <v>1779.4749999999999</v>
      </c>
      <c r="K91" s="2281">
        <f t="shared" si="36"/>
        <v>6.2741889167890674E-3</v>
      </c>
      <c r="L91" s="2281">
        <f t="shared" si="36"/>
        <v>4.8999999999999998E-3</v>
      </c>
      <c r="N91" s="1854">
        <v>91395566</v>
      </c>
      <c r="O91" s="1854">
        <v>109824299</v>
      </c>
      <c r="U91" s="1690"/>
    </row>
    <row r="92" spans="1:21" ht="17.399999999999999" thickTop="1">
      <c r="A92" s="1652"/>
      <c r="B92" s="2284" t="s">
        <v>1061</v>
      </c>
      <c r="C92" s="2264"/>
      <c r="D92" s="2264"/>
      <c r="E92" s="1701"/>
      <c r="F92" s="2264"/>
      <c r="G92" s="2264"/>
      <c r="H92" s="2264"/>
      <c r="I92" s="2264"/>
      <c r="J92" s="2306"/>
      <c r="K92" s="2265"/>
      <c r="L92" s="2268"/>
      <c r="N92" s="1854">
        <v>509628210</v>
      </c>
      <c r="O92" s="1854">
        <v>504068454</v>
      </c>
    </row>
    <row r="93" spans="1:21" ht="15.6">
      <c r="A93" s="1652"/>
      <c r="B93" s="2283" t="s">
        <v>3256</v>
      </c>
      <c r="C93" s="2262">
        <v>0</v>
      </c>
      <c r="D93" s="2262">
        <v>215000</v>
      </c>
      <c r="E93" s="2262">
        <v>0</v>
      </c>
      <c r="F93" s="2262">
        <v>0</v>
      </c>
      <c r="G93" s="2262">
        <f t="shared" ref="G93:G96" si="37">C93+D93+E93-F93</f>
        <v>215000</v>
      </c>
      <c r="H93" s="2262">
        <v>8256.7739999999994</v>
      </c>
      <c r="I93" s="2262">
        <v>8436.6</v>
      </c>
      <c r="J93" s="2304">
        <f t="shared" ref="J93" si="38">+I93-H93</f>
        <v>179.82600000000093</v>
      </c>
      <c r="K93" s="2267">
        <f>I93/BS!$F$29</f>
        <v>7.1422312697122124E-4</v>
      </c>
      <c r="L93" s="2267">
        <v>5.9999999999999995E-4</v>
      </c>
      <c r="N93" s="1854"/>
      <c r="O93" s="1854"/>
      <c r="U93" s="1840"/>
    </row>
    <row r="94" spans="1:21" ht="15.6">
      <c r="A94" s="1652"/>
      <c r="B94" s="2283" t="s">
        <v>2944</v>
      </c>
      <c r="C94" s="2262">
        <v>329600</v>
      </c>
      <c r="D94" s="2262">
        <v>513400</v>
      </c>
      <c r="E94" s="2262">
        <v>0</v>
      </c>
      <c r="F94" s="2262">
        <v>0</v>
      </c>
      <c r="G94" s="2262">
        <f t="shared" si="37"/>
        <v>843000</v>
      </c>
      <c r="H94" s="2262">
        <v>184281.402</v>
      </c>
      <c r="I94" s="2262">
        <v>162226.92000000001</v>
      </c>
      <c r="J94" s="2304">
        <f t="shared" ref="J94" si="39">+I94-H94</f>
        <v>-22054.481999999989</v>
      </c>
      <c r="K94" s="2267">
        <f>I94/BS!$F$29</f>
        <v>1.3733757447468192E-2</v>
      </c>
      <c r="L94" s="2267">
        <v>1.3600000000000001E-2</v>
      </c>
      <c r="N94" s="1854"/>
      <c r="O94" s="1854"/>
      <c r="U94" s="1840"/>
    </row>
    <row r="95" spans="1:21" ht="15.6">
      <c r="A95" s="1652"/>
      <c r="B95" s="2283" t="s">
        <v>2781</v>
      </c>
      <c r="C95" s="2262">
        <v>0</v>
      </c>
      <c r="D95" s="2262">
        <v>655000</v>
      </c>
      <c r="E95" s="2262">
        <v>0</v>
      </c>
      <c r="F95" s="2262">
        <v>0</v>
      </c>
      <c r="G95" s="2262">
        <f t="shared" si="37"/>
        <v>655000</v>
      </c>
      <c r="H95" s="2262">
        <v>29201.276000000002</v>
      </c>
      <c r="I95" s="2262">
        <v>26206.55</v>
      </c>
      <c r="J95" s="2304">
        <f t="shared" ref="J95" si="40">+I95-H95</f>
        <v>-2994.7260000000024</v>
      </c>
      <c r="K95" s="2267">
        <f>I95/BS!$F$29</f>
        <v>2.2185861707474169E-3</v>
      </c>
      <c r="L95" s="2267">
        <v>7.0999999999999995E-3</v>
      </c>
      <c r="N95" s="1854">
        <v>100757798</v>
      </c>
      <c r="O95" s="1854">
        <v>107088128</v>
      </c>
      <c r="U95" s="1840"/>
    </row>
    <row r="96" spans="1:21" ht="15.6">
      <c r="A96" s="1652"/>
      <c r="B96" s="2283" t="s">
        <v>2945</v>
      </c>
      <c r="C96" s="2262">
        <v>781000</v>
      </c>
      <c r="D96" s="2262">
        <v>0</v>
      </c>
      <c r="E96" s="2262">
        <v>0</v>
      </c>
      <c r="F96" s="2262">
        <v>611000</v>
      </c>
      <c r="G96" s="2262">
        <f t="shared" si="37"/>
        <v>170000</v>
      </c>
      <c r="H96" s="2262">
        <v>31195</v>
      </c>
      <c r="I96" s="2262">
        <v>33660</v>
      </c>
      <c r="J96" s="2304">
        <f t="shared" ref="J96" si="41">+I96-H96</f>
        <v>2465</v>
      </c>
      <c r="K96" s="2267">
        <f>I96/BS!$F$29</f>
        <v>2.8495780828593632E-3</v>
      </c>
      <c r="L96" s="2267">
        <v>4.4000000000000003E-3</v>
      </c>
      <c r="N96" s="1854">
        <v>333073145</v>
      </c>
      <c r="O96" s="1854">
        <v>353183431</v>
      </c>
      <c r="U96" s="1840"/>
    </row>
    <row r="97" spans="1:21" ht="16.2" thickBot="1">
      <c r="A97" s="1652"/>
      <c r="B97" s="2261"/>
      <c r="C97" s="2262"/>
      <c r="D97" s="2262"/>
      <c r="E97" s="1459"/>
      <c r="F97" s="2262"/>
      <c r="G97" s="2262"/>
      <c r="H97" s="2280">
        <f>SUM(H93:H96)</f>
        <v>252934.45200000002</v>
      </c>
      <c r="I97" s="2280">
        <f t="shared" ref="I97:L97" si="42">SUM(I93:I96)</f>
        <v>230530.07</v>
      </c>
      <c r="J97" s="2305">
        <f t="shared" si="42"/>
        <v>-22404.381999999991</v>
      </c>
      <c r="K97" s="2281">
        <f t="shared" si="42"/>
        <v>1.9516144828046193E-2</v>
      </c>
      <c r="L97" s="2281">
        <f t="shared" si="42"/>
        <v>2.5700000000000001E-2</v>
      </c>
      <c r="N97" s="1854">
        <v>0</v>
      </c>
      <c r="O97" s="1854">
        <v>0</v>
      </c>
      <c r="U97" s="1840"/>
    </row>
    <row r="98" spans="1:21" ht="17.399999999999999" thickTop="1">
      <c r="A98" s="1652"/>
      <c r="B98" s="2284" t="s">
        <v>1950</v>
      </c>
      <c r="C98" s="2264"/>
      <c r="D98" s="2264"/>
      <c r="E98" s="1459"/>
      <c r="F98" s="2264"/>
      <c r="G98" s="2264"/>
      <c r="H98" s="2264"/>
      <c r="I98" s="2264"/>
      <c r="J98" s="2306"/>
      <c r="K98" s="2265"/>
      <c r="L98" s="2268"/>
      <c r="N98" s="1854">
        <v>0</v>
      </c>
      <c r="O98" s="1854">
        <v>0</v>
      </c>
      <c r="U98" s="1840"/>
    </row>
    <row r="99" spans="1:21" ht="15.6">
      <c r="A99" s="1652"/>
      <c r="B99" s="2283" t="s">
        <v>1047</v>
      </c>
      <c r="C99" s="2262">
        <v>388960</v>
      </c>
      <c r="D99" s="2262">
        <v>18760</v>
      </c>
      <c r="E99" s="2262">
        <v>0</v>
      </c>
      <c r="F99" s="2262">
        <v>6000</v>
      </c>
      <c r="G99" s="2262">
        <f t="shared" ref="G99:G102" si="43">C99+D99+E99-F99</f>
        <v>401720</v>
      </c>
      <c r="H99" s="2262">
        <v>612478.01899999997</v>
      </c>
      <c r="I99" s="2262">
        <v>624019.79599999997</v>
      </c>
      <c r="J99" s="2304">
        <f t="shared" ref="J99:J102" si="44">+I99-H99</f>
        <v>11541.777000000002</v>
      </c>
      <c r="K99" s="2267">
        <f>I99/BS!$F$29</f>
        <v>5.2828078845869604E-2</v>
      </c>
      <c r="L99" s="2267">
        <v>3.0000000000000001E-3</v>
      </c>
      <c r="N99" s="1854"/>
      <c r="O99" s="1854"/>
      <c r="U99" s="1840"/>
    </row>
    <row r="100" spans="1:21" ht="15.6">
      <c r="A100" s="1652"/>
      <c r="B100" s="2283" t="s">
        <v>3257</v>
      </c>
      <c r="C100" s="2262">
        <v>5139277</v>
      </c>
      <c r="D100" s="2262">
        <v>0</v>
      </c>
      <c r="E100" s="2262">
        <v>0</v>
      </c>
      <c r="F100" s="2262">
        <v>1479277</v>
      </c>
      <c r="G100" s="2262">
        <f t="shared" si="43"/>
        <v>3660000</v>
      </c>
      <c r="H100" s="2262">
        <v>347809.8</v>
      </c>
      <c r="I100" s="2262">
        <v>306708</v>
      </c>
      <c r="J100" s="2304">
        <f t="shared" si="44"/>
        <v>-41101.799999999988</v>
      </c>
      <c r="K100" s="2267">
        <f>I100/BS!$F$29</f>
        <v>2.5965192948236175E-2</v>
      </c>
      <c r="L100" s="2267">
        <v>8.9999999999999998E-4</v>
      </c>
      <c r="N100" s="1854"/>
      <c r="O100" s="1854"/>
      <c r="U100" s="1840"/>
    </row>
    <row r="101" spans="1:21" ht="15.6">
      <c r="A101" s="1652"/>
      <c r="B101" s="2283" t="s">
        <v>123</v>
      </c>
      <c r="C101" s="2262">
        <v>652561</v>
      </c>
      <c r="D101" s="2262">
        <v>77500</v>
      </c>
      <c r="E101" s="2262">
        <v>0</v>
      </c>
      <c r="F101" s="2262">
        <v>105061</v>
      </c>
      <c r="G101" s="2262">
        <f t="shared" si="43"/>
        <v>625000</v>
      </c>
      <c r="H101" s="2262">
        <v>246238</v>
      </c>
      <c r="I101" s="2262">
        <v>234593.75</v>
      </c>
      <c r="J101" s="2304">
        <f t="shared" si="44"/>
        <v>-11644.25</v>
      </c>
      <c r="K101" s="2267">
        <f>I101/BS!$F$29</f>
        <v>1.9860166618413215E-2</v>
      </c>
      <c r="L101" s="2267">
        <v>2.2000000000000001E-3</v>
      </c>
      <c r="N101" s="1854"/>
      <c r="O101" s="1854"/>
      <c r="U101" s="1840"/>
    </row>
    <row r="102" spans="1:21" ht="15.6">
      <c r="A102" s="1652"/>
      <c r="B102" s="2283" t="s">
        <v>124</v>
      </c>
      <c r="C102" s="2262">
        <v>3734120</v>
      </c>
      <c r="D102" s="2262">
        <v>0</v>
      </c>
      <c r="E102" s="2262">
        <v>0</v>
      </c>
      <c r="F102" s="2262">
        <v>839938</v>
      </c>
      <c r="G102" s="2262">
        <f t="shared" si="43"/>
        <v>2894182</v>
      </c>
      <c r="H102" s="2262">
        <v>251301.823</v>
      </c>
      <c r="I102" s="2262">
        <v>216803.174</v>
      </c>
      <c r="J102" s="2304">
        <f t="shared" si="44"/>
        <v>-34498.649000000005</v>
      </c>
      <c r="K102" s="2267">
        <f>I102/BS!$F$29</f>
        <v>1.8354057424977571E-2</v>
      </c>
      <c r="L102" s="2267">
        <v>1.1000000000000001E-3</v>
      </c>
      <c r="N102" s="1854">
        <v>188270988</v>
      </c>
      <c r="O102" s="1854">
        <v>217107026</v>
      </c>
      <c r="U102" s="1840"/>
    </row>
    <row r="103" spans="1:21" ht="16.2" thickBot="1">
      <c r="B103" s="2261"/>
      <c r="C103" s="2262"/>
      <c r="D103" s="2262"/>
      <c r="E103" s="1701"/>
      <c r="F103" s="2262"/>
      <c r="G103" s="2262"/>
      <c r="H103" s="2280">
        <f>SUM(H99:H102)</f>
        <v>1457827.642</v>
      </c>
      <c r="I103" s="2280">
        <f t="shared" ref="I103:L103" si="45">SUM(I99:I102)</f>
        <v>1382124.7200000002</v>
      </c>
      <c r="J103" s="2305">
        <f t="shared" si="45"/>
        <v>-75702.921999999991</v>
      </c>
      <c r="K103" s="2281">
        <f t="shared" si="45"/>
        <v>0.11700749583749658</v>
      </c>
      <c r="L103" s="2281">
        <f t="shared" si="45"/>
        <v>7.1999999999999998E-3</v>
      </c>
      <c r="N103" s="1854"/>
      <c r="O103" s="1459"/>
    </row>
    <row r="104" spans="1:21" ht="17.399999999999999" thickTop="1">
      <c r="A104" s="1652"/>
      <c r="B104" s="2284" t="s">
        <v>2790</v>
      </c>
      <c r="C104" s="2264"/>
      <c r="D104" s="2264"/>
      <c r="E104" s="1701"/>
      <c r="F104" s="2264"/>
      <c r="G104" s="2264"/>
      <c r="H104" s="2264"/>
      <c r="I104" s="2264"/>
      <c r="J104" s="2306"/>
      <c r="K104" s="2265"/>
      <c r="L104" s="2268"/>
      <c r="N104" s="1854"/>
      <c r="O104" s="1854"/>
      <c r="U104" s="1840"/>
    </row>
    <row r="105" spans="1:21" ht="15.6">
      <c r="A105" s="1652"/>
      <c r="B105" s="2283" t="s">
        <v>1171</v>
      </c>
      <c r="C105" s="2262">
        <v>620700</v>
      </c>
      <c r="D105" s="2262">
        <v>0</v>
      </c>
      <c r="E105" s="2262">
        <v>0</v>
      </c>
      <c r="F105" s="2262">
        <v>0</v>
      </c>
      <c r="G105" s="2262">
        <f t="shared" ref="G105:G109" si="46">C105+D105+E105-F105</f>
        <v>620700</v>
      </c>
      <c r="H105" s="2262">
        <v>199263.321</v>
      </c>
      <c r="I105" s="2262">
        <v>180003</v>
      </c>
      <c r="J105" s="2304">
        <f t="shared" ref="J105:J109" si="47">+I105-H105</f>
        <v>-19260.320999999996</v>
      </c>
      <c r="K105" s="2267">
        <f>I105/BS!$F$29</f>
        <v>1.5238639442927332E-2</v>
      </c>
      <c r="L105" s="2267">
        <v>6.1999999999999998E-3</v>
      </c>
      <c r="N105" s="1854">
        <v>417756300</v>
      </c>
      <c r="O105" s="1854">
        <v>483059864</v>
      </c>
      <c r="U105" s="1840"/>
    </row>
    <row r="106" spans="1:21" ht="15.6">
      <c r="A106" s="1652"/>
      <c r="B106" s="2283" t="s">
        <v>1050</v>
      </c>
      <c r="C106" s="2262">
        <v>0</v>
      </c>
      <c r="D106" s="2262">
        <v>250000</v>
      </c>
      <c r="E106" s="2262">
        <v>0</v>
      </c>
      <c r="F106" s="2262">
        <v>0</v>
      </c>
      <c r="G106" s="2262">
        <f t="shared" si="46"/>
        <v>250000</v>
      </c>
      <c r="H106" s="2262">
        <v>16111.775</v>
      </c>
      <c r="I106" s="2262">
        <v>15502.5</v>
      </c>
      <c r="J106" s="2304">
        <f t="shared" si="47"/>
        <v>-609.27499999999964</v>
      </c>
      <c r="K106" s="2267">
        <f>I106/BS!$F$29</f>
        <v>1.31240594858964E-3</v>
      </c>
      <c r="L106" s="2267">
        <v>2.2000000000000001E-3</v>
      </c>
      <c r="N106" s="1854">
        <v>127925898</v>
      </c>
      <c r="O106" s="1854">
        <v>124260000</v>
      </c>
      <c r="U106" s="1840"/>
    </row>
    <row r="107" spans="1:21" ht="15.6">
      <c r="A107" s="1652"/>
      <c r="B107" s="2283" t="s">
        <v>169</v>
      </c>
      <c r="C107" s="2262">
        <v>1586305</v>
      </c>
      <c r="D107" s="2262">
        <v>0</v>
      </c>
      <c r="E107" s="2262">
        <v>0</v>
      </c>
      <c r="F107" s="2262">
        <v>533270</v>
      </c>
      <c r="G107" s="2262">
        <f t="shared" si="46"/>
        <v>1053035</v>
      </c>
      <c r="H107" s="2262">
        <v>236143.09899999999</v>
      </c>
      <c r="I107" s="2262">
        <v>211649.505</v>
      </c>
      <c r="J107" s="2304">
        <f t="shared" si="47"/>
        <v>-24493.593999999983</v>
      </c>
      <c r="K107" s="2267">
        <f>I107/BS!$F$29</f>
        <v>1.7917759676055651E-2</v>
      </c>
      <c r="L107" s="2267">
        <v>2.2000000000000001E-3</v>
      </c>
      <c r="N107" s="1854">
        <v>74632058</v>
      </c>
      <c r="O107" s="1854">
        <v>72570576</v>
      </c>
      <c r="U107" s="1840"/>
    </row>
    <row r="108" spans="1:21" ht="15.6">
      <c r="A108" s="1652"/>
      <c r="B108" s="2283" t="s">
        <v>2791</v>
      </c>
      <c r="C108" s="2262">
        <v>701500</v>
      </c>
      <c r="D108" s="2262">
        <v>57300</v>
      </c>
      <c r="E108" s="2262">
        <v>0</v>
      </c>
      <c r="F108" s="2262">
        <v>538600</v>
      </c>
      <c r="G108" s="2262">
        <f t="shared" si="46"/>
        <v>220200</v>
      </c>
      <c r="H108" s="2262">
        <v>37219.722999999998</v>
      </c>
      <c r="I108" s="2262">
        <v>29806.272000000001</v>
      </c>
      <c r="J108" s="2304">
        <f t="shared" si="47"/>
        <v>-7413.4509999999973</v>
      </c>
      <c r="K108" s="2267">
        <f>I108/BS!$F$29</f>
        <v>2.5233303453043592E-3</v>
      </c>
      <c r="L108" s="2267">
        <v>1E-3</v>
      </c>
      <c r="N108" s="1854">
        <v>70030342</v>
      </c>
      <c r="O108" s="1854">
        <v>68139757</v>
      </c>
      <c r="U108" s="1690"/>
    </row>
    <row r="109" spans="1:21" ht="15.6">
      <c r="B109" s="2283" t="s">
        <v>1051</v>
      </c>
      <c r="C109" s="2262">
        <v>1150244</v>
      </c>
      <c r="D109" s="2262">
        <v>600000</v>
      </c>
      <c r="E109" s="2262">
        <v>0</v>
      </c>
      <c r="F109" s="2262">
        <v>0</v>
      </c>
      <c r="G109" s="2262">
        <f t="shared" si="46"/>
        <v>1750244</v>
      </c>
      <c r="H109" s="2262">
        <v>87368.68</v>
      </c>
      <c r="I109" s="2262">
        <v>79601.096999999994</v>
      </c>
      <c r="J109" s="2304">
        <f t="shared" si="47"/>
        <v>-7767.5829999999987</v>
      </c>
      <c r="K109" s="2267">
        <f>I109/BS!$F$29</f>
        <v>6.7388455550434403E-3</v>
      </c>
      <c r="L109" s="2267">
        <v>2.8000000000000004E-3</v>
      </c>
      <c r="N109" s="1854"/>
      <c r="O109" s="1459"/>
    </row>
    <row r="110" spans="1:21" ht="16.2" thickBot="1">
      <c r="B110" s="2261"/>
      <c r="C110" s="2262"/>
      <c r="D110" s="2262"/>
      <c r="E110" s="1701"/>
      <c r="F110" s="2262"/>
      <c r="G110" s="2262"/>
      <c r="H110" s="2280">
        <f>SUM(H105:H109)</f>
        <v>576106.598</v>
      </c>
      <c r="I110" s="2280">
        <f t="shared" ref="I110:L110" si="48">SUM(I105:I109)</f>
        <v>516562.37400000001</v>
      </c>
      <c r="J110" s="2305">
        <f t="shared" si="48"/>
        <v>-59544.223999999973</v>
      </c>
      <c r="K110" s="2281">
        <f t="shared" si="48"/>
        <v>4.373098096792042E-2</v>
      </c>
      <c r="L110" s="2281">
        <f t="shared" si="48"/>
        <v>1.44E-2</v>
      </c>
      <c r="N110" s="1854"/>
      <c r="O110" s="1459"/>
    </row>
    <row r="111" spans="1:21" ht="16.2" thickTop="1">
      <c r="B111" s="2261"/>
      <c r="C111" s="2262"/>
      <c r="D111" s="2262"/>
      <c r="E111" s="1701"/>
      <c r="F111" s="2262"/>
      <c r="G111" s="2262"/>
      <c r="H111" s="2262"/>
      <c r="I111" s="2262"/>
      <c r="J111" s="2307"/>
      <c r="K111" s="2263"/>
      <c r="L111" s="2267"/>
      <c r="N111" s="1854"/>
      <c r="O111" s="1459"/>
    </row>
    <row r="112" spans="1:21" ht="16.8">
      <c r="B112" s="2284" t="s">
        <v>2946</v>
      </c>
      <c r="C112" s="2264"/>
      <c r="D112" s="2264"/>
      <c r="E112" s="1701"/>
      <c r="F112" s="2264"/>
      <c r="G112" s="2264"/>
      <c r="H112" s="2264"/>
      <c r="I112" s="2264"/>
      <c r="J112" s="2306"/>
      <c r="K112" s="2265"/>
      <c r="L112" s="2268"/>
      <c r="N112" s="1459"/>
      <c r="O112" s="1459"/>
      <c r="U112" s="1535"/>
    </row>
    <row r="113" spans="1:21 16382:16382" ht="15.6">
      <c r="A113" s="1849"/>
      <c r="B113" s="2283" t="s">
        <v>1172</v>
      </c>
      <c r="C113" s="2262">
        <v>0</v>
      </c>
      <c r="D113" s="2262">
        <v>144000</v>
      </c>
      <c r="E113" s="2262">
        <v>0</v>
      </c>
      <c r="F113" s="2262">
        <v>0</v>
      </c>
      <c r="G113" s="2262">
        <f t="shared" ref="G113:G115" si="49">C113+D113+E113-F113</f>
        <v>144000</v>
      </c>
      <c r="H113" s="2262">
        <v>28456.012999999999</v>
      </c>
      <c r="I113" s="2262">
        <v>25804.799999999999</v>
      </c>
      <c r="J113" s="2304">
        <f t="shared" ref="J113:J115" si="50">+I113-H113</f>
        <v>-2651.2129999999997</v>
      </c>
      <c r="K113" s="2267">
        <f>I113/BS!$F$29</f>
        <v>2.184574940955713E-3</v>
      </c>
      <c r="L113" s="2267">
        <v>3.4000000000000002E-3</v>
      </c>
      <c r="N113" s="1854">
        <v>7929750</v>
      </c>
      <c r="O113" s="1854">
        <v>8420250</v>
      </c>
      <c r="U113" s="1535"/>
    </row>
    <row r="114" spans="1:21 16382:16382" ht="15.6">
      <c r="A114" s="1849"/>
      <c r="B114" s="2283" t="s">
        <v>2161</v>
      </c>
      <c r="C114" s="2262">
        <v>581400</v>
      </c>
      <c r="D114" s="2262">
        <v>75000</v>
      </c>
      <c r="E114" s="2262">
        <v>0</v>
      </c>
      <c r="F114" s="2262">
        <v>0</v>
      </c>
      <c r="G114" s="2262">
        <f t="shared" si="49"/>
        <v>656400</v>
      </c>
      <c r="H114" s="2262">
        <v>351254.27799999999</v>
      </c>
      <c r="I114" s="2262">
        <v>308087.90399999998</v>
      </c>
      <c r="J114" s="2304">
        <f t="shared" si="50"/>
        <v>-43166.374000000011</v>
      </c>
      <c r="K114" s="2267">
        <f>I114/BS!$F$29</f>
        <v>2.6082012443032664E-2</v>
      </c>
      <c r="L114" s="2267">
        <v>7.3000000000000001E-3</v>
      </c>
      <c r="N114" s="1854">
        <v>3778125</v>
      </c>
      <c r="O114" s="1854">
        <v>4942500</v>
      </c>
      <c r="U114" s="1535"/>
    </row>
    <row r="115" spans="1:21 16382:16382" ht="15.6">
      <c r="A115" s="1849"/>
      <c r="B115" s="2283" t="s">
        <v>2167</v>
      </c>
      <c r="C115" s="2262">
        <v>0</v>
      </c>
      <c r="D115" s="2262">
        <v>248900</v>
      </c>
      <c r="E115" s="2262">
        <v>0</v>
      </c>
      <c r="F115" s="2262">
        <v>0</v>
      </c>
      <c r="G115" s="2262">
        <f t="shared" si="49"/>
        <v>248900</v>
      </c>
      <c r="H115" s="2262">
        <v>35291.580999999998</v>
      </c>
      <c r="I115" s="2262">
        <v>33295.353000000003</v>
      </c>
      <c r="J115" s="2304">
        <f t="shared" si="50"/>
        <v>-1996.2279999999955</v>
      </c>
      <c r="K115" s="2267">
        <f>I115/BS!$F$29</f>
        <v>2.8187079076014785E-3</v>
      </c>
      <c r="L115" s="2267">
        <v>4.1999999999999997E-3</v>
      </c>
      <c r="N115" s="1854">
        <v>103598114</v>
      </c>
      <c r="O115" s="1854">
        <v>120582820</v>
      </c>
      <c r="U115" s="1535"/>
    </row>
    <row r="116" spans="1:21 16382:16382" ht="16.2" thickBot="1">
      <c r="A116" s="1849"/>
      <c r="B116" s="2261"/>
      <c r="C116" s="2262"/>
      <c r="D116" s="2262"/>
      <c r="E116" s="1701"/>
      <c r="F116" s="2262"/>
      <c r="G116" s="2262"/>
      <c r="H116" s="2280">
        <f>SUM(H113:H115)</f>
        <v>415001.87199999997</v>
      </c>
      <c r="I116" s="2280">
        <f>SUM(I113:I115)</f>
        <v>367188.05699999997</v>
      </c>
      <c r="J116" s="2305">
        <f>SUM(J113:J115)</f>
        <v>-47813.81500000001</v>
      </c>
      <c r="K116" s="2281">
        <f>SUM(K113:K115)</f>
        <v>3.1085295291589855E-2</v>
      </c>
      <c r="L116" s="2281">
        <f>SUM(L113:L115)</f>
        <v>1.49E-2</v>
      </c>
      <c r="N116" s="1854">
        <v>110647999</v>
      </c>
      <c r="O116" s="1854">
        <v>112695210</v>
      </c>
      <c r="U116" s="1535"/>
    </row>
    <row r="117" spans="1:21 16382:16382" ht="17.399999999999999" thickTop="1">
      <c r="B117" s="2284" t="s">
        <v>1054</v>
      </c>
      <c r="C117" s="2264"/>
      <c r="D117" s="2264"/>
      <c r="E117" s="1701"/>
      <c r="F117" s="2264"/>
      <c r="G117" s="2264"/>
      <c r="H117" s="2264"/>
      <c r="I117" s="2264"/>
      <c r="J117" s="2306"/>
      <c r="K117" s="2265"/>
      <c r="L117" s="2268"/>
      <c r="N117" s="1854">
        <v>0</v>
      </c>
      <c r="O117" s="1562">
        <v>0</v>
      </c>
      <c r="P117" s="1820">
        <v>96653179857.5</v>
      </c>
      <c r="U117" s="1535"/>
    </row>
    <row r="118" spans="1:21 16382:16382" ht="15.6">
      <c r="B118" s="2283" t="s">
        <v>3258</v>
      </c>
      <c r="C118" s="2262">
        <v>376450</v>
      </c>
      <c r="D118" s="2262">
        <v>0</v>
      </c>
      <c r="E118" s="2262">
        <v>0</v>
      </c>
      <c r="F118" s="2262">
        <v>242900</v>
      </c>
      <c r="G118" s="2262">
        <f t="shared" ref="G118:G122" si="51">C118+D118+E118-F118</f>
        <v>133550</v>
      </c>
      <c r="H118" s="2262">
        <v>105819.678</v>
      </c>
      <c r="I118" s="2262">
        <v>103215.45299999999</v>
      </c>
      <c r="J118" s="2304">
        <f t="shared" ref="J118:J122" si="52">+I118-H118</f>
        <v>-2604.2250000000058</v>
      </c>
      <c r="K118" s="2267">
        <f>I118/BS!$F$29</f>
        <v>8.7379825514319869E-3</v>
      </c>
      <c r="L118" s="2267">
        <v>1.4000000000000002E-3</v>
      </c>
      <c r="N118" s="1854"/>
      <c r="O118" s="1459"/>
      <c r="U118" s="1535"/>
    </row>
    <row r="119" spans="1:21 16382:16382" ht="15.6">
      <c r="A119" s="1652"/>
      <c r="B119" s="2283" t="s">
        <v>3259</v>
      </c>
      <c r="C119" s="2262">
        <v>0</v>
      </c>
      <c r="D119" s="2262">
        <v>150100</v>
      </c>
      <c r="E119" s="2262">
        <v>0</v>
      </c>
      <c r="F119" s="2262">
        <v>0</v>
      </c>
      <c r="G119" s="2262">
        <f t="shared" si="51"/>
        <v>150100</v>
      </c>
      <c r="H119" s="2262">
        <v>38916.322</v>
      </c>
      <c r="I119" s="2262">
        <v>38287.508000000002</v>
      </c>
      <c r="J119" s="2304">
        <f t="shared" si="52"/>
        <v>-628.81399999999849</v>
      </c>
      <c r="K119" s="2267">
        <f>I119/BS!$F$29</f>
        <v>3.2413322532413116E-3</v>
      </c>
      <c r="L119" s="2267">
        <v>1.2999999999999999E-3</v>
      </c>
      <c r="N119" s="1818"/>
      <c r="O119" s="1818"/>
      <c r="U119" s="1547"/>
    </row>
    <row r="120" spans="1:21 16382:16382" ht="15.6">
      <c r="A120" s="1652"/>
      <c r="B120" s="2283" t="s">
        <v>2947</v>
      </c>
      <c r="C120" s="2262">
        <v>0</v>
      </c>
      <c r="D120" s="2262">
        <v>82300</v>
      </c>
      <c r="E120" s="2262">
        <v>0</v>
      </c>
      <c r="F120" s="2262">
        <v>0</v>
      </c>
      <c r="G120" s="2262">
        <f t="shared" si="51"/>
        <v>82300</v>
      </c>
      <c r="H120" s="2262">
        <v>12807.082</v>
      </c>
      <c r="I120" s="2262">
        <v>12165.585999999999</v>
      </c>
      <c r="J120" s="2304">
        <f t="shared" si="52"/>
        <v>-641.496000000001</v>
      </c>
      <c r="K120" s="2267">
        <f>I120/BS!$F$29</f>
        <v>1.029910494080235E-3</v>
      </c>
      <c r="L120" s="2267">
        <v>2.9999999999999997E-4</v>
      </c>
      <c r="N120" s="1818"/>
      <c r="O120" s="1818"/>
      <c r="U120" s="1547"/>
    </row>
    <row r="121" spans="1:21 16382:16382" ht="15.6">
      <c r="A121" s="1652"/>
      <c r="B121" s="2283" t="s">
        <v>2086</v>
      </c>
      <c r="C121" s="2262">
        <v>135200</v>
      </c>
      <c r="D121" s="2262">
        <v>0</v>
      </c>
      <c r="E121" s="2262">
        <v>0</v>
      </c>
      <c r="F121" s="2262">
        <v>0</v>
      </c>
      <c r="G121" s="2262">
        <f t="shared" si="51"/>
        <v>135200</v>
      </c>
      <c r="H121" s="2262">
        <v>81120</v>
      </c>
      <c r="I121" s="2262">
        <v>83779.384000000005</v>
      </c>
      <c r="J121" s="2304">
        <f t="shared" si="52"/>
        <v>2659.3840000000055</v>
      </c>
      <c r="K121" s="2267">
        <f>I121/BS!$F$29</f>
        <v>7.0925697100968042E-3</v>
      </c>
      <c r="L121" s="2267">
        <v>3.5999999999999999E-3</v>
      </c>
      <c r="N121" s="1818">
        <v>53532743</v>
      </c>
      <c r="O121" s="1818">
        <v>56887490</v>
      </c>
      <c r="U121" s="1547"/>
    </row>
    <row r="122" spans="1:21 16382:16382" ht="15.6">
      <c r="A122" s="1652"/>
      <c r="B122" s="2283" t="s">
        <v>498</v>
      </c>
      <c r="C122" s="2262">
        <v>458000</v>
      </c>
      <c r="D122" s="2262">
        <v>115720</v>
      </c>
      <c r="E122" s="2262">
        <v>0</v>
      </c>
      <c r="F122" s="2262">
        <v>9200</v>
      </c>
      <c r="G122" s="2262">
        <f t="shared" si="51"/>
        <v>564520</v>
      </c>
      <c r="H122" s="2262">
        <v>132298.48000000001</v>
      </c>
      <c r="I122" s="2262">
        <v>113756.425</v>
      </c>
      <c r="J122" s="2304">
        <f t="shared" si="52"/>
        <v>-18542.055000000008</v>
      </c>
      <c r="K122" s="2267">
        <f>I122/BS!$F$29</f>
        <v>9.6303569656694885E-3</v>
      </c>
      <c r="L122" s="2267">
        <v>2.3999999999999998E-3</v>
      </c>
      <c r="N122" s="1818"/>
      <c r="O122" s="1818"/>
      <c r="U122" s="1547"/>
    </row>
    <row r="123" spans="1:21 16382:16382" ht="16.2" thickBot="1">
      <c r="B123" s="2261"/>
      <c r="C123" s="2262"/>
      <c r="D123" s="2262"/>
      <c r="E123" s="1701"/>
      <c r="F123" s="2262"/>
      <c r="G123" s="2262"/>
      <c r="H123" s="2280">
        <f>SUM(H118:H122)</f>
        <v>370961.56200000003</v>
      </c>
      <c r="I123" s="2280">
        <f t="shared" ref="I123:L123" si="53">SUM(I118:I122)</f>
        <v>351204.35600000003</v>
      </c>
      <c r="J123" s="2305">
        <f t="shared" si="53"/>
        <v>-19757.206000000006</v>
      </c>
      <c r="K123" s="2281">
        <f t="shared" si="53"/>
        <v>2.9732151974519824E-2</v>
      </c>
      <c r="L123" s="2281">
        <f t="shared" si="53"/>
        <v>8.9999999999999993E-3</v>
      </c>
      <c r="N123" s="1459"/>
      <c r="O123" s="1459"/>
      <c r="U123" s="1535"/>
    </row>
    <row r="124" spans="1:21 16382:16382" ht="17.399999999999999" thickTop="1">
      <c r="B124" s="2284" t="s">
        <v>3260</v>
      </c>
      <c r="C124" s="2264"/>
      <c r="D124" s="2264"/>
      <c r="E124" s="1701"/>
      <c r="F124" s="2264"/>
      <c r="G124" s="2264"/>
      <c r="H124" s="2264"/>
      <c r="I124" s="2264"/>
      <c r="J124" s="2306"/>
      <c r="K124" s="2265"/>
      <c r="L124" s="2268"/>
      <c r="N124" s="1854">
        <v>158597556</v>
      </c>
      <c r="O124" s="1562">
        <v>170570750</v>
      </c>
      <c r="U124" s="1535"/>
      <c r="XFB124" s="1820">
        <v>896859230</v>
      </c>
    </row>
    <row r="125" spans="1:21 16382:16382" ht="15.6">
      <c r="B125" s="2283" t="s">
        <v>1066</v>
      </c>
      <c r="C125" s="2262">
        <v>327000</v>
      </c>
      <c r="D125" s="2262">
        <v>0</v>
      </c>
      <c r="E125" s="2262">
        <v>0</v>
      </c>
      <c r="F125" s="2262">
        <v>222500</v>
      </c>
      <c r="G125" s="2262">
        <f t="shared" ref="G125:G129" si="54">C125+D125+E125-F125</f>
        <v>104500</v>
      </c>
      <c r="H125" s="2262">
        <v>2664.75</v>
      </c>
      <c r="I125" s="2262">
        <v>2827.77</v>
      </c>
      <c r="J125" s="2304">
        <f t="shared" ref="J125:J129" si="55">+I125-H125</f>
        <v>163.01999999999998</v>
      </c>
      <c r="K125" s="2267">
        <f>I125/BS!$F$29</f>
        <v>2.3939249600021456E-4</v>
      </c>
      <c r="L125" s="2267">
        <v>2.9999999999999997E-4</v>
      </c>
      <c r="N125" s="1854">
        <v>102323067</v>
      </c>
      <c r="O125" s="1854">
        <v>95722550</v>
      </c>
      <c r="U125" s="1535"/>
    </row>
    <row r="126" spans="1:21 16382:16382" ht="15.6">
      <c r="B126" s="2283" t="s">
        <v>2792</v>
      </c>
      <c r="C126" s="2262">
        <v>5148540</v>
      </c>
      <c r="D126" s="2262">
        <v>0</v>
      </c>
      <c r="E126" s="2262">
        <v>0</v>
      </c>
      <c r="F126" s="2262">
        <v>450000</v>
      </c>
      <c r="G126" s="2262">
        <f t="shared" si="54"/>
        <v>4698540</v>
      </c>
      <c r="H126" s="2262">
        <v>374332.68199999997</v>
      </c>
      <c r="I126" s="2262">
        <v>345483.64600000001</v>
      </c>
      <c r="J126" s="2304">
        <f t="shared" si="55"/>
        <v>-28849.035999999964</v>
      </c>
      <c r="K126" s="2267">
        <f>I126/BS!$F$29</f>
        <v>2.9247849840402348E-2</v>
      </c>
      <c r="L126" s="2267">
        <v>3.5999999999999999E-3</v>
      </c>
      <c r="N126" s="1854"/>
      <c r="O126" s="1459"/>
      <c r="U126" s="1535"/>
    </row>
    <row r="127" spans="1:21 16382:16382" ht="15.6">
      <c r="B127" s="2286" t="s">
        <v>3308</v>
      </c>
      <c r="C127" s="2262">
        <v>22488000</v>
      </c>
      <c r="D127" s="2262">
        <v>0</v>
      </c>
      <c r="E127" s="2262">
        <v>0</v>
      </c>
      <c r="F127" s="2262">
        <v>11053000</v>
      </c>
      <c r="G127" s="2262">
        <f t="shared" si="54"/>
        <v>11435000</v>
      </c>
      <c r="H127" s="2262">
        <v>47798.3</v>
      </c>
      <c r="I127" s="2262">
        <v>45740</v>
      </c>
      <c r="J127" s="2304">
        <f t="shared" si="55"/>
        <v>-2058.3000000000029</v>
      </c>
      <c r="K127" s="2267">
        <f>I127/BS!$F$29</f>
        <v>3.8722430632794794E-3</v>
      </c>
      <c r="L127" s="2267">
        <v>4.0000000000000002E-4</v>
      </c>
      <c r="N127" s="1459"/>
      <c r="O127" s="1459"/>
      <c r="U127" s="1535"/>
    </row>
    <row r="128" spans="1:21 16382:16382" ht="15.6">
      <c r="B128" s="2283" t="s">
        <v>339</v>
      </c>
      <c r="C128" s="2262">
        <v>7202500</v>
      </c>
      <c r="D128" s="2262">
        <v>0</v>
      </c>
      <c r="E128" s="2262">
        <v>0</v>
      </c>
      <c r="F128" s="2262">
        <v>1497500</v>
      </c>
      <c r="G128" s="2262">
        <f t="shared" si="54"/>
        <v>5705000</v>
      </c>
      <c r="H128" s="2262">
        <v>101891.3</v>
      </c>
      <c r="I128" s="2262">
        <v>89511.45</v>
      </c>
      <c r="J128" s="2304">
        <f t="shared" si="55"/>
        <v>-12379.850000000006</v>
      </c>
      <c r="K128" s="2267">
        <f>I128/BS!$F$29</f>
        <v>7.5778332170220366E-3</v>
      </c>
      <c r="L128" s="2267">
        <v>1.4999999999999999E-2</v>
      </c>
      <c r="N128" s="1854">
        <v>145979167</v>
      </c>
      <c r="O128" s="1854">
        <v>187229962</v>
      </c>
      <c r="U128" s="1535"/>
    </row>
    <row r="129" spans="1:32" ht="15.6">
      <c r="B129" s="2283" t="s">
        <v>1056</v>
      </c>
      <c r="C129" s="2262">
        <v>969000</v>
      </c>
      <c r="D129" s="2262">
        <v>700000</v>
      </c>
      <c r="E129" s="2262">
        <v>0</v>
      </c>
      <c r="F129" s="2262">
        <v>0</v>
      </c>
      <c r="G129" s="2262">
        <f t="shared" si="54"/>
        <v>1669000</v>
      </c>
      <c r="H129" s="2262">
        <v>33800.421000000002</v>
      </c>
      <c r="I129" s="2262">
        <v>33246.480000000003</v>
      </c>
      <c r="J129" s="2304">
        <f t="shared" si="55"/>
        <v>-553.94099999999889</v>
      </c>
      <c r="K129" s="2267">
        <f>I129/BS!$F$29</f>
        <v>2.8145704319733266E-3</v>
      </c>
      <c r="L129" s="2267">
        <v>4.6999999999999993E-3</v>
      </c>
      <c r="N129" s="1854">
        <v>230540998</v>
      </c>
      <c r="O129" s="1854">
        <v>287752451</v>
      </c>
      <c r="U129" s="1535"/>
    </row>
    <row r="130" spans="1:32" ht="16.2" thickBot="1">
      <c r="B130" s="2261"/>
      <c r="C130" s="2262"/>
      <c r="D130" s="2262"/>
      <c r="E130" s="1701"/>
      <c r="F130" s="2262"/>
      <c r="G130" s="2262"/>
      <c r="H130" s="2280">
        <f>SUM(H125:H129)</f>
        <v>560487.45299999998</v>
      </c>
      <c r="I130" s="2280">
        <f t="shared" ref="I130:L130" si="56">SUM(I125:I129)</f>
        <v>516809.34600000002</v>
      </c>
      <c r="J130" s="2305">
        <f t="shared" si="56"/>
        <v>-43678.106999999967</v>
      </c>
      <c r="K130" s="2281">
        <f t="shared" si="56"/>
        <v>4.3751889048677405E-2</v>
      </c>
      <c r="L130" s="2281">
        <f t="shared" si="56"/>
        <v>2.3999999999999997E-2</v>
      </c>
      <c r="N130" s="1854">
        <v>65221856</v>
      </c>
      <c r="O130" s="1854">
        <v>99384811</v>
      </c>
      <c r="U130" s="1535"/>
    </row>
    <row r="131" spans="1:32" ht="17.399999999999999" thickTop="1">
      <c r="A131" s="1849"/>
      <c r="B131" s="2284" t="s">
        <v>2948</v>
      </c>
      <c r="C131" s="2264"/>
      <c r="D131" s="2264"/>
      <c r="E131" s="1701"/>
      <c r="F131" s="2264"/>
      <c r="G131" s="2264"/>
      <c r="H131" s="2264"/>
      <c r="I131" s="2264"/>
      <c r="J131" s="2306"/>
      <c r="K131" s="2265"/>
      <c r="L131" s="2268"/>
      <c r="N131" s="1854">
        <v>152433556</v>
      </c>
      <c r="O131" s="1854">
        <v>154738170</v>
      </c>
      <c r="U131" s="1535"/>
    </row>
    <row r="132" spans="1:32" ht="15.6">
      <c r="B132" s="2283" t="s">
        <v>471</v>
      </c>
      <c r="C132" s="2262">
        <v>481400</v>
      </c>
      <c r="D132" s="2262">
        <v>230439</v>
      </c>
      <c r="E132" s="2262">
        <v>0</v>
      </c>
      <c r="F132" s="2262">
        <v>386839</v>
      </c>
      <c r="G132" s="2262">
        <f t="shared" ref="G132:G135" si="57">C132+D132+E132-F132</f>
        <v>325000</v>
      </c>
      <c r="H132" s="2262">
        <v>79851.59</v>
      </c>
      <c r="I132" s="2262">
        <v>58103.5</v>
      </c>
      <c r="J132" s="2304">
        <f t="shared" ref="J132:J135" si="58">+I132-H132</f>
        <v>-21748.089999999997</v>
      </c>
      <c r="K132" s="2267">
        <f>I132/BS!$F$29</f>
        <v>4.9189085008145873E-3</v>
      </c>
      <c r="L132" s="2267">
        <v>3.0000000000000001E-3</v>
      </c>
      <c r="N132" s="1854"/>
      <c r="O132" s="1459"/>
      <c r="U132" s="1535"/>
    </row>
    <row r="133" spans="1:32" ht="15.6">
      <c r="B133" s="2283" t="s">
        <v>1903</v>
      </c>
      <c r="C133" s="2262">
        <v>0</v>
      </c>
      <c r="D133" s="2262">
        <v>7000000</v>
      </c>
      <c r="E133" s="2262">
        <v>0</v>
      </c>
      <c r="F133" s="2262">
        <v>1150000</v>
      </c>
      <c r="G133" s="2262">
        <f t="shared" si="57"/>
        <v>5850000</v>
      </c>
      <c r="H133" s="2262">
        <v>55341</v>
      </c>
      <c r="I133" s="2262">
        <v>47853</v>
      </c>
      <c r="J133" s="2304">
        <f t="shared" si="58"/>
        <v>-7488</v>
      </c>
      <c r="K133" s="2267">
        <f>I133/BS!$F$29</f>
        <v>4.0511247771559452E-3</v>
      </c>
      <c r="L133" s="2267">
        <v>1.1000000000000001E-3</v>
      </c>
      <c r="N133" s="1854"/>
      <c r="O133" s="1459"/>
      <c r="U133" s="1535"/>
    </row>
    <row r="134" spans="1:32" ht="15.6">
      <c r="A134" s="1652"/>
      <c r="B134" s="2283" t="s">
        <v>472</v>
      </c>
      <c r="C134" s="2262">
        <v>105000</v>
      </c>
      <c r="D134" s="2262">
        <v>0</v>
      </c>
      <c r="E134" s="2262">
        <v>0</v>
      </c>
      <c r="F134" s="2262">
        <v>105000</v>
      </c>
      <c r="G134" s="2262">
        <f t="shared" si="57"/>
        <v>0</v>
      </c>
      <c r="H134" s="2262">
        <v>0</v>
      </c>
      <c r="I134" s="2262">
        <v>0</v>
      </c>
      <c r="J134" s="2304">
        <f t="shared" si="58"/>
        <v>0</v>
      </c>
      <c r="K134" s="2267">
        <f>I134/BS!$F$29</f>
        <v>0</v>
      </c>
      <c r="L134" s="2267">
        <v>0</v>
      </c>
      <c r="N134" s="1818"/>
      <c r="O134" s="1818"/>
      <c r="U134" s="1547"/>
    </row>
    <row r="135" spans="1:32" ht="15.6">
      <c r="A135" s="1652"/>
      <c r="B135" s="2283" t="s">
        <v>1906</v>
      </c>
      <c r="C135" s="2262">
        <v>2463500</v>
      </c>
      <c r="D135" s="2262">
        <v>0</v>
      </c>
      <c r="E135" s="2262">
        <v>0</v>
      </c>
      <c r="F135" s="2262">
        <v>2253000</v>
      </c>
      <c r="G135" s="2262">
        <f t="shared" si="57"/>
        <v>210500</v>
      </c>
      <c r="H135" s="2262">
        <v>5180.4049999999997</v>
      </c>
      <c r="I135" s="2262">
        <v>3532.19</v>
      </c>
      <c r="J135" s="2304">
        <f t="shared" si="58"/>
        <v>-1648.2149999999997</v>
      </c>
      <c r="K135" s="2267">
        <f>I135/BS!$F$29</f>
        <v>2.9902707095944784E-4</v>
      </c>
      <c r="L135" s="2267">
        <v>2.9999999999999997E-4</v>
      </c>
      <c r="N135" s="1818">
        <v>0</v>
      </c>
      <c r="O135" s="1818">
        <v>0</v>
      </c>
      <c r="U135" s="1547"/>
    </row>
    <row r="136" spans="1:32" ht="16.2" thickBot="1">
      <c r="A136" s="1652"/>
      <c r="B136" s="2261"/>
      <c r="C136" s="2262"/>
      <c r="D136" s="2262"/>
      <c r="E136" s="1854"/>
      <c r="F136" s="2262"/>
      <c r="G136" s="2262"/>
      <c r="H136" s="2280">
        <f>SUM(H132:H135)</f>
        <v>140372.995</v>
      </c>
      <c r="I136" s="2280">
        <f t="shared" ref="I136:L136" si="59">SUM(I132:I135)</f>
        <v>109488.69</v>
      </c>
      <c r="J136" s="2305">
        <f t="shared" si="59"/>
        <v>-30884.304999999997</v>
      </c>
      <c r="K136" s="2281">
        <f t="shared" si="59"/>
        <v>9.2690603489299812E-3</v>
      </c>
      <c r="L136" s="2281">
        <f t="shared" si="59"/>
        <v>4.4000000000000003E-3</v>
      </c>
      <c r="N136" s="1818"/>
      <c r="O136" s="1818"/>
      <c r="U136" s="1547"/>
    </row>
    <row r="137" spans="1:32" ht="17.399999999999999" thickTop="1">
      <c r="B137" s="2284" t="s">
        <v>3261</v>
      </c>
      <c r="C137" s="2264"/>
      <c r="D137" s="2264"/>
      <c r="E137" s="1701"/>
      <c r="F137" s="2264"/>
      <c r="G137" s="2264"/>
      <c r="H137" s="2264"/>
      <c r="I137" s="2264"/>
      <c r="J137" s="2306"/>
      <c r="K137" s="2265"/>
      <c r="L137" s="2268"/>
      <c r="N137" s="1854"/>
      <c r="O137" s="1459"/>
      <c r="U137" s="1535"/>
    </row>
    <row r="138" spans="1:32" ht="15.6">
      <c r="A138" s="1652"/>
      <c r="B138" s="2283" t="s">
        <v>338</v>
      </c>
      <c r="C138" s="2262">
        <v>0</v>
      </c>
      <c r="D138" s="2262">
        <v>935000</v>
      </c>
      <c r="E138" s="2262">
        <v>0</v>
      </c>
      <c r="F138" s="2262">
        <v>935000</v>
      </c>
      <c r="G138" s="2262">
        <f t="shared" ref="G138:G141" si="60">C138+D138+E138-F138</f>
        <v>0</v>
      </c>
      <c r="H138" s="2262">
        <v>0</v>
      </c>
      <c r="I138" s="2262">
        <v>0</v>
      </c>
      <c r="J138" s="2304">
        <f t="shared" ref="J138" si="61">+I138-H138</f>
        <v>0</v>
      </c>
      <c r="K138" s="2267">
        <f>I138/BS!$F$29</f>
        <v>0</v>
      </c>
      <c r="L138" s="2267">
        <v>0</v>
      </c>
      <c r="N138" s="1818"/>
      <c r="O138" s="1818"/>
      <c r="U138" s="1547"/>
    </row>
    <row r="139" spans="1:32" ht="15.6">
      <c r="A139" s="1652"/>
      <c r="B139" s="2283" t="s">
        <v>3262</v>
      </c>
      <c r="C139" s="2262">
        <v>0</v>
      </c>
      <c r="D139" s="2262">
        <v>3729500</v>
      </c>
      <c r="E139" s="2262">
        <v>0</v>
      </c>
      <c r="F139" s="2262">
        <v>0</v>
      </c>
      <c r="G139" s="2262">
        <f t="shared" si="60"/>
        <v>3729500</v>
      </c>
      <c r="H139" s="2262">
        <v>44621.23</v>
      </c>
      <c r="I139" s="2262">
        <v>34908.120000000003</v>
      </c>
      <c r="J139" s="2304">
        <f t="shared" ref="J139:J141" si="62">+I139-H139</f>
        <v>-9713.11</v>
      </c>
      <c r="K139" s="2267">
        <f>I139/BS!$F$29</f>
        <v>2.9552410477072075E-3</v>
      </c>
      <c r="L139" s="2267">
        <v>1E-3</v>
      </c>
      <c r="N139" s="1818">
        <v>93062073</v>
      </c>
      <c r="O139" s="1818">
        <v>115800750</v>
      </c>
      <c r="U139" s="1547"/>
    </row>
    <row r="140" spans="1:32" ht="15.6">
      <c r="A140" s="1652"/>
      <c r="B140" s="2283" t="s">
        <v>1067</v>
      </c>
      <c r="C140" s="2262">
        <v>250000</v>
      </c>
      <c r="D140" s="2262">
        <v>16900</v>
      </c>
      <c r="E140" s="2262">
        <v>0</v>
      </c>
      <c r="F140" s="2262">
        <v>0</v>
      </c>
      <c r="G140" s="2262">
        <f t="shared" si="60"/>
        <v>266900</v>
      </c>
      <c r="H140" s="2262">
        <v>151912.541</v>
      </c>
      <c r="I140" s="2262">
        <v>194172.41899999999</v>
      </c>
      <c r="J140" s="2304">
        <f t="shared" si="62"/>
        <v>42259.877999999997</v>
      </c>
      <c r="K140" s="2267">
        <f>I140/BS!$F$29</f>
        <v>1.6438189824069666E-2</v>
      </c>
      <c r="L140" s="2267">
        <v>1.9E-3</v>
      </c>
      <c r="N140" s="1818"/>
      <c r="O140" s="1818"/>
      <c r="U140" s="1547"/>
    </row>
    <row r="141" spans="1:32" ht="15.6">
      <c r="A141" s="1652"/>
      <c r="B141" s="2283" t="s">
        <v>2066</v>
      </c>
      <c r="C141" s="2262">
        <v>500000</v>
      </c>
      <c r="D141" s="2262">
        <v>1110000</v>
      </c>
      <c r="E141" s="2262">
        <v>0</v>
      </c>
      <c r="F141" s="2262">
        <v>540000</v>
      </c>
      <c r="G141" s="2262">
        <f t="shared" si="60"/>
        <v>1070000</v>
      </c>
      <c r="H141" s="2262">
        <v>174588.69</v>
      </c>
      <c r="I141" s="2262">
        <v>172986.9</v>
      </c>
      <c r="J141" s="2304">
        <f t="shared" si="62"/>
        <v>-1601.7900000000081</v>
      </c>
      <c r="K141" s="2267">
        <f>I141/BS!$F$29</f>
        <v>1.4644672574622234E-2</v>
      </c>
      <c r="L141" s="2267">
        <v>2E-3</v>
      </c>
      <c r="N141" s="1818"/>
      <c r="O141" s="1818"/>
      <c r="U141" s="1547"/>
    </row>
    <row r="142" spans="1:32" ht="16.2" thickBot="1">
      <c r="A142" s="1652"/>
      <c r="B142" s="2261"/>
      <c r="C142" s="2262"/>
      <c r="D142" s="2262"/>
      <c r="E142" s="1854"/>
      <c r="F142" s="2262"/>
      <c r="G142" s="2262"/>
      <c r="H142" s="2280">
        <f>SUM(H138:H141)</f>
        <v>371122.46100000001</v>
      </c>
      <c r="I142" s="2280">
        <f t="shared" ref="I142:L142" si="63">SUM(I138:I141)</f>
        <v>402067.43900000001</v>
      </c>
      <c r="J142" s="2305">
        <f t="shared" si="63"/>
        <v>30944.977999999988</v>
      </c>
      <c r="K142" s="2281">
        <f t="shared" si="63"/>
        <v>3.4038103446399105E-2</v>
      </c>
      <c r="L142" s="2281">
        <f t="shared" si="63"/>
        <v>4.8999999999999998E-3</v>
      </c>
      <c r="M142" s="1445"/>
      <c r="N142" s="2282"/>
      <c r="O142" s="2282"/>
      <c r="P142" s="1445"/>
      <c r="Q142" s="1445"/>
      <c r="R142" s="1445"/>
      <c r="S142" s="1445"/>
      <c r="T142" s="1445"/>
      <c r="U142" s="1568"/>
      <c r="V142" s="1568"/>
      <c r="W142" s="1445"/>
      <c r="X142" s="1445"/>
      <c r="Y142" s="1445"/>
      <c r="Z142" s="1445"/>
      <c r="AA142" s="1445"/>
      <c r="AB142" s="1445"/>
      <c r="AC142" s="1445"/>
      <c r="AD142" s="1445"/>
      <c r="AE142" s="1445"/>
      <c r="AF142" s="1445"/>
    </row>
    <row r="143" spans="1:32" ht="17.399999999999999" thickTop="1">
      <c r="A143" s="1652"/>
      <c r="B143" s="2284" t="s">
        <v>3263</v>
      </c>
      <c r="C143" s="2264"/>
      <c r="D143" s="2264"/>
      <c r="E143" s="1854"/>
      <c r="F143" s="2264"/>
      <c r="G143" s="2264"/>
      <c r="H143" s="2264"/>
      <c r="I143" s="2264"/>
      <c r="J143" s="2306"/>
      <c r="K143" s="2265"/>
      <c r="L143" s="2268"/>
      <c r="N143" s="1818"/>
      <c r="O143" s="1818"/>
      <c r="U143" s="1547"/>
      <c r="AF143" s="1446">
        <f>431.92-340</f>
        <v>91.920000000000016</v>
      </c>
    </row>
    <row r="144" spans="1:32" ht="15.6">
      <c r="A144" s="1652"/>
      <c r="B144" s="2283" t="s">
        <v>1060</v>
      </c>
      <c r="C144" s="2262">
        <v>2780256</v>
      </c>
      <c r="D144" s="2262">
        <v>1968500</v>
      </c>
      <c r="E144" s="2262">
        <v>0</v>
      </c>
      <c r="F144" s="2262">
        <v>1554500</v>
      </c>
      <c r="G144" s="2262">
        <f t="shared" ref="G144:G148" si="64">C144+D144+E144-F144</f>
        <v>3194256</v>
      </c>
      <c r="H144" s="2262">
        <v>171735.98</v>
      </c>
      <c r="I144" s="2262">
        <v>175077.171</v>
      </c>
      <c r="J144" s="2304">
        <f t="shared" ref="J144:J148" si="65">+I144-H144</f>
        <v>3341.1909999999916</v>
      </c>
      <c r="K144" s="2267">
        <f>I144/BS!$F$29</f>
        <v>1.4821630103702344E-2</v>
      </c>
      <c r="L144" s="2267">
        <v>6.1999999999999998E-3</v>
      </c>
      <c r="N144" s="1818"/>
      <c r="O144" s="1818"/>
      <c r="U144" s="1547"/>
    </row>
    <row r="145" spans="1:21" ht="15.6">
      <c r="A145" s="1652"/>
      <c r="B145" s="2283" t="s">
        <v>2793</v>
      </c>
      <c r="C145" s="2262">
        <v>2808110</v>
      </c>
      <c r="D145" s="2262">
        <v>709000</v>
      </c>
      <c r="E145" s="2262">
        <v>0</v>
      </c>
      <c r="F145" s="2262">
        <v>0</v>
      </c>
      <c r="G145" s="2262">
        <f t="shared" si="64"/>
        <v>3517110</v>
      </c>
      <c r="H145" s="2262">
        <v>247491.64499999999</v>
      </c>
      <c r="I145" s="2262">
        <v>250312.71900000001</v>
      </c>
      <c r="J145" s="2304">
        <f t="shared" si="65"/>
        <v>2821.0740000000224</v>
      </c>
      <c r="K145" s="2267">
        <f>I145/BS!$F$29</f>
        <v>2.1190898334026577E-2</v>
      </c>
      <c r="L145" s="2267">
        <v>4.0000000000000001E-3</v>
      </c>
      <c r="N145" s="1818"/>
      <c r="O145" s="1818"/>
      <c r="U145" s="1547"/>
    </row>
    <row r="146" spans="1:21" ht="15.6">
      <c r="A146" s="1652"/>
      <c r="B146" s="2283" t="s">
        <v>336</v>
      </c>
      <c r="C146" s="2262">
        <v>1375718</v>
      </c>
      <c r="D146" s="2262">
        <v>300000</v>
      </c>
      <c r="E146" s="2262">
        <v>0</v>
      </c>
      <c r="F146" s="2262">
        <v>0</v>
      </c>
      <c r="G146" s="2262">
        <f t="shared" si="64"/>
        <v>1675718</v>
      </c>
      <c r="H146" s="2262">
        <v>126236.026</v>
      </c>
      <c r="I146" s="2262">
        <v>116378.61500000001</v>
      </c>
      <c r="J146" s="2304">
        <f t="shared" si="65"/>
        <v>-9857.4109999999928</v>
      </c>
      <c r="K146" s="2267">
        <f>I146/BS!$F$29</f>
        <v>9.8523455323092091E-3</v>
      </c>
      <c r="L146" s="2267">
        <v>5.6000000000000008E-3</v>
      </c>
      <c r="N146" s="1818"/>
      <c r="O146" s="1818"/>
      <c r="U146" s="1547"/>
    </row>
    <row r="147" spans="1:21" ht="15.6">
      <c r="A147" s="1652"/>
      <c r="B147" s="2283" t="s">
        <v>3264</v>
      </c>
      <c r="C147" s="2262">
        <v>0</v>
      </c>
      <c r="D147" s="2262">
        <v>1900000</v>
      </c>
      <c r="E147" s="2262">
        <v>0</v>
      </c>
      <c r="F147" s="2262">
        <v>0</v>
      </c>
      <c r="G147" s="2262">
        <f t="shared" si="64"/>
        <v>1900000</v>
      </c>
      <c r="H147" s="2262">
        <v>94510.37</v>
      </c>
      <c r="I147" s="2262">
        <v>94088</v>
      </c>
      <c r="J147" s="2304">
        <f t="shared" si="65"/>
        <v>-422.36999999999534</v>
      </c>
      <c r="K147" s="2267">
        <f>I147/BS!$F$29</f>
        <v>7.9652734004774742E-3</v>
      </c>
      <c r="L147" s="2267">
        <v>7.9000000000000008E-3</v>
      </c>
      <c r="N147" s="1818"/>
      <c r="O147" s="1818"/>
      <c r="U147" s="1547"/>
    </row>
    <row r="148" spans="1:21" ht="15.6">
      <c r="A148" s="1652"/>
      <c r="B148" s="2283" t="s">
        <v>576</v>
      </c>
      <c r="C148" s="2262">
        <v>0</v>
      </c>
      <c r="D148" s="2262">
        <v>325000</v>
      </c>
      <c r="E148" s="2262">
        <v>0</v>
      </c>
      <c r="F148" s="2262">
        <v>0</v>
      </c>
      <c r="G148" s="2262">
        <f t="shared" si="64"/>
        <v>325000</v>
      </c>
      <c r="H148" s="2262">
        <v>32293.852999999999</v>
      </c>
      <c r="I148" s="2262">
        <v>29529.5</v>
      </c>
      <c r="J148" s="2304">
        <f t="shared" si="65"/>
        <v>-2764.3529999999992</v>
      </c>
      <c r="K148" s="2267">
        <f>I148/BS!$F$29</f>
        <v>2.4998994651751504E-3</v>
      </c>
      <c r="L148" s="2267">
        <v>8.9999999999999998E-4</v>
      </c>
      <c r="N148" s="1818"/>
      <c r="O148" s="1818"/>
      <c r="U148" s="1547"/>
    </row>
    <row r="149" spans="1:21" ht="16.2" thickBot="1">
      <c r="A149" s="1652"/>
      <c r="B149" s="2261"/>
      <c r="C149" s="2262"/>
      <c r="D149" s="2262"/>
      <c r="E149" s="1854"/>
      <c r="F149" s="2262"/>
      <c r="G149" s="2262"/>
      <c r="H149" s="2280">
        <f>SUM(H144:H148)</f>
        <v>672267.87399999995</v>
      </c>
      <c r="I149" s="2280">
        <f t="shared" ref="I149:L149" si="66">SUM(I144:I148)</f>
        <v>665386.005</v>
      </c>
      <c r="J149" s="2305">
        <f t="shared" si="66"/>
        <v>-6881.8689999999733</v>
      </c>
      <c r="K149" s="2281">
        <f t="shared" si="66"/>
        <v>5.6330046835690754E-2</v>
      </c>
      <c r="L149" s="2281">
        <f t="shared" si="66"/>
        <v>2.4600000000000004E-2</v>
      </c>
      <c r="N149" s="1818"/>
      <c r="O149" s="1818"/>
      <c r="U149" s="1547"/>
    </row>
    <row r="150" spans="1:21" ht="17.399999999999999" thickTop="1">
      <c r="A150" s="1652"/>
      <c r="B150" s="2284" t="s">
        <v>2949</v>
      </c>
      <c r="C150" s="2264"/>
      <c r="D150" s="2264"/>
      <c r="E150" s="1854"/>
      <c r="F150" s="2264"/>
      <c r="G150" s="2264"/>
      <c r="H150" s="2264"/>
      <c r="I150" s="2264"/>
      <c r="J150" s="2306"/>
      <c r="K150" s="2265"/>
      <c r="L150" s="2268"/>
      <c r="N150" s="1818"/>
      <c r="O150" s="1818"/>
      <c r="U150" s="1547"/>
    </row>
    <row r="151" spans="1:21" ht="15.6">
      <c r="A151" s="1652"/>
      <c r="B151" s="2283" t="s">
        <v>3265</v>
      </c>
      <c r="C151" s="2262">
        <v>0</v>
      </c>
      <c r="D151" s="2262">
        <v>6749500</v>
      </c>
      <c r="E151" s="2262">
        <v>0</v>
      </c>
      <c r="F151" s="2262">
        <v>0</v>
      </c>
      <c r="G151" s="2262">
        <f t="shared" ref="G151" si="67">C151+D151+E151-F151</f>
        <v>6749500</v>
      </c>
      <c r="H151" s="2262">
        <v>73376.513999999996</v>
      </c>
      <c r="I151" s="2262">
        <v>60138.044999999998</v>
      </c>
      <c r="J151" s="2304">
        <f t="shared" ref="J151" si="68">+I151-H151</f>
        <v>-13238.468999999997</v>
      </c>
      <c r="K151" s="2267">
        <f>I151/BS!$F$29</f>
        <v>5.0911483950686308E-3</v>
      </c>
      <c r="L151" s="2267">
        <v>3.8E-3</v>
      </c>
      <c r="N151" s="1818"/>
      <c r="O151" s="1818"/>
      <c r="U151" s="1547"/>
    </row>
    <row r="152" spans="1:21" ht="16.2" thickBot="1">
      <c r="A152" s="1652"/>
      <c r="B152" s="1897"/>
      <c r="C152" s="1854"/>
      <c r="D152" s="1854"/>
      <c r="E152" s="1854"/>
      <c r="F152" s="1854"/>
      <c r="G152" s="1848"/>
      <c r="H152" s="2280">
        <f>SUM(H151)</f>
        <v>73376.513999999996</v>
      </c>
      <c r="I152" s="2280">
        <f t="shared" ref="I152:L152" si="69">SUM(I151)</f>
        <v>60138.044999999998</v>
      </c>
      <c r="J152" s="2305">
        <f t="shared" si="69"/>
        <v>-13238.468999999997</v>
      </c>
      <c r="K152" s="2281">
        <f t="shared" si="69"/>
        <v>5.0911483950686308E-3</v>
      </c>
      <c r="L152" s="2281">
        <f t="shared" si="69"/>
        <v>3.8E-3</v>
      </c>
      <c r="N152" s="1818"/>
      <c r="O152" s="1818"/>
      <c r="U152" s="1547"/>
    </row>
    <row r="153" spans="1:21" ht="14.4" thickTop="1">
      <c r="A153" s="1652"/>
      <c r="B153" s="1897"/>
      <c r="C153" s="1854"/>
      <c r="D153" s="1854"/>
      <c r="E153" s="1854"/>
      <c r="F153" s="1854"/>
      <c r="G153" s="1848"/>
      <c r="H153" s="1848"/>
      <c r="I153" s="1848"/>
      <c r="J153" s="1848"/>
      <c r="K153" s="1855"/>
      <c r="L153" s="1855"/>
      <c r="N153" s="1818"/>
      <c r="O153" s="1818"/>
      <c r="U153" s="1547"/>
    </row>
    <row r="154" spans="1:21">
      <c r="C154" s="1740"/>
      <c r="D154" s="1740"/>
      <c r="E154" s="1740"/>
      <c r="F154" s="1740"/>
      <c r="G154" s="1740"/>
      <c r="H154" s="1740"/>
      <c r="I154" s="1740"/>
      <c r="J154" s="1740"/>
      <c r="K154" s="1843"/>
      <c r="L154" s="1843"/>
      <c r="N154" s="1854"/>
      <c r="O154" s="1459"/>
      <c r="U154" s="1535"/>
    </row>
    <row r="155" spans="1:21" ht="14.4" thickBot="1">
      <c r="A155" s="1605"/>
      <c r="B155" s="1605" t="s">
        <v>3201</v>
      </c>
      <c r="C155" s="1740"/>
      <c r="D155" s="1740"/>
      <c r="E155" s="1740"/>
      <c r="F155" s="1740"/>
      <c r="G155" s="1740"/>
      <c r="H155" s="1876">
        <f>H16+H21+H24+H35+H42+H55+H62+H68+H76+H79+H83+H86+H91+H97+H103+H110+H116+H123+H130+H136+H142+H149+H152</f>
        <v>12074060.137999998</v>
      </c>
      <c r="I155" s="1876">
        <f>I16+I21+I24+I35+I42+I55+I62+I68+I76+I79+I83+I86+I91+I97+I103+I110+I116+I123+I130+I136+I142+I149+I152-1</f>
        <v>11260226.018000003</v>
      </c>
      <c r="J155" s="1876">
        <f>+I155-H155</f>
        <v>-813834.11999999546</v>
      </c>
      <c r="K155" s="1843"/>
      <c r="L155" s="1843"/>
      <c r="N155" s="1854"/>
      <c r="O155" s="1854">
        <f>I155/BS!F12</f>
        <v>1</v>
      </c>
    </row>
    <row r="156" spans="1:21" ht="14.4" thickTop="1">
      <c r="A156" s="1605"/>
      <c r="B156" s="1605"/>
      <c r="C156" s="1740"/>
      <c r="D156" s="1740"/>
      <c r="E156" s="1740"/>
      <c r="F156" s="1446"/>
      <c r="G156" s="1740"/>
      <c r="H156" s="1701"/>
      <c r="I156" s="1701"/>
      <c r="J156" s="1701"/>
      <c r="K156" s="1852"/>
      <c r="L156" s="1462"/>
      <c r="N156" s="1459"/>
      <c r="O156" s="1459"/>
      <c r="U156" s="1535"/>
    </row>
    <row r="157" spans="1:21" ht="14.4" thickBot="1">
      <c r="A157" s="1605"/>
      <c r="B157" s="1605" t="s">
        <v>3200</v>
      </c>
      <c r="C157" s="1740"/>
      <c r="D157" s="1740"/>
      <c r="E157" s="1740"/>
      <c r="F157" s="1740"/>
      <c r="G157" s="1740"/>
      <c r="H157" s="1861">
        <v>11180903</v>
      </c>
      <c r="I157" s="1861">
        <v>11903844</v>
      </c>
      <c r="J157" s="1861">
        <f>I157-H157+2</f>
        <v>722943</v>
      </c>
      <c r="K157" s="1852"/>
      <c r="L157" s="1462"/>
      <c r="N157" s="1854"/>
    </row>
    <row r="158" spans="1:21" s="1624" customFormat="1" ht="14.4" thickTop="1">
      <c r="A158" s="1707"/>
      <c r="B158" s="1684"/>
      <c r="C158" s="1699"/>
      <c r="D158" s="1708"/>
      <c r="E158" s="1708"/>
      <c r="F158" s="1699"/>
      <c r="H158" s="1740"/>
      <c r="I158" s="1740"/>
      <c r="J158" s="1740"/>
      <c r="K158" s="1862"/>
      <c r="M158" s="1446"/>
      <c r="N158" s="1740"/>
      <c r="O158" s="1740"/>
      <c r="P158" s="1446"/>
      <c r="Q158" s="1446"/>
      <c r="R158" s="1446"/>
      <c r="S158" s="1446"/>
      <c r="T158" s="1446"/>
    </row>
    <row r="159" spans="1:21" s="1624" customFormat="1">
      <c r="A159" s="1707"/>
      <c r="B159" s="1736" t="s">
        <v>3305</v>
      </c>
      <c r="C159" s="1699"/>
      <c r="D159" s="1708"/>
      <c r="E159" s="1708"/>
      <c r="F159" s="1699"/>
      <c r="H159" s="1740"/>
      <c r="I159" s="1740"/>
      <c r="J159" s="1740"/>
      <c r="K159" s="1862"/>
      <c r="M159" s="1446"/>
      <c r="N159" s="1740"/>
      <c r="O159" s="1740"/>
      <c r="P159" s="1446"/>
      <c r="Q159" s="1446"/>
      <c r="R159" s="1446"/>
      <c r="S159" s="1446"/>
      <c r="T159" s="1446"/>
    </row>
    <row r="160" spans="1:21" s="1624" customFormat="1">
      <c r="A160" s="1707"/>
      <c r="B160" s="1736" t="s">
        <v>3307</v>
      </c>
      <c r="C160" s="1699"/>
      <c r="D160" s="1708"/>
      <c r="E160" s="1708"/>
      <c r="F160" s="1699"/>
      <c r="H160" s="1740"/>
      <c r="I160" s="1740"/>
      <c r="J160" s="1740"/>
      <c r="K160" s="1862"/>
      <c r="M160" s="1446"/>
      <c r="N160" s="1740"/>
      <c r="O160" s="1740"/>
      <c r="P160" s="1446"/>
      <c r="Q160" s="1446"/>
      <c r="R160" s="1446"/>
      <c r="S160" s="1446"/>
      <c r="T160" s="1446"/>
    </row>
    <row r="161" spans="1:20" s="1624" customFormat="1">
      <c r="A161" s="1707"/>
      <c r="B161" s="1684"/>
      <c r="C161" s="1699"/>
      <c r="D161" s="1708"/>
      <c r="E161" s="1708"/>
      <c r="F161" s="1699"/>
      <c r="H161" s="1740"/>
      <c r="I161" s="1740"/>
      <c r="J161" s="1740"/>
      <c r="K161" s="1862"/>
      <c r="M161" s="1446"/>
      <c r="N161" s="1740"/>
      <c r="O161" s="1740"/>
      <c r="P161" s="1446"/>
      <c r="Q161" s="1446"/>
      <c r="R161" s="1446"/>
      <c r="S161" s="1446"/>
      <c r="T161" s="1446"/>
    </row>
    <row r="162" spans="1:20" s="1701" customFormat="1" ht="15" customHeight="1">
      <c r="A162" s="1848"/>
      <c r="B162" s="2391" t="s">
        <v>3176</v>
      </c>
      <c r="C162" s="2391"/>
      <c r="D162" s="2391"/>
      <c r="E162" s="2391"/>
      <c r="F162" s="2391"/>
      <c r="G162" s="2391"/>
      <c r="H162" s="2391"/>
      <c r="I162" s="2391"/>
      <c r="J162" s="2391"/>
      <c r="K162" s="2391"/>
      <c r="L162" s="2391"/>
      <c r="M162" s="2391"/>
    </row>
    <row r="163" spans="1:20">
      <c r="B163" s="2391"/>
      <c r="C163" s="2391"/>
      <c r="D163" s="2391"/>
      <c r="E163" s="2391"/>
      <c r="F163" s="2391"/>
      <c r="G163" s="2391"/>
      <c r="H163" s="2391"/>
      <c r="I163" s="2391"/>
      <c r="J163" s="2391"/>
      <c r="K163" s="2391"/>
      <c r="L163" s="2391"/>
      <c r="M163" s="2391"/>
    </row>
    <row r="164" spans="1:20">
      <c r="I164" s="1687" t="s">
        <v>631</v>
      </c>
      <c r="J164" s="1688" t="s">
        <v>630</v>
      </c>
      <c r="K164" s="1687" t="s">
        <v>631</v>
      </c>
      <c r="L164" s="1688" t="s">
        <v>630</v>
      </c>
    </row>
    <row r="165" spans="1:20">
      <c r="H165" s="1446"/>
      <c r="I165" s="1709" t="str">
        <f>+K165</f>
        <v>September 30,</v>
      </c>
      <c r="J165" s="1709" t="s">
        <v>2496</v>
      </c>
      <c r="K165" s="1709" t="s">
        <v>2778</v>
      </c>
      <c r="L165" s="1709" t="s">
        <v>2496</v>
      </c>
    </row>
    <row r="166" spans="1:20">
      <c r="H166" s="1446"/>
      <c r="I166" s="1710">
        <v>2021</v>
      </c>
      <c r="J166" s="1710">
        <v>2021</v>
      </c>
      <c r="K166" s="1710">
        <v>2021</v>
      </c>
      <c r="L166" s="1710">
        <v>2021</v>
      </c>
    </row>
    <row r="167" spans="1:20" ht="15" customHeight="1">
      <c r="H167" s="1446"/>
      <c r="I167" s="2388" t="s">
        <v>2565</v>
      </c>
      <c r="J167" s="2388"/>
      <c r="K167" s="2388" t="s">
        <v>2566</v>
      </c>
      <c r="L167" s="2388"/>
    </row>
    <row r="168" spans="1:20" ht="15" customHeight="1">
      <c r="H168" s="1446"/>
      <c r="I168" s="2300"/>
      <c r="J168" s="2301"/>
      <c r="K168" s="2300"/>
      <c r="L168" s="2300"/>
    </row>
    <row r="169" spans="1:20">
      <c r="B169" s="1446" t="s">
        <v>126</v>
      </c>
      <c r="H169" s="1446"/>
      <c r="I169" s="2303">
        <v>1000000</v>
      </c>
      <c r="J169" s="2157">
        <v>2000000</v>
      </c>
      <c r="K169" s="2303">
        <f>147060000/1000</f>
        <v>147060</v>
      </c>
      <c r="L169" s="1692">
        <v>159340</v>
      </c>
      <c r="M169" s="1446">
        <v>147.55000000000001</v>
      </c>
      <c r="N169" s="1562">
        <f>+I169*M169</f>
        <v>147550000</v>
      </c>
    </row>
    <row r="170" spans="1:20">
      <c r="B170" s="1775" t="s">
        <v>1048</v>
      </c>
      <c r="H170" s="1446"/>
      <c r="I170" s="2303">
        <v>2000000</v>
      </c>
      <c r="J170" s="2157">
        <v>1000000</v>
      </c>
      <c r="K170" s="2303">
        <f>83800000/1000</f>
        <v>83800</v>
      </c>
      <c r="L170" s="1692">
        <v>95030</v>
      </c>
      <c r="M170" s="1446">
        <v>73.33</v>
      </c>
      <c r="N170" s="1562">
        <f>M170*I170</f>
        <v>146660000</v>
      </c>
    </row>
    <row r="171" spans="1:20">
      <c r="B171" s="1446" t="s">
        <v>1051</v>
      </c>
      <c r="H171" s="1446"/>
      <c r="I171" s="2303">
        <v>0</v>
      </c>
      <c r="J171" s="2157">
        <v>0</v>
      </c>
      <c r="K171" s="2303">
        <v>0</v>
      </c>
      <c r="L171" s="1692">
        <v>0</v>
      </c>
    </row>
    <row r="172" spans="1:20" ht="14.4" thickBot="1">
      <c r="H172" s="1446"/>
      <c r="I172" s="2158">
        <f>SUM(I169:I170)</f>
        <v>3000000</v>
      </c>
      <c r="J172" s="2159">
        <f>SUM(J169:J171)</f>
        <v>3000000</v>
      </c>
      <c r="K172" s="2158">
        <f>SUM(K169:K170)</f>
        <v>230860</v>
      </c>
      <c r="L172" s="2159">
        <f>SUM(L169:L171)</f>
        <v>254370</v>
      </c>
    </row>
    <row r="173" spans="1:20" ht="14.4" thickTop="1">
      <c r="H173" s="1446"/>
      <c r="I173" s="2213"/>
      <c r="J173" s="1697"/>
      <c r="K173" s="2213"/>
      <c r="L173" s="1697"/>
    </row>
    <row r="174" spans="1:20">
      <c r="B174" s="2390" t="s">
        <v>3309</v>
      </c>
      <c r="C174" s="2390"/>
      <c r="D174" s="2390"/>
      <c r="E174" s="2390"/>
      <c r="F174" s="2390"/>
      <c r="G174" s="2390"/>
      <c r="H174" s="2390"/>
      <c r="I174" s="2390"/>
      <c r="J174" s="2390"/>
      <c r="K174" s="2213"/>
      <c r="L174" s="1697"/>
    </row>
    <row r="176" spans="1:20">
      <c r="H176" s="1446"/>
      <c r="I176" s="1446"/>
      <c r="J176" s="1709" t="s">
        <v>622</v>
      </c>
      <c r="K176" s="1709" t="s">
        <v>2496</v>
      </c>
    </row>
    <row r="177" spans="1:11">
      <c r="E177" s="1863" t="s">
        <v>51</v>
      </c>
      <c r="H177" s="1446"/>
      <c r="I177" s="1446"/>
      <c r="J177" s="1710">
        <v>2018</v>
      </c>
      <c r="K177" s="1710">
        <v>2018</v>
      </c>
    </row>
    <row r="178" spans="1:11">
      <c r="G178" s="1446"/>
      <c r="I178" s="1446"/>
      <c r="J178" s="1687" t="s">
        <v>631</v>
      </c>
      <c r="K178" s="1688" t="s">
        <v>630</v>
      </c>
    </row>
    <row r="179" spans="1:11">
      <c r="A179" s="1445">
        <v>5.2</v>
      </c>
      <c r="B179" s="1864" t="s">
        <v>1110</v>
      </c>
      <c r="G179" s="1446"/>
      <c r="I179" s="1446"/>
      <c r="J179" s="1687"/>
      <c r="K179" s="1688"/>
    </row>
    <row r="180" spans="1:11">
      <c r="B180" s="1864" t="s">
        <v>1111</v>
      </c>
      <c r="G180" s="1446"/>
      <c r="I180" s="1446"/>
      <c r="J180" s="1687"/>
      <c r="K180" s="1688"/>
    </row>
    <row r="181" spans="1:11">
      <c r="B181" s="1864" t="s">
        <v>1112</v>
      </c>
      <c r="C181" s="1446"/>
      <c r="E181" s="1446"/>
      <c r="H181" s="1446"/>
      <c r="I181" s="1446"/>
    </row>
    <row r="182" spans="1:11">
      <c r="B182" s="1692"/>
      <c r="C182" s="1446"/>
      <c r="E182" s="1865"/>
      <c r="H182" s="1446"/>
      <c r="I182" s="1446"/>
    </row>
    <row r="183" spans="1:11">
      <c r="B183" s="1692" t="s">
        <v>665</v>
      </c>
      <c r="C183" s="1446"/>
      <c r="E183" s="1866">
        <v>5.0999999999999996</v>
      </c>
      <c r="H183" s="1446"/>
      <c r="I183" s="1446"/>
      <c r="J183" s="1864">
        <f>I155</f>
        <v>11260226.018000003</v>
      </c>
      <c r="K183" s="1627">
        <f>$I$157</f>
        <v>11903844</v>
      </c>
    </row>
    <row r="184" spans="1:11">
      <c r="B184" s="1692" t="s">
        <v>720</v>
      </c>
      <c r="C184" s="1446"/>
      <c r="E184" s="1866">
        <v>5.0999999999999996</v>
      </c>
      <c r="H184" s="1446"/>
      <c r="I184" s="1446"/>
      <c r="J184" s="1864">
        <f>-H155</f>
        <v>-12074060.137999998</v>
      </c>
      <c r="K184" s="1627">
        <f>-$H$157</f>
        <v>-11180903</v>
      </c>
    </row>
    <row r="185" spans="1:11" ht="14.4" thickBot="1">
      <c r="C185" s="1446"/>
      <c r="G185" s="1446"/>
      <c r="I185" s="1446"/>
      <c r="J185" s="2308">
        <f>SUM(J183:J184)</f>
        <v>-813834.11999999546</v>
      </c>
      <c r="K185" s="1867">
        <f>SUM(K183:K184)</f>
        <v>722941</v>
      </c>
    </row>
    <row r="186" spans="1:11" ht="14.4" thickTop="1">
      <c r="C186" s="1446"/>
      <c r="G186" s="1446"/>
    </row>
    <row r="271" spans="6:9">
      <c r="F271" s="1692">
        <f>'5.2'!F41+G155</f>
        <v>0</v>
      </c>
      <c r="I271" s="1692">
        <v>208762976</v>
      </c>
    </row>
    <row r="272" spans="6:9">
      <c r="I272" s="1692">
        <f>I271/1000</f>
        <v>208762.976</v>
      </c>
    </row>
    <row r="273" spans="2:9">
      <c r="B273" s="1446">
        <v>162.79</v>
      </c>
      <c r="C273" s="1547">
        <f>B273*1000000</f>
        <v>162790000</v>
      </c>
    </row>
    <row r="274" spans="2:9">
      <c r="C274" s="1547"/>
      <c r="I274" s="1692" t="e">
        <f>'5.2'!#REF!-I272</f>
        <v>#REF!</v>
      </c>
    </row>
    <row r="275" spans="2:9">
      <c r="B275" s="1446">
        <v>91</v>
      </c>
      <c r="C275" s="1547">
        <f>B275*2000000</f>
        <v>182000000</v>
      </c>
    </row>
    <row r="564" spans="1:10">
      <c r="B564" s="2389" t="s">
        <v>2416</v>
      </c>
      <c r="C564" s="2389"/>
      <c r="D564" s="2389"/>
      <c r="E564" s="2389"/>
      <c r="F564" s="2389"/>
      <c r="G564" s="2389"/>
      <c r="H564" s="2389"/>
      <c r="I564" s="2389"/>
      <c r="J564" s="2389"/>
    </row>
    <row r="565" spans="1:10">
      <c r="B565" s="2389"/>
      <c r="C565" s="2389"/>
      <c r="D565" s="2389"/>
      <c r="E565" s="2389"/>
      <c r="F565" s="2389"/>
      <c r="G565" s="2389"/>
      <c r="H565" s="2389"/>
      <c r="I565" s="2389"/>
      <c r="J565" s="2389"/>
    </row>
    <row r="566" spans="1:10">
      <c r="B566" s="2389"/>
      <c r="C566" s="2389"/>
      <c r="D566" s="2389"/>
      <c r="E566" s="2389"/>
      <c r="F566" s="2389"/>
      <c r="G566" s="2389"/>
      <c r="H566" s="2389"/>
      <c r="I566" s="2389"/>
      <c r="J566" s="2389"/>
    </row>
    <row r="568" spans="1:10">
      <c r="A568" s="1446">
        <f>A564+0.1</f>
        <v>0.1</v>
      </c>
    </row>
    <row r="705" spans="3:3">
      <c r="C705" s="1692" t="s">
        <v>2417</v>
      </c>
    </row>
    <row r="719" spans="3:3">
      <c r="C719" s="1692" t="s">
        <v>2418</v>
      </c>
    </row>
  </sheetData>
  <mergeCells count="20">
    <mergeCell ref="H7:J7"/>
    <mergeCell ref="I167:J167"/>
    <mergeCell ref="K167:L167"/>
    <mergeCell ref="K7:L7"/>
    <mergeCell ref="B564:J566"/>
    <mergeCell ref="B174:J174"/>
    <mergeCell ref="B162:M163"/>
    <mergeCell ref="L3:L6"/>
    <mergeCell ref="H4:H6"/>
    <mergeCell ref="I4:I6"/>
    <mergeCell ref="J4:J6"/>
    <mergeCell ref="K3:K6"/>
    <mergeCell ref="B3:B6"/>
    <mergeCell ref="H3:J3"/>
    <mergeCell ref="C3:G3"/>
    <mergeCell ref="C4:C6"/>
    <mergeCell ref="D4:D6"/>
    <mergeCell ref="E4:E6"/>
    <mergeCell ref="F4:F6"/>
    <mergeCell ref="G4:G6"/>
  </mergeCells>
  <pageMargins left="0.75" right="0.25" top="0.6" bottom="0" header="0.25" footer="0"/>
  <pageSetup paperSize="9" scale="74" firstPageNumber="9" fitToHeight="0" orientation="landscape" useFirstPageNumber="1" r:id="rId1"/>
  <headerFooter>
    <oddHeader>&amp;C&amp;"Arial Black,Regular"&amp;11&amp;P&amp;R&amp;"Arial Black,Regular"&amp;11MCB PAKISTAN STOCK MARKET FUND</oddHeader>
  </headerFooter>
  <rowBreaks count="2" manualBreakCount="2">
    <brk id="111" max="11" man="1"/>
    <brk id="220"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67"/>
  <sheetViews>
    <sheetView view="pageBreakPreview" topLeftCell="A44" zoomScale="90" zoomScaleNormal="110" zoomScaleSheetLayoutView="90" workbookViewId="0">
      <selection activeCell="C60" sqref="C60"/>
    </sheetView>
  </sheetViews>
  <sheetFormatPr defaultColWidth="10.19921875" defaultRowHeight="13.8"/>
  <cols>
    <col min="1" max="1" width="4.19921875" style="1446" customWidth="1"/>
    <col min="2" max="2" width="35.19921875" style="1446" customWidth="1"/>
    <col min="3" max="11" width="14.5" style="1446" customWidth="1"/>
    <col min="12" max="12" width="5.69921875" style="1446" customWidth="1"/>
    <col min="13" max="13" width="9.19921875" style="1446" customWidth="1"/>
    <col min="14" max="17" width="5.69921875" style="1446" customWidth="1"/>
    <col min="18" max="18" width="13" style="1446" customWidth="1"/>
    <col min="19" max="19" width="9.19921875" style="1446" customWidth="1"/>
    <col min="20" max="43" width="10.19921875" style="1446" customWidth="1"/>
    <col min="44" max="16384" width="10.19921875" style="1446"/>
  </cols>
  <sheetData>
    <row r="1" spans="1:22" hidden="1"/>
    <row r="2" spans="1:22" ht="15" hidden="1" customHeight="1">
      <c r="A2" s="1652"/>
      <c r="B2" s="2383" t="s">
        <v>116</v>
      </c>
      <c r="C2" s="2387" t="s">
        <v>2571</v>
      </c>
      <c r="D2" s="2395"/>
      <c r="E2" s="2396"/>
      <c r="F2" s="2397"/>
      <c r="G2" s="2377" t="s">
        <v>2568</v>
      </c>
      <c r="H2" s="2378"/>
      <c r="I2" s="2379"/>
      <c r="J2" s="2383" t="s">
        <v>2557</v>
      </c>
      <c r="K2" s="2407" t="s">
        <v>2558</v>
      </c>
      <c r="L2" s="1829"/>
      <c r="M2" s="1830"/>
      <c r="N2" s="1829"/>
      <c r="O2" s="1829"/>
      <c r="P2" s="1829"/>
      <c r="Q2" s="1829"/>
      <c r="S2" s="1689" t="s">
        <v>166</v>
      </c>
      <c r="T2" s="1690">
        <f>ROUND(BS!$F$29,0)</f>
        <v>11812275</v>
      </c>
      <c r="U2" s="1624" t="e">
        <f>#REF!/T2</f>
        <v>#REF!</v>
      </c>
    </row>
    <row r="3" spans="1:22" ht="15" hidden="1" customHeight="1">
      <c r="A3" s="1652"/>
      <c r="B3" s="2384"/>
      <c r="C3" s="2398" t="s">
        <v>2454</v>
      </c>
      <c r="D3" s="1992"/>
      <c r="E3" s="2383" t="s">
        <v>2553</v>
      </c>
      <c r="F3" s="2383" t="s">
        <v>2450</v>
      </c>
      <c r="G3" s="2384" t="s">
        <v>984</v>
      </c>
      <c r="H3" s="2384" t="s">
        <v>2451</v>
      </c>
      <c r="I3" s="2383" t="s">
        <v>2569</v>
      </c>
      <c r="J3" s="2384"/>
      <c r="K3" s="2408"/>
      <c r="L3" s="1829"/>
      <c r="M3" s="1830"/>
      <c r="N3" s="1829"/>
      <c r="O3" s="1829"/>
      <c r="P3" s="1829"/>
      <c r="Q3" s="1829"/>
      <c r="S3" s="1532" t="s">
        <v>167</v>
      </c>
      <c r="T3" s="1819">
        <f>ROUND(BS!$F$12,0)</f>
        <v>11260226</v>
      </c>
      <c r="U3" s="1624"/>
      <c r="V3" s="1843">
        <f>T3/T2</f>
        <v>0.95326480292746318</v>
      </c>
    </row>
    <row r="4" spans="1:22" ht="15" hidden="1" customHeight="1">
      <c r="A4" s="1652"/>
      <c r="B4" s="2384"/>
      <c r="C4" s="2399"/>
      <c r="D4" s="1979"/>
      <c r="E4" s="2384"/>
      <c r="F4" s="2384"/>
      <c r="G4" s="2384"/>
      <c r="H4" s="2384"/>
      <c r="I4" s="2384"/>
      <c r="J4" s="2384"/>
      <c r="K4" s="2408"/>
      <c r="L4" s="1829"/>
      <c r="M4" s="1830"/>
      <c r="N4" s="1829"/>
      <c r="O4" s="1829"/>
      <c r="P4" s="1829"/>
      <c r="Q4" s="1829"/>
      <c r="S4" s="1689"/>
      <c r="T4" s="1690"/>
      <c r="U4" s="1624"/>
    </row>
    <row r="5" spans="1:22" hidden="1">
      <c r="A5" s="1652"/>
      <c r="B5" s="2385"/>
      <c r="C5" s="2400"/>
      <c r="D5" s="1980"/>
      <c r="E5" s="2385"/>
      <c r="F5" s="2385"/>
      <c r="G5" s="2394"/>
      <c r="H5" s="2394"/>
      <c r="I5" s="2384"/>
      <c r="J5" s="2385"/>
      <c r="K5" s="2409"/>
      <c r="L5" s="1829"/>
      <c r="M5" s="1830"/>
      <c r="N5" s="1829"/>
      <c r="O5" s="1829"/>
      <c r="P5" s="1829"/>
      <c r="Q5" s="1829"/>
      <c r="T5" s="1547"/>
    </row>
    <row r="6" spans="1:22" hidden="1">
      <c r="A6" s="1652"/>
      <c r="B6" s="1834"/>
      <c r="C6" s="1900"/>
      <c r="D6" s="1835"/>
      <c r="E6" s="1902"/>
      <c r="F6" s="1901"/>
      <c r="G6" s="2387" t="s">
        <v>2559</v>
      </c>
      <c r="H6" s="2387"/>
      <c r="I6" s="2387"/>
      <c r="J6" s="2387" t="s">
        <v>2570</v>
      </c>
      <c r="K6" s="2387"/>
      <c r="L6" s="1837"/>
      <c r="M6" s="1706"/>
      <c r="N6" s="1837"/>
      <c r="O6" s="1837"/>
      <c r="P6" s="1837"/>
      <c r="Q6" s="1837"/>
      <c r="T6" s="1547"/>
    </row>
    <row r="7" spans="1:22" hidden="1">
      <c r="A7" s="1652"/>
      <c r="B7" s="1868" t="s">
        <v>2551</v>
      </c>
      <c r="C7" s="1871"/>
      <c r="D7" s="1871"/>
      <c r="E7" s="1898"/>
      <c r="F7" s="1898"/>
      <c r="G7" s="1871"/>
      <c r="H7" s="1448"/>
      <c r="I7" s="1899"/>
      <c r="J7" s="1837"/>
      <c r="K7" s="1837"/>
      <c r="L7" s="1837"/>
      <c r="M7" s="1706"/>
      <c r="N7" s="1837"/>
      <c r="O7" s="1837"/>
      <c r="P7" s="1837"/>
      <c r="Q7" s="1837"/>
      <c r="T7" s="1547"/>
    </row>
    <row r="8" spans="1:22" hidden="1">
      <c r="A8" s="1652"/>
      <c r="B8" s="1624"/>
      <c r="C8" s="1871"/>
      <c r="D8" s="1871"/>
      <c r="E8" s="1898"/>
      <c r="F8" s="1898"/>
      <c r="G8" s="1871"/>
      <c r="H8" s="1448"/>
      <c r="I8" s="1899"/>
      <c r="J8" s="1837"/>
      <c r="K8" s="1837"/>
      <c r="L8" s="1837"/>
      <c r="M8" s="1706"/>
      <c r="N8" s="1837"/>
      <c r="O8" s="1837"/>
      <c r="P8" s="1837"/>
      <c r="Q8" s="1837"/>
      <c r="T8" s="1547"/>
    </row>
    <row r="9" spans="1:22" hidden="1">
      <c r="A9" s="1652"/>
      <c r="B9" s="1838" t="s">
        <v>2552</v>
      </c>
      <c r="C9" s="1703"/>
      <c r="D9" s="1703"/>
      <c r="E9" s="1839"/>
      <c r="F9" s="1816"/>
      <c r="G9" s="1816"/>
      <c r="H9" s="1839"/>
      <c r="I9" s="1818"/>
      <c r="J9" s="1877"/>
      <c r="K9" s="1818"/>
      <c r="L9" s="1818"/>
      <c r="M9" s="1819"/>
      <c r="N9" s="1818"/>
      <c r="O9" s="1818"/>
      <c r="P9" s="1818"/>
      <c r="Q9" s="1818"/>
      <c r="R9" s="1690"/>
      <c r="S9" s="1840"/>
      <c r="T9" s="1547"/>
    </row>
    <row r="10" spans="1:22" hidden="1">
      <c r="A10" s="1652"/>
      <c r="B10" s="1841" t="s">
        <v>335</v>
      </c>
      <c r="C10" s="1839">
        <v>10</v>
      </c>
      <c r="D10" s="1839"/>
      <c r="E10" s="1839">
        <v>10</v>
      </c>
      <c r="F10" s="1816">
        <f>C10-E10</f>
        <v>0</v>
      </c>
      <c r="G10" s="1903">
        <v>0</v>
      </c>
      <c r="H10" s="1903">
        <v>0</v>
      </c>
      <c r="I10" s="1904">
        <f>H10-G10</f>
        <v>0</v>
      </c>
      <c r="J10" s="1869">
        <f>ROUND(H10/'5.1'!$X$41,2)</f>
        <v>0</v>
      </c>
      <c r="K10" s="1869">
        <v>0</v>
      </c>
      <c r="L10" s="1847"/>
      <c r="M10" s="1820"/>
      <c r="N10" s="1878"/>
      <c r="O10" s="1878"/>
      <c r="P10" s="1878"/>
      <c r="Q10" s="1878"/>
      <c r="R10" s="1535"/>
      <c r="S10" s="1879"/>
      <c r="T10" s="1562"/>
    </row>
    <row r="11" spans="1:22" hidden="1">
      <c r="A11" s="1652"/>
      <c r="B11" s="1702"/>
      <c r="C11" s="1703"/>
      <c r="D11" s="1703"/>
      <c r="E11" s="1839"/>
      <c r="F11" s="1839"/>
      <c r="G11" s="1839"/>
      <c r="H11" s="1839"/>
      <c r="I11" s="1854"/>
      <c r="J11" s="1855"/>
      <c r="K11" s="1847"/>
      <c r="L11" s="1847"/>
      <c r="M11" s="1820"/>
      <c r="N11" s="1854"/>
      <c r="O11" s="1854"/>
      <c r="P11" s="1854"/>
      <c r="Q11" s="1854"/>
      <c r="R11" s="1690"/>
      <c r="S11" s="1690"/>
      <c r="T11" s="1547"/>
    </row>
    <row r="12" spans="1:22" hidden="1">
      <c r="A12" s="1652"/>
      <c r="B12" s="1838" t="s">
        <v>1029</v>
      </c>
      <c r="C12" s="1704"/>
      <c r="D12" s="1704"/>
      <c r="E12" s="1625"/>
      <c r="F12" s="1625"/>
      <c r="G12" s="1625"/>
      <c r="H12" s="1625"/>
      <c r="I12" s="1843"/>
      <c r="J12" s="1844"/>
      <c r="K12" s="1847"/>
      <c r="L12" s="1847"/>
      <c r="M12" s="1820"/>
      <c r="N12" s="1854"/>
      <c r="O12" s="1854"/>
      <c r="P12" s="1854"/>
      <c r="Q12" s="1854"/>
      <c r="R12" s="1690"/>
      <c r="S12" s="1690"/>
      <c r="T12" s="1547"/>
    </row>
    <row r="13" spans="1:22" hidden="1">
      <c r="A13" s="1652"/>
      <c r="B13" s="1775" t="s">
        <v>125</v>
      </c>
      <c r="C13" s="1880">
        <v>290100</v>
      </c>
      <c r="D13" s="1880"/>
      <c r="E13" s="1839">
        <v>290100</v>
      </c>
      <c r="F13" s="1816">
        <f>C13-E13</f>
        <v>0</v>
      </c>
      <c r="G13" s="1903">
        <v>0</v>
      </c>
      <c r="H13" s="1903">
        <v>0</v>
      </c>
      <c r="I13" s="1904">
        <f>H13-G13</f>
        <v>0</v>
      </c>
      <c r="J13" s="1869">
        <f>H13/'5.1'!$X$41</f>
        <v>0</v>
      </c>
      <c r="K13" s="1872">
        <v>0</v>
      </c>
      <c r="L13" s="1847"/>
      <c r="M13" s="1820"/>
      <c r="N13" s="1878"/>
      <c r="O13" s="1878"/>
      <c r="P13" s="1878"/>
      <c r="Q13" s="1878"/>
      <c r="S13" s="1840"/>
      <c r="T13" s="1547"/>
    </row>
    <row r="14" spans="1:22" hidden="1">
      <c r="A14" s="1652"/>
      <c r="B14" s="1775"/>
      <c r="C14" s="1880"/>
      <c r="D14" s="1880"/>
      <c r="E14" s="1839"/>
      <c r="F14" s="1816"/>
      <c r="G14" s="1839"/>
      <c r="H14" s="1839"/>
      <c r="I14" s="1846"/>
      <c r="J14" s="1847"/>
      <c r="K14" s="1855"/>
      <c r="L14" s="1847"/>
      <c r="M14" s="1820"/>
      <c r="N14" s="1878"/>
      <c r="O14" s="1878"/>
      <c r="P14" s="1878"/>
      <c r="Q14" s="1878"/>
      <c r="S14" s="1840"/>
      <c r="T14" s="1547"/>
    </row>
    <row r="15" spans="1:22" hidden="1">
      <c r="A15" s="1652"/>
      <c r="B15" s="1838" t="s">
        <v>2560</v>
      </c>
      <c r="C15" s="1704"/>
      <c r="D15" s="1704"/>
      <c r="E15" s="1816"/>
      <c r="F15" s="1816"/>
      <c r="G15" s="1816"/>
      <c r="H15" s="1816"/>
      <c r="I15" s="1851"/>
      <c r="J15" s="1851"/>
      <c r="K15" s="1847"/>
      <c r="L15" s="1847"/>
      <c r="M15" s="1820"/>
      <c r="N15" s="1854"/>
      <c r="O15" s="1854"/>
      <c r="P15" s="1854"/>
      <c r="Q15" s="1854"/>
      <c r="S15" s="1690"/>
      <c r="T15" s="1547"/>
    </row>
    <row r="16" spans="1:22" hidden="1">
      <c r="A16" s="1652"/>
      <c r="B16" s="1841" t="s">
        <v>1063</v>
      </c>
      <c r="C16" s="1703">
        <v>5050</v>
      </c>
      <c r="D16" s="1703"/>
      <c r="E16" s="1703">
        <v>5050</v>
      </c>
      <c r="F16" s="1816">
        <f>C16-E16</f>
        <v>0</v>
      </c>
      <c r="G16" s="1839">
        <v>0</v>
      </c>
      <c r="H16" s="1839">
        <v>0</v>
      </c>
      <c r="I16" s="1854">
        <f t="shared" ref="I16:I17" si="0">H16-G16</f>
        <v>0</v>
      </c>
      <c r="J16" s="1855">
        <f>ROUND(H16/'5.1'!$X$41,2)</f>
        <v>0</v>
      </c>
      <c r="K16" s="1855">
        <v>0</v>
      </c>
      <c r="L16" s="1847"/>
      <c r="M16" s="1820"/>
      <c r="N16" s="1878"/>
      <c r="O16" s="1878"/>
      <c r="P16" s="1878"/>
      <c r="Q16" s="1878"/>
      <c r="R16" s="1535"/>
      <c r="S16" s="1840"/>
      <c r="T16" s="1547"/>
    </row>
    <row r="17" spans="1:20" hidden="1">
      <c r="A17" s="1652"/>
      <c r="B17" s="1841" t="s">
        <v>2121</v>
      </c>
      <c r="C17" s="1703">
        <v>64000</v>
      </c>
      <c r="D17" s="1703"/>
      <c r="E17" s="1703">
        <v>64000</v>
      </c>
      <c r="F17" s="1816">
        <f>C17-E17</f>
        <v>0</v>
      </c>
      <c r="G17" s="1839">
        <v>0</v>
      </c>
      <c r="H17" s="1839">
        <v>0</v>
      </c>
      <c r="I17" s="1854">
        <f t="shared" si="0"/>
        <v>0</v>
      </c>
      <c r="J17" s="1847">
        <f>H17/'5.1'!$X$41</f>
        <v>0</v>
      </c>
      <c r="K17" s="1855">
        <v>0</v>
      </c>
      <c r="L17" s="1847"/>
      <c r="M17" s="1820"/>
      <c r="N17" s="1878"/>
      <c r="O17" s="1878"/>
      <c r="P17" s="1878"/>
      <c r="Q17" s="1878"/>
      <c r="R17" s="1535"/>
      <c r="S17" s="1840"/>
      <c r="T17" s="1547"/>
    </row>
    <row r="18" spans="1:20" hidden="1">
      <c r="A18" s="1652"/>
      <c r="B18" s="1850"/>
      <c r="C18" s="1703"/>
      <c r="D18" s="1703"/>
      <c r="E18" s="1839"/>
      <c r="F18" s="1839"/>
      <c r="G18" s="1905">
        <f>SUM(G16:G17)</f>
        <v>0</v>
      </c>
      <c r="H18" s="1905">
        <f>SUM(H16:H17)</f>
        <v>0</v>
      </c>
      <c r="I18" s="1906">
        <f>SUM(I16:I17)</f>
        <v>0</v>
      </c>
      <c r="J18" s="1870">
        <f>SUM(J16:J17)</f>
        <v>0</v>
      </c>
      <c r="K18" s="1870">
        <f>SUM(K16:K17)</f>
        <v>0</v>
      </c>
      <c r="L18" s="1843"/>
      <c r="M18" s="1820"/>
      <c r="N18" s="1854"/>
      <c r="O18" s="1854"/>
      <c r="P18" s="1854"/>
      <c r="Q18" s="1854"/>
      <c r="R18" s="1690"/>
      <c r="S18" s="1840"/>
      <c r="T18" s="1547"/>
    </row>
    <row r="19" spans="1:20" hidden="1">
      <c r="A19" s="1652"/>
      <c r="B19" s="1858" t="s">
        <v>2572</v>
      </c>
      <c r="C19" s="1692"/>
      <c r="D19" s="1692"/>
      <c r="E19" s="1692"/>
      <c r="F19" s="1839"/>
      <c r="G19" s="1692"/>
      <c r="H19" s="1692"/>
      <c r="I19" s="1846"/>
      <c r="J19" s="1847"/>
      <c r="K19" s="1881"/>
      <c r="L19" s="1881"/>
      <c r="M19" s="1882"/>
      <c r="N19" s="1883"/>
      <c r="O19" s="1883"/>
      <c r="P19" s="1883"/>
      <c r="Q19" s="1883"/>
      <c r="T19" s="1547"/>
    </row>
    <row r="20" spans="1:20" hidden="1">
      <c r="A20" s="1652"/>
      <c r="B20" s="1897" t="s">
        <v>724</v>
      </c>
      <c r="C20" s="1839">
        <v>10455</v>
      </c>
      <c r="D20" s="1839"/>
      <c r="E20" s="1839">
        <v>10455</v>
      </c>
      <c r="F20" s="1816">
        <f>C20-E20</f>
        <v>0</v>
      </c>
      <c r="G20" s="1903">
        <v>0</v>
      </c>
      <c r="H20" s="1903">
        <v>0</v>
      </c>
      <c r="I20" s="1904">
        <f>H20-G20</f>
        <v>0</v>
      </c>
      <c r="J20" s="1872">
        <f>ROUND(H20/'5.1'!$X$41,2)</f>
        <v>0</v>
      </c>
      <c r="K20" s="1872">
        <v>0</v>
      </c>
      <c r="L20" s="1847"/>
      <c r="M20" s="1820"/>
      <c r="N20" s="1878"/>
      <c r="O20" s="1878"/>
      <c r="P20" s="1878"/>
      <c r="Q20" s="1878"/>
      <c r="T20" s="1547"/>
    </row>
    <row r="21" spans="1:20" hidden="1">
      <c r="A21" s="1652"/>
      <c r="B21" s="1858"/>
      <c r="C21" s="1703"/>
      <c r="D21" s="1703"/>
      <c r="E21" s="1704"/>
      <c r="F21" s="1859"/>
      <c r="G21" s="1839"/>
      <c r="H21" s="1839"/>
      <c r="I21" s="1854"/>
      <c r="J21" s="1855"/>
      <c r="K21" s="1853"/>
      <c r="L21" s="1843"/>
      <c r="M21" s="1706"/>
      <c r="N21" s="1705"/>
      <c r="O21" s="1705"/>
      <c r="P21" s="1705"/>
      <c r="Q21" s="1705"/>
      <c r="T21" s="1547"/>
    </row>
    <row r="22" spans="1:20" hidden="1">
      <c r="A22" s="1652"/>
      <c r="B22" s="1532" t="s">
        <v>2561</v>
      </c>
      <c r="C22" s="1880"/>
      <c r="D22" s="1880"/>
      <c r="E22" s="1839"/>
      <c r="F22" s="1839"/>
      <c r="G22" s="1839"/>
      <c r="H22" s="1839"/>
      <c r="I22" s="1846"/>
      <c r="J22" s="1847"/>
      <c r="K22" s="1847"/>
      <c r="L22" s="1847"/>
      <c r="M22" s="1820"/>
      <c r="N22" s="1854"/>
      <c r="O22" s="1854"/>
      <c r="P22" s="1854"/>
      <c r="Q22" s="1854"/>
      <c r="R22" s="1668"/>
      <c r="S22" s="1840"/>
      <c r="T22" s="1547"/>
    </row>
    <row r="23" spans="1:20" hidden="1">
      <c r="A23" s="1849"/>
      <c r="B23" s="1775" t="s">
        <v>2439</v>
      </c>
      <c r="C23" s="1880">
        <v>968800</v>
      </c>
      <c r="D23" s="1880"/>
      <c r="E23" s="1816">
        <v>968800</v>
      </c>
      <c r="F23" s="1816">
        <f>C23-E23</f>
        <v>0</v>
      </c>
      <c r="G23" s="1839">
        <v>0</v>
      </c>
      <c r="H23" s="1839">
        <v>0</v>
      </c>
      <c r="I23" s="1854">
        <f>H23-G23</f>
        <v>0</v>
      </c>
      <c r="J23" s="1847">
        <f>H23/'5.1'!$X$41</f>
        <v>0</v>
      </c>
      <c r="K23" s="1847">
        <v>0</v>
      </c>
      <c r="L23" s="1847"/>
      <c r="M23" s="1820"/>
      <c r="N23" s="1878"/>
      <c r="O23" s="1878"/>
      <c r="P23" s="1878"/>
      <c r="Q23" s="1878"/>
      <c r="R23" s="1535"/>
      <c r="S23" s="1840"/>
      <c r="T23" s="1547"/>
    </row>
    <row r="24" spans="1:20" hidden="1">
      <c r="A24" s="1849"/>
      <c r="B24" s="1775" t="s">
        <v>123</v>
      </c>
      <c r="C24" s="1880">
        <v>466600</v>
      </c>
      <c r="D24" s="1880"/>
      <c r="E24" s="1816">
        <v>466600</v>
      </c>
      <c r="F24" s="1816">
        <f>C24-E24</f>
        <v>0</v>
      </c>
      <c r="G24" s="1839">
        <v>0</v>
      </c>
      <c r="H24" s="1839">
        <v>0</v>
      </c>
      <c r="I24" s="1854">
        <f t="shared" ref="I24:I25" si="1">H24-G24</f>
        <v>0</v>
      </c>
      <c r="J24" s="1847">
        <f>H24/'5.1'!$X$41</f>
        <v>0</v>
      </c>
      <c r="K24" s="1847">
        <v>0</v>
      </c>
      <c r="L24" s="1847"/>
      <c r="M24" s="1820"/>
      <c r="N24" s="1878"/>
      <c r="O24" s="1878"/>
      <c r="P24" s="1878"/>
      <c r="Q24" s="1878"/>
      <c r="R24" s="1535"/>
      <c r="S24" s="1840"/>
      <c r="T24" s="1547"/>
    </row>
    <row r="25" spans="1:20" hidden="1">
      <c r="A25" s="1652"/>
      <c r="B25" s="1775" t="s">
        <v>1047</v>
      </c>
      <c r="C25" s="1880">
        <v>215670</v>
      </c>
      <c r="D25" s="1880"/>
      <c r="E25" s="1816">
        <v>215670</v>
      </c>
      <c r="F25" s="1816">
        <f>C25-E25</f>
        <v>0</v>
      </c>
      <c r="G25" s="1839">
        <v>0</v>
      </c>
      <c r="H25" s="1839">
        <v>0</v>
      </c>
      <c r="I25" s="1854">
        <f t="shared" si="1"/>
        <v>0</v>
      </c>
      <c r="J25" s="1847">
        <f>H25/'5.1'!$X$41</f>
        <v>0</v>
      </c>
      <c r="K25" s="1847">
        <v>0</v>
      </c>
      <c r="L25" s="1847"/>
      <c r="M25" s="1820"/>
      <c r="N25" s="1878"/>
      <c r="O25" s="1878"/>
      <c r="P25" s="1878"/>
      <c r="Q25" s="1878"/>
      <c r="R25" s="1535"/>
      <c r="S25" s="1840"/>
      <c r="T25" s="1547"/>
    </row>
    <row r="26" spans="1:20" hidden="1">
      <c r="A26" s="1652"/>
      <c r="B26" s="1838"/>
      <c r="C26" s="1704"/>
      <c r="D26" s="1704"/>
      <c r="E26" s="1839"/>
      <c r="F26" s="1839"/>
      <c r="G26" s="1905">
        <f>SUM(G23:G25)</f>
        <v>0</v>
      </c>
      <c r="H26" s="1905">
        <f>SUM(H23:H25)</f>
        <v>0</v>
      </c>
      <c r="I26" s="1905">
        <f>SUM(I23:I25)</f>
        <v>0</v>
      </c>
      <c r="J26" s="1870">
        <f>SUM(J23:J25)</f>
        <v>0</v>
      </c>
      <c r="K26" s="1870">
        <f>SUM(K23:K25)</f>
        <v>0</v>
      </c>
      <c r="L26" s="1843"/>
      <c r="M26" s="1820"/>
      <c r="N26" s="1854"/>
      <c r="O26" s="1854"/>
      <c r="P26" s="1854"/>
      <c r="Q26" s="1854"/>
      <c r="R26" s="1668"/>
      <c r="S26" s="1840"/>
      <c r="T26" s="1547"/>
    </row>
    <row r="27" spans="1:20" hidden="1">
      <c r="B27" s="1445" t="s">
        <v>1054</v>
      </c>
      <c r="C27" s="1692"/>
      <c r="D27" s="1692"/>
      <c r="E27" s="1625"/>
      <c r="F27" s="1625"/>
      <c r="G27" s="1625"/>
      <c r="H27" s="1625"/>
      <c r="I27" s="1843"/>
      <c r="J27" s="1844"/>
      <c r="K27" s="1856"/>
      <c r="L27" s="1856"/>
      <c r="M27" s="1484"/>
      <c r="N27" s="1459"/>
      <c r="O27" s="1459"/>
      <c r="P27" s="1459"/>
      <c r="Q27" s="1459"/>
      <c r="R27" s="1449"/>
      <c r="T27" s="1547"/>
    </row>
    <row r="28" spans="1:20" hidden="1">
      <c r="C28" s="1692">
        <v>5540.4</v>
      </c>
      <c r="D28" s="1692"/>
      <c r="E28" s="1692">
        <v>5540.4</v>
      </c>
      <c r="F28" s="1816">
        <f>C28-E28</f>
        <v>0</v>
      </c>
      <c r="G28" s="1908">
        <v>0</v>
      </c>
      <c r="H28" s="1908">
        <v>0</v>
      </c>
      <c r="I28" s="1909">
        <v>0</v>
      </c>
      <c r="J28" s="1907">
        <f>ROUND(H28/'5.1'!$X$41,2)</f>
        <v>0</v>
      </c>
      <c r="K28" s="1872">
        <v>0</v>
      </c>
      <c r="L28" s="1847"/>
      <c r="M28" s="1820"/>
      <c r="N28" s="1878"/>
      <c r="O28" s="1878"/>
      <c r="P28" s="1878"/>
      <c r="Q28" s="1878"/>
      <c r="R28" s="1449"/>
      <c r="S28" s="1535"/>
      <c r="T28" s="1547"/>
    </row>
    <row r="29" spans="1:20" hidden="1">
      <c r="C29" s="1625"/>
      <c r="D29" s="1625"/>
      <c r="E29" s="1625"/>
      <c r="F29" s="1816"/>
      <c r="G29" s="1816"/>
      <c r="H29" s="1692"/>
      <c r="I29" s="1843">
        <v>369241</v>
      </c>
      <c r="J29" s="1844"/>
      <c r="K29" s="1856"/>
      <c r="L29" s="1843"/>
      <c r="M29" s="1484"/>
      <c r="N29" s="1459"/>
      <c r="O29" s="1459"/>
      <c r="P29" s="1459"/>
      <c r="Q29" s="1459"/>
      <c r="R29" s="1449"/>
      <c r="S29" s="1535"/>
      <c r="T29" s="1547"/>
    </row>
    <row r="30" spans="1:20" hidden="1">
      <c r="B30" s="1445" t="s">
        <v>2562</v>
      </c>
      <c r="C30" s="1625"/>
      <c r="D30" s="1625"/>
      <c r="E30" s="1625"/>
      <c r="F30" s="1816"/>
      <c r="G30" s="1816"/>
      <c r="H30" s="1692"/>
      <c r="I30" s="1843"/>
      <c r="J30" s="1847"/>
      <c r="K30" s="1856"/>
      <c r="L30" s="1856"/>
      <c r="M30" s="1484"/>
      <c r="N30" s="1459"/>
      <c r="O30" s="1459"/>
      <c r="P30" s="1459"/>
      <c r="Q30" s="1459"/>
      <c r="R30" s="1449"/>
      <c r="S30" s="1535"/>
      <c r="T30" s="1547"/>
    </row>
    <row r="31" spans="1:20" hidden="1">
      <c r="B31" s="1446" t="s">
        <v>2606</v>
      </c>
      <c r="C31" s="1625">
        <v>1872400</v>
      </c>
      <c r="D31" s="1625"/>
      <c r="E31" s="1625">
        <v>1872400</v>
      </c>
      <c r="F31" s="1816">
        <f>C31-E31</f>
        <v>0</v>
      </c>
      <c r="G31" s="1854">
        <v>0</v>
      </c>
      <c r="H31" s="1854">
        <v>0</v>
      </c>
      <c r="I31" s="1854">
        <f>H31-G31</f>
        <v>0</v>
      </c>
      <c r="J31" s="1847">
        <f>H31/'5.1'!$X$41</f>
        <v>0</v>
      </c>
      <c r="K31" s="1855">
        <v>0</v>
      </c>
      <c r="L31" s="1843"/>
      <c r="M31" s="1820"/>
      <c r="N31" s="1878"/>
      <c r="O31" s="1878"/>
      <c r="P31" s="1878"/>
      <c r="Q31" s="1878"/>
      <c r="R31" s="1884"/>
      <c r="S31" s="1535"/>
      <c r="T31" s="1547"/>
    </row>
    <row r="32" spans="1:20" hidden="1">
      <c r="A32" s="1849"/>
      <c r="B32" s="1446" t="s">
        <v>501</v>
      </c>
      <c r="C32" s="1625">
        <v>15500</v>
      </c>
      <c r="D32" s="1625"/>
      <c r="E32" s="1625">
        <v>15500</v>
      </c>
      <c r="F32" s="1816">
        <f>C32-E32</f>
        <v>0</v>
      </c>
      <c r="G32" s="1854">
        <v>0</v>
      </c>
      <c r="H32" s="1854">
        <v>0</v>
      </c>
      <c r="I32" s="1854">
        <f t="shared" ref="I32:I33" si="2">H32-G32</f>
        <v>0</v>
      </c>
      <c r="J32" s="1847">
        <f>H32/'5.1'!$X$41</f>
        <v>0</v>
      </c>
      <c r="K32" s="1855">
        <v>0</v>
      </c>
      <c r="L32" s="1843"/>
      <c r="M32" s="1820"/>
      <c r="N32" s="1878"/>
      <c r="O32" s="1878"/>
      <c r="P32" s="1878"/>
      <c r="Q32" s="1878"/>
      <c r="R32" s="1449"/>
      <c r="S32" s="1535"/>
      <c r="T32" s="1547"/>
    </row>
    <row r="33" spans="1:20" hidden="1">
      <c r="A33" s="1849"/>
      <c r="B33" s="1446" t="s">
        <v>1066</v>
      </c>
      <c r="C33" s="1625">
        <v>327000</v>
      </c>
      <c r="D33" s="1625"/>
      <c r="E33" s="1625">
        <v>327000</v>
      </c>
      <c r="F33" s="1816">
        <f>C33-E33</f>
        <v>0</v>
      </c>
      <c r="G33" s="1854">
        <v>0</v>
      </c>
      <c r="H33" s="1854">
        <v>0</v>
      </c>
      <c r="I33" s="1854">
        <f t="shared" si="2"/>
        <v>0</v>
      </c>
      <c r="J33" s="1856">
        <f>H33/'5.1'!$X$41</f>
        <v>0</v>
      </c>
      <c r="K33" s="1855">
        <v>0</v>
      </c>
      <c r="L33" s="1843"/>
      <c r="M33" s="1820"/>
      <c r="N33" s="1878"/>
      <c r="O33" s="1878"/>
      <c r="P33" s="1878"/>
      <c r="Q33" s="1878"/>
      <c r="R33" s="1449"/>
      <c r="S33" s="1535">
        <v>50172522</v>
      </c>
      <c r="T33" s="1547">
        <f>ROUND(S33/1000,0)</f>
        <v>50173</v>
      </c>
    </row>
    <row r="34" spans="1:20" hidden="1">
      <c r="C34" s="1625"/>
      <c r="D34" s="1625"/>
      <c r="E34" s="1625"/>
      <c r="F34" s="1816"/>
      <c r="G34" s="1906">
        <f>SUM(G31:G33)</f>
        <v>0</v>
      </c>
      <c r="H34" s="1906">
        <f>SUM(H31:H33)</f>
        <v>0</v>
      </c>
      <c r="I34" s="1906">
        <f>SUM(I31:I33)</f>
        <v>0</v>
      </c>
      <c r="J34" s="1873">
        <f>SUM(J31:J33)</f>
        <v>0</v>
      </c>
      <c r="K34" s="1873">
        <f>SUM(K31:K33)</f>
        <v>0</v>
      </c>
      <c r="L34" s="1843"/>
      <c r="M34" s="1484"/>
      <c r="N34" s="1459"/>
      <c r="O34" s="1459"/>
      <c r="P34" s="1459"/>
      <c r="Q34" s="1459"/>
      <c r="R34" s="1449"/>
      <c r="S34" s="1535"/>
      <c r="T34" s="1547"/>
    </row>
    <row r="35" spans="1:20" hidden="1">
      <c r="B35" s="1445" t="s">
        <v>2563</v>
      </c>
      <c r="C35" s="1625"/>
      <c r="D35" s="1625"/>
      <c r="E35" s="1625"/>
      <c r="F35" s="1816"/>
      <c r="G35" s="1816"/>
      <c r="H35" s="1692"/>
      <c r="I35" s="1843"/>
      <c r="J35" s="1844"/>
      <c r="K35" s="1856"/>
      <c r="L35" s="1856"/>
      <c r="M35" s="1484"/>
      <c r="N35" s="1459"/>
      <c r="O35" s="1459"/>
      <c r="P35" s="1459"/>
      <c r="Q35" s="1459"/>
      <c r="R35" s="1449"/>
      <c r="S35" s="1535"/>
      <c r="T35" s="1547"/>
    </row>
    <row r="36" spans="1:20" hidden="1">
      <c r="B36" s="1446" t="s">
        <v>1067</v>
      </c>
      <c r="C36" s="1625">
        <v>750</v>
      </c>
      <c r="D36" s="1625"/>
      <c r="E36" s="1625">
        <v>750</v>
      </c>
      <c r="F36" s="1816">
        <f>C36-E36</f>
        <v>0</v>
      </c>
      <c r="G36" s="1839">
        <v>0</v>
      </c>
      <c r="H36" s="1697">
        <v>0</v>
      </c>
      <c r="I36" s="1697">
        <f>H36-G36</f>
        <v>0</v>
      </c>
      <c r="J36" s="1874">
        <f>ROUND(H36/'5.1'!$X$41,2)</f>
        <v>0</v>
      </c>
      <c r="K36" s="1855">
        <v>0</v>
      </c>
      <c r="L36" s="1847"/>
      <c r="M36" s="1820"/>
      <c r="N36" s="1878"/>
      <c r="O36" s="1878"/>
      <c r="P36" s="1878"/>
      <c r="Q36" s="1878"/>
      <c r="R36" s="1449"/>
      <c r="S36" s="1535"/>
      <c r="T36" s="1547"/>
    </row>
    <row r="37" spans="1:20" hidden="1">
      <c r="B37" s="1446" t="s">
        <v>2057</v>
      </c>
      <c r="C37" s="1625">
        <v>631500</v>
      </c>
      <c r="D37" s="1625"/>
      <c r="E37" s="1625">
        <v>631500</v>
      </c>
      <c r="F37" s="1816">
        <f>C37-E37</f>
        <v>0</v>
      </c>
      <c r="G37" s="1839">
        <v>0</v>
      </c>
      <c r="H37" s="1697">
        <v>0</v>
      </c>
      <c r="I37" s="1697">
        <f>H37-G37</f>
        <v>0</v>
      </c>
      <c r="J37" s="1856">
        <f>H37/'5.1'!$X$41</f>
        <v>0</v>
      </c>
      <c r="K37" s="1855">
        <v>0</v>
      </c>
      <c r="L37" s="1847"/>
      <c r="M37" s="1820"/>
      <c r="N37" s="1878"/>
      <c r="O37" s="1878"/>
      <c r="P37" s="1878"/>
      <c r="Q37" s="1878"/>
      <c r="R37" s="1449"/>
      <c r="S37" s="1535"/>
      <c r="T37" s="1547"/>
    </row>
    <row r="38" spans="1:20" hidden="1">
      <c r="C38" s="1625"/>
      <c r="D38" s="1625"/>
      <c r="E38" s="1625"/>
      <c r="F38" s="1816"/>
      <c r="G38" s="1905">
        <f>SUM(G36:G37)</f>
        <v>0</v>
      </c>
      <c r="H38" s="1910">
        <f>SUM(H36:H37)</f>
        <v>0</v>
      </c>
      <c r="I38" s="1910">
        <f>SUM(I36:I37)</f>
        <v>0</v>
      </c>
      <c r="J38" s="1873">
        <f>SUM(J36:J37)</f>
        <v>0</v>
      </c>
      <c r="K38" s="1873">
        <f>SUM(K36:K37)</f>
        <v>0</v>
      </c>
      <c r="L38" s="1843"/>
      <c r="M38" s="1484"/>
      <c r="N38" s="1459"/>
      <c r="O38" s="1459"/>
      <c r="P38" s="1459"/>
      <c r="Q38" s="1459"/>
      <c r="R38" s="1449"/>
      <c r="S38" s="1535"/>
      <c r="T38" s="1547"/>
    </row>
    <row r="39" spans="1:20" hidden="1">
      <c r="B39" s="1446" t="s">
        <v>2797</v>
      </c>
      <c r="C39" s="1625">
        <v>995340</v>
      </c>
      <c r="D39" s="1625"/>
      <c r="E39" s="1625">
        <v>995340</v>
      </c>
      <c r="F39" s="1816">
        <f>C39-E39</f>
        <v>0</v>
      </c>
      <c r="G39" s="1903">
        <v>0</v>
      </c>
      <c r="H39" s="1908">
        <v>0</v>
      </c>
      <c r="I39" s="1908">
        <v>0</v>
      </c>
      <c r="J39" s="1875">
        <f>H39/'5.1'!$X$41</f>
        <v>0</v>
      </c>
      <c r="K39" s="1872">
        <v>0</v>
      </c>
      <c r="L39" s="1847"/>
      <c r="M39" s="1820"/>
      <c r="N39" s="1878"/>
      <c r="O39" s="1878"/>
      <c r="P39" s="1878"/>
      <c r="Q39" s="1878"/>
      <c r="R39" s="1449"/>
      <c r="S39" s="1535"/>
      <c r="T39" s="1547"/>
    </row>
    <row r="40" spans="1:20" hidden="1">
      <c r="C40" s="1692"/>
      <c r="D40" s="1692"/>
      <c r="E40" s="1692"/>
      <c r="F40" s="1692"/>
      <c r="G40" s="1692"/>
      <c r="H40" s="1692"/>
      <c r="I40" s="1843"/>
      <c r="J40" s="1843"/>
      <c r="K40" s="1857"/>
      <c r="L40" s="1459"/>
      <c r="M40" s="1484"/>
      <c r="N40" s="1459"/>
      <c r="O40" s="1459"/>
      <c r="P40" s="1459"/>
      <c r="Q40" s="1459"/>
      <c r="R40" s="1449"/>
      <c r="S40" s="1535"/>
      <c r="T40" s="1547"/>
    </row>
    <row r="41" spans="1:20" ht="14.4" hidden="1" thickBot="1">
      <c r="A41" s="1605"/>
      <c r="B41" s="1605" t="s">
        <v>2564</v>
      </c>
      <c r="C41" s="1692"/>
      <c r="D41" s="1692"/>
      <c r="E41" s="1692"/>
      <c r="F41" s="1703"/>
      <c r="G41" s="1911">
        <v>0</v>
      </c>
      <c r="H41" s="1911">
        <v>0</v>
      </c>
      <c r="I41" s="1911">
        <v>0</v>
      </c>
      <c r="J41" s="1845"/>
      <c r="K41" s="1845"/>
      <c r="L41" s="1843"/>
      <c r="M41" s="1846"/>
      <c r="N41" s="1854"/>
      <c r="O41" s="1854"/>
      <c r="P41" s="1854"/>
      <c r="Q41" s="1854"/>
      <c r="T41" s="1547"/>
    </row>
    <row r="42" spans="1:20" ht="14.4" hidden="1" thickBot="1">
      <c r="A42" s="1605"/>
      <c r="B42" s="1602" t="s">
        <v>2796</v>
      </c>
      <c r="C42" s="1692"/>
      <c r="D42" s="1692"/>
      <c r="E42" s="1692"/>
      <c r="F42" s="1697"/>
      <c r="G42" s="1885">
        <v>939517</v>
      </c>
      <c r="H42" s="1886">
        <v>1309693</v>
      </c>
      <c r="I42" s="1912">
        <v>82582</v>
      </c>
      <c r="J42" s="1852"/>
      <c r="K42" s="1887"/>
      <c r="M42" s="1547"/>
      <c r="T42" s="1547"/>
    </row>
    <row r="43" spans="1:20" ht="14.4" hidden="1" thickTop="1"/>
    <row r="44" spans="1:20">
      <c r="A44" s="1896">
        <v>7.2</v>
      </c>
      <c r="B44" s="1445" t="s">
        <v>37</v>
      </c>
    </row>
    <row r="46" spans="1:20" ht="15" customHeight="1">
      <c r="A46" s="1936"/>
      <c r="B46" s="2392" t="s">
        <v>2912</v>
      </c>
      <c r="C46" s="2392" t="s">
        <v>128</v>
      </c>
      <c r="D46" s="2392" t="s">
        <v>2631</v>
      </c>
      <c r="E46" s="2404" t="s">
        <v>182</v>
      </c>
      <c r="F46" s="2405"/>
      <c r="G46" s="2405"/>
      <c r="H46" s="2406"/>
      <c r="I46" s="2377" t="str">
        <f>+H47</f>
        <v>As at September 30, 2021</v>
      </c>
      <c r="J46" s="2378"/>
      <c r="K46" s="2379"/>
    </row>
    <row r="47" spans="1:20" ht="14.25" customHeight="1">
      <c r="A47" s="1936"/>
      <c r="B47" s="2393"/>
      <c r="C47" s="2393"/>
      <c r="D47" s="2393"/>
      <c r="E47" s="2401" t="s">
        <v>3203</v>
      </c>
      <c r="F47" s="2401" t="s">
        <v>2554</v>
      </c>
      <c r="G47" s="2401" t="s">
        <v>2607</v>
      </c>
      <c r="H47" s="2401" t="s">
        <v>3202</v>
      </c>
      <c r="I47" s="2401" t="s">
        <v>984</v>
      </c>
      <c r="J47" s="2401" t="s">
        <v>2608</v>
      </c>
      <c r="K47" s="2401" t="s">
        <v>2556</v>
      </c>
    </row>
    <row r="48" spans="1:20" ht="14.25" customHeight="1">
      <c r="A48" s="1936"/>
      <c r="B48" s="2393"/>
      <c r="C48" s="2393"/>
      <c r="D48" s="2393"/>
      <c r="E48" s="2402"/>
      <c r="F48" s="2402"/>
      <c r="G48" s="2402"/>
      <c r="H48" s="2402"/>
      <c r="I48" s="2402"/>
      <c r="J48" s="2402"/>
      <c r="K48" s="2402"/>
    </row>
    <row r="49" spans="1:11" ht="14.25" customHeight="1">
      <c r="A49" s="1936"/>
      <c r="B49" s="2393"/>
      <c r="C49" s="2393"/>
      <c r="D49" s="2393"/>
      <c r="E49" s="2402"/>
      <c r="F49" s="2402"/>
      <c r="G49" s="2402"/>
      <c r="H49" s="2402"/>
      <c r="I49" s="2402"/>
      <c r="J49" s="2402"/>
      <c r="K49" s="2402"/>
    </row>
    <row r="50" spans="1:11" ht="14.25" customHeight="1">
      <c r="A50" s="1936"/>
      <c r="B50" s="2393"/>
      <c r="C50" s="2393"/>
      <c r="D50" s="2393"/>
      <c r="E50" s="2403"/>
      <c r="F50" s="2403"/>
      <c r="G50" s="2403"/>
      <c r="H50" s="2403"/>
      <c r="I50" s="2403"/>
      <c r="J50" s="2403"/>
      <c r="K50" s="2403"/>
    </row>
    <row r="51" spans="1:11">
      <c r="A51" s="1707"/>
      <c r="B51" s="1888"/>
      <c r="C51" s="1889"/>
      <c r="D51" s="1889"/>
      <c r="E51" s="1890"/>
      <c r="F51" s="1891"/>
      <c r="G51" s="1891"/>
      <c r="H51" s="1891"/>
      <c r="I51" s="1892"/>
      <c r="J51" s="1892"/>
    </row>
    <row r="52" spans="1:11">
      <c r="A52" s="1707"/>
      <c r="B52" s="1888"/>
      <c r="C52" s="1889"/>
      <c r="D52" s="1889"/>
      <c r="E52" s="1890"/>
      <c r="F52" s="1891"/>
      <c r="G52" s="1891"/>
      <c r="H52" s="1891"/>
      <c r="I52" s="1892"/>
      <c r="J52" s="1892"/>
    </row>
    <row r="53" spans="1:11">
      <c r="A53" s="1707"/>
      <c r="B53" s="1446" t="s">
        <v>2609</v>
      </c>
      <c r="C53" s="1938">
        <v>44379</v>
      </c>
      <c r="D53" s="1938">
        <v>44462</v>
      </c>
      <c r="E53" s="1625">
        <v>0</v>
      </c>
      <c r="F53" s="1625">
        <v>500000000</v>
      </c>
      <c r="G53" s="1625">
        <v>500000000</v>
      </c>
      <c r="H53" s="1625">
        <f>E53+F53-G53</f>
        <v>0</v>
      </c>
      <c r="I53" s="1798">
        <v>0</v>
      </c>
      <c r="J53" s="1798">
        <v>0</v>
      </c>
      <c r="K53" s="1798">
        <f>J53-I53</f>
        <v>0</v>
      </c>
    </row>
    <row r="54" spans="1:11">
      <c r="A54" s="1707"/>
      <c r="C54" s="1938">
        <v>44392</v>
      </c>
      <c r="D54" s="1938">
        <v>44476</v>
      </c>
      <c r="E54" s="1625">
        <v>0</v>
      </c>
      <c r="F54" s="1625">
        <v>500000000</v>
      </c>
      <c r="G54" s="1625">
        <v>500000000</v>
      </c>
      <c r="H54" s="1625">
        <f t="shared" ref="H54:H60" si="3">E54+F54-G54</f>
        <v>0</v>
      </c>
      <c r="I54" s="1798">
        <v>0</v>
      </c>
      <c r="J54" s="1798">
        <v>0</v>
      </c>
      <c r="K54" s="1798">
        <f t="shared" ref="K54:K60" si="4">J54-I54</f>
        <v>0</v>
      </c>
    </row>
    <row r="55" spans="1:11">
      <c r="A55" s="1707"/>
      <c r="C55" s="1938">
        <v>44406</v>
      </c>
      <c r="D55" s="1938">
        <v>44490</v>
      </c>
      <c r="E55" s="1625">
        <v>0</v>
      </c>
      <c r="F55" s="1625">
        <v>500000000</v>
      </c>
      <c r="G55" s="1625">
        <v>500000000</v>
      </c>
      <c r="H55" s="1625">
        <f t="shared" si="3"/>
        <v>0</v>
      </c>
      <c r="I55" s="1798">
        <v>0</v>
      </c>
      <c r="J55" s="1798">
        <v>0</v>
      </c>
      <c r="K55" s="1798">
        <f t="shared" si="4"/>
        <v>0</v>
      </c>
    </row>
    <row r="56" spans="1:11">
      <c r="A56" s="1707"/>
      <c r="C56" s="1938">
        <v>44420</v>
      </c>
      <c r="D56" s="1938">
        <v>44504</v>
      </c>
      <c r="E56" s="1625">
        <v>0</v>
      </c>
      <c r="F56" s="1625">
        <v>5500000000</v>
      </c>
      <c r="G56" s="1625">
        <v>5500000000</v>
      </c>
      <c r="H56" s="1625">
        <f t="shared" si="3"/>
        <v>0</v>
      </c>
      <c r="I56" s="1798">
        <v>0</v>
      </c>
      <c r="J56" s="1798">
        <v>0</v>
      </c>
      <c r="K56" s="1798">
        <f t="shared" si="4"/>
        <v>0</v>
      </c>
    </row>
    <row r="57" spans="1:11">
      <c r="A57" s="1707"/>
      <c r="C57" s="1938">
        <v>44434</v>
      </c>
      <c r="D57" s="1938">
        <v>44518</v>
      </c>
      <c r="E57" s="1625">
        <v>0</v>
      </c>
      <c r="F57" s="1625">
        <v>3500000000</v>
      </c>
      <c r="G57" s="1625">
        <v>3500000000</v>
      </c>
      <c r="H57" s="1625">
        <f t="shared" ref="H57" si="5">E57+F57-G57</f>
        <v>0</v>
      </c>
      <c r="I57" s="1798">
        <v>0</v>
      </c>
      <c r="J57" s="1798">
        <v>0</v>
      </c>
      <c r="K57" s="1798">
        <f t="shared" si="4"/>
        <v>0</v>
      </c>
    </row>
    <row r="58" spans="1:11">
      <c r="A58" s="1707"/>
      <c r="C58" s="1938">
        <v>44448</v>
      </c>
      <c r="D58" s="1938">
        <v>44532</v>
      </c>
      <c r="E58" s="1625">
        <v>0</v>
      </c>
      <c r="F58" s="1625">
        <v>6000000000</v>
      </c>
      <c r="G58" s="1625">
        <v>6000000000</v>
      </c>
      <c r="H58" s="1625">
        <f t="shared" si="3"/>
        <v>0</v>
      </c>
      <c r="I58" s="1798">
        <v>0</v>
      </c>
      <c r="J58" s="1798">
        <v>0</v>
      </c>
      <c r="K58" s="1798">
        <f t="shared" si="4"/>
        <v>0</v>
      </c>
    </row>
    <row r="59" spans="1:11">
      <c r="A59" s="1707"/>
      <c r="C59" s="1938">
        <v>44462</v>
      </c>
      <c r="D59" s="1938">
        <v>44546</v>
      </c>
      <c r="E59" s="1625">
        <v>0</v>
      </c>
      <c r="F59" s="1625">
        <v>1000000000</v>
      </c>
      <c r="G59" s="1625">
        <v>1000000000</v>
      </c>
      <c r="H59" s="1625">
        <f t="shared" si="3"/>
        <v>0</v>
      </c>
      <c r="I59" s="1798">
        <v>0</v>
      </c>
      <c r="J59" s="1798">
        <v>0</v>
      </c>
      <c r="K59" s="1798">
        <v>0</v>
      </c>
    </row>
    <row r="60" spans="1:11">
      <c r="A60" s="1707"/>
      <c r="B60" s="1446" t="s">
        <v>2940</v>
      </c>
      <c r="C60" s="1938">
        <v>44308</v>
      </c>
      <c r="D60" s="1938">
        <v>44490</v>
      </c>
      <c r="E60" s="1625">
        <v>0</v>
      </c>
      <c r="F60" s="1625">
        <v>6000000000</v>
      </c>
      <c r="G60" s="1625">
        <v>6000000000</v>
      </c>
      <c r="H60" s="1625">
        <f t="shared" si="3"/>
        <v>0</v>
      </c>
      <c r="I60" s="1798">
        <v>0</v>
      </c>
      <c r="J60" s="1798">
        <v>0</v>
      </c>
      <c r="K60" s="1798">
        <f t="shared" si="4"/>
        <v>0</v>
      </c>
    </row>
    <row r="61" spans="1:11">
      <c r="A61" s="1707"/>
      <c r="C61" s="1938"/>
      <c r="D61" s="1938"/>
      <c r="E61" s="1625"/>
      <c r="F61" s="1625"/>
      <c r="G61" s="1625"/>
      <c r="H61" s="1625"/>
      <c r="I61" s="1798"/>
      <c r="J61" s="1798"/>
      <c r="K61" s="1798"/>
    </row>
    <row r="62" spans="1:11" ht="14.4" thickBot="1">
      <c r="A62" s="1707"/>
      <c r="B62" s="1605" t="s">
        <v>3201</v>
      </c>
      <c r="C62" s="1625"/>
      <c r="D62" s="1625"/>
      <c r="E62" s="1893"/>
      <c r="F62" s="1894"/>
      <c r="H62" s="1625"/>
      <c r="I62" s="1937">
        <f>SUM(I53:I60)</f>
        <v>0</v>
      </c>
      <c r="J62" s="1937">
        <f>SUM(J53:J60)</f>
        <v>0</v>
      </c>
      <c r="K62" s="1937">
        <f>SUM(K53:K60)</f>
        <v>0</v>
      </c>
    </row>
    <row r="63" spans="1:11" ht="14.4" thickTop="1">
      <c r="A63" s="1707"/>
      <c r="B63" s="1605"/>
      <c r="C63" s="1625"/>
      <c r="D63" s="1625"/>
      <c r="E63" s="1893"/>
      <c r="F63" s="1894"/>
      <c r="H63" s="1894"/>
      <c r="I63" s="1895"/>
      <c r="J63" s="1895"/>
      <c r="K63" s="1890"/>
    </row>
    <row r="64" spans="1:11" ht="14.4" thickBot="1">
      <c r="B64" s="1605" t="s">
        <v>3200</v>
      </c>
      <c r="C64" s="1625"/>
      <c r="D64" s="1625"/>
      <c r="I64" s="1937">
        <f>SUM(I55:I63)</f>
        <v>0</v>
      </c>
      <c r="J64" s="1937">
        <f>SUM(J55:J63)</f>
        <v>0</v>
      </c>
      <c r="K64" s="1937">
        <f>SUM(K55:K63)</f>
        <v>0</v>
      </c>
    </row>
    <row r="65" spans="2:9" ht="14.4" thickTop="1"/>
    <row r="67" spans="2:9">
      <c r="B67" s="1446" t="s">
        <v>2799</v>
      </c>
      <c r="I67" s="1446">
        <v>0</v>
      </c>
    </row>
  </sheetData>
  <mergeCells count="25">
    <mergeCell ref="H3:H5"/>
    <mergeCell ref="I46:K46"/>
    <mergeCell ref="I47:I50"/>
    <mergeCell ref="J47:J50"/>
    <mergeCell ref="I3:I5"/>
    <mergeCell ref="K47:K50"/>
    <mergeCell ref="J2:J5"/>
    <mergeCell ref="J6:K6"/>
    <mergeCell ref="K2:K5"/>
    <mergeCell ref="D46:D50"/>
    <mergeCell ref="G3:G5"/>
    <mergeCell ref="C2:F2"/>
    <mergeCell ref="C3:C5"/>
    <mergeCell ref="B2:B5"/>
    <mergeCell ref="B46:B50"/>
    <mergeCell ref="E3:E5"/>
    <mergeCell ref="E47:E50"/>
    <mergeCell ref="C46:C50"/>
    <mergeCell ref="E46:H46"/>
    <mergeCell ref="F47:F50"/>
    <mergeCell ref="G47:G50"/>
    <mergeCell ref="H47:H50"/>
    <mergeCell ref="F3:F5"/>
    <mergeCell ref="G6:I6"/>
    <mergeCell ref="G2:I2"/>
  </mergeCells>
  <pageMargins left="0.75" right="0.25" top="0.6" bottom="0" header="0.25" footer="0"/>
  <pageSetup paperSize="9" scale="75" firstPageNumber="12" fitToHeight="0" orientation="landscape" useFirstPageNumber="1" r:id="rId1"/>
  <headerFooter>
    <oddHeader>&amp;C&amp;"Arial Black,Regular"&amp;11&amp;P&amp;R&amp;"Arial Black,Regular"&amp;11MCB PAKISTAN STOCK MARKET FUND</oddHeader>
  </headerFooter>
  <rowBreaks count="2" manualBreakCount="2">
    <brk id="43" max="16383" man="1"/>
    <brk id="6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06"/>
  <sheetViews>
    <sheetView view="pageBreakPreview" topLeftCell="A49" zoomScaleNormal="100" zoomScaleSheetLayoutView="100" workbookViewId="0">
      <selection activeCell="C36" sqref="C36:L40"/>
    </sheetView>
  </sheetViews>
  <sheetFormatPr defaultColWidth="9" defaultRowHeight="15.6"/>
  <cols>
    <col min="1" max="1" width="4.09765625" customWidth="1"/>
    <col min="2" max="2" width="5.19921875" customWidth="1"/>
    <col min="4" max="4" width="6.59765625" customWidth="1"/>
    <col min="5" max="5" width="7.59765625" customWidth="1"/>
    <col min="6" max="6" width="7.09765625" customWidth="1"/>
    <col min="8" max="8" width="8.19921875" customWidth="1"/>
    <col min="9" max="9" width="7.09765625" customWidth="1"/>
    <col min="10" max="10" width="14.59765625" customWidth="1"/>
    <col min="11" max="11" width="1.19921875" customWidth="1"/>
    <col min="12" max="12" width="14.59765625" customWidth="1"/>
    <col min="13" max="13" width="10.5" hidden="1" customWidth="1"/>
    <col min="14" max="14" width="0" hidden="1" customWidth="1"/>
    <col min="15" max="15" width="11.5" hidden="1" customWidth="1"/>
    <col min="16" max="19" width="0" hidden="1" customWidth="1"/>
    <col min="20" max="20" width="14.19921875" bestFit="1" customWidth="1"/>
    <col min="21" max="21" width="11.09765625" customWidth="1"/>
    <col min="22" max="22" width="13.19921875" customWidth="1"/>
    <col min="23" max="23" width="16.09765625" customWidth="1"/>
    <col min="24" max="24" width="16.69921875" customWidth="1"/>
    <col min="25" max="25" width="18" customWidth="1"/>
    <col min="26" max="26" width="10" customWidth="1"/>
  </cols>
  <sheetData>
    <row r="1" spans="1:24" s="383" customFormat="1" ht="15" customHeight="1">
      <c r="A1" s="1446"/>
      <c r="B1" s="1736"/>
      <c r="C1" s="1736"/>
      <c r="D1" s="1736"/>
      <c r="E1" s="1736"/>
      <c r="F1" s="1736"/>
      <c r="G1" s="1736"/>
      <c r="H1" s="1736"/>
      <c r="I1" s="1736"/>
      <c r="J1" s="1736"/>
      <c r="K1" s="1736"/>
      <c r="L1" s="1736"/>
      <c r="M1" s="1446"/>
      <c r="N1" s="1446"/>
      <c r="O1" s="1446"/>
      <c r="V1" s="2245"/>
    </row>
    <row r="2" spans="1:24" s="383" customFormat="1" ht="15" customHeight="1">
      <c r="A2" s="1446"/>
      <c r="B2" s="1736"/>
      <c r="C2" s="1736"/>
      <c r="D2" s="1736"/>
      <c r="E2" s="1736"/>
      <c r="F2" s="1736"/>
      <c r="G2" s="1736"/>
      <c r="H2" s="1736"/>
      <c r="I2" s="1684"/>
      <c r="J2" s="2144" t="s">
        <v>2778</v>
      </c>
      <c r="K2" s="2145"/>
      <c r="L2" s="2144" t="s">
        <v>2496</v>
      </c>
      <c r="M2" s="1446"/>
      <c r="N2" s="1446"/>
      <c r="O2" s="1446"/>
      <c r="V2" s="2245"/>
    </row>
    <row r="3" spans="1:24" s="383" customFormat="1" ht="15" customHeight="1">
      <c r="A3" s="1446"/>
      <c r="B3" s="1736"/>
      <c r="C3" s="1736"/>
      <c r="D3" s="1736"/>
      <c r="E3" s="1736"/>
      <c r="F3" s="1736"/>
      <c r="G3" s="1736"/>
      <c r="H3" s="1736"/>
      <c r="I3" s="1684"/>
      <c r="J3" s="2146">
        <v>2021</v>
      </c>
      <c r="K3" s="2147"/>
      <c r="L3" s="2146">
        <v>2021</v>
      </c>
      <c r="M3" s="1446"/>
      <c r="N3" s="1446"/>
      <c r="O3" s="1446"/>
      <c r="V3" s="2245"/>
    </row>
    <row r="4" spans="1:24" s="383" customFormat="1" ht="15" customHeight="1">
      <c r="A4" s="1446"/>
      <c r="B4" s="1736"/>
      <c r="C4" s="1736"/>
      <c r="D4" s="1736"/>
      <c r="E4" s="1736"/>
      <c r="F4" s="1736"/>
      <c r="G4" s="1736"/>
      <c r="H4" s="1736"/>
      <c r="I4" s="1684" t="s">
        <v>51</v>
      </c>
      <c r="J4" s="2374" t="s">
        <v>2513</v>
      </c>
      <c r="K4" s="2375"/>
      <c r="L4" s="2375"/>
      <c r="M4" s="1446"/>
      <c r="N4" s="1446"/>
      <c r="O4" s="1446"/>
      <c r="V4" s="2245"/>
    </row>
    <row r="5" spans="1:24" ht="15" customHeight="1">
      <c r="A5" s="1711" t="s">
        <v>2575</v>
      </c>
      <c r="B5" s="1712" t="s">
        <v>994</v>
      </c>
      <c r="C5" s="1624"/>
      <c r="D5" s="1714"/>
      <c r="E5" s="1714"/>
      <c r="F5" s="1714"/>
      <c r="G5" s="1714"/>
      <c r="H5" s="1446"/>
      <c r="I5" s="1714"/>
      <c r="J5" s="1714"/>
      <c r="K5" s="1714"/>
      <c r="L5" s="1714"/>
      <c r="M5" s="1446"/>
      <c r="N5" s="1446"/>
      <c r="O5" s="1446"/>
      <c r="V5" s="2245"/>
    </row>
    <row r="6" spans="1:24" ht="11.1" customHeight="1">
      <c r="A6" s="1711"/>
      <c r="B6" s="1712"/>
      <c r="C6" s="1624"/>
      <c r="D6" s="1714"/>
      <c r="E6" s="1714"/>
      <c r="F6" s="1714"/>
      <c r="G6" s="1714"/>
      <c r="H6" s="1446"/>
      <c r="I6" s="1714"/>
      <c r="J6" s="1714"/>
      <c r="K6" s="1714"/>
      <c r="L6" s="1714"/>
      <c r="M6" s="1446"/>
      <c r="N6" s="1446"/>
      <c r="O6" s="1446">
        <v>1000</v>
      </c>
      <c r="V6" s="2245"/>
      <c r="X6" s="2245"/>
    </row>
    <row r="7" spans="1:24" ht="15" customHeight="1">
      <c r="A7" s="1711"/>
      <c r="B7" s="1624" t="s">
        <v>2347</v>
      </c>
      <c r="C7" s="1624"/>
      <c r="D7" s="1714"/>
      <c r="E7" s="1714"/>
      <c r="F7" s="1715"/>
      <c r="G7" s="1716"/>
      <c r="H7" s="1446"/>
      <c r="I7" s="1717">
        <v>8.1</v>
      </c>
      <c r="J7" s="1848">
        <v>0</v>
      </c>
      <c r="K7" s="1913"/>
      <c r="L7" s="1701">
        <v>120605</v>
      </c>
      <c r="M7" s="1446"/>
      <c r="N7" s="2076">
        <v>3932.683</v>
      </c>
      <c r="O7" s="1446"/>
      <c r="V7" s="2245"/>
      <c r="X7" s="2245"/>
    </row>
    <row r="8" spans="1:24" ht="15" customHeight="1">
      <c r="A8" s="1711"/>
      <c r="B8" s="1624" t="s">
        <v>2412</v>
      </c>
      <c r="C8" s="1624"/>
      <c r="D8" s="1714"/>
      <c r="E8" s="1714"/>
      <c r="F8" s="1715"/>
      <c r="G8" s="1716"/>
      <c r="H8" s="1717"/>
      <c r="I8" s="1717">
        <v>8.1999999999999993</v>
      </c>
      <c r="J8" s="1848">
        <f>'TB-31 Dec'!D92</f>
        <v>54774</v>
      </c>
      <c r="K8" s="1913"/>
      <c r="L8" s="1701">
        <v>54774</v>
      </c>
      <c r="M8" s="1446"/>
      <c r="N8" s="1562">
        <v>9721.8580000000002</v>
      </c>
      <c r="O8" s="1446"/>
      <c r="V8" s="2245"/>
      <c r="X8" s="2245"/>
    </row>
    <row r="9" spans="1:24" ht="15" customHeight="1">
      <c r="A9" s="1711"/>
      <c r="B9" s="1624" t="s">
        <v>2603</v>
      </c>
      <c r="C9" s="1624"/>
      <c r="D9" s="1714"/>
      <c r="E9" s="1714"/>
      <c r="F9" s="1715"/>
      <c r="G9" s="1716"/>
      <c r="H9" s="1717"/>
      <c r="I9" s="1717"/>
      <c r="J9" s="1848">
        <f>'TB-31 Dec'!D94</f>
        <v>3933</v>
      </c>
      <c r="K9" s="1913"/>
      <c r="L9" s="1701">
        <v>3933</v>
      </c>
      <c r="M9" s="1446"/>
      <c r="N9" s="1562">
        <v>5782.02207</v>
      </c>
      <c r="O9" s="1627">
        <f>J8+BS!F29</f>
        <v>11867049.018000003</v>
      </c>
      <c r="T9" s="2287">
        <f>+J8+BS!F29</f>
        <v>11867049.018000003</v>
      </c>
      <c r="V9" s="2245"/>
      <c r="X9" s="2245"/>
    </row>
    <row r="10" spans="1:24" ht="15" customHeight="1">
      <c r="A10" s="1720"/>
      <c r="B10" s="1624" t="s">
        <v>2413</v>
      </c>
      <c r="C10" s="1624"/>
      <c r="D10" s="1714"/>
      <c r="E10" s="1714"/>
      <c r="F10" s="1721"/>
      <c r="G10" s="1721"/>
      <c r="H10" s="1721"/>
      <c r="I10" s="1721"/>
      <c r="J10" s="1848">
        <f>'TB-31 Dec'!$F$111</f>
        <v>9722</v>
      </c>
      <c r="K10" s="1914"/>
      <c r="L10" s="1915">
        <v>9722</v>
      </c>
      <c r="M10" s="1446"/>
      <c r="N10" s="1562">
        <v>0.749</v>
      </c>
      <c r="O10" s="1446">
        <f>O9/BS!F37*1000</f>
        <v>98.476254769813679</v>
      </c>
      <c r="T10">
        <f>+T9/BS!F37*1000</f>
        <v>98.476254769813679</v>
      </c>
      <c r="V10" s="2245"/>
      <c r="X10" s="2245"/>
    </row>
    <row r="11" spans="1:24" ht="15" customHeight="1">
      <c r="A11" s="1624"/>
      <c r="B11" s="1624" t="s">
        <v>619</v>
      </c>
      <c r="C11" s="1624"/>
      <c r="D11" s="1624"/>
      <c r="E11" s="1624"/>
      <c r="F11" s="1659"/>
      <c r="G11" s="1624"/>
      <c r="H11" s="1624"/>
      <c r="I11" s="1624"/>
      <c r="J11" s="1848">
        <f>'TB-31 Dec'!F114</f>
        <v>7464</v>
      </c>
      <c r="K11" s="1740"/>
      <c r="L11" s="1740">
        <v>9821</v>
      </c>
      <c r="M11" s="1446"/>
      <c r="N11" s="1562">
        <v>57875.077640000003</v>
      </c>
      <c r="O11" s="1446">
        <f>O10-BS!F40</f>
        <v>0.45455476981368292</v>
      </c>
      <c r="T11" s="2288">
        <f>+T10-BS!F40</f>
        <v>0.45455476981368292</v>
      </c>
      <c r="V11" s="2245"/>
      <c r="X11" s="383"/>
    </row>
    <row r="12" spans="1:24" ht="15" customHeight="1">
      <c r="A12" s="1624"/>
      <c r="B12" s="1624" t="s">
        <v>1023</v>
      </c>
      <c r="C12" s="1624"/>
      <c r="D12" s="1624"/>
      <c r="E12" s="1624"/>
      <c r="F12" s="1659"/>
      <c r="G12" s="1624"/>
      <c r="H12" s="1624"/>
      <c r="I12" s="1624"/>
      <c r="J12" s="1848">
        <f>'TB-31 Dec'!E117</f>
        <v>890</v>
      </c>
      <c r="K12" s="1740"/>
      <c r="L12" s="1740">
        <v>624</v>
      </c>
      <c r="M12" s="1446"/>
      <c r="N12" s="1562">
        <v>681.02485999999999</v>
      </c>
      <c r="O12" s="1446"/>
      <c r="V12" s="2245"/>
      <c r="X12" s="2245"/>
    </row>
    <row r="13" spans="1:24" ht="15" customHeight="1">
      <c r="A13" s="1624"/>
      <c r="B13" s="1624" t="s">
        <v>2415</v>
      </c>
      <c r="C13" s="1624"/>
      <c r="D13" s="1624"/>
      <c r="E13" s="1624"/>
      <c r="F13" s="1659"/>
      <c r="G13" s="1624"/>
      <c r="H13" s="1624"/>
      <c r="I13" s="1624"/>
      <c r="J13" s="1848">
        <f>'TB-31 Dec'!F118</f>
        <v>993</v>
      </c>
      <c r="K13" s="1740"/>
      <c r="L13" s="1740">
        <v>3113</v>
      </c>
      <c r="M13" s="1446"/>
      <c r="N13" s="1562">
        <v>2176.5193799999997</v>
      </c>
      <c r="O13" s="1446"/>
      <c r="V13" s="2245"/>
      <c r="X13" s="2245"/>
    </row>
    <row r="14" spans="1:24" ht="15" customHeight="1">
      <c r="A14" s="1624"/>
      <c r="B14" s="1624" t="s">
        <v>2414</v>
      </c>
      <c r="C14" s="1624"/>
      <c r="D14" s="1624"/>
      <c r="E14" s="1624"/>
      <c r="F14" s="1659"/>
      <c r="G14" s="1624"/>
      <c r="H14" s="1624"/>
      <c r="I14" s="1624"/>
      <c r="J14" s="1848">
        <f>'TB-31 Dec'!E122</f>
        <v>65</v>
      </c>
      <c r="K14" s="1740"/>
      <c r="L14" s="1740">
        <v>39</v>
      </c>
      <c r="M14" s="1446"/>
      <c r="N14" s="1562">
        <v>120.25702</v>
      </c>
      <c r="O14" s="1446"/>
      <c r="V14" s="2245"/>
      <c r="X14" s="2245"/>
    </row>
    <row r="15" spans="1:24" ht="15" customHeight="1">
      <c r="A15" s="1624"/>
      <c r="B15" s="1624" t="s">
        <v>2959</v>
      </c>
      <c r="C15" s="1624"/>
      <c r="D15" s="1624"/>
      <c r="E15" s="1624"/>
      <c r="F15" s="1722"/>
      <c r="G15" s="1624"/>
      <c r="H15" s="1624"/>
      <c r="I15" s="1624"/>
      <c r="J15" s="1848">
        <f>'TB-31 Dec'!E121</f>
        <v>523</v>
      </c>
      <c r="K15" s="1740"/>
      <c r="L15" s="1740">
        <v>130</v>
      </c>
      <c r="M15" s="1446"/>
      <c r="N15" s="1562">
        <v>40.007080000000002</v>
      </c>
      <c r="O15" s="1446"/>
      <c r="X15" s="2245"/>
    </row>
    <row r="16" spans="1:24" ht="15" customHeight="1">
      <c r="A16" s="1624"/>
      <c r="B16" s="1624" t="s">
        <v>269</v>
      </c>
      <c r="C16" s="1624"/>
      <c r="D16" s="1624"/>
      <c r="E16" s="1624"/>
      <c r="F16" s="1722"/>
      <c r="G16" s="1624"/>
      <c r="H16" s="1624"/>
      <c r="I16" s="1624"/>
      <c r="J16" s="1848">
        <f>'TB-31 Dec'!F124</f>
        <v>5</v>
      </c>
      <c r="K16" s="1740"/>
      <c r="L16" s="1740">
        <v>5</v>
      </c>
      <c r="M16" s="1446"/>
      <c r="N16" s="1562">
        <v>54773.935030000001</v>
      </c>
      <c r="O16" s="1446"/>
      <c r="V16" s="2245"/>
      <c r="X16" s="2245"/>
    </row>
    <row r="17" spans="1:26" ht="15" customHeight="1" thickBot="1">
      <c r="A17" s="1624"/>
      <c r="B17" s="1624"/>
      <c r="C17" s="1681"/>
      <c r="D17" s="1624"/>
      <c r="E17" s="1624"/>
      <c r="F17" s="1718"/>
      <c r="G17" s="1718"/>
      <c r="H17" s="1718"/>
      <c r="I17" s="1718"/>
      <c r="J17" s="2148">
        <f>SUM(J7:J16)</f>
        <v>78369</v>
      </c>
      <c r="K17" s="1740"/>
      <c r="L17" s="2062">
        <f>SUM(L7:L16)</f>
        <v>202766</v>
      </c>
      <c r="M17" s="1446"/>
      <c r="N17" s="1562">
        <v>178.667</v>
      </c>
      <c r="O17" s="1446"/>
    </row>
    <row r="18" spans="1:26" ht="11.1" customHeight="1" thickTop="1">
      <c r="A18" s="1624"/>
      <c r="B18" s="1624"/>
      <c r="C18" s="1681"/>
      <c r="D18" s="1624"/>
      <c r="E18" s="1624"/>
      <c r="F18" s="1718"/>
      <c r="G18" s="1718"/>
      <c r="H18" s="1718"/>
      <c r="I18" s="1718"/>
      <c r="J18" s="1848"/>
      <c r="K18" s="1740"/>
      <c r="L18" s="1701"/>
      <c r="M18" s="1446"/>
      <c r="N18" s="1446"/>
      <c r="O18" s="1446"/>
      <c r="U18" s="383"/>
      <c r="V18" s="383"/>
      <c r="W18" s="383"/>
      <c r="X18" s="383"/>
      <c r="Y18" s="383"/>
      <c r="Z18" s="383"/>
    </row>
    <row r="19" spans="1:26" ht="15" customHeight="1">
      <c r="A19" s="1624"/>
      <c r="B19" s="1734">
        <f>A5+0.1</f>
        <v>8.1</v>
      </c>
      <c r="C19" s="1792" t="s">
        <v>2960</v>
      </c>
      <c r="D19" s="1724"/>
      <c r="E19" s="1724"/>
      <c r="F19" s="1724"/>
      <c r="G19" s="1724"/>
      <c r="H19" s="1724"/>
      <c r="I19" s="1724"/>
      <c r="J19" s="1724"/>
      <c r="K19" s="1724"/>
      <c r="L19" s="1724"/>
      <c r="M19" s="1446"/>
      <c r="N19" s="1446"/>
      <c r="O19" s="1446"/>
      <c r="U19" s="383"/>
      <c r="V19" s="383"/>
      <c r="W19" s="383"/>
      <c r="X19" s="383"/>
      <c r="Y19" s="383"/>
      <c r="Z19" s="383"/>
    </row>
    <row r="20" spans="1:26" ht="11.1" customHeight="1">
      <c r="A20" s="1624"/>
      <c r="B20" s="1726"/>
      <c r="C20" s="1724"/>
      <c r="D20" s="1724"/>
      <c r="E20" s="1724"/>
      <c r="F20" s="1724"/>
      <c r="G20" s="1724"/>
      <c r="H20" s="1724"/>
      <c r="I20" s="1724"/>
      <c r="J20" s="1724"/>
      <c r="K20" s="1724"/>
      <c r="L20" s="1724"/>
      <c r="M20" s="1446"/>
      <c r="N20" s="1446"/>
      <c r="O20" s="1446"/>
      <c r="U20" s="383"/>
      <c r="V20" s="383"/>
      <c r="W20" s="383"/>
      <c r="X20" s="383"/>
      <c r="Y20" s="383"/>
      <c r="Z20" s="383"/>
    </row>
    <row r="21" spans="1:26" ht="11.1" customHeight="1">
      <c r="A21" s="1624"/>
      <c r="B21" s="1723"/>
      <c r="C21" s="2041"/>
      <c r="D21" s="2041"/>
      <c r="E21" s="2041"/>
      <c r="F21" s="2041"/>
      <c r="G21" s="2041"/>
      <c r="H21" s="2041"/>
      <c r="I21" s="2041"/>
      <c r="J21" s="2041"/>
      <c r="K21" s="2041"/>
      <c r="L21" s="2041"/>
      <c r="M21" s="1446"/>
      <c r="N21" s="1446"/>
      <c r="O21" s="1446"/>
      <c r="U21" s="383"/>
      <c r="V21" s="383"/>
      <c r="W21" s="383"/>
      <c r="X21" s="383"/>
      <c r="Y21" s="383"/>
      <c r="Z21" s="383"/>
    </row>
    <row r="22" spans="1:26" ht="15" customHeight="1">
      <c r="A22" s="1624"/>
      <c r="B22" s="1723"/>
      <c r="C22" s="2417" t="s">
        <v>3316</v>
      </c>
      <c r="D22" s="2417"/>
      <c r="E22" s="2417"/>
      <c r="F22" s="2417"/>
      <c r="G22" s="2417"/>
      <c r="H22" s="2417"/>
      <c r="I22" s="2417"/>
      <c r="J22" s="2417"/>
      <c r="K22" s="2417"/>
      <c r="L22" s="2417"/>
      <c r="M22" s="1446"/>
      <c r="N22" s="1446"/>
      <c r="O22" s="1446"/>
      <c r="U22" s="383"/>
      <c r="V22" s="383"/>
      <c r="W22" s="383"/>
      <c r="X22" s="383"/>
      <c r="Y22" s="383"/>
      <c r="Z22" s="383"/>
    </row>
    <row r="23" spans="1:26" ht="15" customHeight="1">
      <c r="A23" s="1624"/>
      <c r="B23" s="1723"/>
      <c r="C23" s="2417"/>
      <c r="D23" s="2417"/>
      <c r="E23" s="2417"/>
      <c r="F23" s="2417"/>
      <c r="G23" s="2417"/>
      <c r="H23" s="2417"/>
      <c r="I23" s="2417"/>
      <c r="J23" s="2417"/>
      <c r="K23" s="2417"/>
      <c r="L23" s="2417"/>
      <c r="M23" s="1446"/>
      <c r="N23" s="1446"/>
      <c r="O23" s="1446"/>
      <c r="U23" s="383"/>
      <c r="V23" s="383"/>
      <c r="W23" s="383"/>
      <c r="X23" s="383"/>
      <c r="Y23" s="383"/>
      <c r="Z23" s="383"/>
    </row>
    <row r="24" spans="1:26" ht="15" customHeight="1">
      <c r="A24" s="1624"/>
      <c r="B24" s="1723"/>
      <c r="C24" s="2417"/>
      <c r="D24" s="2417"/>
      <c r="E24" s="2417"/>
      <c r="F24" s="2417"/>
      <c r="G24" s="2417"/>
      <c r="H24" s="2417"/>
      <c r="I24" s="2417"/>
      <c r="J24" s="2417"/>
      <c r="K24" s="2417"/>
      <c r="L24" s="2417"/>
      <c r="M24" s="1446"/>
      <c r="N24" s="1446"/>
      <c r="O24" s="1446"/>
      <c r="U24" s="383"/>
      <c r="V24" s="383"/>
      <c r="W24" s="383"/>
      <c r="X24" s="383"/>
      <c r="Y24" s="383"/>
      <c r="Z24" s="383"/>
    </row>
    <row r="25" spans="1:26" ht="50.4" customHeight="1">
      <c r="A25" s="1624"/>
      <c r="B25" s="1723"/>
      <c r="C25" s="2417"/>
      <c r="D25" s="2417"/>
      <c r="E25" s="2417"/>
      <c r="F25" s="2417"/>
      <c r="G25" s="2417"/>
      <c r="H25" s="2417"/>
      <c r="I25" s="2417"/>
      <c r="J25" s="2417"/>
      <c r="K25" s="2417"/>
      <c r="L25" s="2417"/>
      <c r="M25" s="1446"/>
      <c r="N25" s="1446"/>
      <c r="O25" s="1446"/>
      <c r="U25" s="383"/>
      <c r="V25" s="383"/>
      <c r="W25" s="383"/>
      <c r="X25" s="383"/>
      <c r="Y25" s="383"/>
      <c r="Z25" s="383"/>
    </row>
    <row r="26" spans="1:26" ht="11.1" customHeight="1">
      <c r="A26" s="1624"/>
      <c r="B26" s="1723"/>
      <c r="C26" s="2041"/>
      <c r="D26" s="2041"/>
      <c r="E26" s="2041"/>
      <c r="F26" s="2041"/>
      <c r="G26" s="2041"/>
      <c r="H26" s="2041"/>
      <c r="I26" s="2041"/>
      <c r="J26" s="2041"/>
      <c r="K26" s="2041"/>
      <c r="L26" s="2041"/>
      <c r="M26" s="1446"/>
      <c r="N26" s="1446"/>
      <c r="O26" s="1446"/>
      <c r="U26" s="383"/>
      <c r="V26" s="383"/>
      <c r="W26" s="383"/>
      <c r="X26" s="383"/>
      <c r="Y26" s="383"/>
      <c r="Z26" s="383"/>
    </row>
    <row r="27" spans="1:26" s="383" customFormat="1" ht="11.1" customHeight="1">
      <c r="A27" s="1624"/>
      <c r="B27" s="1723"/>
      <c r="C27" s="2417" t="s">
        <v>3317</v>
      </c>
      <c r="D27" s="2417"/>
      <c r="E27" s="2417"/>
      <c r="F27" s="2417"/>
      <c r="G27" s="2417"/>
      <c r="H27" s="2417"/>
      <c r="I27" s="2417"/>
      <c r="J27" s="2417"/>
      <c r="K27" s="2417"/>
      <c r="L27" s="2417"/>
      <c r="M27" s="1446"/>
      <c r="N27" s="1446"/>
      <c r="O27" s="1446"/>
    </row>
    <row r="28" spans="1:26" s="383" customFormat="1" ht="11.1" customHeight="1">
      <c r="A28" s="1624"/>
      <c r="B28" s="1723"/>
      <c r="C28" s="2417"/>
      <c r="D28" s="2417"/>
      <c r="E28" s="2417"/>
      <c r="F28" s="2417"/>
      <c r="G28" s="2417"/>
      <c r="H28" s="2417"/>
      <c r="I28" s="2417"/>
      <c r="J28" s="2417"/>
      <c r="K28" s="2417"/>
      <c r="L28" s="2417"/>
      <c r="M28" s="1446"/>
      <c r="N28" s="1446"/>
      <c r="O28" s="1446"/>
    </row>
    <row r="29" spans="1:26" s="383" customFormat="1" ht="11.1" customHeight="1">
      <c r="A29" s="1624"/>
      <c r="B29" s="1723"/>
      <c r="C29" s="2417"/>
      <c r="D29" s="2417"/>
      <c r="E29" s="2417"/>
      <c r="F29" s="2417"/>
      <c r="G29" s="2417"/>
      <c r="H29" s="2417"/>
      <c r="I29" s="2417"/>
      <c r="J29" s="2417"/>
      <c r="K29" s="2417"/>
      <c r="L29" s="2417"/>
      <c r="M29" s="1446"/>
      <c r="N29" s="1446"/>
      <c r="O29" s="1446"/>
    </row>
    <row r="30" spans="1:26" s="383" customFormat="1" ht="11.1" customHeight="1">
      <c r="A30" s="1624"/>
      <c r="B30" s="1723"/>
      <c r="C30" s="2417"/>
      <c r="D30" s="2417"/>
      <c r="E30" s="2417"/>
      <c r="F30" s="2417"/>
      <c r="G30" s="2417"/>
      <c r="H30" s="2417"/>
      <c r="I30" s="2417"/>
      <c r="J30" s="2417"/>
      <c r="K30" s="2417"/>
      <c r="L30" s="2417"/>
      <c r="M30" s="1446"/>
      <c r="N30" s="1446"/>
      <c r="O30" s="1446"/>
    </row>
    <row r="31" spans="1:26" s="383" customFormat="1" ht="11.1" customHeight="1">
      <c r="A31" s="1624"/>
      <c r="B31" s="1723"/>
      <c r="C31" s="2041"/>
      <c r="D31" s="2041"/>
      <c r="E31" s="2041"/>
      <c r="F31" s="2041"/>
      <c r="G31" s="2041"/>
      <c r="H31" s="2041"/>
      <c r="I31" s="2041"/>
      <c r="J31" s="2041"/>
      <c r="K31" s="2041"/>
      <c r="L31" s="2041"/>
      <c r="M31" s="1446"/>
      <c r="N31" s="1446"/>
      <c r="O31" s="1446"/>
    </row>
    <row r="32" spans="1:26" s="383" customFormat="1" ht="15" customHeight="1">
      <c r="A32" s="1624"/>
      <c r="B32" s="1723"/>
      <c r="C32" s="2417" t="s">
        <v>3318</v>
      </c>
      <c r="D32" s="2417"/>
      <c r="E32" s="2417"/>
      <c r="F32" s="2417"/>
      <c r="G32" s="2417"/>
      <c r="H32" s="2417"/>
      <c r="I32" s="2417"/>
      <c r="J32" s="2417"/>
      <c r="K32" s="2417"/>
      <c r="L32" s="2417"/>
      <c r="M32" s="1446"/>
      <c r="N32" s="1446"/>
      <c r="O32" s="1446"/>
      <c r="T32" s="383">
        <f>+J8*1000</f>
        <v>54774000</v>
      </c>
      <c r="U32" s="383">
        <f>+T32/BS!F37</f>
        <v>0.45453072373597009</v>
      </c>
    </row>
    <row r="33" spans="1:26" s="383" customFormat="1" ht="11.1" customHeight="1">
      <c r="A33" s="1624"/>
      <c r="B33" s="1723"/>
      <c r="C33" s="2041"/>
      <c r="D33" s="2041"/>
      <c r="E33" s="2041"/>
      <c r="F33" s="2041"/>
      <c r="G33" s="2041"/>
      <c r="H33" s="2041"/>
      <c r="I33" s="2041"/>
      <c r="J33" s="2041"/>
      <c r="K33" s="2041"/>
      <c r="L33" s="2041"/>
      <c r="M33" s="1446"/>
      <c r="N33" s="1446"/>
      <c r="O33" s="1446"/>
    </row>
    <row r="34" spans="1:26" ht="15" customHeight="1">
      <c r="A34" s="1624"/>
      <c r="B34" s="2149">
        <f>B19+0.1</f>
        <v>8.1999999999999993</v>
      </c>
      <c r="C34" s="1792" t="s">
        <v>2961</v>
      </c>
      <c r="D34" s="2041"/>
      <c r="E34" s="2041"/>
      <c r="F34" s="2041"/>
      <c r="G34" s="2041"/>
      <c r="H34" s="2041"/>
      <c r="I34" s="2041"/>
      <c r="J34" s="2041"/>
      <c r="K34" s="2041"/>
      <c r="L34" s="2041"/>
      <c r="M34" s="1446"/>
      <c r="N34" s="1446"/>
      <c r="O34" s="1446"/>
    </row>
    <row r="35" spans="1:26" ht="11.1" customHeight="1">
      <c r="A35" s="1624"/>
      <c r="B35" s="1723"/>
      <c r="C35" s="2041"/>
      <c r="D35" s="2041"/>
      <c r="E35" s="2041"/>
      <c r="F35" s="2041"/>
      <c r="G35" s="2041"/>
      <c r="H35" s="2041"/>
      <c r="I35" s="2041"/>
      <c r="J35" s="2041"/>
      <c r="K35" s="2041"/>
      <c r="L35" s="2041"/>
      <c r="M35" s="1446"/>
      <c r="N35" s="1446"/>
      <c r="O35" s="1446"/>
    </row>
    <row r="36" spans="1:26" ht="15" customHeight="1">
      <c r="A36" s="1624"/>
      <c r="B36" s="1723"/>
      <c r="C36" s="2418" t="s">
        <v>3319</v>
      </c>
      <c r="D36" s="2418"/>
      <c r="E36" s="2418"/>
      <c r="F36" s="2418"/>
      <c r="G36" s="2418"/>
      <c r="H36" s="2418"/>
      <c r="I36" s="2418"/>
      <c r="J36" s="2418"/>
      <c r="K36" s="2418"/>
      <c r="L36" s="2418"/>
      <c r="M36" s="1446" t="s">
        <v>3174</v>
      </c>
      <c r="N36" s="1446"/>
      <c r="O36" s="1446"/>
    </row>
    <row r="37" spans="1:26" ht="15" customHeight="1">
      <c r="A37" s="1624"/>
      <c r="B37" s="1723"/>
      <c r="C37" s="2418"/>
      <c r="D37" s="2418"/>
      <c r="E37" s="2418"/>
      <c r="F37" s="2418"/>
      <c r="G37" s="2418"/>
      <c r="H37" s="2418"/>
      <c r="I37" s="2418"/>
      <c r="J37" s="2418"/>
      <c r="K37" s="2418"/>
      <c r="L37" s="2418"/>
      <c r="M37" s="1446"/>
      <c r="N37" s="1446"/>
      <c r="O37" s="1446"/>
      <c r="U37" s="2415" t="s">
        <v>121</v>
      </c>
      <c r="V37" s="2415" t="s">
        <v>3296</v>
      </c>
      <c r="W37" s="2415" t="s">
        <v>3292</v>
      </c>
      <c r="X37" s="2415" t="s">
        <v>3293</v>
      </c>
      <c r="Y37" s="2415" t="s">
        <v>3294</v>
      </c>
      <c r="Z37" s="2415" t="s">
        <v>3295</v>
      </c>
    </row>
    <row r="38" spans="1:26" ht="15" customHeight="1">
      <c r="A38" s="1624"/>
      <c r="B38" s="1723"/>
      <c r="C38" s="2418"/>
      <c r="D38" s="2418"/>
      <c r="E38" s="2418"/>
      <c r="F38" s="2418"/>
      <c r="G38" s="2418"/>
      <c r="H38" s="2418"/>
      <c r="I38" s="2418"/>
      <c r="J38" s="2418"/>
      <c r="K38" s="2418"/>
      <c r="L38" s="2418"/>
      <c r="M38" s="1446"/>
      <c r="N38" s="1446"/>
      <c r="O38" s="1446"/>
      <c r="U38" s="2416"/>
      <c r="V38" s="2416"/>
      <c r="W38" s="2416"/>
      <c r="X38" s="2416"/>
      <c r="Y38" s="2416"/>
      <c r="Z38" s="2416"/>
    </row>
    <row r="39" spans="1:26" ht="15" customHeight="1">
      <c r="A39" s="1624"/>
      <c r="B39" s="1723"/>
      <c r="C39" s="2418"/>
      <c r="D39" s="2418"/>
      <c r="E39" s="2418"/>
      <c r="F39" s="2418"/>
      <c r="G39" s="2418"/>
      <c r="H39" s="2418"/>
      <c r="I39" s="2418"/>
      <c r="J39" s="2418"/>
      <c r="K39" s="2418"/>
      <c r="L39" s="2418"/>
      <c r="M39" s="1446"/>
      <c r="N39" s="1446"/>
      <c r="O39" s="1446"/>
      <c r="U39" s="2270">
        <f>BS!F29</f>
        <v>11812275.018000003</v>
      </c>
      <c r="V39" s="2271">
        <f>J8</f>
        <v>54774</v>
      </c>
      <c r="W39" s="2271">
        <f>U39+V39</f>
        <v>11867049.018000003</v>
      </c>
      <c r="X39" s="2273">
        <f>W39/BS!$F$37*1000</f>
        <v>98.476254769813679</v>
      </c>
      <c r="Y39" s="2272">
        <f>BS!F40</f>
        <v>98.021699999999996</v>
      </c>
      <c r="Z39" s="2272">
        <f>X39-Y39</f>
        <v>0.45455476981368292</v>
      </c>
    </row>
    <row r="40" spans="1:26" ht="15" customHeight="1">
      <c r="A40" s="1624"/>
      <c r="B40" s="1723"/>
      <c r="C40" s="2418"/>
      <c r="D40" s="2418"/>
      <c r="E40" s="2418"/>
      <c r="F40" s="2418"/>
      <c r="G40" s="2418"/>
      <c r="H40" s="2418"/>
      <c r="I40" s="2418"/>
      <c r="J40" s="2418"/>
      <c r="K40" s="2418"/>
      <c r="L40" s="2418"/>
      <c r="M40" s="1446"/>
      <c r="N40" s="1446"/>
      <c r="O40" s="1446"/>
    </row>
    <row r="41" spans="1:26" ht="12" customHeight="1">
      <c r="A41" s="1624"/>
      <c r="B41" s="1723"/>
      <c r="C41" s="2082"/>
      <c r="D41" s="2082"/>
      <c r="E41" s="2082"/>
      <c r="F41" s="2082"/>
      <c r="G41" s="2082"/>
      <c r="H41" s="2082"/>
      <c r="I41" s="2082"/>
      <c r="J41" s="2082"/>
      <c r="K41" s="2082"/>
      <c r="L41" s="2082"/>
      <c r="M41" s="1446"/>
      <c r="N41" s="1446"/>
      <c r="O41" s="1446"/>
    </row>
    <row r="42" spans="1:26" ht="15" customHeight="1">
      <c r="A42" s="1711" t="s">
        <v>2806</v>
      </c>
      <c r="B42" s="1726" t="s">
        <v>137</v>
      </c>
      <c r="C42" s="1624"/>
      <c r="D42" s="1727"/>
      <c r="E42" s="1728"/>
      <c r="F42" s="1729"/>
      <c r="G42" s="1729"/>
      <c r="H42" s="1729"/>
      <c r="I42" s="1729"/>
      <c r="J42" s="1729"/>
      <c r="K42" s="1624"/>
      <c r="L42" s="1624"/>
      <c r="M42" s="1446"/>
      <c r="N42" s="1446"/>
      <c r="O42" s="1446"/>
    </row>
    <row r="43" spans="1:26" ht="12" customHeight="1">
      <c r="A43" s="1725"/>
      <c r="B43" s="1726"/>
      <c r="C43" s="1624"/>
      <c r="D43" s="1727"/>
      <c r="E43" s="1728"/>
      <c r="F43" s="1729"/>
      <c r="G43" s="1729"/>
      <c r="H43" s="1729"/>
      <c r="I43" s="1729"/>
      <c r="J43" s="1729"/>
      <c r="K43" s="1624"/>
      <c r="L43" s="1624"/>
      <c r="M43" s="1446"/>
      <c r="N43" s="1446"/>
      <c r="O43" s="1446"/>
    </row>
    <row r="44" spans="1:26" s="2252" customFormat="1" ht="15" customHeight="1">
      <c r="A44" s="2038"/>
      <c r="B44" s="1730" t="s">
        <v>3232</v>
      </c>
      <c r="C44" s="1624"/>
      <c r="D44" s="1727"/>
      <c r="E44" s="1728"/>
      <c r="F44" s="1729"/>
      <c r="G44" s="1729"/>
      <c r="H44" s="1729"/>
      <c r="I44" s="1729"/>
      <c r="J44" s="1729"/>
      <c r="K44" s="1624"/>
      <c r="L44" s="1624"/>
      <c r="M44" s="2249"/>
      <c r="N44" s="2249">
        <v>27000</v>
      </c>
      <c r="O44" s="2249"/>
    </row>
    <row r="45" spans="1:26" ht="12" customHeight="1">
      <c r="A45" s="2038"/>
      <c r="B45" s="1730"/>
      <c r="C45" s="1624"/>
      <c r="D45" s="1727"/>
      <c r="E45" s="1728"/>
      <c r="F45" s="1729"/>
      <c r="G45" s="1729"/>
      <c r="H45" s="1729"/>
      <c r="I45" s="1729"/>
      <c r="J45" s="1729"/>
      <c r="K45" s="1624"/>
      <c r="L45" s="1624"/>
      <c r="M45" s="1446"/>
      <c r="N45" s="1446">
        <v>-4428</v>
      </c>
      <c r="O45" s="1446"/>
    </row>
    <row r="46" spans="1:26" ht="15" customHeight="1">
      <c r="A46" s="1711" t="s">
        <v>2576</v>
      </c>
      <c r="B46" s="1675" t="s">
        <v>2805</v>
      </c>
      <c r="C46" s="1624"/>
      <c r="D46" s="1624"/>
      <c r="E46" s="1624"/>
      <c r="F46" s="1731"/>
      <c r="G46" s="1731"/>
      <c r="H46" s="1731"/>
      <c r="I46" s="1731"/>
      <c r="J46" s="1731"/>
      <c r="K46" s="1731"/>
      <c r="L46" s="1668"/>
      <c r="M46" s="1627" t="e">
        <f>1084-#REF!</f>
        <v>#REF!</v>
      </c>
      <c r="N46" s="1446"/>
      <c r="O46" s="1446"/>
      <c r="P46" s="1446"/>
      <c r="Q46" s="1446"/>
    </row>
    <row r="47" spans="1:26" ht="12" customHeight="1">
      <c r="A47" s="2038"/>
      <c r="B47" s="1725"/>
      <c r="C47" s="1681"/>
      <c r="D47" s="1624"/>
      <c r="E47" s="1624"/>
      <c r="F47" s="1731"/>
      <c r="G47" s="1731"/>
      <c r="H47" s="1731"/>
      <c r="I47" s="1731"/>
      <c r="J47" s="1731"/>
      <c r="K47" s="1731"/>
      <c r="L47" s="1668"/>
      <c r="M47" s="1446"/>
      <c r="N47" s="1446"/>
      <c r="O47" s="1446"/>
      <c r="P47" s="1446"/>
      <c r="Q47" s="1446"/>
    </row>
    <row r="48" spans="1:26" ht="15" customHeight="1">
      <c r="A48" s="2038"/>
      <c r="B48" s="2410" t="s">
        <v>3185</v>
      </c>
      <c r="C48" s="2410"/>
      <c r="D48" s="2410"/>
      <c r="E48" s="2410"/>
      <c r="F48" s="2410"/>
      <c r="G48" s="2410"/>
      <c r="H48" s="2410"/>
      <c r="I48" s="2410"/>
      <c r="J48" s="2410"/>
      <c r="K48" s="2410"/>
      <c r="L48" s="2410"/>
    </row>
    <row r="49" spans="1:12" ht="15" customHeight="1">
      <c r="A49" s="2038"/>
      <c r="B49" s="2410"/>
      <c r="C49" s="2410"/>
      <c r="D49" s="2410"/>
      <c r="E49" s="2410"/>
      <c r="F49" s="2410"/>
      <c r="G49" s="2410"/>
      <c r="H49" s="2410"/>
      <c r="I49" s="2410"/>
      <c r="J49" s="2410"/>
      <c r="K49" s="2410"/>
      <c r="L49" s="2410"/>
    </row>
    <row r="50" spans="1:12" ht="15" customHeight="1">
      <c r="A50" s="2038"/>
      <c r="B50" s="2410"/>
      <c r="C50" s="2410"/>
      <c r="D50" s="2410"/>
      <c r="E50" s="2410"/>
      <c r="F50" s="2410"/>
      <c r="G50" s="2410"/>
      <c r="H50" s="2410"/>
      <c r="I50" s="2410"/>
      <c r="J50" s="2410"/>
      <c r="K50" s="2410"/>
      <c r="L50" s="2410"/>
    </row>
    <row r="51" spans="1:12" ht="15" customHeight="1">
      <c r="A51" s="2038"/>
      <c r="B51" s="2410"/>
      <c r="C51" s="2410"/>
      <c r="D51" s="2410"/>
      <c r="E51" s="2410"/>
      <c r="F51" s="2410"/>
      <c r="G51" s="2410"/>
      <c r="H51" s="2410"/>
      <c r="I51" s="2410"/>
      <c r="J51" s="2410"/>
      <c r="K51" s="2410"/>
      <c r="L51" s="2410"/>
    </row>
    <row r="52" spans="1:12" ht="15" customHeight="1">
      <c r="A52" s="2038"/>
      <c r="B52" s="2410"/>
      <c r="C52" s="2410"/>
      <c r="D52" s="2410"/>
      <c r="E52" s="2410"/>
      <c r="F52" s="2410"/>
      <c r="G52" s="2410"/>
      <c r="H52" s="2410"/>
      <c r="I52" s="2410"/>
      <c r="J52" s="2410"/>
      <c r="K52" s="2410"/>
      <c r="L52" s="2410"/>
    </row>
    <row r="53" spans="1:12" ht="15" customHeight="1">
      <c r="A53" s="2038"/>
      <c r="B53" s="2410"/>
      <c r="C53" s="2410"/>
      <c r="D53" s="2410"/>
      <c r="E53" s="2410"/>
      <c r="F53" s="2410"/>
      <c r="G53" s="2410"/>
      <c r="H53" s="2410"/>
      <c r="I53" s="2410"/>
      <c r="J53" s="2410"/>
      <c r="K53" s="2410"/>
      <c r="L53" s="2410"/>
    </row>
    <row r="54" spans="1:12" ht="15" customHeight="1">
      <c r="A54" s="2038"/>
      <c r="B54" s="2410"/>
      <c r="C54" s="2410"/>
      <c r="D54" s="2410"/>
      <c r="E54" s="2410"/>
      <c r="F54" s="2410"/>
      <c r="G54" s="2410"/>
      <c r="H54" s="2410"/>
      <c r="I54" s="2410"/>
      <c r="J54" s="2410"/>
      <c r="K54" s="2410"/>
      <c r="L54" s="2410"/>
    </row>
    <row r="55" spans="1:12" ht="15" customHeight="1">
      <c r="A55" s="2038"/>
      <c r="B55" s="2410"/>
      <c r="C55" s="2410"/>
      <c r="D55" s="2410"/>
      <c r="E55" s="2410"/>
      <c r="F55" s="2410"/>
      <c r="G55" s="2410"/>
      <c r="H55" s="2410"/>
      <c r="I55" s="2410"/>
      <c r="J55" s="2410"/>
      <c r="K55" s="2410"/>
      <c r="L55" s="2410"/>
    </row>
    <row r="56" spans="1:12" ht="15" customHeight="1">
      <c r="A56" s="2038"/>
      <c r="B56" s="2410"/>
      <c r="C56" s="2410"/>
      <c r="D56" s="2410"/>
      <c r="E56" s="2410"/>
      <c r="F56" s="2410"/>
      <c r="G56" s="2410"/>
      <c r="H56" s="2410"/>
      <c r="I56" s="2410"/>
      <c r="J56" s="2410"/>
      <c r="K56" s="2410"/>
      <c r="L56" s="2410"/>
    </row>
    <row r="57" spans="1:12" ht="6.6" customHeight="1">
      <c r="A57" s="2038"/>
      <c r="B57" s="2410"/>
      <c r="C57" s="2410"/>
      <c r="D57" s="2410"/>
      <c r="E57" s="2410"/>
      <c r="F57" s="2410"/>
      <c r="G57" s="2410"/>
      <c r="H57" s="2410"/>
      <c r="I57" s="2410"/>
      <c r="J57" s="2410"/>
      <c r="K57" s="2410"/>
      <c r="L57" s="2410"/>
    </row>
    <row r="58" spans="1:12" ht="12" hidden="1" customHeight="1">
      <c r="A58" s="2038"/>
      <c r="B58" s="1725"/>
      <c r="C58" s="1681"/>
      <c r="D58" s="1727"/>
      <c r="E58" s="1727"/>
      <c r="F58" s="1732"/>
      <c r="G58" s="1732"/>
      <c r="H58" s="1732"/>
      <c r="I58" s="1732"/>
      <c r="J58" s="1732"/>
      <c r="K58" s="1732"/>
      <c r="L58" s="1732"/>
    </row>
    <row r="59" spans="1:12" ht="15" hidden="1" customHeight="1">
      <c r="A59" s="1711" t="s">
        <v>2835</v>
      </c>
      <c r="B59" s="1675" t="s">
        <v>2962</v>
      </c>
      <c r="C59" s="1681"/>
      <c r="D59" s="1727"/>
      <c r="E59" s="1727"/>
      <c r="F59" s="1732"/>
      <c r="G59" s="1732"/>
      <c r="H59" s="1732"/>
      <c r="I59" s="1732"/>
      <c r="J59" s="1732"/>
      <c r="K59" s="1732"/>
      <c r="L59" s="1732"/>
    </row>
    <row r="60" spans="1:12" ht="12" hidden="1" customHeight="1">
      <c r="A60" s="2038"/>
      <c r="B60" s="1725"/>
      <c r="C60" s="1681"/>
      <c r="D60" s="1727"/>
      <c r="E60" s="1727"/>
      <c r="F60" s="1732"/>
      <c r="G60" s="1732"/>
      <c r="H60" s="1732"/>
      <c r="I60" s="1732"/>
      <c r="J60" s="1732"/>
      <c r="K60" s="1732"/>
      <c r="L60" s="1732"/>
    </row>
    <row r="61" spans="1:12" ht="15" hidden="1" customHeight="1">
      <c r="A61" s="2038"/>
      <c r="B61" s="2150" t="s">
        <v>195</v>
      </c>
      <c r="C61" s="1681"/>
      <c r="D61" s="1727"/>
      <c r="E61" s="1727"/>
      <c r="F61" s="1732"/>
      <c r="G61" s="1732"/>
      <c r="H61" s="1732"/>
      <c r="I61" s="1732"/>
      <c r="J61" s="2151">
        <f>'[124]Notes 1-6'!J509</f>
        <v>351866</v>
      </c>
      <c r="K61" s="1732"/>
      <c r="L61" s="1732">
        <v>664008</v>
      </c>
    </row>
    <row r="62" spans="1:12" ht="15" hidden="1" customHeight="1" thickBot="1">
      <c r="A62" s="2038"/>
      <c r="B62" s="1725"/>
      <c r="C62" s="1681"/>
      <c r="D62" s="1727"/>
      <c r="E62" s="1727"/>
      <c r="F62" s="1732"/>
      <c r="G62" s="1732"/>
      <c r="H62" s="1732"/>
      <c r="I62" s="1732"/>
      <c r="J62" s="2152">
        <f>SUM(J61:J61)</f>
        <v>351866</v>
      </c>
      <c r="K62" s="1732"/>
      <c r="L62" s="2153">
        <f>SUM(L61)</f>
        <v>664008</v>
      </c>
    </row>
    <row r="63" spans="1:12" s="383" customFormat="1" ht="15" customHeight="1">
      <c r="A63" s="2036" t="s">
        <v>2633</v>
      </c>
      <c r="B63" s="1725" t="s">
        <v>3186</v>
      </c>
      <c r="C63" s="1681"/>
      <c r="D63" s="1727"/>
      <c r="E63" s="1727"/>
      <c r="F63" s="1732"/>
      <c r="G63" s="1732"/>
      <c r="H63" s="1732"/>
      <c r="I63" s="1732"/>
      <c r="J63" s="2151"/>
      <c r="K63" s="1732"/>
      <c r="L63" s="1732"/>
    </row>
    <row r="64" spans="1:12" s="383" customFormat="1" ht="15" customHeight="1">
      <c r="A64" s="2038"/>
      <c r="B64" s="1725"/>
      <c r="C64" s="1681"/>
      <c r="D64" s="1727"/>
      <c r="E64" s="1727"/>
      <c r="F64" s="1732"/>
      <c r="G64" s="1732"/>
      <c r="H64" s="1732"/>
      <c r="I64" s="1732"/>
      <c r="J64" s="2151"/>
      <c r="K64" s="1732"/>
      <c r="L64" s="1732"/>
    </row>
    <row r="65" spans="1:13" s="383" customFormat="1" ht="15" customHeight="1">
      <c r="A65" s="2038"/>
      <c r="B65" s="2414" t="s">
        <v>3177</v>
      </c>
      <c r="C65" s="2414"/>
      <c r="D65" s="2414"/>
      <c r="E65" s="2414"/>
      <c r="F65" s="2414"/>
      <c r="G65" s="2414"/>
      <c r="H65" s="2414"/>
      <c r="I65" s="2414"/>
      <c r="J65" s="2414"/>
      <c r="K65" s="2414"/>
      <c r="L65" s="2414"/>
    </row>
    <row r="66" spans="1:13" s="383" customFormat="1" ht="15" customHeight="1">
      <c r="A66" s="2038"/>
      <c r="B66" s="2414"/>
      <c r="C66" s="2414"/>
      <c r="D66" s="2414"/>
      <c r="E66" s="2414"/>
      <c r="F66" s="2414"/>
      <c r="G66" s="2414"/>
      <c r="H66" s="2414"/>
      <c r="I66" s="2414"/>
      <c r="J66" s="2414"/>
      <c r="K66" s="2414"/>
      <c r="L66" s="2414"/>
    </row>
    <row r="67" spans="1:13" ht="12" customHeight="1">
      <c r="A67" s="2038"/>
      <c r="B67" s="2414"/>
      <c r="C67" s="2414"/>
      <c r="D67" s="2414"/>
      <c r="E67" s="2414"/>
      <c r="F67" s="2414"/>
      <c r="G67" s="2414"/>
      <c r="H67" s="2414"/>
      <c r="I67" s="2414"/>
      <c r="J67" s="2414"/>
      <c r="K67" s="2414"/>
      <c r="L67" s="2414"/>
    </row>
    <row r="68" spans="1:13" ht="15" customHeight="1">
      <c r="A68" s="1711" t="s">
        <v>2593</v>
      </c>
      <c r="B68" s="2411" t="s">
        <v>2963</v>
      </c>
      <c r="C68" s="2411"/>
      <c r="D68" s="2411"/>
      <c r="E68" s="2411"/>
      <c r="F68" s="2411"/>
      <c r="G68" s="2411"/>
      <c r="H68" s="2411"/>
      <c r="I68" s="2411"/>
      <c r="J68" s="2411"/>
      <c r="K68" s="2411"/>
      <c r="L68" s="2411"/>
      <c r="M68" s="1446"/>
    </row>
    <row r="69" spans="1:13" ht="15" customHeight="1">
      <c r="A69" s="2154"/>
      <c r="B69" s="2411"/>
      <c r="C69" s="2411"/>
      <c r="D69" s="2411"/>
      <c r="E69" s="2411"/>
      <c r="F69" s="2411"/>
      <c r="G69" s="2411"/>
      <c r="H69" s="2411"/>
      <c r="I69" s="2411"/>
      <c r="J69" s="2411"/>
      <c r="K69" s="2411"/>
      <c r="L69" s="2411"/>
      <c r="M69" s="1446"/>
    </row>
    <row r="70" spans="1:13" ht="12" customHeight="1">
      <c r="A70" s="2155"/>
      <c r="B70" s="2155"/>
      <c r="C70" s="2155"/>
      <c r="D70" s="2155"/>
      <c r="E70" s="2155"/>
      <c r="F70" s="2155"/>
      <c r="G70" s="2155"/>
      <c r="H70" s="2155"/>
      <c r="I70" s="2155"/>
      <c r="J70" s="2155"/>
      <c r="K70" s="2155"/>
      <c r="L70" s="2155"/>
      <c r="M70" s="1446"/>
    </row>
    <row r="71" spans="1:13" ht="15" customHeight="1">
      <c r="A71" s="2155"/>
      <c r="B71" s="2410" t="s">
        <v>2964</v>
      </c>
      <c r="C71" s="2410"/>
      <c r="D71" s="2410"/>
      <c r="E71" s="2410"/>
      <c r="F71" s="2410"/>
      <c r="G71" s="2410"/>
      <c r="H71" s="2410"/>
      <c r="I71" s="2410"/>
      <c r="J71" s="2410"/>
      <c r="K71" s="2410"/>
      <c r="L71" s="2410"/>
      <c r="M71" s="1446"/>
    </row>
    <row r="72" spans="1:13" ht="15" customHeight="1">
      <c r="A72" s="2155"/>
      <c r="B72" s="2410"/>
      <c r="C72" s="2410"/>
      <c r="D72" s="2410"/>
      <c r="E72" s="2410"/>
      <c r="F72" s="2410"/>
      <c r="G72" s="2410"/>
      <c r="H72" s="2410"/>
      <c r="I72" s="2410"/>
      <c r="J72" s="2410"/>
      <c r="K72" s="2410"/>
      <c r="L72" s="2410"/>
      <c r="M72" s="1446"/>
    </row>
    <row r="73" spans="1:13" ht="15" customHeight="1">
      <c r="A73" s="2155"/>
      <c r="B73" s="2410"/>
      <c r="C73" s="2410"/>
      <c r="D73" s="2410"/>
      <c r="E73" s="2410"/>
      <c r="F73" s="2410"/>
      <c r="G73" s="2410"/>
      <c r="H73" s="2410"/>
      <c r="I73" s="2410"/>
      <c r="J73" s="2410"/>
      <c r="K73" s="2410"/>
      <c r="L73" s="2410"/>
      <c r="M73" s="1446"/>
    </row>
    <row r="74" spans="1:13" ht="15" customHeight="1">
      <c r="A74" s="2155"/>
      <c r="B74" s="2410"/>
      <c r="C74" s="2410"/>
      <c r="D74" s="2410"/>
      <c r="E74" s="2410"/>
      <c r="F74" s="2410"/>
      <c r="G74" s="2410"/>
      <c r="H74" s="2410"/>
      <c r="I74" s="2410"/>
      <c r="J74" s="2410"/>
      <c r="K74" s="2410"/>
      <c r="L74" s="2410"/>
      <c r="M74" s="2155">
        <f>[124]BS!F38</f>
        <v>77.423048084791645</v>
      </c>
    </row>
    <row r="75" spans="1:13" ht="15" customHeight="1">
      <c r="A75" s="2155"/>
      <c r="B75" s="2410"/>
      <c r="C75" s="2410"/>
      <c r="D75" s="2410"/>
      <c r="E75" s="2410"/>
      <c r="F75" s="2410"/>
      <c r="G75" s="2410"/>
      <c r="H75" s="2410"/>
      <c r="I75" s="2410"/>
      <c r="J75" s="2410"/>
      <c r="K75" s="2410"/>
      <c r="L75" s="2410"/>
      <c r="M75" s="1446"/>
    </row>
    <row r="76" spans="1:13" ht="15" customHeight="1">
      <c r="A76" s="2038"/>
      <c r="B76" s="1725"/>
      <c r="C76" s="1681"/>
      <c r="D76" s="1727"/>
      <c r="E76" s="1727"/>
      <c r="F76" s="1732"/>
      <c r="G76" s="1732"/>
      <c r="H76" s="1732"/>
      <c r="I76" s="1732"/>
      <c r="J76" s="2151"/>
      <c r="K76" s="1732"/>
      <c r="L76" s="1732"/>
      <c r="M76" s="1446"/>
    </row>
    <row r="77" spans="1:13" ht="15" customHeight="1">
      <c r="A77" s="2038"/>
      <c r="B77" s="1725"/>
      <c r="C77" s="1681"/>
      <c r="D77" s="1727"/>
      <c r="E77" s="1727"/>
      <c r="F77" s="1732"/>
      <c r="G77" s="1732"/>
      <c r="H77" s="1732"/>
      <c r="I77" s="1732"/>
      <c r="J77" s="2151"/>
      <c r="K77" s="1732"/>
      <c r="L77" s="1732"/>
      <c r="M77" s="1446"/>
    </row>
    <row r="78" spans="1:13" ht="15" customHeight="1">
      <c r="A78" s="2038"/>
      <c r="B78" s="1725"/>
      <c r="C78" s="1681"/>
      <c r="D78" s="1727"/>
      <c r="E78" s="1727"/>
      <c r="F78" s="1732"/>
      <c r="G78" s="1732"/>
      <c r="H78" s="1732"/>
      <c r="I78" s="1732"/>
      <c r="J78" s="2151"/>
      <c r="K78" s="1732"/>
      <c r="L78" s="1732"/>
      <c r="M78" s="1446"/>
    </row>
    <row r="79" spans="1:13" ht="15" customHeight="1">
      <c r="A79" s="2038"/>
      <c r="B79" s="1725"/>
      <c r="C79" s="1681"/>
      <c r="D79" s="1727"/>
      <c r="E79" s="1727"/>
      <c r="F79" s="1732"/>
      <c r="G79" s="1732"/>
      <c r="H79" s="1732"/>
      <c r="I79" s="1732"/>
      <c r="J79" s="2151"/>
      <c r="K79" s="1732"/>
      <c r="L79" s="1732"/>
      <c r="M79" s="1446"/>
    </row>
    <row r="80" spans="1:13" ht="15" customHeight="1">
      <c r="A80" s="2038"/>
      <c r="B80" s="1725"/>
      <c r="C80" s="1681"/>
      <c r="D80" s="1727"/>
      <c r="E80" s="1727"/>
      <c r="F80" s="1732"/>
      <c r="G80" s="1732"/>
      <c r="H80" s="1732"/>
      <c r="I80" s="1732"/>
      <c r="J80" s="2151"/>
      <c r="K80" s="1732"/>
      <c r="L80" s="1732"/>
      <c r="M80" s="1446"/>
    </row>
    <row r="81" spans="1:13" ht="15" customHeight="1">
      <c r="A81" s="2038"/>
      <c r="B81" s="1725"/>
      <c r="C81" s="1681"/>
      <c r="D81" s="1727"/>
      <c r="E81" s="1727"/>
      <c r="F81" s="1732"/>
      <c r="G81" s="1732"/>
      <c r="H81" s="1732"/>
      <c r="I81" s="1732"/>
      <c r="J81" s="2151"/>
      <c r="K81" s="1732"/>
      <c r="L81" s="1732"/>
      <c r="M81" s="1446"/>
    </row>
    <row r="82" spans="1:13" ht="15" customHeight="1">
      <c r="A82" s="2038"/>
      <c r="B82" s="1725"/>
      <c r="C82" s="1681"/>
      <c r="D82" s="1727"/>
      <c r="E82" s="1727"/>
      <c r="F82" s="1732"/>
      <c r="G82" s="1732"/>
      <c r="H82" s="1732"/>
      <c r="I82" s="1732"/>
      <c r="J82" s="2151"/>
      <c r="K82" s="1732"/>
      <c r="L82" s="1732"/>
      <c r="M82" s="1446"/>
    </row>
    <row r="83" spans="1:13" ht="15" customHeight="1">
      <c r="A83" s="2038"/>
      <c r="B83" s="1725"/>
      <c r="C83" s="1681"/>
      <c r="D83" s="1727"/>
      <c r="E83" s="1727"/>
      <c r="F83" s="1732"/>
      <c r="G83" s="1732"/>
      <c r="H83" s="1732"/>
      <c r="I83" s="1732"/>
      <c r="J83" s="2151"/>
      <c r="K83" s="1732"/>
      <c r="L83" s="1732"/>
      <c r="M83" s="1446"/>
    </row>
    <row r="84" spans="1:13" ht="15" customHeight="1">
      <c r="A84" s="2038"/>
      <c r="B84" s="1725"/>
      <c r="C84" s="1681"/>
      <c r="D84" s="1727"/>
      <c r="E84" s="1727"/>
      <c r="F84" s="1732"/>
      <c r="G84" s="1732"/>
      <c r="H84" s="1732"/>
      <c r="I84" s="1732"/>
      <c r="J84" s="2151"/>
      <c r="K84" s="1732"/>
      <c r="L84" s="1732"/>
    </row>
    <row r="85" spans="1:13" ht="15" customHeight="1">
      <c r="A85" s="2038"/>
      <c r="B85" s="1725"/>
      <c r="C85" s="1681"/>
      <c r="D85" s="1727"/>
      <c r="E85" s="1727"/>
      <c r="F85" s="1732"/>
      <c r="G85" s="1732"/>
      <c r="H85" s="1732"/>
      <c r="I85" s="1732"/>
      <c r="J85" s="2151"/>
      <c r="K85" s="1732"/>
      <c r="L85" s="1732"/>
    </row>
    <row r="86" spans="1:13" ht="15" customHeight="1">
      <c r="A86" s="2038"/>
      <c r="B86" s="1725"/>
      <c r="C86" s="1681"/>
      <c r="D86" s="1727"/>
      <c r="E86" s="1727"/>
      <c r="F86" s="1732"/>
      <c r="G86" s="1732"/>
      <c r="H86" s="1732"/>
      <c r="I86" s="1732"/>
      <c r="J86" s="2151"/>
      <c r="K86" s="1732"/>
      <c r="L86" s="1732"/>
    </row>
    <row r="87" spans="1:13" ht="15" customHeight="1">
      <c r="A87" s="2038"/>
      <c r="B87" s="1725"/>
      <c r="C87" s="1681"/>
      <c r="D87" s="1727"/>
      <c r="E87" s="1727"/>
      <c r="F87" s="1732"/>
      <c r="G87" s="1732"/>
      <c r="H87" s="1732"/>
      <c r="I87" s="1732"/>
      <c r="J87" s="1732"/>
      <c r="K87" s="1732"/>
      <c r="L87" s="1732"/>
    </row>
    <row r="88" spans="1:13" hidden="1">
      <c r="A88" s="1711" t="s">
        <v>2841</v>
      </c>
      <c r="B88" s="1675" t="s">
        <v>2965</v>
      </c>
      <c r="C88" s="1624"/>
      <c r="D88" s="1624"/>
      <c r="E88" s="1624"/>
      <c r="F88" s="1731"/>
      <c r="G88" s="1731"/>
      <c r="H88" s="1731"/>
      <c r="I88" s="1731"/>
      <c r="J88" s="1731"/>
      <c r="K88" s="1731"/>
      <c r="L88" s="1624"/>
    </row>
    <row r="89" spans="1:13" ht="12" hidden="1" customHeight="1">
      <c r="A89" s="2038"/>
      <c r="B89" s="1678"/>
      <c r="C89" s="1726"/>
      <c r="D89" s="1624"/>
      <c r="E89" s="1624"/>
      <c r="F89" s="1731"/>
      <c r="G89" s="1731"/>
      <c r="H89" s="1731"/>
      <c r="I89" s="1731"/>
      <c r="J89" s="1731"/>
      <c r="K89" s="1731"/>
      <c r="L89" s="1624"/>
    </row>
    <row r="90" spans="1:13" hidden="1">
      <c r="A90" s="2038"/>
      <c r="B90" s="2412" t="s">
        <v>2964</v>
      </c>
      <c r="C90" s="2413"/>
      <c r="D90" s="2413"/>
      <c r="E90" s="2413"/>
      <c r="F90" s="2413"/>
      <c r="G90" s="2413"/>
      <c r="H90" s="2413"/>
      <c r="I90" s="2413"/>
      <c r="J90" s="2413"/>
      <c r="K90" s="2413"/>
      <c r="L90" s="2413"/>
    </row>
    <row r="91" spans="1:13" hidden="1">
      <c r="A91" s="2038"/>
      <c r="B91" s="2413"/>
      <c r="C91" s="2413"/>
      <c r="D91" s="2413"/>
      <c r="E91" s="2413"/>
      <c r="F91" s="2413"/>
      <c r="G91" s="2413"/>
      <c r="H91" s="2413"/>
      <c r="I91" s="2413"/>
      <c r="J91" s="2413"/>
      <c r="K91" s="2413"/>
      <c r="L91" s="2413"/>
    </row>
    <row r="92" spans="1:13" hidden="1">
      <c r="A92" s="2038"/>
      <c r="B92" s="2413"/>
      <c r="C92" s="2413"/>
      <c r="D92" s="2413"/>
      <c r="E92" s="2413"/>
      <c r="F92" s="2413"/>
      <c r="G92" s="2413"/>
      <c r="H92" s="2413"/>
      <c r="I92" s="2413"/>
      <c r="J92" s="2413"/>
      <c r="K92" s="2413"/>
      <c r="L92" s="2413"/>
    </row>
    <row r="93" spans="1:13" hidden="1">
      <c r="A93" s="2038"/>
      <c r="B93" s="2413"/>
      <c r="C93" s="2413"/>
      <c r="D93" s="2413"/>
      <c r="E93" s="2413"/>
      <c r="F93" s="2413"/>
      <c r="G93" s="2413"/>
      <c r="H93" s="2413"/>
      <c r="I93" s="2413"/>
      <c r="J93" s="2413"/>
      <c r="K93" s="2413"/>
      <c r="L93" s="2413"/>
    </row>
    <row r="94" spans="1:13" hidden="1">
      <c r="A94" s="2038"/>
      <c r="B94" s="2413"/>
      <c r="C94" s="2413"/>
      <c r="D94" s="2413"/>
      <c r="E94" s="2413"/>
      <c r="F94" s="2413"/>
      <c r="G94" s="2413"/>
      <c r="H94" s="2413"/>
      <c r="I94" s="2413"/>
      <c r="J94" s="2413"/>
      <c r="K94" s="2413"/>
      <c r="L94" s="2413"/>
    </row>
    <row r="95" spans="1:13" ht="12" hidden="1" customHeight="1">
      <c r="A95" s="2038"/>
      <c r="B95" s="1678"/>
      <c r="C95" s="1624"/>
      <c r="D95" s="1624"/>
      <c r="E95" s="1624"/>
      <c r="F95" s="1624"/>
      <c r="G95" s="1624"/>
      <c r="H95" s="1624"/>
      <c r="I95" s="1624"/>
      <c r="J95" s="1624"/>
      <c r="K95" s="1624"/>
      <c r="L95" s="1624"/>
    </row>
    <row r="96" spans="1:13" hidden="1">
      <c r="A96" s="2038"/>
      <c r="B96" s="2412" t="s">
        <v>2966</v>
      </c>
      <c r="C96" s="2413"/>
      <c r="D96" s="2413"/>
      <c r="E96" s="2413"/>
      <c r="F96" s="2413"/>
      <c r="G96" s="2413"/>
      <c r="H96" s="2413"/>
      <c r="I96" s="2413"/>
      <c r="J96" s="2413"/>
      <c r="K96" s="2413"/>
      <c r="L96" s="2413"/>
    </row>
    <row r="97" spans="1:12" hidden="1">
      <c r="A97" s="2038"/>
      <c r="B97" s="2412"/>
      <c r="C97" s="2413"/>
      <c r="D97" s="2413"/>
      <c r="E97" s="2413"/>
      <c r="F97" s="2413"/>
      <c r="G97" s="2413"/>
      <c r="H97" s="2413"/>
      <c r="I97" s="2413"/>
      <c r="J97" s="2413"/>
      <c r="K97" s="2413"/>
      <c r="L97" s="2413"/>
    </row>
    <row r="98" spans="1:12" hidden="1">
      <c r="A98" s="2038"/>
      <c r="B98" s="2412"/>
      <c r="C98" s="2413"/>
      <c r="D98" s="2413"/>
      <c r="E98" s="2413"/>
      <c r="F98" s="2413"/>
      <c r="G98" s="2413"/>
      <c r="H98" s="2413"/>
      <c r="I98" s="2413"/>
      <c r="J98" s="2413"/>
      <c r="K98" s="2413"/>
      <c r="L98" s="2413"/>
    </row>
    <row r="99" spans="1:12" ht="13.5" hidden="1" customHeight="1">
      <c r="A99" s="2038"/>
      <c r="B99" s="2413"/>
      <c r="C99" s="2413"/>
      <c r="D99" s="2413"/>
      <c r="E99" s="2413"/>
      <c r="F99" s="2413"/>
      <c r="G99" s="2413"/>
      <c r="H99" s="2413"/>
      <c r="I99" s="2413"/>
      <c r="J99" s="2413"/>
      <c r="K99" s="2413"/>
      <c r="L99" s="2413"/>
    </row>
    <row r="100" spans="1:12" ht="12" hidden="1" customHeight="1">
      <c r="A100" s="2038"/>
      <c r="B100" s="1734"/>
      <c r="C100" s="2042"/>
      <c r="D100" s="2042"/>
      <c r="E100" s="2042"/>
      <c r="F100" s="2042"/>
      <c r="G100" s="2042"/>
      <c r="H100" s="2042"/>
      <c r="I100" s="2042"/>
      <c r="J100" s="2042"/>
      <c r="K100" s="2042"/>
      <c r="L100" s="2042"/>
    </row>
    <row r="101" spans="1:12" hidden="1">
      <c r="A101" s="2038"/>
      <c r="B101" s="2412" t="s">
        <v>2967</v>
      </c>
      <c r="C101" s="2413"/>
      <c r="D101" s="2413"/>
      <c r="E101" s="2413"/>
      <c r="F101" s="2413"/>
      <c r="G101" s="2413"/>
      <c r="H101" s="2413"/>
      <c r="I101" s="2413"/>
      <c r="J101" s="2413"/>
      <c r="K101" s="2413"/>
      <c r="L101" s="2413"/>
    </row>
    <row r="102" spans="1:12" hidden="1">
      <c r="A102" s="2038"/>
      <c r="B102" s="2413"/>
      <c r="C102" s="2413"/>
      <c r="D102" s="2413"/>
      <c r="E102" s="2413"/>
      <c r="F102" s="2413"/>
      <c r="G102" s="2413"/>
      <c r="H102" s="2413"/>
      <c r="I102" s="2413"/>
      <c r="J102" s="2413"/>
      <c r="K102" s="2413"/>
      <c r="L102" s="2413"/>
    </row>
    <row r="103" spans="1:12" hidden="1">
      <c r="A103" s="2038"/>
      <c r="B103" s="1678"/>
      <c r="C103" s="2042"/>
      <c r="D103" s="2042"/>
      <c r="E103" s="2042"/>
      <c r="F103" s="2042"/>
      <c r="G103" s="2042"/>
      <c r="H103" s="2042"/>
      <c r="I103" s="2042"/>
      <c r="J103" s="2042"/>
      <c r="K103" s="2042"/>
      <c r="L103" s="2042"/>
    </row>
    <row r="104" spans="1:12" hidden="1">
      <c r="A104" s="2038"/>
      <c r="B104" s="2368" t="s">
        <v>2968</v>
      </c>
      <c r="C104" s="2368"/>
      <c r="D104" s="2368"/>
      <c r="E104" s="2368"/>
      <c r="F104" s="2368"/>
      <c r="G104" s="2368"/>
      <c r="H104" s="2368"/>
      <c r="I104" s="2368"/>
      <c r="J104" s="2368"/>
      <c r="K104" s="2368"/>
      <c r="L104" s="2368"/>
    </row>
    <row r="105" spans="1:12" hidden="1">
      <c r="A105" s="1446"/>
      <c r="B105" s="2368"/>
      <c r="C105" s="2368"/>
      <c r="D105" s="2368"/>
      <c r="E105" s="2368"/>
      <c r="F105" s="2368"/>
      <c r="G105" s="2368"/>
      <c r="H105" s="2368"/>
      <c r="I105" s="2368"/>
      <c r="J105" s="2368"/>
      <c r="K105" s="2368"/>
      <c r="L105" s="2368"/>
    </row>
    <row r="106" spans="1:12">
      <c r="A106" s="1446"/>
      <c r="B106" s="1446"/>
      <c r="C106" s="1446"/>
      <c r="D106" s="1446"/>
      <c r="E106" s="1446"/>
      <c r="F106" s="1446"/>
      <c r="G106" s="1446"/>
      <c r="H106" s="1446"/>
      <c r="I106" s="1446"/>
      <c r="J106" s="1446"/>
      <c r="K106" s="1446"/>
      <c r="L106" s="1446"/>
    </row>
  </sheetData>
  <mergeCells count="19">
    <mergeCell ref="Z37:Z38"/>
    <mergeCell ref="J4:L4"/>
    <mergeCell ref="C22:L25"/>
    <mergeCell ref="C36:L40"/>
    <mergeCell ref="B96:L99"/>
    <mergeCell ref="U37:U38"/>
    <mergeCell ref="V37:V38"/>
    <mergeCell ref="W37:W38"/>
    <mergeCell ref="X37:X38"/>
    <mergeCell ref="Y37:Y38"/>
    <mergeCell ref="C27:L30"/>
    <mergeCell ref="C32:L32"/>
    <mergeCell ref="B104:L105"/>
    <mergeCell ref="B48:L57"/>
    <mergeCell ref="B68:L69"/>
    <mergeCell ref="B71:L75"/>
    <mergeCell ref="B90:L94"/>
    <mergeCell ref="B65:L67"/>
    <mergeCell ref="B101:L102"/>
  </mergeCells>
  <pageMargins left="0.75" right="0.25" top="0.75" bottom="0" header="0.25" footer="0"/>
  <pageSetup paperSize="9" scale="90" firstPageNumber="15" fitToHeight="0" orientation="portrait" useFirstPageNumber="1" r:id="rId1"/>
  <headerFooter>
    <oddHeader>&amp;C&amp;"Arial Black,Regular"&amp;11&amp;P&amp;R&amp;"Arial Black,Regular"&amp;11MCB PAKISTAN STOCK MARKET FUND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5"/>
  <sheetViews>
    <sheetView view="pageBreakPreview" topLeftCell="A5" zoomScaleSheetLayoutView="100" workbookViewId="0">
      <selection activeCell="J16" sqref="J16"/>
    </sheetView>
  </sheetViews>
  <sheetFormatPr defaultColWidth="9" defaultRowHeight="15.6"/>
  <cols>
    <col min="1" max="2" width="4.19921875" style="1020" customWidth="1"/>
    <col min="3" max="8" width="9" style="1020"/>
    <col min="9" max="9" width="7.09765625" style="1020" customWidth="1"/>
    <col min="10" max="10" width="14.59765625" style="1020" customWidth="1"/>
    <col min="11" max="11" width="1" style="1020" customWidth="1"/>
    <col min="12" max="12" width="14.59765625" style="1020" customWidth="1"/>
    <col min="13" max="13" width="9" style="1020"/>
    <col min="14" max="15" width="9.5" style="1020" bestFit="1" customWidth="1"/>
    <col min="16" max="16384" width="9" style="1020"/>
  </cols>
  <sheetData>
    <row r="1" spans="1:15">
      <c r="A1" s="1683"/>
      <c r="B1" s="1678"/>
      <c r="C1" s="1683"/>
      <c r="D1" s="1683"/>
      <c r="E1" s="1624"/>
      <c r="F1" s="1685"/>
      <c r="G1" s="1685"/>
      <c r="J1" s="1687" t="s">
        <v>631</v>
      </c>
      <c r="K1" s="1683"/>
      <c r="L1" s="1688" t="s">
        <v>630</v>
      </c>
    </row>
    <row r="2" spans="1:15">
      <c r="A2" s="1683"/>
      <c r="B2" s="1678"/>
      <c r="C2" s="1683"/>
      <c r="D2" s="1683"/>
      <c r="E2" s="1624"/>
      <c r="F2" s="1685"/>
      <c r="G2" s="1685"/>
      <c r="I2" s="1684"/>
      <c r="J2" s="1960" t="s">
        <v>2779</v>
      </c>
      <c r="K2" s="1686"/>
      <c r="L2" s="1685" t="s">
        <v>2547</v>
      </c>
    </row>
    <row r="3" spans="1:15">
      <c r="A3" s="1683"/>
      <c r="B3" s="1678"/>
      <c r="C3" s="1683"/>
      <c r="D3" s="1683"/>
      <c r="E3" s="1624"/>
      <c r="F3" s="1685"/>
      <c r="G3" s="1685"/>
      <c r="I3" s="1684"/>
      <c r="J3" s="1685" t="s">
        <v>2918</v>
      </c>
      <c r="K3" s="1592"/>
      <c r="L3" s="1685" t="s">
        <v>2918</v>
      </c>
    </row>
    <row r="4" spans="1:15">
      <c r="C4" s="1624"/>
      <c r="D4" s="1659"/>
      <c r="E4" s="1659"/>
      <c r="F4" s="1713"/>
      <c r="G4" s="1713"/>
      <c r="I4" s="1684" t="s">
        <v>51</v>
      </c>
      <c r="J4" s="2374" t="s">
        <v>2513</v>
      </c>
      <c r="K4" s="2375"/>
      <c r="L4" s="2375"/>
    </row>
    <row r="5" spans="1:15">
      <c r="A5" s="1711" t="s">
        <v>2575</v>
      </c>
      <c r="B5" s="1712" t="s">
        <v>994</v>
      </c>
      <c r="C5" s="1624"/>
      <c r="D5" s="1714"/>
      <c r="E5" s="1714"/>
      <c r="F5" s="1714"/>
      <c r="G5" s="1714"/>
      <c r="I5" s="1714"/>
      <c r="J5" s="1714"/>
      <c r="K5" s="1714"/>
      <c r="L5" s="1714"/>
    </row>
    <row r="6" spans="1:15">
      <c r="A6" s="1711"/>
      <c r="B6" s="1712"/>
      <c r="C6" s="1624"/>
      <c r="D6" s="1714"/>
      <c r="E6" s="1714"/>
      <c r="F6" s="1714"/>
      <c r="G6" s="1714"/>
      <c r="I6" s="1714"/>
      <c r="J6" s="1714"/>
      <c r="K6" s="1714"/>
      <c r="L6" s="1714"/>
    </row>
    <row r="7" spans="1:15">
      <c r="A7" s="1711"/>
      <c r="B7" s="1624" t="s">
        <v>2347</v>
      </c>
      <c r="C7" s="1624"/>
      <c r="D7" s="1714"/>
      <c r="E7" s="1714"/>
      <c r="F7" s="1715"/>
      <c r="G7" s="1716"/>
      <c r="I7" s="1717">
        <f>B19</f>
        <v>8.1</v>
      </c>
      <c r="J7" s="1848">
        <f>'TB-31 Dec'!$E$114</f>
        <v>2</v>
      </c>
      <c r="K7" s="1913"/>
      <c r="L7" s="1701">
        <v>57875</v>
      </c>
      <c r="N7" s="2015">
        <f>+J7+BS!F29</f>
        <v>11812277.018000003</v>
      </c>
      <c r="O7" s="2015">
        <f>+J8+BS!F29</f>
        <v>11814874.018000003</v>
      </c>
    </row>
    <row r="8" spans="1:15">
      <c r="A8" s="1711"/>
      <c r="B8" s="1624" t="s">
        <v>2412</v>
      </c>
      <c r="C8" s="1624"/>
      <c r="D8" s="1714"/>
      <c r="E8" s="1714"/>
      <c r="F8" s="1715"/>
      <c r="G8" s="1716"/>
      <c r="H8" s="1717"/>
      <c r="I8" s="1717">
        <f>B22</f>
        <v>8.1999999999999993</v>
      </c>
      <c r="J8" s="1848">
        <f>'TB-31 Dec'!$E$91</f>
        <v>2599</v>
      </c>
      <c r="K8" s="1913"/>
      <c r="L8" s="1701">
        <v>54773.5</v>
      </c>
      <c r="N8" s="1020">
        <f>+N7/BS!F37</f>
        <v>9.8021740642664543E-2</v>
      </c>
      <c r="O8" s="1020">
        <f>+O7/BS!F37</f>
        <v>9.8043291310673866E-2</v>
      </c>
    </row>
    <row r="9" spans="1:15">
      <c r="A9" s="1711"/>
      <c r="B9" s="1624" t="s">
        <v>2603</v>
      </c>
      <c r="C9" s="1624"/>
      <c r="D9" s="1714"/>
      <c r="E9" s="1714"/>
      <c r="F9" s="1715"/>
      <c r="G9" s="1716"/>
      <c r="H9" s="1717"/>
      <c r="I9" s="1717"/>
      <c r="J9" s="1848">
        <f>'TB-31 Dec'!$E$93</f>
        <v>141</v>
      </c>
      <c r="K9" s="1913"/>
      <c r="L9" s="1701">
        <v>3932.5</v>
      </c>
      <c r="N9" s="1020">
        <f>+N8*1000</f>
        <v>98.02174064266454</v>
      </c>
      <c r="O9" s="1020">
        <f>+O8*1000</f>
        <v>98.043291310673865</v>
      </c>
    </row>
    <row r="10" spans="1:15">
      <c r="A10" s="1720"/>
      <c r="B10" s="1624" t="s">
        <v>2413</v>
      </c>
      <c r="C10" s="1624"/>
      <c r="D10" s="1714"/>
      <c r="E10" s="1714"/>
      <c r="F10" s="1721"/>
      <c r="G10" s="1721"/>
      <c r="H10" s="1721"/>
      <c r="I10" s="1721"/>
      <c r="J10" s="1848">
        <f>'TB-31 Dec'!$F$111</f>
        <v>9722</v>
      </c>
      <c r="K10" s="1914"/>
      <c r="L10" s="1915">
        <v>9722</v>
      </c>
      <c r="N10" s="2016">
        <f>+N9-BS!F40</f>
        <v>4.0642664544066065E-5</v>
      </c>
      <c r="O10" s="2016">
        <f>+O9-BS!F40</f>
        <v>2.1591310673869657E-2</v>
      </c>
    </row>
    <row r="11" spans="1:15">
      <c r="A11" s="1624"/>
      <c r="B11" s="1624" t="s">
        <v>619</v>
      </c>
      <c r="C11" s="1624"/>
      <c r="D11" s="1624"/>
      <c r="E11" s="1624"/>
      <c r="F11" s="1659"/>
      <c r="G11" s="1624"/>
      <c r="H11" s="1624"/>
      <c r="I11" s="1624"/>
      <c r="J11" s="1848">
        <f>'TB-31 Dec'!$F$114</f>
        <v>7464</v>
      </c>
      <c r="K11" s="1740"/>
      <c r="L11" s="1740">
        <v>5783</v>
      </c>
    </row>
    <row r="12" spans="1:15">
      <c r="A12" s="1624"/>
      <c r="B12" s="1624" t="s">
        <v>1023</v>
      </c>
      <c r="C12" s="1624"/>
      <c r="D12" s="1624"/>
      <c r="E12" s="1624"/>
      <c r="F12" s="1659"/>
      <c r="G12" s="1624"/>
      <c r="H12" s="1624"/>
      <c r="I12" s="1624"/>
      <c r="J12" s="1848">
        <f>'TB-31 Dec'!$E$115</f>
        <v>0</v>
      </c>
      <c r="K12" s="1740"/>
      <c r="L12" s="1740">
        <v>681</v>
      </c>
    </row>
    <row r="13" spans="1:15">
      <c r="A13" s="1624"/>
      <c r="B13" s="1624" t="s">
        <v>2415</v>
      </c>
      <c r="C13" s="1624"/>
      <c r="D13" s="1624"/>
      <c r="E13" s="1624"/>
      <c r="F13" s="1659"/>
      <c r="G13" s="1624"/>
      <c r="H13" s="1624"/>
      <c r="I13" s="1624"/>
      <c r="J13" s="1848">
        <f>'TB-31 Dec'!$F$118</f>
        <v>993</v>
      </c>
      <c r="K13" s="1740"/>
      <c r="L13" s="1740">
        <v>2177</v>
      </c>
    </row>
    <row r="14" spans="1:15">
      <c r="A14" s="1624"/>
      <c r="B14" s="1624" t="s">
        <v>2414</v>
      </c>
      <c r="C14" s="1624"/>
      <c r="D14" s="1624"/>
      <c r="E14" s="1624"/>
      <c r="F14" s="1659"/>
      <c r="G14" s="1624"/>
      <c r="H14" s="1624"/>
      <c r="I14" s="1624"/>
      <c r="J14" s="1848">
        <f>'TB-31 Dec'!$E$120</f>
        <v>1044</v>
      </c>
      <c r="K14" s="1740"/>
      <c r="L14" s="1740">
        <v>39</v>
      </c>
    </row>
    <row r="15" spans="1:15">
      <c r="A15" s="1624"/>
      <c r="B15" s="1624" t="s">
        <v>2602</v>
      </c>
      <c r="C15" s="1624"/>
      <c r="D15" s="1624"/>
      <c r="E15" s="1624"/>
      <c r="F15" s="1722"/>
      <c r="G15" s="1624"/>
      <c r="H15" s="1624"/>
      <c r="I15" s="1624"/>
      <c r="J15" s="1848">
        <v>0</v>
      </c>
      <c r="K15" s="1740"/>
      <c r="L15" s="1740">
        <v>119</v>
      </c>
    </row>
    <row r="16" spans="1:15">
      <c r="A16" s="1624"/>
      <c r="B16" s="1624" t="s">
        <v>269</v>
      </c>
      <c r="C16" s="1624"/>
      <c r="D16" s="1624"/>
      <c r="E16" s="1624"/>
      <c r="F16" s="1722"/>
      <c r="G16" s="1624"/>
      <c r="H16" s="1624"/>
      <c r="I16" s="1624"/>
      <c r="J16" s="1848">
        <f>'TB-31 Dec'!F124+'10.2-10.3'!I86+'TB-31 Dec'!E95+'TB-31 Dec'!D122-1</f>
        <v>1151</v>
      </c>
      <c r="K16" s="1740"/>
      <c r="L16" s="1740">
        <v>192</v>
      </c>
      <c r="N16" s="1020">
        <f>174000+121458.02+4667</f>
        <v>300125.02</v>
      </c>
    </row>
    <row r="17" spans="1:15" ht="16.2" thickBot="1">
      <c r="A17" s="1624"/>
      <c r="B17" s="1624"/>
      <c r="C17" s="1681"/>
      <c r="D17" s="1624"/>
      <c r="E17" s="1624"/>
      <c r="F17" s="1718"/>
      <c r="G17" s="1718"/>
      <c r="H17" s="1718"/>
      <c r="I17" s="1718"/>
      <c r="J17" s="1876">
        <f>SUM(J7:J16)</f>
        <v>23116</v>
      </c>
      <c r="K17" s="1740"/>
      <c r="L17" s="1860">
        <f>SUM(L7:L16)</f>
        <v>135294</v>
      </c>
      <c r="M17" s="1020">
        <f>'TB-31 Dec'!H97</f>
        <v>78755</v>
      </c>
    </row>
    <row r="18" spans="1:15" ht="16.2" thickTop="1">
      <c r="A18" s="1624"/>
      <c r="B18" s="1723"/>
      <c r="C18" s="1724"/>
      <c r="D18" s="1724"/>
      <c r="E18" s="1724"/>
      <c r="F18" s="1724"/>
      <c r="G18" s="1724"/>
      <c r="H18" s="1724"/>
      <c r="I18" s="1724"/>
      <c r="J18" s="1724"/>
      <c r="K18" s="1724"/>
      <c r="L18" s="1724"/>
    </row>
    <row r="19" spans="1:15">
      <c r="A19" s="1624"/>
      <c r="B19" s="1726">
        <v>8.1</v>
      </c>
      <c r="C19" s="2420" t="s">
        <v>2920</v>
      </c>
      <c r="D19" s="2420"/>
      <c r="E19" s="2420"/>
      <c r="F19" s="2420"/>
      <c r="G19" s="2420"/>
      <c r="H19" s="2420"/>
      <c r="I19" s="2420"/>
      <c r="J19" s="2420"/>
      <c r="K19" s="2420"/>
      <c r="L19" s="2420"/>
      <c r="M19" s="1020">
        <f>J7/BS!F37*1000</f>
        <v>1.659658683813379E-5</v>
      </c>
      <c r="O19" s="1020">
        <f>L7/BS!H37*1000</f>
        <v>0.48378342090809379</v>
      </c>
    </row>
    <row r="20" spans="1:15" ht="43.2" customHeight="1">
      <c r="A20" s="1624"/>
      <c r="B20" s="1723"/>
      <c r="C20" s="2420"/>
      <c r="D20" s="2420"/>
      <c r="E20" s="2420"/>
      <c r="F20" s="2420"/>
      <c r="G20" s="2420"/>
      <c r="H20" s="2420"/>
      <c r="I20" s="2420"/>
      <c r="J20" s="2420"/>
      <c r="K20" s="2420"/>
      <c r="L20" s="2420"/>
    </row>
    <row r="21" spans="1:15">
      <c r="A21" s="1624"/>
      <c r="B21" s="1723"/>
      <c r="C21" s="1763"/>
      <c r="D21" s="1763"/>
      <c r="E21" s="1763"/>
      <c r="F21" s="1763"/>
      <c r="G21" s="1763"/>
      <c r="H21" s="1763"/>
      <c r="I21" s="1763"/>
      <c r="J21" s="1763"/>
      <c r="K21" s="1763"/>
      <c r="L21" s="1763"/>
    </row>
    <row r="22" spans="1:15" ht="15.75" customHeight="1">
      <c r="A22" s="1624"/>
      <c r="B22" s="1726">
        <v>8.1999999999999993</v>
      </c>
      <c r="C22" s="2418" t="s">
        <v>2830</v>
      </c>
      <c r="D22" s="2418"/>
      <c r="E22" s="2418"/>
      <c r="F22" s="2418"/>
      <c r="G22" s="2418"/>
      <c r="H22" s="2418"/>
      <c r="I22" s="2418"/>
      <c r="J22" s="2418"/>
      <c r="K22" s="2418"/>
      <c r="L22" s="2418"/>
    </row>
    <row r="23" spans="1:15">
      <c r="A23" s="1624"/>
      <c r="B23" s="1726"/>
      <c r="C23" s="2418"/>
      <c r="D23" s="2418"/>
      <c r="E23" s="2418"/>
      <c r="F23" s="2418"/>
      <c r="G23" s="2418"/>
      <c r="H23" s="2418"/>
      <c r="I23" s="2418"/>
      <c r="J23" s="2418"/>
      <c r="K23" s="2418"/>
      <c r="L23" s="2418"/>
    </row>
    <row r="24" spans="1:15">
      <c r="A24" s="1624"/>
      <c r="B24" s="1726"/>
      <c r="C24" s="2418"/>
      <c r="D24" s="2418"/>
      <c r="E24" s="2418"/>
      <c r="F24" s="2418"/>
      <c r="G24" s="2418"/>
      <c r="H24" s="2418"/>
      <c r="I24" s="2418"/>
      <c r="J24" s="2418"/>
      <c r="K24" s="2418"/>
      <c r="L24" s="2418"/>
    </row>
    <row r="25" spans="1:15">
      <c r="A25" s="1624"/>
      <c r="B25" s="1726"/>
      <c r="C25" s="2418"/>
      <c r="D25" s="2418"/>
      <c r="E25" s="2418"/>
      <c r="F25" s="2418"/>
      <c r="G25" s="2418"/>
      <c r="H25" s="2418"/>
      <c r="I25" s="2418"/>
      <c r="J25" s="2418"/>
      <c r="K25" s="2418"/>
      <c r="L25" s="2418"/>
    </row>
    <row r="26" spans="1:15">
      <c r="A26" s="1624"/>
      <c r="B26" s="1726"/>
      <c r="C26" s="2418"/>
      <c r="D26" s="2418"/>
      <c r="E26" s="2418"/>
      <c r="F26" s="2418"/>
      <c r="G26" s="2418"/>
      <c r="H26" s="2418"/>
      <c r="I26" s="2418"/>
      <c r="J26" s="2418"/>
      <c r="K26" s="2418"/>
      <c r="L26" s="2418"/>
    </row>
    <row r="27" spans="1:15">
      <c r="A27" s="2061" t="s">
        <v>2806</v>
      </c>
      <c r="B27" s="1726" t="s">
        <v>2904</v>
      </c>
      <c r="C27" s="1763"/>
      <c r="D27" s="1763"/>
      <c r="E27" s="1763"/>
      <c r="F27" s="1763"/>
      <c r="G27" s="1763"/>
      <c r="H27" s="1763"/>
      <c r="I27" s="1763"/>
      <c r="J27" s="1763"/>
      <c r="K27" s="1763"/>
      <c r="L27" s="1763"/>
    </row>
    <row r="28" spans="1:15">
      <c r="A28" s="1624"/>
      <c r="B28" s="1726"/>
      <c r="C28" s="1763"/>
      <c r="D28" s="1763"/>
      <c r="E28" s="1763"/>
      <c r="F28" s="1763"/>
      <c r="G28" s="1763"/>
      <c r="H28" s="1763"/>
      <c r="I28" s="1763"/>
      <c r="J28" s="1763"/>
      <c r="K28" s="1763"/>
      <c r="L28" s="1763"/>
    </row>
    <row r="29" spans="1:15">
      <c r="A29" s="1624"/>
      <c r="B29" s="1730" t="s">
        <v>1074</v>
      </c>
      <c r="C29" s="1763"/>
      <c r="D29" s="1763"/>
      <c r="E29" s="1763"/>
      <c r="F29" s="1763"/>
      <c r="G29" s="1763"/>
      <c r="H29" s="1763"/>
      <c r="I29" s="1763"/>
      <c r="J29" s="2063">
        <f>+'TB-31 Dec'!D89</f>
        <v>19992</v>
      </c>
      <c r="K29" s="1763"/>
      <c r="L29" s="1701">
        <v>14075</v>
      </c>
    </row>
    <row r="30" spans="1:15">
      <c r="A30" s="1624"/>
      <c r="B30" s="1730" t="s">
        <v>2844</v>
      </c>
      <c r="C30" s="1763"/>
      <c r="D30" s="1763"/>
      <c r="E30" s="1763"/>
      <c r="F30" s="1763"/>
      <c r="G30" s="1763"/>
      <c r="H30" s="1763"/>
      <c r="I30" s="1763"/>
      <c r="J30" s="2063">
        <f>+'TB-31 Dec'!D91</f>
        <v>2599</v>
      </c>
      <c r="K30" s="1763"/>
      <c r="L30" s="1701">
        <v>1830</v>
      </c>
    </row>
    <row r="31" spans="1:15">
      <c r="A31" s="1624"/>
      <c r="B31" s="1730" t="s">
        <v>2905</v>
      </c>
      <c r="C31" s="1763"/>
      <c r="D31" s="1763"/>
      <c r="E31" s="1763"/>
      <c r="F31" s="1763"/>
      <c r="G31" s="1763"/>
      <c r="H31" s="1763"/>
      <c r="I31" s="1763">
        <v>9.1</v>
      </c>
      <c r="J31" s="2063">
        <f>+'TB-31 Dec'!E122</f>
        <v>65</v>
      </c>
      <c r="K31" s="1763"/>
      <c r="L31" s="1701">
        <v>704</v>
      </c>
    </row>
    <row r="32" spans="1:15">
      <c r="A32" s="1624"/>
      <c r="B32" s="1730" t="s">
        <v>2906</v>
      </c>
      <c r="C32" s="1763"/>
      <c r="D32" s="1763"/>
      <c r="E32" s="1763"/>
      <c r="F32" s="1763"/>
      <c r="G32" s="1763"/>
      <c r="H32" s="1763"/>
      <c r="I32" s="1763">
        <v>9.1999999999999993</v>
      </c>
      <c r="J32" s="2063">
        <f>+'TB-31 Dec'!E123</f>
        <v>999</v>
      </c>
      <c r="K32" s="1763"/>
      <c r="L32" s="1701">
        <v>28270</v>
      </c>
    </row>
    <row r="33" spans="1:12">
      <c r="A33" s="1624"/>
      <c r="B33" s="1730" t="s">
        <v>2907</v>
      </c>
      <c r="C33" s="1763"/>
      <c r="D33" s="1763"/>
      <c r="E33" s="1763"/>
      <c r="F33" s="1763"/>
      <c r="G33" s="1763"/>
      <c r="H33" s="1763"/>
      <c r="I33" s="1763"/>
      <c r="J33" s="2063">
        <f>+'TB-31 Dec'!E89</f>
        <v>19992</v>
      </c>
      <c r="K33" s="1763"/>
      <c r="L33" s="1701">
        <v>169</v>
      </c>
    </row>
    <row r="34" spans="1:12" ht="16.2" thickBot="1">
      <c r="A34" s="1624"/>
      <c r="B34" s="1730"/>
      <c r="C34" s="1763"/>
      <c r="D34" s="1763"/>
      <c r="E34" s="1763"/>
      <c r="F34" s="1763"/>
      <c r="G34" s="1763"/>
      <c r="H34" s="1763"/>
      <c r="I34" s="1763"/>
      <c r="J34" s="2064">
        <f>SUM(J29:J33)</f>
        <v>43647</v>
      </c>
      <c r="K34" s="1763"/>
      <c r="L34" s="2062">
        <f>SUM(L29:L33)</f>
        <v>45048</v>
      </c>
    </row>
    <row r="35" spans="1:12" ht="16.2" thickTop="1">
      <c r="A35" s="1624"/>
      <c r="B35" s="1730"/>
      <c r="C35" s="2065"/>
      <c r="D35" s="2065"/>
      <c r="E35" s="2065"/>
      <c r="F35" s="2065"/>
      <c r="G35" s="2065"/>
      <c r="H35" s="2065"/>
      <c r="I35" s="2065"/>
      <c r="J35" s="2066"/>
      <c r="K35" s="2065"/>
      <c r="L35" s="1701"/>
    </row>
    <row r="36" spans="1:12" ht="16.5" customHeight="1">
      <c r="A36" s="1624">
        <v>9.1</v>
      </c>
      <c r="B36" s="2373" t="s">
        <v>2908</v>
      </c>
      <c r="C36" s="2373"/>
      <c r="D36" s="2373"/>
      <c r="E36" s="2373"/>
      <c r="F36" s="2373"/>
      <c r="G36" s="2373"/>
      <c r="H36" s="2373"/>
      <c r="I36" s="2373"/>
      <c r="J36" s="2373"/>
      <c r="K36" s="2373"/>
      <c r="L36" s="2373"/>
    </row>
    <row r="37" spans="1:12" ht="31.5" customHeight="1">
      <c r="A37" s="1624"/>
      <c r="B37" s="2373"/>
      <c r="C37" s="2373"/>
      <c r="D37" s="2373"/>
      <c r="E37" s="2373"/>
      <c r="F37" s="2373"/>
      <c r="G37" s="2373"/>
      <c r="H37" s="2373"/>
      <c r="I37" s="2373"/>
      <c r="J37" s="2373"/>
      <c r="K37" s="2373"/>
      <c r="L37" s="2373"/>
    </row>
    <row r="38" spans="1:12" ht="29.25" customHeight="1">
      <c r="A38" s="1624"/>
      <c r="B38" s="2373"/>
      <c r="C38" s="2373"/>
      <c r="D38" s="2373"/>
      <c r="E38" s="2373"/>
      <c r="F38" s="2373"/>
      <c r="G38" s="2373"/>
      <c r="H38" s="2373"/>
      <c r="I38" s="2373"/>
      <c r="J38" s="2373"/>
      <c r="K38" s="2373"/>
      <c r="L38" s="2373"/>
    </row>
    <row r="39" spans="1:12" ht="15" customHeight="1">
      <c r="A39" s="1624"/>
      <c r="B39" s="2373"/>
      <c r="C39" s="2373"/>
      <c r="D39" s="2373"/>
      <c r="E39" s="2373"/>
      <c r="F39" s="2373"/>
      <c r="G39" s="2373"/>
      <c r="H39" s="2373"/>
      <c r="I39" s="2373"/>
      <c r="J39" s="2373"/>
      <c r="K39" s="2373"/>
      <c r="L39" s="2373"/>
    </row>
    <row r="40" spans="1:12" ht="15" customHeight="1">
      <c r="A40" s="1624"/>
      <c r="B40" s="2069"/>
      <c r="C40" s="2069"/>
      <c r="D40" s="2069"/>
      <c r="E40" s="2069"/>
      <c r="F40" s="2069"/>
      <c r="G40" s="2069"/>
      <c r="H40" s="2069"/>
      <c r="I40" s="2069"/>
      <c r="J40" s="2069"/>
      <c r="K40" s="2069"/>
      <c r="L40" s="2069"/>
    </row>
    <row r="41" spans="1:12" ht="29.25" customHeight="1">
      <c r="A41" s="1624">
        <v>9.1999999999999993</v>
      </c>
      <c r="B41" s="2373" t="s">
        <v>2909</v>
      </c>
      <c r="C41" s="2373"/>
      <c r="D41" s="2373"/>
      <c r="E41" s="2373"/>
      <c r="F41" s="2373"/>
      <c r="G41" s="2373"/>
      <c r="H41" s="2373"/>
      <c r="I41" s="2373"/>
      <c r="J41" s="2373"/>
      <c r="K41" s="2373"/>
      <c r="L41" s="2373"/>
    </row>
    <row r="42" spans="1:12" ht="29.25" customHeight="1">
      <c r="A42" s="1624"/>
      <c r="B42" s="2373"/>
      <c r="C42" s="2373"/>
      <c r="D42" s="2373"/>
      <c r="E42" s="2373"/>
      <c r="F42" s="2373"/>
      <c r="G42" s="2373"/>
      <c r="H42" s="2373"/>
      <c r="I42" s="2373"/>
      <c r="J42" s="2373"/>
      <c r="K42" s="2373"/>
      <c r="L42" s="2373"/>
    </row>
    <row r="43" spans="1:12" ht="12.75" customHeight="1">
      <c r="A43" s="1624"/>
      <c r="B43" s="2373"/>
      <c r="C43" s="2373"/>
      <c r="D43" s="2373"/>
      <c r="E43" s="2373"/>
      <c r="F43" s="2373"/>
      <c r="G43" s="2373"/>
      <c r="H43" s="2373"/>
      <c r="I43" s="2373"/>
      <c r="J43" s="2373"/>
      <c r="K43" s="2373"/>
      <c r="L43" s="2373"/>
    </row>
    <row r="44" spans="1:12">
      <c r="A44" s="1624"/>
      <c r="B44" s="1726"/>
      <c r="C44" s="1763"/>
      <c r="D44" s="1763"/>
      <c r="E44" s="1763"/>
      <c r="F44" s="1763"/>
      <c r="G44" s="1763"/>
      <c r="H44" s="1763"/>
      <c r="I44" s="1763"/>
      <c r="J44" s="1763"/>
      <c r="K44" s="1763"/>
      <c r="L44" s="1763"/>
    </row>
    <row r="45" spans="1:12" ht="18" customHeight="1">
      <c r="A45" s="1711" t="s">
        <v>2576</v>
      </c>
      <c r="B45" s="1726" t="s">
        <v>2831</v>
      </c>
      <c r="C45" s="2041"/>
      <c r="D45" s="2041"/>
      <c r="E45" s="2041"/>
      <c r="F45" s="2041"/>
      <c r="G45" s="2041"/>
      <c r="H45" s="2041"/>
      <c r="I45" s="2041"/>
      <c r="J45" s="2041"/>
      <c r="K45" s="2041"/>
      <c r="L45" s="2041"/>
    </row>
    <row r="46" spans="1:12" ht="10.5" customHeight="1">
      <c r="A46" s="1711"/>
      <c r="B46" s="1726"/>
      <c r="C46" s="2041"/>
      <c r="D46" s="2041"/>
      <c r="E46" s="2041"/>
      <c r="F46" s="2041"/>
      <c r="G46" s="2041"/>
      <c r="H46" s="2041"/>
      <c r="I46" s="2041"/>
      <c r="J46" s="2041"/>
      <c r="K46" s="2041"/>
      <c r="L46" s="2041"/>
    </row>
    <row r="47" spans="1:12" ht="18" customHeight="1">
      <c r="A47" s="1711"/>
      <c r="B47" s="1730" t="s">
        <v>1074</v>
      </c>
      <c r="C47" s="2041"/>
      <c r="D47" s="2041"/>
      <c r="E47" s="2041"/>
      <c r="F47" s="2041"/>
      <c r="G47" s="2041"/>
      <c r="H47" s="2041"/>
      <c r="I47" s="2041"/>
      <c r="J47" s="2053">
        <f>+'TB-31 Dec'!D95</f>
        <v>1082</v>
      </c>
      <c r="K47" s="2054"/>
      <c r="L47" s="2055">
        <v>786</v>
      </c>
    </row>
    <row r="48" spans="1:12" ht="18" customHeight="1">
      <c r="A48" s="1711"/>
      <c r="B48" s="1730" t="s">
        <v>2844</v>
      </c>
      <c r="C48" s="2041"/>
      <c r="D48" s="2041"/>
      <c r="E48" s="2041"/>
      <c r="F48" s="2041"/>
      <c r="G48" s="2041"/>
      <c r="H48" s="2041"/>
      <c r="I48" s="2041"/>
      <c r="J48" s="2053">
        <f>+'TB-31 Dec'!D93</f>
        <v>141</v>
      </c>
      <c r="K48" s="2054"/>
      <c r="L48" s="2055">
        <v>102</v>
      </c>
    </row>
    <row r="49" spans="1:12" ht="18" customHeight="1" thickBot="1">
      <c r="A49" s="1711"/>
      <c r="B49" s="1726"/>
      <c r="C49" s="2041"/>
      <c r="D49" s="2041"/>
      <c r="E49" s="2041"/>
      <c r="F49" s="2041"/>
      <c r="G49" s="2041"/>
      <c r="H49" s="2041"/>
      <c r="I49" s="2041"/>
      <c r="J49" s="2056">
        <f>SUM(J47:J48)</f>
        <v>1223</v>
      </c>
      <c r="K49" s="2054"/>
      <c r="L49" s="2057">
        <f>SUM(L47:L48)</f>
        <v>888</v>
      </c>
    </row>
    <row r="50" spans="1:12" ht="18" customHeight="1" thickTop="1">
      <c r="A50" s="1711"/>
      <c r="B50" s="1726"/>
      <c r="C50" s="2041"/>
      <c r="D50" s="2041"/>
      <c r="E50" s="2041"/>
      <c r="F50" s="2041"/>
      <c r="G50" s="2041"/>
      <c r="H50" s="2041"/>
      <c r="I50" s="2041"/>
      <c r="J50" s="2067"/>
      <c r="K50" s="2054"/>
      <c r="L50" s="2068"/>
    </row>
    <row r="51" spans="1:12" ht="18" customHeight="1">
      <c r="A51" s="1711" t="s">
        <v>2633</v>
      </c>
      <c r="B51" s="1726" t="s">
        <v>2832</v>
      </c>
      <c r="C51" s="2041"/>
      <c r="D51" s="2041"/>
      <c r="E51" s="2041"/>
      <c r="F51" s="2041"/>
      <c r="G51" s="2041"/>
      <c r="H51" s="2041"/>
      <c r="I51" s="2041"/>
      <c r="J51" s="2041"/>
      <c r="K51" s="2041"/>
      <c r="L51" s="2041"/>
    </row>
    <row r="52" spans="1:12" ht="18" customHeight="1">
      <c r="A52" s="1711"/>
      <c r="B52" s="1726"/>
      <c r="C52" s="2041"/>
      <c r="D52" s="2041"/>
      <c r="E52" s="2041"/>
      <c r="F52" s="2041"/>
      <c r="G52" s="2041"/>
      <c r="H52" s="2041"/>
      <c r="I52" s="2041"/>
      <c r="J52" s="2041"/>
      <c r="K52" s="2041"/>
      <c r="L52" s="2041"/>
    </row>
    <row r="53" spans="1:12" ht="18" customHeight="1">
      <c r="A53" s="1711"/>
      <c r="B53" s="2373" t="s">
        <v>2843</v>
      </c>
      <c r="C53" s="2373"/>
      <c r="D53" s="2373"/>
      <c r="E53" s="2373"/>
      <c r="F53" s="2373"/>
      <c r="G53" s="2373"/>
      <c r="H53" s="2373"/>
      <c r="I53" s="2373"/>
      <c r="J53" s="2373"/>
      <c r="K53" s="2373"/>
      <c r="L53" s="2373"/>
    </row>
    <row r="54" spans="1:12" ht="18" customHeight="1">
      <c r="A54" s="1711"/>
      <c r="B54" s="2373"/>
      <c r="C54" s="2373"/>
      <c r="D54" s="2373"/>
      <c r="E54" s="2373"/>
      <c r="F54" s="2373"/>
      <c r="G54" s="2373"/>
      <c r="H54" s="2373"/>
      <c r="I54" s="2373"/>
      <c r="J54" s="2373"/>
      <c r="K54" s="2373"/>
      <c r="L54" s="2373"/>
    </row>
    <row r="55" spans="1:12" ht="22.5" customHeight="1">
      <c r="A55" s="1624"/>
      <c r="B55" s="1681"/>
      <c r="C55" s="1681"/>
      <c r="D55" s="1681"/>
      <c r="E55" s="1681"/>
      <c r="F55" s="1681"/>
      <c r="G55" s="1681"/>
      <c r="H55" s="1681"/>
      <c r="I55" s="1681"/>
      <c r="J55" s="1681"/>
      <c r="K55" s="1681"/>
      <c r="L55" s="1681"/>
    </row>
    <row r="56" spans="1:12">
      <c r="A56" s="1711" t="s">
        <v>2593</v>
      </c>
      <c r="B56" s="1726" t="s">
        <v>137</v>
      </c>
      <c r="C56" s="1624"/>
      <c r="D56" s="1727"/>
      <c r="E56" s="1728"/>
      <c r="F56" s="1729"/>
      <c r="G56" s="1729"/>
      <c r="H56" s="1729"/>
      <c r="I56" s="1729"/>
      <c r="J56" s="1729"/>
      <c r="K56" s="1624"/>
      <c r="L56" s="1624"/>
    </row>
    <row r="57" spans="1:12">
      <c r="A57" s="1725"/>
      <c r="B57" s="1726"/>
      <c r="C57" s="1624"/>
      <c r="D57" s="1727"/>
      <c r="E57" s="1728"/>
      <c r="F57" s="1729"/>
      <c r="G57" s="1729"/>
      <c r="H57" s="1729"/>
      <c r="I57" s="1729"/>
      <c r="J57" s="1729"/>
      <c r="K57" s="1624"/>
      <c r="L57" s="1624"/>
    </row>
    <row r="58" spans="1:12">
      <c r="A58" s="1735"/>
      <c r="B58" s="1730" t="s">
        <v>2795</v>
      </c>
      <c r="C58" s="2059"/>
      <c r="D58" s="1727"/>
      <c r="E58" s="1728"/>
      <c r="F58" s="1729"/>
      <c r="G58" s="1729"/>
      <c r="H58" s="1729"/>
      <c r="I58" s="1729"/>
      <c r="J58" s="1729"/>
      <c r="K58" s="1624"/>
      <c r="L58" s="1624"/>
    </row>
    <row r="59" spans="1:12">
      <c r="A59" s="2018"/>
      <c r="B59" s="1723"/>
      <c r="C59" s="1724"/>
      <c r="D59" s="1724"/>
      <c r="E59" s="1724"/>
      <c r="F59" s="1724"/>
      <c r="G59" s="1724"/>
      <c r="H59" s="1724"/>
      <c r="I59" s="1724"/>
      <c r="J59" s="1724"/>
      <c r="K59" s="1724"/>
      <c r="L59" s="1724"/>
    </row>
    <row r="60" spans="1:12">
      <c r="A60" s="1711" t="s">
        <v>2592</v>
      </c>
      <c r="B60" s="1675" t="s">
        <v>2805</v>
      </c>
      <c r="C60" s="1624"/>
      <c r="D60" s="1624"/>
      <c r="E60" s="1624"/>
      <c r="F60" s="1731"/>
      <c r="G60" s="1731"/>
      <c r="H60" s="1731"/>
      <c r="I60" s="1731"/>
      <c r="J60" s="1731"/>
      <c r="K60" s="1731"/>
      <c r="L60" s="1668"/>
    </row>
    <row r="61" spans="1:12">
      <c r="A61" s="2018"/>
      <c r="B61" s="1725"/>
      <c r="C61" s="1681"/>
      <c r="D61" s="1624"/>
      <c r="E61" s="1624"/>
      <c r="F61" s="1731"/>
      <c r="G61" s="1731"/>
      <c r="H61" s="1731"/>
      <c r="I61" s="1731"/>
      <c r="J61" s="1731"/>
      <c r="K61" s="1731"/>
      <c r="L61" s="1668"/>
    </row>
    <row r="62" spans="1:12">
      <c r="A62" s="1735"/>
      <c r="B62" s="2371" t="s">
        <v>2632</v>
      </c>
      <c r="C62" s="2371"/>
      <c r="D62" s="2371"/>
      <c r="E62" s="2371"/>
      <c r="F62" s="2371"/>
      <c r="G62" s="2371"/>
      <c r="H62" s="2371"/>
      <c r="I62" s="2371"/>
      <c r="J62" s="2371"/>
      <c r="K62" s="2371"/>
      <c r="L62" s="2371"/>
    </row>
    <row r="63" spans="1:12">
      <c r="A63" s="1735"/>
      <c r="B63" s="2371"/>
      <c r="C63" s="2371"/>
      <c r="D63" s="2371"/>
      <c r="E63" s="2371"/>
      <c r="F63" s="2371"/>
      <c r="G63" s="2371"/>
      <c r="H63" s="2371"/>
      <c r="I63" s="2371"/>
      <c r="J63" s="2371"/>
      <c r="K63" s="2371"/>
      <c r="L63" s="2371"/>
    </row>
    <row r="64" spans="1:12">
      <c r="A64" s="1735"/>
      <c r="B64" s="2371"/>
      <c r="C64" s="2371"/>
      <c r="D64" s="2371"/>
      <c r="E64" s="2371"/>
      <c r="F64" s="2371"/>
      <c r="G64" s="2371"/>
      <c r="H64" s="2371"/>
      <c r="I64" s="2371"/>
      <c r="J64" s="2371"/>
      <c r="K64" s="2371"/>
      <c r="L64" s="2371"/>
    </row>
    <row r="65" spans="1:12">
      <c r="A65" s="1735"/>
      <c r="B65" s="2371"/>
      <c r="C65" s="2371"/>
      <c r="D65" s="2371"/>
      <c r="E65" s="2371"/>
      <c r="F65" s="2371"/>
      <c r="G65" s="2371"/>
      <c r="H65" s="2371"/>
      <c r="I65" s="2371"/>
      <c r="J65" s="2371"/>
      <c r="K65" s="2371"/>
      <c r="L65" s="2371"/>
    </row>
    <row r="66" spans="1:12">
      <c r="A66" s="1735"/>
      <c r="B66" s="2371"/>
      <c r="C66" s="2371"/>
      <c r="D66" s="2371"/>
      <c r="E66" s="2371"/>
      <c r="F66" s="2371"/>
      <c r="G66" s="2371"/>
      <c r="H66" s="2371"/>
      <c r="I66" s="2371"/>
      <c r="J66" s="2371"/>
      <c r="K66" s="2371"/>
      <c r="L66" s="2371"/>
    </row>
    <row r="67" spans="1:12">
      <c r="A67" s="1735"/>
      <c r="B67" s="2371"/>
      <c r="C67" s="2371"/>
      <c r="D67" s="2371"/>
      <c r="E67" s="2371"/>
      <c r="F67" s="2371"/>
      <c r="G67" s="2371"/>
      <c r="H67" s="2371"/>
      <c r="I67" s="2371"/>
      <c r="J67" s="2371"/>
      <c r="K67" s="2371"/>
      <c r="L67" s="2371"/>
    </row>
    <row r="68" spans="1:12" ht="47.25" customHeight="1">
      <c r="A68" s="1735"/>
      <c r="B68" s="2371"/>
      <c r="C68" s="2371"/>
      <c r="D68" s="2371"/>
      <c r="E68" s="2371"/>
      <c r="F68" s="2371"/>
      <c r="G68" s="2371"/>
      <c r="H68" s="2371"/>
      <c r="I68" s="2371"/>
      <c r="J68" s="2371"/>
      <c r="K68" s="2371"/>
      <c r="L68" s="2371"/>
    </row>
    <row r="69" spans="1:12" ht="12" customHeight="1">
      <c r="A69" s="1735"/>
      <c r="B69" s="1725"/>
      <c r="C69" s="1681"/>
      <c r="D69" s="1727"/>
      <c r="E69" s="1727"/>
      <c r="F69" s="1732"/>
      <c r="G69" s="1732"/>
      <c r="H69" s="1732"/>
      <c r="I69" s="1732"/>
      <c r="J69" s="1732"/>
      <c r="K69" s="1732"/>
      <c r="L69" s="1732"/>
    </row>
    <row r="70" spans="1:12" ht="12" customHeight="1">
      <c r="A70" s="2036" t="s">
        <v>2833</v>
      </c>
      <c r="B70" s="1725" t="s">
        <v>2915</v>
      </c>
      <c r="C70" s="1733"/>
      <c r="D70" s="1727"/>
      <c r="E70" s="1727"/>
      <c r="F70" s="1732"/>
      <c r="G70" s="1732"/>
      <c r="H70" s="1732"/>
      <c r="I70" s="1732">
        <v>0</v>
      </c>
      <c r="J70" s="1732"/>
      <c r="K70" s="1732"/>
      <c r="L70" s="1732"/>
    </row>
    <row r="71" spans="1:12" ht="12" customHeight="1">
      <c r="A71" s="2036"/>
      <c r="B71" s="1725"/>
      <c r="C71" s="1733"/>
      <c r="D71" s="1727"/>
      <c r="E71" s="1727"/>
      <c r="F71" s="1732"/>
      <c r="G71" s="1732"/>
      <c r="H71" s="1732"/>
      <c r="I71" s="1732"/>
      <c r="J71" s="1732"/>
      <c r="K71" s="1732"/>
      <c r="L71" s="1732"/>
    </row>
    <row r="72" spans="1:12">
      <c r="B72" s="2372" t="s">
        <v>2916</v>
      </c>
      <c r="C72" s="2372"/>
      <c r="D72" s="2372"/>
      <c r="E72" s="2372"/>
      <c r="F72" s="2372"/>
      <c r="G72" s="2372"/>
      <c r="H72" s="2372"/>
      <c r="I72" s="2372"/>
      <c r="J72" s="2372"/>
      <c r="K72" s="2372"/>
      <c r="L72" s="2372"/>
    </row>
    <row r="73" spans="1:12">
      <c r="A73" s="2018"/>
      <c r="B73" s="2372"/>
      <c r="C73" s="2372"/>
      <c r="D73" s="2372"/>
      <c r="E73" s="2372"/>
      <c r="F73" s="2372"/>
      <c r="G73" s="2372"/>
      <c r="H73" s="2372"/>
      <c r="I73" s="2372"/>
      <c r="J73" s="2372"/>
      <c r="K73" s="2372"/>
      <c r="L73" s="2372"/>
    </row>
    <row r="74" spans="1:12">
      <c r="A74" s="2038"/>
      <c r="B74" s="2039"/>
      <c r="C74" s="2039"/>
      <c r="D74" s="2039"/>
      <c r="E74" s="2039"/>
      <c r="F74" s="2039"/>
      <c r="G74" s="2039"/>
      <c r="H74" s="2039"/>
      <c r="I74" s="2039"/>
      <c r="J74" s="2039"/>
      <c r="K74" s="2039"/>
      <c r="L74" s="2039"/>
    </row>
    <row r="75" spans="1:12">
      <c r="A75" s="2036" t="s">
        <v>2903</v>
      </c>
      <c r="B75" s="1725" t="s">
        <v>2594</v>
      </c>
      <c r="C75" s="2039"/>
      <c r="D75" s="2039"/>
      <c r="E75" s="2039"/>
      <c r="F75" s="2039"/>
      <c r="G75" s="2039"/>
      <c r="H75" s="2039"/>
      <c r="I75" s="2039"/>
      <c r="J75" s="2039"/>
      <c r="K75" s="2039"/>
      <c r="L75" s="2039"/>
    </row>
    <row r="76" spans="1:12">
      <c r="A76" s="2038"/>
      <c r="B76" s="2039"/>
      <c r="C76" s="2039"/>
      <c r="D76" s="2039"/>
      <c r="E76" s="2039"/>
      <c r="F76" s="2039"/>
      <c r="G76" s="2039"/>
      <c r="H76" s="2039"/>
      <c r="I76" s="2039"/>
      <c r="J76" s="2039"/>
      <c r="K76" s="2039"/>
      <c r="L76" s="2039"/>
    </row>
    <row r="77" spans="1:12">
      <c r="A77" s="2038"/>
      <c r="B77" s="2372" t="s">
        <v>2834</v>
      </c>
      <c r="C77" s="2372"/>
      <c r="D77" s="2372"/>
      <c r="E77" s="2372"/>
      <c r="F77" s="2372"/>
      <c r="G77" s="2372"/>
      <c r="H77" s="2372"/>
      <c r="I77" s="2372"/>
      <c r="J77" s="2372"/>
      <c r="K77" s="2372"/>
      <c r="L77" s="2372"/>
    </row>
    <row r="78" spans="1:12">
      <c r="A78" s="2038"/>
      <c r="B78" s="2372"/>
      <c r="C78" s="2372"/>
      <c r="D78" s="2372"/>
      <c r="E78" s="2372"/>
      <c r="F78" s="2372"/>
      <c r="G78" s="2372"/>
      <c r="H78" s="2372"/>
      <c r="I78" s="2372"/>
      <c r="J78" s="2372"/>
      <c r="K78" s="2372"/>
      <c r="L78" s="2372"/>
    </row>
    <row r="79" spans="1:12">
      <c r="A79" s="2038"/>
      <c r="B79" s="2372"/>
      <c r="C79" s="2372"/>
      <c r="D79" s="2372"/>
      <c r="E79" s="2372"/>
      <c r="F79" s="2372"/>
      <c r="G79" s="2372"/>
      <c r="H79" s="2372"/>
      <c r="I79" s="2372"/>
      <c r="J79" s="2372"/>
      <c r="K79" s="2372"/>
      <c r="L79" s="2372"/>
    </row>
    <row r="80" spans="1:12">
      <c r="A80" s="2038"/>
      <c r="B80" s="2372"/>
      <c r="C80" s="2372"/>
      <c r="D80" s="2372"/>
      <c r="E80" s="2372"/>
      <c r="F80" s="2372"/>
      <c r="G80" s="2372"/>
      <c r="H80" s="2372"/>
      <c r="I80" s="2372"/>
      <c r="J80" s="2372"/>
      <c r="K80" s="2372"/>
      <c r="L80" s="2372"/>
    </row>
    <row r="81" spans="1:12">
      <c r="A81" s="2038"/>
      <c r="B81" s="2372"/>
      <c r="C81" s="2372"/>
      <c r="D81" s="2372"/>
      <c r="E81" s="2372"/>
      <c r="F81" s="2372"/>
      <c r="G81" s="2372"/>
      <c r="H81" s="2372"/>
      <c r="I81" s="2372"/>
      <c r="J81" s="2372"/>
      <c r="K81" s="2372"/>
      <c r="L81" s="2372"/>
    </row>
    <row r="82" spans="1:12">
      <c r="A82" s="2038"/>
      <c r="B82" s="2039"/>
      <c r="C82" s="2039"/>
      <c r="D82" s="2039"/>
      <c r="E82" s="2039"/>
      <c r="F82" s="2039"/>
      <c r="G82" s="2039"/>
      <c r="H82" s="2039"/>
      <c r="I82" s="2039"/>
      <c r="J82" s="2039"/>
      <c r="K82" s="2039"/>
      <c r="L82" s="2039"/>
    </row>
    <row r="83" spans="1:12">
      <c r="A83" s="1711" t="s">
        <v>2835</v>
      </c>
      <c r="B83" s="1675" t="s">
        <v>2807</v>
      </c>
      <c r="C83" s="1624"/>
      <c r="D83" s="1624"/>
      <c r="E83" s="1624"/>
      <c r="F83" s="1731"/>
      <c r="G83" s="1731"/>
      <c r="H83" s="1731"/>
      <c r="I83" s="1731"/>
      <c r="J83" s="1731"/>
      <c r="K83" s="1731"/>
      <c r="L83" s="1624"/>
    </row>
    <row r="84" spans="1:12" ht="12" customHeight="1">
      <c r="A84" s="2018"/>
      <c r="B84" s="1678"/>
      <c r="C84" s="1726"/>
      <c r="D84" s="1624"/>
      <c r="E84" s="1624"/>
      <c r="F84" s="1731"/>
      <c r="G84" s="1731"/>
      <c r="H84" s="1731"/>
      <c r="I84" s="1731"/>
      <c r="J84" s="1731"/>
      <c r="K84" s="1731"/>
      <c r="L84" s="1624"/>
    </row>
    <row r="85" spans="1:12" ht="15.75" customHeight="1">
      <c r="A85" s="2018"/>
      <c r="B85" s="2419" t="s">
        <v>2836</v>
      </c>
      <c r="C85" s="2419"/>
      <c r="D85" s="2419"/>
      <c r="E85" s="2419"/>
      <c r="F85" s="2419"/>
      <c r="G85" s="2419"/>
      <c r="H85" s="2419"/>
      <c r="I85" s="2419"/>
      <c r="J85" s="2419"/>
      <c r="K85" s="2419"/>
      <c r="L85" s="2419"/>
    </row>
    <row r="86" spans="1:12">
      <c r="A86" s="2018"/>
      <c r="B86" s="2419"/>
      <c r="C86" s="2419"/>
      <c r="D86" s="2419"/>
      <c r="E86" s="2419"/>
      <c r="F86" s="2419"/>
      <c r="G86" s="2419"/>
      <c r="H86" s="2419"/>
      <c r="I86" s="2419"/>
      <c r="J86" s="2419"/>
      <c r="K86" s="2419"/>
      <c r="L86" s="2419"/>
    </row>
    <row r="87" spans="1:12">
      <c r="A87" s="2018"/>
      <c r="B87" s="2419"/>
      <c r="C87" s="2419"/>
      <c r="D87" s="2419"/>
      <c r="E87" s="2419"/>
      <c r="F87" s="2419"/>
      <c r="G87" s="2419"/>
      <c r="H87" s="2419"/>
      <c r="I87" s="2419"/>
      <c r="J87" s="2419"/>
      <c r="K87" s="2419"/>
      <c r="L87" s="2419"/>
    </row>
    <row r="88" spans="1:12">
      <c r="A88" s="2018"/>
      <c r="B88" s="2419"/>
      <c r="C88" s="2419"/>
      <c r="D88" s="2419"/>
      <c r="E88" s="2419"/>
      <c r="F88" s="2419"/>
      <c r="G88" s="2419"/>
      <c r="H88" s="2419"/>
      <c r="I88" s="2419"/>
      <c r="J88" s="2419"/>
      <c r="K88" s="2419"/>
      <c r="L88" s="2419"/>
    </row>
    <row r="89" spans="1:12">
      <c r="A89" s="2038"/>
      <c r="B89" s="2051"/>
      <c r="C89" s="2051"/>
      <c r="D89" s="2051"/>
      <c r="E89" s="2051"/>
      <c r="F89" s="2051"/>
      <c r="G89" s="2051"/>
      <c r="H89" s="2051"/>
      <c r="I89" s="2051"/>
      <c r="J89" s="2051"/>
      <c r="K89" s="2051"/>
      <c r="L89" s="2051"/>
    </row>
    <row r="90" spans="1:12" ht="15.75" customHeight="1">
      <c r="A90" s="2018"/>
      <c r="B90" s="2419" t="s">
        <v>2837</v>
      </c>
      <c r="C90" s="2419"/>
      <c r="D90" s="2419"/>
      <c r="E90" s="2419"/>
      <c r="F90" s="2419"/>
      <c r="G90" s="2419"/>
      <c r="H90" s="2419"/>
      <c r="I90" s="2419"/>
      <c r="J90" s="2419"/>
      <c r="K90" s="2419"/>
      <c r="L90" s="2419"/>
    </row>
    <row r="91" spans="1:12">
      <c r="A91" s="2018"/>
      <c r="B91" s="2419"/>
      <c r="C91" s="2419"/>
      <c r="D91" s="2419"/>
      <c r="E91" s="2419"/>
      <c r="F91" s="2419"/>
      <c r="G91" s="2419"/>
      <c r="H91" s="2419"/>
      <c r="I91" s="2419"/>
      <c r="J91" s="2419"/>
      <c r="K91" s="2419"/>
      <c r="L91" s="2419"/>
    </row>
    <row r="92" spans="1:12" ht="13.5" customHeight="1">
      <c r="A92" s="2018"/>
      <c r="B92" s="1624"/>
      <c r="C92" s="1624"/>
      <c r="D92" s="1624"/>
      <c r="E92" s="1624"/>
      <c r="F92" s="1624"/>
      <c r="G92" s="1624"/>
      <c r="H92" s="1624"/>
      <c r="I92" s="1624"/>
      <c r="J92" s="1624"/>
      <c r="K92" s="1624"/>
      <c r="L92" s="1624"/>
    </row>
    <row r="93" spans="1:12" ht="12" customHeight="1">
      <c r="A93" s="2018"/>
      <c r="B93" s="2421" t="s">
        <v>2838</v>
      </c>
      <c r="C93" s="2421"/>
      <c r="D93" s="2421"/>
      <c r="E93" s="2421"/>
      <c r="F93" s="2421"/>
      <c r="G93" s="2421"/>
      <c r="H93" s="2421"/>
      <c r="I93" s="2421"/>
      <c r="J93" s="2421"/>
      <c r="K93" s="2421"/>
      <c r="L93" s="2421"/>
    </row>
    <row r="94" spans="1:12" ht="15.75" customHeight="1">
      <c r="A94" s="2038"/>
      <c r="B94" s="2421"/>
      <c r="C94" s="2421"/>
      <c r="D94" s="2421"/>
      <c r="E94" s="2421"/>
      <c r="F94" s="2421"/>
      <c r="G94" s="2421"/>
      <c r="H94" s="2421"/>
      <c r="I94" s="2421"/>
      <c r="J94" s="2421"/>
      <c r="K94" s="2421"/>
      <c r="L94" s="2421"/>
    </row>
    <row r="95" spans="1:12" ht="12" customHeight="1">
      <c r="A95" s="2038"/>
      <c r="B95" s="1734"/>
      <c r="C95" s="2042"/>
      <c r="D95" s="2042"/>
      <c r="E95" s="2042"/>
      <c r="F95" s="2042"/>
      <c r="G95" s="2042"/>
      <c r="H95" s="2042"/>
      <c r="I95" s="2042"/>
      <c r="J95" s="2042"/>
      <c r="K95" s="2042"/>
      <c r="L95" s="2042"/>
    </row>
    <row r="96" spans="1:12">
      <c r="A96" s="2018"/>
      <c r="B96" s="2419" t="s">
        <v>2839</v>
      </c>
      <c r="C96" s="2372"/>
      <c r="D96" s="2372"/>
      <c r="E96" s="2372"/>
      <c r="F96" s="2372"/>
      <c r="G96" s="2372"/>
      <c r="H96" s="2372"/>
      <c r="I96" s="2372"/>
      <c r="J96" s="2372"/>
      <c r="K96" s="2372"/>
      <c r="L96" s="2372"/>
    </row>
    <row r="97" spans="1:12">
      <c r="A97" s="2018"/>
      <c r="B97" s="2372"/>
      <c r="C97" s="2372"/>
      <c r="D97" s="2372"/>
      <c r="E97" s="2372"/>
      <c r="F97" s="2372"/>
      <c r="G97" s="2372"/>
      <c r="H97" s="2372"/>
      <c r="I97" s="2372"/>
      <c r="J97" s="2372"/>
      <c r="K97" s="2372"/>
      <c r="L97" s="2372"/>
    </row>
    <row r="98" spans="1:12">
      <c r="A98" s="2018"/>
      <c r="B98" s="1678"/>
      <c r="C98" s="2019"/>
      <c r="D98" s="2019"/>
      <c r="E98" s="2019"/>
      <c r="F98" s="2019"/>
      <c r="G98" s="2019"/>
      <c r="H98" s="2019"/>
      <c r="I98" s="2019"/>
      <c r="J98" s="2019"/>
      <c r="K98" s="2019"/>
      <c r="L98" s="2019"/>
    </row>
    <row r="99" spans="1:12">
      <c r="A99" s="2018"/>
      <c r="B99" s="1678"/>
      <c r="C99" s="1504"/>
      <c r="D99" s="1504"/>
      <c r="E99" s="1504"/>
      <c r="F99" s="1504"/>
      <c r="G99" s="1504"/>
      <c r="H99" s="1504"/>
      <c r="I99" s="1504"/>
      <c r="J99" s="1504"/>
      <c r="K99" s="1504"/>
      <c r="L99" s="1504"/>
    </row>
    <row r="105" spans="1:12">
      <c r="B105" s="1020" t="s">
        <v>2799</v>
      </c>
      <c r="I105" s="1020">
        <v>0</v>
      </c>
    </row>
  </sheetData>
  <mergeCells count="13">
    <mergeCell ref="B36:L39"/>
    <mergeCell ref="B41:L43"/>
    <mergeCell ref="B96:L97"/>
    <mergeCell ref="C19:L20"/>
    <mergeCell ref="J4:L4"/>
    <mergeCell ref="B62:L68"/>
    <mergeCell ref="B72:L73"/>
    <mergeCell ref="B53:L54"/>
    <mergeCell ref="B77:L81"/>
    <mergeCell ref="B85:L88"/>
    <mergeCell ref="B90:L91"/>
    <mergeCell ref="B93:L94"/>
    <mergeCell ref="C22:L26"/>
  </mergeCells>
  <pageMargins left="0.75" right="0.25" top="0.75" bottom="0" header="0.25" footer="0"/>
  <pageSetup paperSize="9" scale="78" firstPageNumber="13" fitToHeight="0" orientation="portrait" useFirstPageNumber="1" r:id="rId1"/>
  <headerFooter>
    <oddHeader>&amp;C&amp;"Arial Black,Regular"&amp;11&amp;P&amp;R&amp;"Arial Black,Regular"&amp;11MCB PAKISTAN STOCK MARKET FUND</oddHeader>
  </headerFooter>
  <rowBreaks count="1" manualBreakCount="1">
    <brk id="81"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07"/>
  <sheetViews>
    <sheetView showGridLines="0" zoomScale="130" zoomScaleNormal="130" workbookViewId="0">
      <selection activeCell="A2" sqref="A2:K14"/>
    </sheetView>
  </sheetViews>
  <sheetFormatPr defaultColWidth="10.19921875" defaultRowHeight="11.4"/>
  <cols>
    <col min="1" max="1" width="5.09765625" style="877" customWidth="1"/>
    <col min="2" max="2" width="16.69921875" style="877" customWidth="1"/>
    <col min="3" max="11" width="6.69921875" style="877" customWidth="1"/>
    <col min="12" max="12" width="5.69921875" style="877" customWidth="1"/>
    <col min="13" max="13" width="9.19921875" style="877" customWidth="1"/>
    <col min="14" max="17" width="5.69921875" style="877" customWidth="1"/>
    <col min="18" max="18" width="13" style="877" customWidth="1"/>
    <col min="19" max="19" width="9.19921875" style="877" customWidth="1"/>
    <col min="20" max="43" width="10.19921875" style="877" customWidth="1"/>
    <col min="44" max="16384" width="10.19921875" style="877"/>
  </cols>
  <sheetData>
    <row r="2" spans="1:13" ht="12">
      <c r="A2" s="1199">
        <v>5.4</v>
      </c>
      <c r="B2" s="1199" t="s">
        <v>2327</v>
      </c>
    </row>
    <row r="4" spans="1:13" s="1048" customFormat="1" ht="10.199999999999999" customHeight="1">
      <c r="A4" s="1047"/>
      <c r="B4" s="2424" t="s">
        <v>129</v>
      </c>
      <c r="C4" s="2426" t="s">
        <v>182</v>
      </c>
      <c r="D4" s="2426"/>
      <c r="E4" s="2426"/>
      <c r="F4" s="2426"/>
      <c r="G4" s="2426" t="s">
        <v>2455</v>
      </c>
      <c r="H4" s="2426"/>
      <c r="I4" s="2426"/>
      <c r="J4" s="2427" t="s">
        <v>2328</v>
      </c>
      <c r="K4" s="2427" t="s">
        <v>2329</v>
      </c>
      <c r="M4" s="1049"/>
    </row>
    <row r="5" spans="1:13" s="1048" customFormat="1" ht="10.199999999999999" customHeight="1">
      <c r="A5" s="1047"/>
      <c r="B5" s="2425"/>
      <c r="C5" s="2427" t="s">
        <v>2454</v>
      </c>
      <c r="D5" s="2427" t="s">
        <v>2330</v>
      </c>
      <c r="E5" s="2429" t="s">
        <v>2367</v>
      </c>
      <c r="F5" s="2427" t="s">
        <v>2450</v>
      </c>
      <c r="G5" s="2427" t="s">
        <v>2331</v>
      </c>
      <c r="H5" s="2427" t="s">
        <v>2332</v>
      </c>
      <c r="I5" s="2427" t="s">
        <v>2333</v>
      </c>
      <c r="J5" s="2428"/>
      <c r="K5" s="2428"/>
      <c r="M5" s="1049"/>
    </row>
    <row r="6" spans="1:13" s="1048" customFormat="1" ht="10.199999999999999" customHeight="1">
      <c r="A6" s="1047"/>
      <c r="B6" s="2425"/>
      <c r="C6" s="2427"/>
      <c r="D6" s="2427"/>
      <c r="E6" s="2429"/>
      <c r="F6" s="2427"/>
      <c r="G6" s="2427"/>
      <c r="H6" s="2427"/>
      <c r="I6" s="2427"/>
      <c r="J6" s="2428"/>
      <c r="K6" s="2428"/>
      <c r="M6" s="1049"/>
    </row>
    <row r="7" spans="1:13" s="1048" customFormat="1" ht="10.199999999999999" customHeight="1">
      <c r="A7" s="1047"/>
      <c r="B7" s="2425"/>
      <c r="C7" s="2427"/>
      <c r="D7" s="2427"/>
      <c r="E7" s="2429"/>
      <c r="F7" s="2427"/>
      <c r="G7" s="2427"/>
      <c r="H7" s="2427"/>
      <c r="I7" s="2427"/>
      <c r="J7" s="2428"/>
      <c r="K7" s="2428"/>
      <c r="M7" s="1049"/>
    </row>
    <row r="8" spans="1:13" s="1048" customFormat="1" ht="10.199999999999999" customHeight="1">
      <c r="A8" s="1047"/>
      <c r="B8" s="2425"/>
      <c r="C8" s="2427"/>
      <c r="D8" s="2427"/>
      <c r="E8" s="2429"/>
      <c r="F8" s="2427"/>
      <c r="G8" s="2427"/>
      <c r="H8" s="2427"/>
      <c r="I8" s="2427"/>
      <c r="J8" s="2428"/>
      <c r="K8" s="2428"/>
      <c r="M8" s="1049"/>
    </row>
    <row r="9" spans="1:13" s="1048" customFormat="1" ht="10.199999999999999" customHeight="1">
      <c r="A9" s="1047"/>
      <c r="B9" s="1050"/>
      <c r="C9" s="2423" t="s">
        <v>2334</v>
      </c>
      <c r="D9" s="2423"/>
      <c r="E9" s="2423"/>
      <c r="F9" s="2423"/>
      <c r="G9" s="2423"/>
      <c r="H9" s="2423"/>
      <c r="I9" s="2423"/>
      <c r="J9" s="1051" t="s">
        <v>22</v>
      </c>
      <c r="K9" s="1051" t="s">
        <v>22</v>
      </c>
      <c r="M9" s="1049"/>
    </row>
    <row r="10" spans="1:13" s="1048" customFormat="1" ht="10.199999999999999" customHeight="1">
      <c r="A10" s="1047"/>
      <c r="B10" s="1052"/>
      <c r="C10" s="1053"/>
      <c r="D10" s="1054"/>
      <c r="E10" s="1055"/>
      <c r="F10" s="1055"/>
      <c r="G10" s="1055"/>
      <c r="H10" s="1056"/>
      <c r="I10" s="1056"/>
      <c r="J10" s="1054"/>
      <c r="K10" s="1054"/>
      <c r="M10" s="1049"/>
    </row>
    <row r="11" spans="1:13" s="1048" customFormat="1" ht="10.199999999999999" customHeight="1">
      <c r="A11" s="1047"/>
      <c r="B11" s="985" t="s">
        <v>2335</v>
      </c>
      <c r="C11" s="995">
        <v>0</v>
      </c>
      <c r="D11" s="995">
        <f>12981700000/1000</f>
        <v>12981700</v>
      </c>
      <c r="E11" s="995">
        <f>D11</f>
        <v>12981700</v>
      </c>
      <c r="F11" s="995">
        <f>C11+D11-E11</f>
        <v>0</v>
      </c>
      <c r="G11" s="995">
        <v>0</v>
      </c>
      <c r="H11" s="995">
        <v>0</v>
      </c>
      <c r="I11" s="995">
        <v>0</v>
      </c>
      <c r="J11" s="995">
        <v>0</v>
      </c>
      <c r="K11" s="995">
        <v>0</v>
      </c>
      <c r="M11" s="1049"/>
    </row>
    <row r="12" spans="1:13" s="1048" customFormat="1" ht="10.199999999999999" customHeight="1" thickBot="1">
      <c r="A12" s="1047"/>
      <c r="B12" s="991" t="s">
        <v>2452</v>
      </c>
      <c r="C12" s="1057"/>
      <c r="D12" s="1057"/>
      <c r="E12" s="1058"/>
      <c r="F12" s="1058"/>
      <c r="G12" s="1059">
        <f>SUM(G11:G11)</f>
        <v>0</v>
      </c>
      <c r="H12" s="1059">
        <f>SUM(H11:H11)</f>
        <v>0</v>
      </c>
      <c r="I12" s="1059">
        <f>SUM(I11:I11)</f>
        <v>0</v>
      </c>
      <c r="J12" s="1054"/>
      <c r="K12" s="1054"/>
      <c r="M12" s="1049"/>
    </row>
    <row r="13" spans="1:13" s="1048" customFormat="1" ht="6" customHeight="1" thickTop="1">
      <c r="A13" s="1047"/>
      <c r="B13" s="1052"/>
      <c r="C13" s="1057"/>
      <c r="D13" s="1057"/>
      <c r="E13" s="1058"/>
      <c r="F13" s="1058"/>
      <c r="G13" s="1058"/>
      <c r="H13" s="1060"/>
      <c r="I13" s="1060"/>
      <c r="J13" s="1054"/>
      <c r="K13" s="1054"/>
      <c r="M13" s="1049"/>
    </row>
    <row r="14" spans="1:13" s="1048" customFormat="1" ht="10.199999999999999" customHeight="1" thickBot="1">
      <c r="A14" s="1047"/>
      <c r="B14" s="991" t="s">
        <v>2453</v>
      </c>
      <c r="C14" s="1057"/>
      <c r="D14" s="1058"/>
      <c r="E14" s="1058"/>
      <c r="F14" s="1058"/>
      <c r="G14" s="1061">
        <v>0</v>
      </c>
      <c r="H14" s="1062">
        <v>0</v>
      </c>
      <c r="I14" s="1062">
        <v>0</v>
      </c>
      <c r="J14" s="1054"/>
      <c r="K14" s="1054"/>
      <c r="M14" s="1049"/>
    </row>
    <row r="15" spans="1:13" ht="6" customHeight="1" thickTop="1"/>
    <row r="552" spans="1:12">
      <c r="B552" s="2422" t="s">
        <v>2416</v>
      </c>
      <c r="C552" s="2422"/>
      <c r="D552" s="2422"/>
      <c r="E552" s="2422"/>
      <c r="F552" s="2422"/>
      <c r="G552" s="2422"/>
      <c r="H552" s="2422"/>
      <c r="I552" s="2422"/>
      <c r="J552" s="2422"/>
      <c r="K552" s="2422"/>
      <c r="L552" s="2422"/>
    </row>
    <row r="553" spans="1:12">
      <c r="B553" s="2422"/>
      <c r="C553" s="2422"/>
      <c r="D553" s="2422"/>
      <c r="E553" s="2422"/>
      <c r="F553" s="2422"/>
      <c r="G553" s="2422"/>
      <c r="H553" s="2422"/>
      <c r="I553" s="2422"/>
      <c r="J553" s="2422"/>
      <c r="K553" s="2422"/>
      <c r="L553" s="2422"/>
    </row>
    <row r="554" spans="1:12">
      <c r="B554" s="2422"/>
      <c r="C554" s="2422"/>
      <c r="D554" s="2422"/>
      <c r="E554" s="2422"/>
      <c r="F554" s="2422"/>
      <c r="G554" s="2422"/>
      <c r="H554" s="2422"/>
      <c r="I554" s="2422"/>
      <c r="J554" s="2422"/>
      <c r="K554" s="2422"/>
      <c r="L554" s="2422"/>
    </row>
    <row r="556" spans="1:12">
      <c r="A556" s="877">
        <f>A552+0.1</f>
        <v>0.1</v>
      </c>
    </row>
    <row r="693" spans="3:3">
      <c r="C693" s="877" t="s">
        <v>2417</v>
      </c>
    </row>
    <row r="707" spans="3:3">
      <c r="C707" s="877" t="s">
        <v>2418</v>
      </c>
    </row>
  </sheetData>
  <mergeCells count="14">
    <mergeCell ref="B552:L554"/>
    <mergeCell ref="C9:I9"/>
    <mergeCell ref="B4:B8"/>
    <mergeCell ref="C4:F4"/>
    <mergeCell ref="G4:I4"/>
    <mergeCell ref="K4:K8"/>
    <mergeCell ref="J4:J8"/>
    <mergeCell ref="C5:C8"/>
    <mergeCell ref="D5:D8"/>
    <mergeCell ref="E5:E8"/>
    <mergeCell ref="F5:F8"/>
    <mergeCell ref="G5:G8"/>
    <mergeCell ref="H5:H8"/>
    <mergeCell ref="I5:I8"/>
  </mergeCells>
  <pageMargins left="0.75" right="0.5" top="0.7" bottom="0.4" header="0.45"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89"/>
  <sheetViews>
    <sheetView view="pageBreakPreview" zoomScale="90" zoomScaleSheetLayoutView="90" workbookViewId="0">
      <selection activeCell="F92" sqref="F92"/>
    </sheetView>
  </sheetViews>
  <sheetFormatPr defaultColWidth="9" defaultRowHeight="13.8"/>
  <cols>
    <col min="1" max="1" width="4.19921875" style="1446" customWidth="1"/>
    <col min="2" max="2" width="6.09765625" style="1446" bestFit="1" customWidth="1"/>
    <col min="3" max="3" width="48.19921875" style="1446" customWidth="1"/>
    <col min="4" max="4" width="11.5" style="1446" customWidth="1"/>
    <col min="5" max="5" width="13.19921875" style="1446" customWidth="1"/>
    <col min="6" max="6" width="11.5" style="1446" customWidth="1"/>
    <col min="7" max="7" width="13.19921875" style="1446" customWidth="1"/>
    <col min="8" max="8" width="1" style="1446" customWidth="1"/>
    <col min="9" max="9" width="11.5" style="1446" customWidth="1"/>
    <col min="10" max="10" width="13.19921875" style="1446" customWidth="1"/>
    <col min="11" max="12" width="11.5" style="1446" customWidth="1"/>
    <col min="13" max="13" width="9.69921875" style="1446" hidden="1" customWidth="1"/>
    <col min="14" max="53" width="0" style="1446" hidden="1" customWidth="1"/>
    <col min="54" max="16384" width="9" style="1446"/>
  </cols>
  <sheetData>
    <row r="1" spans="1:13">
      <c r="A1" s="1681"/>
      <c r="C1" s="1916"/>
      <c r="D1" s="1761"/>
      <c r="E1" s="1761"/>
      <c r="F1" s="1761"/>
      <c r="G1" s="1761"/>
      <c r="H1" s="1761"/>
      <c r="I1" s="1761"/>
      <c r="J1" s="1761"/>
      <c r="K1" s="1761"/>
      <c r="L1" s="1761"/>
    </row>
    <row r="2" spans="1:13">
      <c r="A2" s="1681"/>
      <c r="B2" s="2368" t="s">
        <v>2969</v>
      </c>
      <c r="C2" s="2368"/>
      <c r="D2" s="2368"/>
      <c r="E2" s="2368"/>
      <c r="F2" s="2368"/>
      <c r="G2" s="2368"/>
      <c r="H2" s="2368"/>
      <c r="I2" s="2368"/>
      <c r="J2" s="2368"/>
      <c r="K2" s="2368"/>
      <c r="L2" s="2368"/>
    </row>
    <row r="3" spans="1:13">
      <c r="A3" s="1681"/>
      <c r="B3" s="2368"/>
      <c r="C3" s="2368"/>
      <c r="D3" s="2368"/>
      <c r="E3" s="2368"/>
      <c r="F3" s="2368"/>
      <c r="G3" s="2368"/>
      <c r="H3" s="2368"/>
      <c r="I3" s="2368"/>
      <c r="J3" s="2368"/>
      <c r="K3" s="2368"/>
      <c r="L3" s="2368"/>
    </row>
    <row r="4" spans="1:13">
      <c r="A4" s="1681"/>
      <c r="B4" s="2368"/>
      <c r="C4" s="2368"/>
      <c r="D4" s="2368"/>
      <c r="E4" s="2368"/>
      <c r="F4" s="2368"/>
      <c r="G4" s="2368"/>
      <c r="H4" s="2368"/>
      <c r="I4" s="2368"/>
      <c r="J4" s="2368"/>
      <c r="K4" s="2368"/>
      <c r="L4" s="2368"/>
    </row>
    <row r="5" spans="1:13">
      <c r="A5" s="1681"/>
      <c r="C5" s="1916"/>
      <c r="D5" s="2042"/>
      <c r="E5" s="2042"/>
      <c r="F5" s="2042"/>
      <c r="G5" s="2042"/>
      <c r="H5" s="2042"/>
      <c r="I5" s="2042"/>
      <c r="J5" s="2042"/>
      <c r="K5" s="2042"/>
      <c r="L5" s="2042"/>
    </row>
    <row r="6" spans="1:13">
      <c r="A6" s="1681"/>
      <c r="B6" s="2368" t="s">
        <v>2970</v>
      </c>
      <c r="C6" s="2368"/>
      <c r="D6" s="2368"/>
      <c r="E6" s="2368"/>
      <c r="F6" s="2368"/>
      <c r="G6" s="2368"/>
      <c r="H6" s="2368"/>
      <c r="I6" s="2368"/>
      <c r="J6" s="2368"/>
      <c r="K6" s="2368"/>
      <c r="L6" s="2368"/>
    </row>
    <row r="7" spans="1:13">
      <c r="A7" s="1681"/>
      <c r="B7" s="2368"/>
      <c r="C7" s="2368"/>
      <c r="D7" s="2368"/>
      <c r="E7" s="2368"/>
      <c r="F7" s="2368"/>
      <c r="G7" s="2368"/>
      <c r="H7" s="2368"/>
      <c r="I7" s="2368"/>
      <c r="J7" s="2368"/>
      <c r="K7" s="2368"/>
      <c r="L7" s="2368"/>
    </row>
    <row r="8" spans="1:13">
      <c r="A8" s="1681"/>
      <c r="C8" s="1916"/>
      <c r="D8" s="2042"/>
      <c r="E8" s="2042"/>
      <c r="F8" s="2042"/>
      <c r="G8" s="2042"/>
      <c r="H8" s="2042"/>
      <c r="I8" s="2042"/>
      <c r="J8" s="2042"/>
      <c r="K8" s="2042"/>
      <c r="L8" s="2042"/>
    </row>
    <row r="9" spans="1:13">
      <c r="A9" s="1681"/>
      <c r="B9" s="1446" t="s">
        <v>2968</v>
      </c>
      <c r="C9" s="1916"/>
      <c r="D9" s="2042"/>
      <c r="E9" s="2042"/>
      <c r="F9" s="2042"/>
      <c r="G9" s="2042"/>
      <c r="H9" s="2042"/>
      <c r="I9" s="2042"/>
      <c r="J9" s="2042"/>
      <c r="K9" s="2042"/>
      <c r="L9" s="2042"/>
    </row>
    <row r="10" spans="1:13">
      <c r="A10" s="1681"/>
      <c r="C10" s="1916"/>
      <c r="D10" s="2042"/>
      <c r="E10" s="2042"/>
      <c r="F10" s="2042"/>
      <c r="G10" s="2042"/>
      <c r="H10" s="2042"/>
      <c r="I10" s="2042"/>
      <c r="J10" s="2042"/>
      <c r="K10" s="2042"/>
      <c r="L10" s="2042"/>
    </row>
    <row r="11" spans="1:13">
      <c r="A11" s="1681"/>
      <c r="C11" s="1916"/>
      <c r="D11" s="2042"/>
      <c r="E11" s="2042"/>
      <c r="F11" s="2042"/>
      <c r="G11" s="2042"/>
      <c r="H11" s="2042"/>
      <c r="I11" s="2042"/>
      <c r="J11" s="2042"/>
      <c r="K11" s="2042"/>
      <c r="L11" s="2042"/>
    </row>
    <row r="12" spans="1:13">
      <c r="A12" s="1681"/>
      <c r="C12" s="1916"/>
      <c r="D12" s="2042"/>
      <c r="E12" s="2042"/>
      <c r="F12" s="2042"/>
      <c r="G12" s="2042"/>
      <c r="H12" s="2042"/>
      <c r="I12" s="2042"/>
      <c r="J12" s="2042"/>
      <c r="K12" s="2042"/>
      <c r="L12" s="2042"/>
    </row>
    <row r="13" spans="1:13" ht="10.199999999999999" customHeight="1">
      <c r="A13" s="1624"/>
      <c r="B13" s="1734"/>
      <c r="D13" s="1689"/>
      <c r="E13" s="1689"/>
      <c r="F13" s="1624"/>
      <c r="G13" s="1624"/>
      <c r="H13" s="1624"/>
      <c r="I13" s="1624"/>
      <c r="J13" s="1624"/>
      <c r="K13" s="1684"/>
      <c r="L13" s="1759"/>
    </row>
    <row r="14" spans="1:13">
      <c r="A14" s="1918" t="s">
        <v>3178</v>
      </c>
      <c r="B14" s="1675" t="s">
        <v>2336</v>
      </c>
      <c r="D14" s="1689"/>
      <c r="E14" s="1689"/>
      <c r="F14" s="1624"/>
      <c r="G14" s="1624"/>
      <c r="H14" s="1624"/>
      <c r="I14" s="1624"/>
      <c r="J14" s="1624"/>
      <c r="K14" s="1684"/>
      <c r="L14" s="1759"/>
    </row>
    <row r="15" spans="1:13">
      <c r="A15" s="1624"/>
      <c r="B15" s="1689"/>
      <c r="C15" s="1675"/>
      <c r="D15" s="2434" t="s">
        <v>3205</v>
      </c>
      <c r="E15" s="2435"/>
      <c r="F15" s="2435"/>
      <c r="G15" s="2435"/>
      <c r="H15" s="2435"/>
      <c r="I15" s="2435"/>
      <c r="J15" s="2435"/>
      <c r="K15" s="2435"/>
      <c r="L15" s="2435"/>
      <c r="M15" s="1446">
        <f>+BS!F40</f>
        <v>98.021699999999996</v>
      </c>
    </row>
    <row r="16" spans="1:13" ht="13.95" customHeight="1">
      <c r="A16" s="1624"/>
      <c r="B16" s="1689"/>
      <c r="C16" s="1675"/>
      <c r="D16" s="2439" t="s">
        <v>3203</v>
      </c>
      <c r="E16" s="2442" t="s">
        <v>2338</v>
      </c>
      <c r="F16" s="2442" t="s">
        <v>2339</v>
      </c>
      <c r="G16" s="2442" t="s">
        <v>3204</v>
      </c>
      <c r="H16" s="1504"/>
      <c r="I16" s="2439" t="str">
        <f>D16</f>
        <v>As at July 01, 2021</v>
      </c>
      <c r="J16" s="2442" t="s">
        <v>2340</v>
      </c>
      <c r="K16" s="2442" t="s">
        <v>2339</v>
      </c>
      <c r="L16" s="2442" t="str">
        <f>G16</f>
        <v>As at
September
30, 2021</v>
      </c>
    </row>
    <row r="17" spans="1:14">
      <c r="A17" s="1624"/>
      <c r="B17" s="1689"/>
      <c r="C17" s="1675"/>
      <c r="D17" s="2440"/>
      <c r="E17" s="2443"/>
      <c r="F17" s="2443"/>
      <c r="G17" s="2443"/>
      <c r="H17" s="1504"/>
      <c r="I17" s="2440"/>
      <c r="J17" s="2443"/>
      <c r="K17" s="2443"/>
      <c r="L17" s="2443"/>
    </row>
    <row r="18" spans="1:14">
      <c r="A18" s="1624"/>
      <c r="B18" s="1689"/>
      <c r="C18" s="1675"/>
      <c r="D18" s="2440"/>
      <c r="E18" s="2443"/>
      <c r="F18" s="2443"/>
      <c r="G18" s="2443"/>
      <c r="H18" s="1504"/>
      <c r="I18" s="2440"/>
      <c r="J18" s="2443"/>
      <c r="K18" s="2443"/>
      <c r="L18" s="2443"/>
    </row>
    <row r="19" spans="1:14">
      <c r="A19" s="1624"/>
      <c r="B19" s="1689"/>
      <c r="C19" s="1675"/>
      <c r="D19" s="2441"/>
      <c r="E19" s="2444"/>
      <c r="F19" s="2444"/>
      <c r="G19" s="2444"/>
      <c r="H19" s="1504"/>
      <c r="I19" s="2441"/>
      <c r="J19" s="2444"/>
      <c r="K19" s="2444"/>
      <c r="L19" s="2444"/>
    </row>
    <row r="20" spans="1:14">
      <c r="A20" s="1624"/>
      <c r="B20" s="1689"/>
      <c r="C20" s="1675"/>
      <c r="D20" s="2436" t="s">
        <v>2578</v>
      </c>
      <c r="E20" s="2437"/>
      <c r="F20" s="2437"/>
      <c r="G20" s="2438"/>
      <c r="H20" s="1917"/>
      <c r="I20" s="2436" t="s">
        <v>2577</v>
      </c>
      <c r="J20" s="2437"/>
      <c r="K20" s="2437"/>
      <c r="L20" s="2438"/>
    </row>
    <row r="21" spans="1:14">
      <c r="B21" s="1445" t="s">
        <v>1078</v>
      </c>
      <c r="D21" s="1689"/>
      <c r="E21" s="1689"/>
      <c r="F21" s="1624"/>
      <c r="G21" s="1624"/>
      <c r="H21" s="1624"/>
      <c r="I21" s="1624"/>
      <c r="J21" s="1624"/>
      <c r="K21" s="1684"/>
      <c r="L21" s="2299"/>
    </row>
    <row r="22" spans="1:14">
      <c r="B22" s="1689" t="s">
        <v>2579</v>
      </c>
      <c r="D22" s="1569">
        <v>1415390</v>
      </c>
      <c r="E22" s="1569">
        <v>0</v>
      </c>
      <c r="F22" s="1569">
        <v>249849.59099999999</v>
      </c>
      <c r="G22" s="1569">
        <f t="shared" ref="G22" si="0">+D22+E22-F22</f>
        <v>1165540.409</v>
      </c>
      <c r="H22" s="1569"/>
      <c r="I22" s="1569">
        <f>(D22*BS!$H$40)/1000</f>
        <v>146676.01123470909</v>
      </c>
      <c r="J22" s="1569">
        <v>0</v>
      </c>
      <c r="K22" s="1569">
        <v>25000</v>
      </c>
      <c r="L22" s="1569">
        <f>(G22*BS!$F$40)/1000</f>
        <v>114248.25230887529</v>
      </c>
      <c r="M22" s="1627">
        <f>I22+J22-K22</f>
        <v>121676.01123470909</v>
      </c>
      <c r="N22" s="1627">
        <f>L22-M22</f>
        <v>-7427.7589258337975</v>
      </c>
    </row>
    <row r="23" spans="1:14" ht="10.199999999999999" customHeight="1">
      <c r="A23" s="1624"/>
      <c r="B23" s="1675"/>
      <c r="D23" s="1689"/>
      <c r="E23" s="1689"/>
      <c r="F23" s="1689"/>
      <c r="G23" s="1689"/>
      <c r="H23" s="1689"/>
      <c r="I23" s="1689"/>
      <c r="J23" s="1689"/>
      <c r="K23" s="1684"/>
      <c r="L23" s="2299"/>
    </row>
    <row r="24" spans="1:14">
      <c r="B24" s="1689" t="s">
        <v>2581</v>
      </c>
      <c r="D24" s="1689"/>
      <c r="E24" s="1689"/>
      <c r="F24" s="1689"/>
      <c r="G24" s="1689"/>
      <c r="H24" s="1689"/>
      <c r="I24" s="1689"/>
      <c r="J24" s="1689"/>
      <c r="K24" s="1684"/>
      <c r="L24" s="2299"/>
    </row>
    <row r="25" spans="1:14">
      <c r="B25" s="1220" t="s">
        <v>2350</v>
      </c>
      <c r="D25" s="1569">
        <v>106179</v>
      </c>
      <c r="E25" s="1569">
        <v>49003</v>
      </c>
      <c r="F25" s="1569">
        <v>155182</v>
      </c>
      <c r="G25" s="1569">
        <f t="shared" ref="G25:G33" si="1">+D25+E25-F25</f>
        <v>0</v>
      </c>
      <c r="H25" s="1569"/>
      <c r="I25" s="1569">
        <f>(D25*BS!$H$40)/1000</f>
        <v>11003.265670161705</v>
      </c>
      <c r="J25" s="1569">
        <v>5097.38</v>
      </c>
      <c r="K25" s="1569">
        <v>15321.839330000001</v>
      </c>
      <c r="L25" s="1569">
        <f>(G25*BS!$F$40)/1000</f>
        <v>0</v>
      </c>
      <c r="M25" s="1627">
        <f t="shared" ref="M25:M40" si="2">I25+J25-K25</f>
        <v>778.80634016170552</v>
      </c>
      <c r="N25" s="1627">
        <f t="shared" ref="N25:N40" si="3">L25-M25</f>
        <v>-778.80634016170552</v>
      </c>
    </row>
    <row r="26" spans="1:14">
      <c r="B26" s="1220" t="s">
        <v>3314</v>
      </c>
      <c r="D26" s="1569">
        <v>0</v>
      </c>
      <c r="E26" s="1569">
        <v>19165</v>
      </c>
      <c r="F26" s="1569">
        <v>0</v>
      </c>
      <c r="G26" s="1569">
        <f t="shared" si="1"/>
        <v>19165</v>
      </c>
      <c r="H26" s="1569"/>
      <c r="I26" s="1569">
        <f>(D26*BS!$H$40)/1000</f>
        <v>0</v>
      </c>
      <c r="J26" s="1569">
        <v>2000</v>
      </c>
      <c r="K26" s="1569">
        <v>0</v>
      </c>
      <c r="L26" s="1569">
        <f>(G26*BS!$F$40)/1000</f>
        <v>1878.5858805</v>
      </c>
      <c r="M26" s="1627"/>
      <c r="N26" s="1627"/>
    </row>
    <row r="27" spans="1:14">
      <c r="B27" s="1220" t="s">
        <v>1088</v>
      </c>
      <c r="D27" s="1569">
        <v>35917385</v>
      </c>
      <c r="E27" s="1569">
        <v>2803306</v>
      </c>
      <c r="F27" s="1569">
        <v>0</v>
      </c>
      <c r="G27" s="1569">
        <f t="shared" si="1"/>
        <v>38720691</v>
      </c>
      <c r="H27" s="1569"/>
      <c r="I27" s="1569">
        <f>(D27*BS!$H$40)/1000</f>
        <v>3722096.9243681044</v>
      </c>
      <c r="J27" s="1569">
        <v>285000</v>
      </c>
      <c r="K27" s="1569">
        <v>0</v>
      </c>
      <c r="L27" s="1569">
        <f>(G27*BS!$F$40)/1000</f>
        <v>3795467.9569946998</v>
      </c>
      <c r="M27" s="1627">
        <f t="shared" si="2"/>
        <v>4007096.9243681044</v>
      </c>
      <c r="N27" s="1627">
        <f t="shared" si="3"/>
        <v>-211628.96737340465</v>
      </c>
    </row>
    <row r="28" spans="1:14">
      <c r="B28" s="1220" t="s">
        <v>2351</v>
      </c>
      <c r="D28" s="1569">
        <v>1609457</v>
      </c>
      <c r="E28" s="1569">
        <v>306633</v>
      </c>
      <c r="F28" s="1569">
        <v>0</v>
      </c>
      <c r="G28" s="1569">
        <f t="shared" si="1"/>
        <v>1916090</v>
      </c>
      <c r="H28" s="1569"/>
      <c r="I28" s="1569">
        <f>(D28*BS!$H$40)/1000</f>
        <v>166787.05728723615</v>
      </c>
      <c r="J28" s="1569">
        <v>32000</v>
      </c>
      <c r="K28" s="1569">
        <v>0</v>
      </c>
      <c r="L28" s="1569">
        <f>(G28*BS!$F$40)/1000</f>
        <v>187818.39915300001</v>
      </c>
      <c r="M28" s="1627">
        <f t="shared" si="2"/>
        <v>198787.05728723615</v>
      </c>
      <c r="N28" s="1627">
        <f t="shared" si="3"/>
        <v>-10968.658134236146</v>
      </c>
    </row>
    <row r="29" spans="1:14">
      <c r="B29" s="1220" t="s">
        <v>2355</v>
      </c>
      <c r="D29" s="1569">
        <v>428789</v>
      </c>
      <c r="E29" s="1569">
        <v>191296</v>
      </c>
      <c r="F29" s="1569">
        <v>620085</v>
      </c>
      <c r="G29" s="1569">
        <f t="shared" si="1"/>
        <v>0</v>
      </c>
      <c r="H29" s="1569"/>
      <c r="I29" s="1569">
        <f>(D29*BS!$H$40)/1000</f>
        <v>44435.14521179298</v>
      </c>
      <c r="J29" s="1569">
        <v>19898.746859999999</v>
      </c>
      <c r="K29" s="1569">
        <v>63232.90713</v>
      </c>
      <c r="L29" s="1569">
        <f>(G29*BS!$F$40)/1000</f>
        <v>0</v>
      </c>
      <c r="M29" s="1627">
        <f t="shared" si="2"/>
        <v>1100.98494179298</v>
      </c>
      <c r="N29" s="1627">
        <f t="shared" si="3"/>
        <v>-1100.98494179298</v>
      </c>
    </row>
    <row r="30" spans="1:14">
      <c r="B30" s="1220" t="s">
        <v>2356</v>
      </c>
      <c r="D30" s="1569">
        <v>199265</v>
      </c>
      <c r="E30" s="1569">
        <v>0</v>
      </c>
      <c r="F30" s="1569">
        <v>0</v>
      </c>
      <c r="G30" s="1569">
        <f t="shared" si="1"/>
        <v>199265</v>
      </c>
      <c r="H30" s="1569"/>
      <c r="I30" s="1569">
        <f>(D30*BS!$H$40)/1000</f>
        <v>20649.711654515224</v>
      </c>
      <c r="J30" s="2277">
        <v>0</v>
      </c>
      <c r="K30" s="2277">
        <v>0</v>
      </c>
      <c r="L30" s="1569">
        <f>(G30*BS!$F$40)/1000</f>
        <v>19532.294050499997</v>
      </c>
      <c r="M30" s="1627">
        <f t="shared" si="2"/>
        <v>20649.711654515224</v>
      </c>
      <c r="N30" s="1627">
        <f t="shared" si="3"/>
        <v>-1117.417604015227</v>
      </c>
    </row>
    <row r="31" spans="1:14">
      <c r="B31" s="1220" t="s">
        <v>2900</v>
      </c>
      <c r="D31" s="1569">
        <v>40727</v>
      </c>
      <c r="E31" s="1569">
        <v>0</v>
      </c>
      <c r="F31" s="1569">
        <v>1018.1</v>
      </c>
      <c r="G31" s="1569">
        <f t="shared" si="1"/>
        <v>39708.9</v>
      </c>
      <c r="H31" s="1569"/>
      <c r="I31" s="1569">
        <f>(D31*BS!$H$40)/1000</f>
        <v>4220.5144232727353</v>
      </c>
      <c r="J31" s="1569">
        <v>0</v>
      </c>
      <c r="K31" s="1569">
        <v>100</v>
      </c>
      <c r="L31" s="1569">
        <f>(G31*BS!$F$40)/1000</f>
        <v>3892.3338831299998</v>
      </c>
      <c r="M31" s="1627">
        <f t="shared" si="2"/>
        <v>4120.5144232727353</v>
      </c>
      <c r="N31" s="1627">
        <f t="shared" si="3"/>
        <v>-228.18054014273548</v>
      </c>
    </row>
    <row r="32" spans="1:14">
      <c r="B32" s="1220" t="s">
        <v>2899</v>
      </c>
      <c r="D32" s="2277">
        <v>836</v>
      </c>
      <c r="E32" s="2277">
        <v>203</v>
      </c>
      <c r="F32" s="2277">
        <v>1039</v>
      </c>
      <c r="G32" s="1569">
        <f t="shared" si="1"/>
        <v>0</v>
      </c>
      <c r="H32" s="1624"/>
      <c r="I32" s="1569">
        <f>(D32*BS!$H$40)/1000</f>
        <v>86.634175310138389</v>
      </c>
      <c r="J32" s="2277">
        <v>21.254000000000001</v>
      </c>
      <c r="K32" s="2277">
        <v>101.20478</v>
      </c>
      <c r="L32" s="1569">
        <f>(G32*BS!$F$40)/1000</f>
        <v>0</v>
      </c>
      <c r="M32" s="1627">
        <f t="shared" si="2"/>
        <v>6.6833953101383941</v>
      </c>
      <c r="N32" s="1627">
        <f t="shared" si="3"/>
        <v>-6.6833953101383941</v>
      </c>
    </row>
    <row r="33" spans="1:14">
      <c r="B33" s="1220" t="s">
        <v>2901</v>
      </c>
      <c r="D33" s="2277">
        <v>97463</v>
      </c>
      <c r="E33" s="2277">
        <v>0</v>
      </c>
      <c r="F33" s="2277">
        <v>0</v>
      </c>
      <c r="G33" s="1569">
        <f t="shared" si="1"/>
        <v>97463</v>
      </c>
      <c r="H33" s="1624"/>
      <c r="I33" s="1569">
        <f>(D33*BS!$H$40)/1000</f>
        <v>10100.031851976099</v>
      </c>
      <c r="J33" s="2277">
        <v>0</v>
      </c>
      <c r="K33" s="2277">
        <v>0</v>
      </c>
      <c r="L33" s="1569">
        <f>(G33*BS!$F$40)/1000</f>
        <v>9553.4889471000006</v>
      </c>
      <c r="M33" s="1627">
        <f t="shared" si="2"/>
        <v>10100.031851976099</v>
      </c>
      <c r="N33" s="1627">
        <f t="shared" si="3"/>
        <v>-546.54290487609796</v>
      </c>
    </row>
    <row r="34" spans="1:14" ht="10.199999999999999" customHeight="1">
      <c r="A34" s="1624"/>
      <c r="B34" s="1675"/>
      <c r="D34" s="1689"/>
      <c r="E34" s="1689"/>
      <c r="F34" s="1689"/>
      <c r="G34" s="1689"/>
      <c r="H34" s="1689"/>
      <c r="I34" s="1689"/>
      <c r="J34" s="1689"/>
      <c r="K34" s="1684"/>
      <c r="L34" s="2299"/>
      <c r="M34" s="1627">
        <f t="shared" si="2"/>
        <v>0</v>
      </c>
      <c r="N34" s="1627">
        <f t="shared" si="3"/>
        <v>0</v>
      </c>
    </row>
    <row r="35" spans="1:14">
      <c r="B35" s="1445" t="s">
        <v>2512</v>
      </c>
      <c r="D35" s="1569">
        <v>139320.3149</v>
      </c>
      <c r="E35" s="1569">
        <v>123247</v>
      </c>
      <c r="F35" s="1569">
        <v>115404.663</v>
      </c>
      <c r="G35" s="1569">
        <f>+D35+E35-F35</f>
        <v>147162.6519</v>
      </c>
      <c r="H35" s="1569"/>
      <c r="I35" s="1569">
        <f>(D35*BS!$H$40)/1000</f>
        <v>14437.680125969242</v>
      </c>
      <c r="J35" s="1569">
        <v>13167.20515</v>
      </c>
      <c r="K35" s="1569">
        <v>12212.85951</v>
      </c>
      <c r="L35" s="1569">
        <f>(G35*BS!$F$40)/1000</f>
        <v>14425.133315746229</v>
      </c>
      <c r="M35" s="1627">
        <f t="shared" si="2"/>
        <v>15392.025765969242</v>
      </c>
      <c r="N35" s="1627">
        <f t="shared" si="3"/>
        <v>-966.89245022301293</v>
      </c>
    </row>
    <row r="36" spans="1:14" ht="10.199999999999999" customHeight="1">
      <c r="D36" s="1569"/>
      <c r="E36" s="1569"/>
      <c r="F36" s="1569"/>
      <c r="G36" s="1569"/>
      <c r="H36" s="1569"/>
      <c r="I36" s="1569"/>
      <c r="J36" s="1569"/>
      <c r="K36" s="1569"/>
      <c r="L36" s="1569"/>
      <c r="M36" s="1627">
        <f t="shared" si="2"/>
        <v>0</v>
      </c>
      <c r="N36" s="1627">
        <f t="shared" si="3"/>
        <v>0</v>
      </c>
    </row>
    <row r="37" spans="1:14">
      <c r="B37" s="1445" t="s">
        <v>2580</v>
      </c>
      <c r="D37" s="1569">
        <v>1986606.4130000004</v>
      </c>
      <c r="E37" s="1569">
        <v>486478</v>
      </c>
      <c r="F37" s="1569">
        <v>172464.247</v>
      </c>
      <c r="G37" s="1569">
        <f>+D37+E37-F37</f>
        <v>2300620.1660000007</v>
      </c>
      <c r="H37" s="1569"/>
      <c r="I37" s="1569">
        <f>(D37*BS!$H$40)/1000</f>
        <v>205870.82327283165</v>
      </c>
      <c r="J37" s="1569">
        <v>50714.568850000003</v>
      </c>
      <c r="K37" s="1569">
        <v>17550.324000000001</v>
      </c>
      <c r="L37" s="1569">
        <f>(G37*BS!$F$40)/1000</f>
        <v>225510.69972560226</v>
      </c>
      <c r="M37" s="1627">
        <f t="shared" si="2"/>
        <v>239035.06812283167</v>
      </c>
      <c r="N37" s="1627">
        <f t="shared" si="3"/>
        <v>-13524.368397229409</v>
      </c>
    </row>
    <row r="38" spans="1:14">
      <c r="B38" s="1445"/>
      <c r="D38" s="1569"/>
      <c r="E38" s="1569"/>
      <c r="F38" s="1569"/>
      <c r="G38" s="1569"/>
      <c r="H38" s="1569"/>
      <c r="I38" s="1569"/>
      <c r="J38" s="1569"/>
      <c r="K38" s="1569"/>
      <c r="L38" s="1569"/>
      <c r="M38" s="1627">
        <f t="shared" si="2"/>
        <v>0</v>
      </c>
      <c r="N38" s="1627">
        <f t="shared" si="3"/>
        <v>0</v>
      </c>
    </row>
    <row r="39" spans="1:14" s="2249" customFormat="1" ht="12" hidden="1" customHeight="1">
      <c r="A39" s="1624" t="s">
        <v>1076</v>
      </c>
      <c r="B39" s="1689" t="s">
        <v>2898</v>
      </c>
      <c r="C39" s="1675"/>
      <c r="D39" s="1689"/>
      <c r="E39" s="1689"/>
      <c r="F39" s="1624"/>
      <c r="G39" s="1624"/>
      <c r="H39" s="1624"/>
      <c r="I39" s="1569"/>
      <c r="J39" s="1624"/>
      <c r="K39" s="1684"/>
      <c r="L39" s="2290"/>
      <c r="M39" s="2291">
        <f t="shared" si="2"/>
        <v>0</v>
      </c>
      <c r="N39" s="2291">
        <f t="shared" si="3"/>
        <v>0</v>
      </c>
    </row>
    <row r="40" spans="1:14" s="2298" customFormat="1" ht="14.25" hidden="1" customHeight="1">
      <c r="A40" s="2293"/>
      <c r="B40" s="2293" t="s">
        <v>2902</v>
      </c>
      <c r="C40" s="2294"/>
      <c r="D40" s="2295">
        <v>11370827.1961</v>
      </c>
      <c r="E40" s="2296">
        <v>515034.7219</v>
      </c>
      <c r="F40" s="2296">
        <v>0</v>
      </c>
      <c r="G40" s="2296">
        <f>+D40+E40-F40</f>
        <v>11885861.918</v>
      </c>
      <c r="H40" s="2293"/>
      <c r="I40" s="2296">
        <f>(D40*BS!$H$40)/1000</f>
        <v>1178351.957808872</v>
      </c>
      <c r="J40" s="2296">
        <v>54000</v>
      </c>
      <c r="K40" s="2296">
        <v>0</v>
      </c>
      <c r="L40" s="2296">
        <f>(G40*BS!$F$40)/1000</f>
        <v>1165072.3911676204</v>
      </c>
      <c r="M40" s="2297">
        <f t="shared" si="2"/>
        <v>1232351.957808872</v>
      </c>
      <c r="N40" s="2297">
        <f t="shared" si="3"/>
        <v>-67279.566641251557</v>
      </c>
    </row>
    <row r="41" spans="1:14" ht="12" hidden="1" customHeight="1">
      <c r="A41" s="1624"/>
      <c r="B41" s="1624"/>
      <c r="C41" s="1675"/>
      <c r="D41" s="1689"/>
      <c r="E41" s="1689"/>
      <c r="F41" s="1624"/>
      <c r="G41" s="1624"/>
      <c r="H41" s="1624"/>
      <c r="I41" s="1624"/>
      <c r="J41" s="1624"/>
      <c r="K41" s="1684"/>
      <c r="L41" s="2058"/>
    </row>
    <row r="42" spans="1:14" ht="12" hidden="1" customHeight="1">
      <c r="A42" s="1624"/>
      <c r="B42" s="1624"/>
      <c r="C42" s="1675"/>
      <c r="D42" s="1689"/>
      <c r="E42" s="1689"/>
      <c r="F42" s="1624"/>
      <c r="G42" s="1624"/>
      <c r="H42" s="1624"/>
      <c r="I42" s="1624"/>
      <c r="J42" s="1624"/>
      <c r="K42" s="1684"/>
      <c r="L42" s="2207"/>
    </row>
    <row r="43" spans="1:14" ht="12" hidden="1" customHeight="1">
      <c r="A43" s="1624"/>
      <c r="B43" s="1624"/>
      <c r="C43" s="1675"/>
      <c r="D43" s="1689"/>
      <c r="E43" s="1689"/>
      <c r="F43" s="1624"/>
      <c r="G43" s="1624"/>
      <c r="H43" s="1624"/>
      <c r="I43" s="1624"/>
      <c r="J43" s="1624"/>
      <c r="K43" s="1684"/>
      <c r="L43" s="2207"/>
    </row>
    <row r="44" spans="1:14">
      <c r="A44" s="1624"/>
      <c r="B44" s="1689"/>
      <c r="C44" s="1675"/>
      <c r="D44" s="1675"/>
      <c r="E44" s="1675"/>
      <c r="F44" s="1675"/>
      <c r="G44" s="1675"/>
      <c r="H44" s="1675"/>
      <c r="I44" s="1675"/>
      <c r="J44" s="1675"/>
      <c r="K44" s="1675"/>
      <c r="L44" s="1675"/>
    </row>
    <row r="45" spans="1:14" ht="15" customHeight="1">
      <c r="A45" s="1624"/>
      <c r="B45" s="1689"/>
      <c r="C45" s="1675"/>
      <c r="D45" s="2445" t="s">
        <v>3175</v>
      </c>
      <c r="E45" s="2446"/>
      <c r="F45" s="2446"/>
      <c r="G45" s="2446"/>
      <c r="H45" s="2446"/>
      <c r="I45" s="2446"/>
      <c r="J45" s="2446"/>
      <c r="K45" s="2446"/>
      <c r="L45" s="2446"/>
    </row>
    <row r="46" spans="1:14">
      <c r="A46" s="1624"/>
      <c r="B46" s="1689"/>
      <c r="C46" s="1675"/>
      <c r="D46" s="2447" t="s">
        <v>2919</v>
      </c>
      <c r="E46" s="2450" t="s">
        <v>2338</v>
      </c>
      <c r="F46" s="2450" t="s">
        <v>2339</v>
      </c>
      <c r="G46" s="2450" t="s">
        <v>2921</v>
      </c>
      <c r="H46" s="1504"/>
      <c r="I46" s="2447" t="str">
        <f>D46</f>
        <v>As at July 01, 2020</v>
      </c>
      <c r="J46" s="2450" t="s">
        <v>2340</v>
      </c>
      <c r="K46" s="2450" t="s">
        <v>2339</v>
      </c>
      <c r="L46" s="2450" t="str">
        <f>G46</f>
        <v>As at
September
30, 2020</v>
      </c>
    </row>
    <row r="47" spans="1:14" ht="15" customHeight="1">
      <c r="A47" s="1624"/>
      <c r="B47" s="1689"/>
      <c r="C47" s="1675"/>
      <c r="D47" s="2448"/>
      <c r="E47" s="2451"/>
      <c r="F47" s="2451"/>
      <c r="G47" s="2451"/>
      <c r="H47" s="1504"/>
      <c r="I47" s="2448"/>
      <c r="J47" s="2451"/>
      <c r="K47" s="2451"/>
      <c r="L47" s="2451"/>
    </row>
    <row r="48" spans="1:14">
      <c r="A48" s="1624"/>
      <c r="B48" s="1689"/>
      <c r="C48" s="1675"/>
      <c r="D48" s="2448"/>
      <c r="E48" s="2451"/>
      <c r="F48" s="2451"/>
      <c r="G48" s="2451"/>
      <c r="H48" s="1504"/>
      <c r="I48" s="2448"/>
      <c r="J48" s="2451"/>
      <c r="K48" s="2451"/>
      <c r="L48" s="2451"/>
    </row>
    <row r="49" spans="2:12">
      <c r="C49" s="1675"/>
      <c r="D49" s="2449"/>
      <c r="E49" s="2452"/>
      <c r="F49" s="2452"/>
      <c r="G49" s="2452"/>
      <c r="H49" s="1504"/>
      <c r="I49" s="2449"/>
      <c r="J49" s="2452"/>
      <c r="K49" s="2452"/>
      <c r="L49" s="2452"/>
    </row>
    <row r="50" spans="2:12">
      <c r="C50" s="1675"/>
      <c r="D50" s="2431" t="s">
        <v>2578</v>
      </c>
      <c r="E50" s="2432"/>
      <c r="F50" s="2432"/>
      <c r="G50" s="2433"/>
      <c r="H50" s="2214"/>
      <c r="I50" s="2431" t="s">
        <v>2577</v>
      </c>
      <c r="J50" s="2432"/>
      <c r="K50" s="2432"/>
      <c r="L50" s="2433"/>
    </row>
    <row r="51" spans="2:12">
      <c r="C51" s="1675"/>
      <c r="D51" s="1961"/>
      <c r="E51" s="1961"/>
      <c r="F51" s="1961"/>
      <c r="G51" s="1961"/>
      <c r="H51" s="1917"/>
      <c r="I51" s="1961"/>
      <c r="J51" s="1961"/>
      <c r="K51" s="1961"/>
      <c r="L51" s="1961"/>
    </row>
    <row r="52" spans="2:12" ht="13.95" customHeight="1">
      <c r="B52" s="1445" t="s">
        <v>1078</v>
      </c>
      <c r="D52" s="1562">
        <v>1422538.8260000004</v>
      </c>
      <c r="E52" s="1562">
        <v>1864417.5189999999</v>
      </c>
      <c r="F52" s="1562">
        <v>391021.39</v>
      </c>
      <c r="G52" s="1562">
        <v>2895934.9550000001</v>
      </c>
      <c r="H52" s="1562"/>
      <c r="I52" s="1562">
        <v>110137.29192788107</v>
      </c>
      <c r="J52" s="1562">
        <v>172420.886</v>
      </c>
      <c r="K52" s="1562">
        <v>35000</v>
      </c>
      <c r="L52" s="1562">
        <v>263327.36545815005</v>
      </c>
    </row>
    <row r="53" spans="2:12" ht="13.95" customHeight="1">
      <c r="B53" s="1689" t="s">
        <v>2579</v>
      </c>
      <c r="D53" s="1562"/>
      <c r="E53" s="1562"/>
      <c r="F53" s="1562"/>
      <c r="G53" s="1562"/>
      <c r="H53" s="1562"/>
      <c r="I53" s="1562"/>
      <c r="J53" s="1562"/>
      <c r="L53" s="1562"/>
    </row>
    <row r="54" spans="2:12" ht="13.95" customHeight="1">
      <c r="B54" s="1689"/>
      <c r="D54" s="1562"/>
      <c r="E54" s="1562"/>
      <c r="F54" s="1562"/>
      <c r="G54" s="1562"/>
      <c r="H54" s="1562"/>
      <c r="I54" s="1562"/>
      <c r="J54" s="1562"/>
      <c r="L54" s="1562"/>
    </row>
    <row r="55" spans="2:12" ht="13.95" customHeight="1">
      <c r="B55" s="1689" t="s">
        <v>2581</v>
      </c>
      <c r="D55" s="1562"/>
      <c r="E55" s="1562"/>
      <c r="F55" s="1562"/>
      <c r="G55" s="1562"/>
      <c r="H55" s="1562"/>
      <c r="I55" s="1562"/>
      <c r="J55" s="1562"/>
      <c r="L55" s="1562"/>
    </row>
    <row r="56" spans="2:12" ht="13.95" customHeight="1">
      <c r="B56" s="1220" t="s">
        <v>2350</v>
      </c>
      <c r="D56" s="1562">
        <v>24724.440000000002</v>
      </c>
      <c r="E56" s="1562">
        <v>86517.815000000002</v>
      </c>
      <c r="F56" s="1562">
        <v>0</v>
      </c>
      <c r="G56" s="1562">
        <v>111242.255</v>
      </c>
      <c r="H56" s="1562"/>
      <c r="I56" s="1562">
        <v>1914.2415069895462</v>
      </c>
      <c r="J56" s="1562">
        <v>7827.9582399999999</v>
      </c>
      <c r="K56" s="1562">
        <v>0</v>
      </c>
      <c r="L56" s="1562">
        <v>10115.258247150003</v>
      </c>
    </row>
    <row r="57" spans="2:12" ht="13.95" customHeight="1">
      <c r="B57" s="1220" t="s">
        <v>1088</v>
      </c>
      <c r="D57" s="1562">
        <v>34698987.512000002</v>
      </c>
      <c r="E57" s="1562">
        <v>0</v>
      </c>
      <c r="F57" s="1562">
        <v>0</v>
      </c>
      <c r="G57" s="1562">
        <v>34698987.512000002</v>
      </c>
      <c r="H57" s="1562"/>
      <c r="I57" s="1562">
        <v>2686501.3786351611</v>
      </c>
      <c r="J57" s="1562">
        <v>0</v>
      </c>
      <c r="K57" s="1562">
        <v>0</v>
      </c>
      <c r="L57" s="1562">
        <v>3155178.9344661604</v>
      </c>
    </row>
    <row r="58" spans="2:12" ht="13.95" customHeight="1">
      <c r="B58" s="1220" t="s">
        <v>2351</v>
      </c>
      <c r="D58" s="1562">
        <v>3502316.9</v>
      </c>
      <c r="E58" s="1562">
        <v>0</v>
      </c>
      <c r="F58" s="1562">
        <v>566402.83900000004</v>
      </c>
      <c r="G58" s="1562">
        <v>2935914.0609999998</v>
      </c>
      <c r="H58" s="1562"/>
      <c r="I58" s="1562">
        <v>271160.0497568784</v>
      </c>
      <c r="J58" s="1562">
        <v>0</v>
      </c>
      <c r="K58" s="1562">
        <v>50500</v>
      </c>
      <c r="L58" s="1562">
        <v>266962.66556672996</v>
      </c>
    </row>
    <row r="59" spans="2:12" ht="13.95" customHeight="1">
      <c r="B59" s="1220" t="s">
        <v>2355</v>
      </c>
      <c r="D59" s="1562">
        <v>48978.233999999997</v>
      </c>
      <c r="E59" s="1562">
        <v>173321.74400000001</v>
      </c>
      <c r="F59" s="1562">
        <v>0</v>
      </c>
      <c r="G59" s="1562">
        <v>222299.978</v>
      </c>
      <c r="H59" s="1562"/>
      <c r="I59" s="1562">
        <v>3792.044166090177</v>
      </c>
      <c r="J59" s="1562">
        <v>15679.46456</v>
      </c>
      <c r="K59" s="1562">
        <v>0</v>
      </c>
      <c r="L59" s="1562">
        <v>20213.73699954</v>
      </c>
    </row>
    <row r="60" spans="2:12" ht="13.95" customHeight="1">
      <c r="B60" s="1220" t="s">
        <v>2356</v>
      </c>
      <c r="D60" s="1562">
        <v>199265</v>
      </c>
      <c r="E60" s="1562">
        <v>0</v>
      </c>
      <c r="F60" s="1562">
        <v>0</v>
      </c>
      <c r="G60" s="1562">
        <v>199265</v>
      </c>
      <c r="H60" s="1562"/>
      <c r="I60" s="1562">
        <v>15427.703676616007</v>
      </c>
      <c r="J60" s="1562">
        <v>0</v>
      </c>
      <c r="K60" s="1562">
        <v>0</v>
      </c>
      <c r="L60" s="1562">
        <v>18119.166450000004</v>
      </c>
    </row>
    <row r="61" spans="2:12" ht="13.95" customHeight="1">
      <c r="B61" s="1220" t="s">
        <v>2900</v>
      </c>
      <c r="D61" s="1562">
        <v>41813.625100000005</v>
      </c>
      <c r="E61" s="1562">
        <v>0</v>
      </c>
      <c r="F61" s="1562">
        <v>1087.2909999999999</v>
      </c>
      <c r="G61" s="1562">
        <v>40726.334100000007</v>
      </c>
      <c r="H61" s="1562"/>
      <c r="I61" s="1562">
        <v>3237.3383067167515</v>
      </c>
      <c r="J61" s="1562">
        <v>0</v>
      </c>
      <c r="K61" s="1562">
        <v>100</v>
      </c>
      <c r="L61" s="1562">
        <v>3703.2455597130011</v>
      </c>
    </row>
    <row r="62" spans="2:12" ht="13.95" customHeight="1">
      <c r="B62" s="1220" t="s">
        <v>2899</v>
      </c>
      <c r="D62" s="1562">
        <v>0</v>
      </c>
      <c r="E62" s="1562">
        <v>11795.374</v>
      </c>
      <c r="F62" s="1562">
        <v>0</v>
      </c>
      <c r="G62" s="1562">
        <v>11795.374</v>
      </c>
      <c r="H62" s="1562"/>
      <c r="I62" s="1562">
        <v>0</v>
      </c>
      <c r="J62" s="1562">
        <v>1002.3986</v>
      </c>
      <c r="K62" s="1562">
        <v>0</v>
      </c>
      <c r="L62" s="1562">
        <v>1072.55335782</v>
      </c>
    </row>
    <row r="63" spans="2:12" ht="13.95" customHeight="1">
      <c r="B63" s="1220" t="s">
        <v>2901</v>
      </c>
      <c r="D63" s="1562">
        <v>96942.521000000008</v>
      </c>
      <c r="E63" s="1562">
        <v>1801.722</v>
      </c>
      <c r="F63" s="1562">
        <v>1281.5989999999999</v>
      </c>
      <c r="G63" s="1562">
        <v>97462.644</v>
      </c>
      <c r="H63" s="1562"/>
      <c r="I63" s="1562">
        <v>7505.5854648439245</v>
      </c>
      <c r="J63" s="1562">
        <v>171.82120999999998</v>
      </c>
      <c r="K63" s="1562">
        <v>122.21972</v>
      </c>
      <c r="L63" s="1562">
        <v>8862.2782189200007</v>
      </c>
    </row>
    <row r="64" spans="2:12" ht="13.95" customHeight="1">
      <c r="B64" s="1445"/>
      <c r="D64" s="1562"/>
      <c r="E64" s="1562"/>
      <c r="F64" s="1562"/>
      <c r="G64" s="1562"/>
      <c r="H64" s="1562"/>
      <c r="I64" s="1562"/>
      <c r="J64" s="1562"/>
      <c r="K64" s="1562"/>
      <c r="L64" s="1562"/>
    </row>
    <row r="65" spans="1:12" ht="13.95" customHeight="1">
      <c r="B65" s="1445" t="s">
        <v>2512</v>
      </c>
      <c r="D65" s="1562">
        <v>72568.712400000193</v>
      </c>
      <c r="E65" s="1562">
        <v>524438.73499999999</v>
      </c>
      <c r="F65" s="1562">
        <v>473292.75300000003</v>
      </c>
      <c r="G65" s="1562">
        <v>123714.69440000015</v>
      </c>
      <c r="H65" s="1562"/>
      <c r="I65" s="1562">
        <v>5618.4909095966304</v>
      </c>
      <c r="J65" s="1562">
        <v>45286.224479999997</v>
      </c>
      <c r="K65" s="1562">
        <v>40518.051060000005</v>
      </c>
      <c r="L65" s="1562">
        <v>11249.377161792016</v>
      </c>
    </row>
    <row r="66" spans="1:12" ht="13.95" customHeight="1">
      <c r="B66" s="1445"/>
      <c r="D66" s="1562"/>
      <c r="E66" s="1562"/>
      <c r="F66" s="1562"/>
      <c r="G66" s="1562"/>
      <c r="H66" s="1562"/>
      <c r="I66" s="1562"/>
      <c r="J66" s="1562"/>
      <c r="K66" s="1562"/>
      <c r="L66" s="1562"/>
    </row>
    <row r="67" spans="1:12" ht="13.95" customHeight="1">
      <c r="B67" s="1445" t="s">
        <v>2580</v>
      </c>
      <c r="D67" s="1562">
        <v>3742020.7581000002</v>
      </c>
      <c r="E67" s="1562">
        <v>1649939.9219999998</v>
      </c>
      <c r="F67" s="1562">
        <v>1174140.8670000001</v>
      </c>
      <c r="G67" s="1562">
        <v>4217819.813099999</v>
      </c>
      <c r="H67" s="1562"/>
      <c r="I67" s="1562">
        <v>296493.22198696045</v>
      </c>
      <c r="J67" s="1562">
        <v>152190.80850000001</v>
      </c>
      <c r="K67" s="1562">
        <v>98796.396819999994</v>
      </c>
      <c r="L67" s="1562">
        <v>383526.35560518294</v>
      </c>
    </row>
    <row r="68" spans="1:12" ht="13.95" customHeight="1">
      <c r="B68" s="1445"/>
      <c r="D68" s="1562"/>
      <c r="E68" s="1562"/>
      <c r="F68" s="1562"/>
      <c r="G68" s="1562"/>
      <c r="H68" s="1562"/>
      <c r="I68" s="1562"/>
      <c r="J68" s="1562"/>
      <c r="K68" s="1562"/>
      <c r="L68" s="1562"/>
    </row>
    <row r="69" spans="1:12" ht="13.95" customHeight="1">
      <c r="B69" s="1445" t="s">
        <v>2898</v>
      </c>
      <c r="D69" s="1562"/>
      <c r="E69" s="1562"/>
      <c r="F69" s="1562"/>
      <c r="G69" s="1562"/>
      <c r="H69" s="1562"/>
      <c r="I69" s="1562"/>
      <c r="J69" s="1562"/>
      <c r="K69" s="1562"/>
      <c r="L69" s="1562"/>
    </row>
    <row r="70" spans="1:12" ht="13.95" customHeight="1">
      <c r="B70" s="1446" t="s">
        <v>2902</v>
      </c>
      <c r="D70" s="1562">
        <v>11794969.124</v>
      </c>
      <c r="E70" s="1562">
        <v>0</v>
      </c>
      <c r="F70" s="1562">
        <v>0</v>
      </c>
      <c r="G70" s="1562">
        <v>11794969.124</v>
      </c>
      <c r="H70" s="1562"/>
      <c r="I70" s="1562">
        <v>913202.46164608479</v>
      </c>
      <c r="J70" s="1562">
        <v>0</v>
      </c>
      <c r="K70" s="1562">
        <v>0</v>
      </c>
      <c r="L70" s="1562">
        <v>1072516.5424453199</v>
      </c>
    </row>
    <row r="71" spans="1:12" ht="13.95" customHeight="1">
      <c r="B71" s="1445"/>
      <c r="D71" s="1562"/>
      <c r="E71" s="1562"/>
      <c r="F71" s="1562"/>
      <c r="G71" s="1562"/>
      <c r="H71" s="1562"/>
      <c r="I71" s="1562"/>
      <c r="J71" s="1562"/>
      <c r="K71" s="1562"/>
      <c r="L71" s="1562"/>
    </row>
    <row r="72" spans="1:12">
      <c r="A72" s="1624"/>
      <c r="B72" s="2430"/>
      <c r="C72" s="2430"/>
      <c r="D72" s="2430"/>
      <c r="E72" s="2430"/>
      <c r="F72" s="2430"/>
      <c r="G72" s="2430"/>
      <c r="H72" s="2430"/>
      <c r="I72" s="2430"/>
      <c r="J72" s="2430"/>
      <c r="K72" s="1562"/>
      <c r="L72" s="1562"/>
    </row>
    <row r="75" spans="1:12">
      <c r="B75" s="1446" t="s">
        <v>2798</v>
      </c>
      <c r="I75" s="1446">
        <v>0</v>
      </c>
    </row>
    <row r="78" spans="1:12">
      <c r="I78" s="1446">
        <v>8181</v>
      </c>
    </row>
    <row r="89" spans="2:9">
      <c r="B89" s="1446" t="s">
        <v>2799</v>
      </c>
      <c r="I89" s="1446">
        <v>0</v>
      </c>
    </row>
  </sheetData>
  <mergeCells count="25">
    <mergeCell ref="D45:L45"/>
    <mergeCell ref="D46:D49"/>
    <mergeCell ref="E46:E49"/>
    <mergeCell ref="F46:F49"/>
    <mergeCell ref="G46:G49"/>
    <mergeCell ref="I46:I49"/>
    <mergeCell ref="J46:J49"/>
    <mergeCell ref="K46:K49"/>
    <mergeCell ref="L46:L49"/>
    <mergeCell ref="B2:L4"/>
    <mergeCell ref="B6:L7"/>
    <mergeCell ref="B72:J72"/>
    <mergeCell ref="D50:G50"/>
    <mergeCell ref="I50:L50"/>
    <mergeCell ref="D15:L15"/>
    <mergeCell ref="I20:L20"/>
    <mergeCell ref="D16:D19"/>
    <mergeCell ref="E16:E19"/>
    <mergeCell ref="F16:F19"/>
    <mergeCell ref="G16:G19"/>
    <mergeCell ref="D20:G20"/>
    <mergeCell ref="I16:I19"/>
    <mergeCell ref="J16:J19"/>
    <mergeCell ref="K16:K19"/>
    <mergeCell ref="L16:L19"/>
  </mergeCells>
  <pageMargins left="0.75" right="0.25" top="0.6" bottom="0" header="0.25" footer="0"/>
  <pageSetup paperSize="9" scale="76" firstPageNumber="14" orientation="landscape" useFirstPageNumber="1" r:id="rId1"/>
  <headerFooter>
    <oddHeader>&amp;C&amp;"Arial Black,Regular"&amp;11&amp;P&amp;R&amp;"Arial Black,Regular"&amp;11MCB PAKISTAN STOCK MARKET FUND</oddHeader>
  </headerFooter>
  <colBreaks count="1" manualBreakCount="1">
    <brk id="18" max="37"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pageSetUpPr fitToPage="1"/>
  </sheetPr>
  <dimension ref="A1:AY132"/>
  <sheetViews>
    <sheetView view="pageBreakPreview" topLeftCell="A117" zoomScaleSheetLayoutView="100" workbookViewId="0">
      <selection activeCell="K55" sqref="K55"/>
    </sheetView>
  </sheetViews>
  <sheetFormatPr defaultColWidth="10.19921875" defaultRowHeight="13.8"/>
  <cols>
    <col min="1" max="1" width="5.09765625" style="1751" customWidth="1"/>
    <col min="2" max="2" width="3.59765625" style="1659" customWidth="1"/>
    <col min="3" max="3" width="15.5" style="1659" customWidth="1"/>
    <col min="4" max="4" width="9.69921875" style="1659" customWidth="1"/>
    <col min="5" max="5" width="11" style="1659" customWidth="1"/>
    <col min="6" max="6" width="7.69921875" style="1659" customWidth="1"/>
    <col min="7" max="7" width="7.5" style="1659" customWidth="1"/>
    <col min="8" max="8" width="12.09765625" style="1659" customWidth="1"/>
    <col min="9" max="9" width="13" style="1659" customWidth="1"/>
    <col min="10" max="10" width="1.09765625" style="1659" customWidth="1"/>
    <col min="11" max="11" width="13" style="1659" customWidth="1"/>
    <col min="12" max="12" width="17.69921875" style="1659" customWidth="1"/>
    <col min="13" max="13" width="14" style="1659" bestFit="1" customWidth="1"/>
    <col min="14" max="14" width="13.59765625" style="1659" bestFit="1" customWidth="1"/>
    <col min="15" max="15" width="11.19921875" style="1659" customWidth="1"/>
    <col min="16" max="16" width="11.3984375" style="1659" customWidth="1"/>
    <col min="17" max="17" width="10.19921875" style="1659" bestFit="1" customWidth="1"/>
    <col min="18" max="25" width="10.19921875" style="1659"/>
    <col min="26" max="26" width="10.19921875" style="1659" bestFit="1" customWidth="1"/>
    <col min="27" max="48" width="10.19921875" style="1659"/>
    <col min="49" max="51" width="10.19921875" style="1659" bestFit="1" customWidth="1"/>
    <col min="52" max="16384" width="10.19921875" style="1659"/>
  </cols>
  <sheetData>
    <row r="1" spans="1:51" s="1624" customFormat="1" ht="13.95" customHeight="1">
      <c r="A1" s="1918"/>
      <c r="B1" s="1921"/>
      <c r="C1" s="1689"/>
      <c r="D1" s="1689"/>
      <c r="I1" s="2453" t="s">
        <v>3237</v>
      </c>
      <c r="J1" s="2453"/>
      <c r="K1" s="2453"/>
      <c r="L1" s="1624" t="s">
        <v>3207</v>
      </c>
    </row>
    <row r="2" spans="1:51" s="1624" customFormat="1" ht="15" customHeight="1" thickBot="1">
      <c r="D2" s="1689"/>
      <c r="E2" s="1671"/>
      <c r="F2" s="1671"/>
      <c r="G2" s="1671"/>
      <c r="H2" s="1764"/>
      <c r="I2" s="2454"/>
      <c r="J2" s="2454"/>
      <c r="K2" s="2454"/>
    </row>
    <row r="3" spans="1:51" s="1624" customFormat="1">
      <c r="A3" s="1918" t="s">
        <v>3179</v>
      </c>
      <c r="B3" s="1921" t="s">
        <v>2582</v>
      </c>
      <c r="C3" s="1689"/>
      <c r="D3" s="1689"/>
      <c r="E3" s="1671"/>
      <c r="F3" s="1671"/>
      <c r="G3" s="1671"/>
      <c r="H3" s="1764"/>
      <c r="I3" s="2318" t="s">
        <v>2778</v>
      </c>
      <c r="J3" s="2318"/>
      <c r="K3" s="2318"/>
    </row>
    <row r="4" spans="1:51" s="1624" customFormat="1">
      <c r="C4" s="1689"/>
      <c r="D4" s="1689"/>
      <c r="E4" s="1671"/>
      <c r="F4" s="1671"/>
      <c r="G4" s="1671"/>
      <c r="H4" s="1764"/>
      <c r="I4" s="1999" t="s">
        <v>3197</v>
      </c>
      <c r="J4" s="1999"/>
      <c r="K4" s="1999" t="s">
        <v>2917</v>
      </c>
    </row>
    <row r="5" spans="1:51" s="1624" customFormat="1">
      <c r="A5" s="1734"/>
      <c r="B5" s="1675"/>
      <c r="C5" s="1689"/>
      <c r="D5" s="1689"/>
      <c r="E5" s="1713"/>
      <c r="F5" s="1713"/>
      <c r="G5" s="1713"/>
      <c r="I5" s="2374" t="s">
        <v>2583</v>
      </c>
      <c r="J5" s="2455"/>
      <c r="K5" s="2455"/>
      <c r="AW5" s="2000" t="s">
        <v>624</v>
      </c>
    </row>
    <row r="6" spans="1:51" s="1624" customFormat="1">
      <c r="B6" s="1675" t="s">
        <v>2584</v>
      </c>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row>
    <row r="7" spans="1:51" s="1624" customFormat="1">
      <c r="A7" s="1736"/>
      <c r="B7" s="1681" t="s">
        <v>2620</v>
      </c>
      <c r="E7" s="1690"/>
      <c r="F7" s="1690"/>
      <c r="G7" s="1690"/>
      <c r="H7" s="1690"/>
      <c r="I7" s="1757">
        <f>+IS!H20+IS!H22</f>
        <v>71054</v>
      </c>
      <c r="J7" s="1758"/>
      <c r="K7" s="1690">
        <v>61082</v>
      </c>
      <c r="L7" s="1690"/>
      <c r="M7" s="1719"/>
      <c r="Z7" s="1690">
        <f>K7-AW7</f>
        <v>50800</v>
      </c>
      <c r="AW7" s="1738">
        <v>10282</v>
      </c>
    </row>
    <row r="8" spans="1:51" s="1624" customFormat="1">
      <c r="A8" s="1736"/>
      <c r="B8" s="1681" t="s">
        <v>2621</v>
      </c>
      <c r="E8" s="1690"/>
      <c r="F8" s="1690"/>
      <c r="G8" s="1690"/>
      <c r="H8" s="1690"/>
      <c r="I8" s="1757">
        <f>+IS!H28</f>
        <v>40872</v>
      </c>
      <c r="J8" s="1758"/>
      <c r="K8" s="1690">
        <v>35136</v>
      </c>
      <c r="L8" s="1690"/>
      <c r="M8" s="1719"/>
      <c r="Z8" s="1690"/>
      <c r="AW8" s="1738"/>
    </row>
    <row r="9" spans="1:51" s="1624" customFormat="1">
      <c r="A9" s="1736"/>
      <c r="B9" s="1681" t="s">
        <v>2622</v>
      </c>
      <c r="E9" s="1690"/>
      <c r="F9" s="1690"/>
      <c r="G9" s="1690"/>
      <c r="H9" s="1690"/>
      <c r="I9" s="1757">
        <f>+IS!H27</f>
        <v>3144</v>
      </c>
      <c r="J9" s="1758"/>
      <c r="K9" s="1690">
        <v>2703</v>
      </c>
      <c r="L9" s="1690"/>
      <c r="M9" s="1719"/>
      <c r="Z9" s="1690"/>
      <c r="AW9" s="1738"/>
    </row>
    <row r="10" spans="1:51" s="1624" customFormat="1">
      <c r="A10" s="1736"/>
      <c r="B10" s="1681"/>
      <c r="E10" s="1690"/>
      <c r="F10" s="1690"/>
      <c r="G10" s="1690"/>
      <c r="H10" s="1690"/>
      <c r="I10" s="1757"/>
      <c r="J10" s="1758"/>
      <c r="K10" s="1690"/>
      <c r="L10" s="1716"/>
      <c r="M10" s="1719"/>
      <c r="Z10" s="1690">
        <f>K10-AW10</f>
        <v>-1645</v>
      </c>
      <c r="AW10" s="1738">
        <v>1645</v>
      </c>
    </row>
    <row r="11" spans="1:51" s="1624" customFormat="1">
      <c r="A11" s="1736"/>
      <c r="B11" s="1689" t="s">
        <v>2585</v>
      </c>
      <c r="E11" s="1690"/>
      <c r="F11" s="1690"/>
      <c r="G11" s="1690"/>
      <c r="H11" s="1690"/>
      <c r="I11" s="1757"/>
      <c r="J11" s="1758"/>
      <c r="K11" s="1690"/>
      <c r="L11" s="1714"/>
    </row>
    <row r="12" spans="1:51" s="1624" customFormat="1">
      <c r="A12" s="1736"/>
      <c r="B12" s="1624" t="s">
        <v>2586</v>
      </c>
      <c r="E12" s="1690"/>
      <c r="F12" s="1690"/>
      <c r="G12" s="1690"/>
      <c r="H12" s="1690"/>
      <c r="I12" s="1757">
        <f>+IS!H23+IS!H24</f>
        <v>3837</v>
      </c>
      <c r="J12" s="1758"/>
      <c r="K12" s="1690">
        <v>3339</v>
      </c>
      <c r="L12" s="1714"/>
      <c r="M12" s="1719"/>
      <c r="Z12" s="1719">
        <f>K12-AW12</f>
        <v>2094</v>
      </c>
      <c r="AW12" s="1624">
        <v>1245</v>
      </c>
      <c r="AX12" s="1624">
        <f>7436.7428+24759.3034+10657.9614</f>
        <v>42854.007599999997</v>
      </c>
    </row>
    <row r="13" spans="1:51" s="1624" customFormat="1">
      <c r="A13" s="1736"/>
      <c r="B13" s="1624" t="s">
        <v>2587</v>
      </c>
      <c r="E13" s="1690"/>
      <c r="F13" s="1690"/>
      <c r="G13" s="1690"/>
      <c r="H13" s="1690"/>
      <c r="I13" s="1757">
        <f>+'TB-31 Dec'!C161</f>
        <v>382</v>
      </c>
      <c r="J13" s="1758"/>
      <c r="K13" s="1690">
        <v>251</v>
      </c>
      <c r="L13" s="1714"/>
      <c r="AX13" s="1624">
        <f>74376+24759+10657</f>
        <v>109792</v>
      </c>
      <c r="AY13" s="1624">
        <f>843506+280795+120871</f>
        <v>1245172</v>
      </c>
    </row>
    <row r="14" spans="1:51" s="1624" customFormat="1" ht="10.199999999999999" customHeight="1">
      <c r="A14" s="1736"/>
      <c r="E14" s="1690"/>
      <c r="F14" s="1690"/>
      <c r="G14" s="1690"/>
      <c r="H14" s="1690"/>
      <c r="I14" s="1757"/>
      <c r="J14" s="1758"/>
      <c r="K14" s="1690"/>
      <c r="L14" s="1714"/>
    </row>
    <row r="15" spans="1:51" s="1624" customFormat="1">
      <c r="A15" s="1678"/>
      <c r="B15" s="1675" t="s">
        <v>2588</v>
      </c>
      <c r="E15" s="1690"/>
      <c r="F15" s="1690"/>
      <c r="G15" s="1690"/>
      <c r="H15" s="1690"/>
      <c r="I15" s="1757"/>
      <c r="J15" s="1743"/>
      <c r="K15" s="1690"/>
      <c r="N15" s="1624" t="s">
        <v>2507</v>
      </c>
    </row>
    <row r="16" spans="1:51" s="1624" customFormat="1">
      <c r="A16" s="1678"/>
      <c r="B16" s="1739" t="s">
        <v>2441</v>
      </c>
      <c r="E16" s="1719"/>
      <c r="F16" s="1719"/>
      <c r="G16" s="1719"/>
      <c r="H16" s="1719"/>
      <c r="I16" s="2278">
        <v>932.64700000000005</v>
      </c>
      <c r="J16" s="1743"/>
      <c r="K16" s="1719">
        <v>581.25</v>
      </c>
      <c r="L16" s="1740">
        <v>1025296.1245000002</v>
      </c>
      <c r="M16" s="1719">
        <f>SUM(L16:L16)</f>
        <v>1025296.1245000002</v>
      </c>
      <c r="N16" s="1624">
        <v>3496</v>
      </c>
      <c r="O16" s="1624">
        <v>325</v>
      </c>
      <c r="P16" s="1719">
        <f>M16+N16+O16</f>
        <v>1029117.1245000002</v>
      </c>
      <c r="Z16" s="1719">
        <f>K16-AW16</f>
        <v>-126629.75</v>
      </c>
      <c r="AW16" s="1624">
        <v>127211</v>
      </c>
    </row>
    <row r="17" spans="1:26" s="1624" customFormat="1" ht="10.199999999999999" customHeight="1">
      <c r="A17" s="1678"/>
      <c r="B17" s="1675"/>
      <c r="I17" s="1689"/>
      <c r="J17" s="1743"/>
      <c r="K17" s="1690"/>
    </row>
    <row r="18" spans="1:26" s="1624" customFormat="1" ht="10.199999999999999" customHeight="1">
      <c r="A18" s="1678"/>
      <c r="B18" s="1739"/>
      <c r="E18" s="1741"/>
      <c r="F18" s="1690"/>
      <c r="G18" s="1690"/>
      <c r="H18" s="1690"/>
      <c r="I18" s="1919"/>
      <c r="J18" s="1743"/>
      <c r="K18" s="1719"/>
      <c r="L18" s="1740"/>
      <c r="M18" s="1740"/>
      <c r="Z18" s="1719"/>
    </row>
    <row r="19" spans="1:26" s="1624" customFormat="1">
      <c r="A19" s="1678"/>
      <c r="B19" s="1675" t="s">
        <v>1037</v>
      </c>
      <c r="E19" s="1690"/>
      <c r="F19" s="1690"/>
      <c r="G19" s="1690"/>
      <c r="H19" s="1690"/>
      <c r="I19" s="1757"/>
      <c r="J19" s="1743"/>
      <c r="K19" s="1690"/>
    </row>
    <row r="20" spans="1:26" s="1624" customFormat="1">
      <c r="A20" s="1678"/>
      <c r="B20" s="1624" t="s">
        <v>1072</v>
      </c>
      <c r="E20" s="1690"/>
      <c r="F20" s="1690"/>
      <c r="G20" s="1690"/>
      <c r="H20" s="1690"/>
      <c r="I20" s="1757">
        <f>+'TB-31 Dec'!C173</f>
        <v>21</v>
      </c>
      <c r="J20" s="1743"/>
      <c r="K20" s="1690">
        <v>47</v>
      </c>
      <c r="L20" s="1993"/>
    </row>
    <row r="21" spans="1:26" s="1624" customFormat="1">
      <c r="A21" s="1678"/>
      <c r="B21" s="1624" t="s">
        <v>2408</v>
      </c>
      <c r="E21" s="1690"/>
      <c r="F21" s="1690"/>
      <c r="G21" s="1690"/>
      <c r="H21" s="1690"/>
      <c r="I21" s="1757">
        <f>+'TB-31 Dec'!D136+'TB-31 Dec'!D137+'TB-31 Dec'!D138</f>
        <v>6827</v>
      </c>
      <c r="J21" s="1743"/>
      <c r="K21" s="1690">
        <v>3556</v>
      </c>
      <c r="L21" s="1749"/>
    </row>
    <row r="22" spans="1:26" s="1624" customFormat="1">
      <c r="A22" s="1678"/>
      <c r="B22" s="1624" t="s">
        <v>115</v>
      </c>
      <c r="E22" s="1690"/>
      <c r="F22" s="1690"/>
      <c r="G22" s="1690"/>
      <c r="H22" s="1690"/>
      <c r="I22" s="1757">
        <v>4.2249999999999996</v>
      </c>
      <c r="J22" s="1743"/>
      <c r="K22" s="1690">
        <v>0</v>
      </c>
      <c r="L22" s="1749"/>
    </row>
    <row r="23" spans="1:26" s="1624" customFormat="1">
      <c r="A23" s="1678"/>
      <c r="B23" s="1681" t="s">
        <v>3274</v>
      </c>
      <c r="E23" s="1690"/>
      <c r="F23" s="1690"/>
      <c r="G23" s="1690"/>
      <c r="H23" s="1690"/>
      <c r="I23" s="1757">
        <f>M23/1000</f>
        <v>128560</v>
      </c>
      <c r="J23" s="1743"/>
      <c r="K23" s="1690">
        <v>116766</v>
      </c>
      <c r="L23" s="1740"/>
      <c r="M23" s="2257">
        <v>128560000</v>
      </c>
    </row>
    <row r="24" spans="1:26" s="1624" customFormat="1">
      <c r="A24" s="1678"/>
      <c r="B24" s="1681" t="s">
        <v>3275</v>
      </c>
      <c r="E24" s="1690"/>
      <c r="F24" s="1690"/>
      <c r="G24" s="1690"/>
      <c r="H24" s="1690"/>
      <c r="I24" s="1757">
        <f>-M24/1000</f>
        <v>132635.23397999999</v>
      </c>
      <c r="J24" s="1743"/>
      <c r="K24" s="1690">
        <v>396704</v>
      </c>
      <c r="L24" s="1740"/>
      <c r="M24" s="2257">
        <v>-132635233.98</v>
      </c>
    </row>
    <row r="25" spans="1:26" s="1624" customFormat="1">
      <c r="A25" s="1678"/>
      <c r="B25" s="1681"/>
      <c r="E25" s="1690"/>
      <c r="F25" s="1690"/>
      <c r="G25" s="1690"/>
      <c r="H25" s="1690"/>
      <c r="I25" s="1757"/>
      <c r="J25" s="1743"/>
      <c r="K25" s="1690"/>
      <c r="L25" s="1740"/>
      <c r="M25" s="2257"/>
    </row>
    <row r="26" spans="1:26" s="1624" customFormat="1">
      <c r="A26" s="1678"/>
      <c r="B26" s="1675" t="s">
        <v>1168</v>
      </c>
      <c r="E26" s="1690"/>
      <c r="F26" s="1690"/>
      <c r="G26" s="1690"/>
      <c r="H26" s="1690"/>
      <c r="I26" s="1757"/>
      <c r="J26" s="1743"/>
      <c r="K26" s="1690"/>
      <c r="L26" s="1740"/>
      <c r="M26" s="2289"/>
    </row>
    <row r="27" spans="1:26" s="1624" customFormat="1">
      <c r="A27" s="1678"/>
      <c r="B27" s="1681" t="s">
        <v>115</v>
      </c>
      <c r="E27" s="1690"/>
      <c r="F27" s="1690"/>
      <c r="G27" s="1690"/>
      <c r="H27" s="1690"/>
      <c r="I27" s="1757">
        <v>1551.75</v>
      </c>
      <c r="J27" s="1743"/>
      <c r="K27" s="1690">
        <v>0</v>
      </c>
      <c r="L27" s="1740"/>
      <c r="M27" s="2289"/>
    </row>
    <row r="28" spans="1:26" s="1624" customFormat="1">
      <c r="A28" s="1678"/>
      <c r="B28" s="1681"/>
      <c r="E28" s="1690"/>
      <c r="F28" s="1690"/>
      <c r="G28" s="1690"/>
      <c r="H28" s="1690"/>
      <c r="I28" s="1757"/>
      <c r="J28" s="1743"/>
      <c r="K28" s="1690"/>
      <c r="L28" s="1740"/>
      <c r="M28" s="2257"/>
    </row>
    <row r="29" spans="1:26" s="1624" customFormat="1">
      <c r="A29" s="1678"/>
      <c r="B29" s="1675" t="s">
        <v>3236</v>
      </c>
      <c r="E29" s="1690"/>
      <c r="F29" s="1690"/>
      <c r="G29" s="1690"/>
      <c r="H29" s="1690"/>
      <c r="I29" s="1757"/>
      <c r="J29" s="1743"/>
      <c r="K29" s="1690"/>
      <c r="L29" s="1740"/>
    </row>
    <row r="30" spans="1:26" s="1624" customFormat="1">
      <c r="A30" s="1678"/>
      <c r="B30" s="1681" t="s">
        <v>3277</v>
      </c>
      <c r="E30" s="1690"/>
      <c r="F30" s="1690"/>
      <c r="G30" s="1690"/>
      <c r="H30" s="1690"/>
      <c r="I30" s="1757">
        <f>M30/1000</f>
        <v>0</v>
      </c>
      <c r="J30" s="1743"/>
      <c r="K30" s="1690">
        <v>132468</v>
      </c>
      <c r="L30" s="1740"/>
      <c r="M30" s="2257">
        <v>0</v>
      </c>
    </row>
    <row r="31" spans="1:26" s="1624" customFormat="1">
      <c r="A31" s="1678"/>
      <c r="B31" s="1681" t="s">
        <v>3278</v>
      </c>
      <c r="E31" s="1690"/>
      <c r="F31" s="1690"/>
      <c r="G31" s="1690"/>
      <c r="H31" s="1690"/>
      <c r="I31" s="1757">
        <f>-M31/1000</f>
        <v>79045.725160000002</v>
      </c>
      <c r="J31" s="1743"/>
      <c r="K31" s="1690">
        <v>0</v>
      </c>
      <c r="L31" s="1740"/>
      <c r="M31" s="2257">
        <v>-79045725.159999996</v>
      </c>
    </row>
    <row r="32" spans="1:26" s="1624" customFormat="1">
      <c r="A32" s="1678"/>
      <c r="B32" s="1681"/>
      <c r="E32" s="1690"/>
      <c r="F32" s="1690"/>
      <c r="G32" s="1690"/>
      <c r="H32" s="1690"/>
      <c r="I32" s="1757"/>
      <c r="J32" s="1743"/>
      <c r="K32" s="1690"/>
      <c r="L32" s="1740"/>
      <c r="M32" s="2257"/>
    </row>
    <row r="33" spans="1:16" s="1624" customFormat="1">
      <c r="A33" s="1678"/>
      <c r="B33" s="1675" t="s">
        <v>1077</v>
      </c>
      <c r="E33" s="1690"/>
      <c r="F33" s="1690"/>
      <c r="G33" s="1690"/>
      <c r="H33" s="1690"/>
      <c r="I33" s="1757"/>
      <c r="J33" s="1743"/>
      <c r="K33" s="1690"/>
      <c r="L33" s="1740"/>
      <c r="M33" s="2257"/>
    </row>
    <row r="34" spans="1:16" s="1624" customFormat="1">
      <c r="A34" s="1678"/>
      <c r="B34" s="1681" t="s">
        <v>3276</v>
      </c>
      <c r="E34" s="1690"/>
      <c r="F34" s="1690"/>
      <c r="G34" s="1690"/>
      <c r="H34" s="1690"/>
      <c r="I34" s="1757">
        <f>M34/1000</f>
        <v>0</v>
      </c>
      <c r="J34" s="1743"/>
      <c r="K34" s="1690">
        <v>0</v>
      </c>
      <c r="L34" s="1740"/>
      <c r="M34" s="2257">
        <v>0</v>
      </c>
    </row>
    <row r="35" spans="1:16" s="1624" customFormat="1">
      <c r="A35" s="1678"/>
      <c r="B35" s="1681" t="s">
        <v>3279</v>
      </c>
      <c r="E35" s="1690"/>
      <c r="F35" s="1690"/>
      <c r="G35" s="1690"/>
      <c r="H35" s="1690"/>
      <c r="I35" s="1757">
        <f>-M35/1000</f>
        <v>6120.6400199999998</v>
      </c>
      <c r="J35" s="1743"/>
      <c r="K35" s="1690">
        <v>0</v>
      </c>
      <c r="L35" s="1740"/>
      <c r="M35" s="2257">
        <v>-6120640.0199999996</v>
      </c>
    </row>
    <row r="36" spans="1:16" s="1624" customFormat="1">
      <c r="A36" s="1678"/>
      <c r="B36" s="1681"/>
      <c r="E36" s="1690"/>
      <c r="F36" s="1690"/>
      <c r="G36" s="1690"/>
      <c r="H36" s="1690"/>
      <c r="I36" s="1757"/>
      <c r="J36" s="1743"/>
      <c r="K36" s="1690"/>
      <c r="L36" s="1740"/>
      <c r="M36" s="2257"/>
    </row>
    <row r="37" spans="1:16" s="1624" customFormat="1">
      <c r="A37" s="1678"/>
      <c r="B37" s="1675" t="s">
        <v>481</v>
      </c>
      <c r="E37" s="1690"/>
      <c r="F37" s="1690"/>
      <c r="G37" s="1690"/>
      <c r="H37" s="1690"/>
      <c r="I37" s="1757"/>
      <c r="J37" s="1743"/>
      <c r="K37" s="1690"/>
      <c r="L37" s="1740"/>
      <c r="M37" s="2257"/>
    </row>
    <row r="38" spans="1:16" s="1624" customFormat="1">
      <c r="A38" s="1678"/>
      <c r="B38" s="1681" t="s">
        <v>3280</v>
      </c>
      <c r="E38" s="1690"/>
      <c r="F38" s="1690"/>
      <c r="G38" s="1690"/>
      <c r="H38" s="1690"/>
      <c r="I38" s="1757">
        <f>M38/1000</f>
        <v>65400.576679999991</v>
      </c>
      <c r="J38" s="1743"/>
      <c r="K38" s="1690">
        <v>401200</v>
      </c>
      <c r="L38" s="1740"/>
      <c r="M38" s="2257">
        <v>65400576.679999992</v>
      </c>
    </row>
    <row r="39" spans="1:16" s="1624" customFormat="1">
      <c r="A39" s="1678"/>
      <c r="B39" s="1681" t="s">
        <v>3281</v>
      </c>
      <c r="E39" s="1690"/>
      <c r="F39" s="1690"/>
      <c r="G39" s="1690"/>
      <c r="H39" s="1690"/>
      <c r="I39" s="1757">
        <f>-M39/1000</f>
        <v>137384.19919999997</v>
      </c>
      <c r="J39" s="1743"/>
      <c r="K39" s="1690">
        <v>188408</v>
      </c>
      <c r="L39" s="1740"/>
      <c r="M39" s="2257">
        <v>-137384199.19999999</v>
      </c>
      <c r="N39" s="2257"/>
      <c r="O39" s="2257"/>
    </row>
    <row r="40" spans="1:16" s="1624" customFormat="1">
      <c r="A40" s="1678"/>
      <c r="B40" s="1681"/>
      <c r="E40" s="1690"/>
      <c r="F40" s="1690"/>
      <c r="G40" s="1690"/>
      <c r="H40" s="1690"/>
      <c r="I40" s="1757"/>
      <c r="J40" s="1743"/>
      <c r="K40" s="1690"/>
      <c r="L40" s="1740"/>
      <c r="N40" s="2257"/>
      <c r="O40" s="2257"/>
    </row>
    <row r="41" spans="1:16" s="1624" customFormat="1">
      <c r="A41" s="1678"/>
      <c r="B41" s="1675" t="s">
        <v>339</v>
      </c>
      <c r="E41" s="1690"/>
      <c r="F41" s="1690"/>
      <c r="G41" s="1690"/>
      <c r="H41" s="1690"/>
      <c r="I41" s="1757"/>
      <c r="J41" s="1743"/>
      <c r="K41" s="1690"/>
      <c r="L41" s="1740"/>
    </row>
    <row r="42" spans="1:16" s="1624" customFormat="1">
      <c r="A42" s="1678"/>
      <c r="B42" s="1681" t="s">
        <v>115</v>
      </c>
      <c r="E42" s="1690"/>
      <c r="F42" s="1690"/>
      <c r="G42" s="1690"/>
      <c r="H42" s="1690"/>
      <c r="I42" s="1757">
        <v>0</v>
      </c>
      <c r="J42" s="1743"/>
      <c r="K42" s="1690">
        <v>5125</v>
      </c>
      <c r="L42" s="1740"/>
      <c r="M42" s="2256"/>
      <c r="N42" s="2256"/>
      <c r="O42" s="2257"/>
      <c r="P42" s="2257"/>
    </row>
    <row r="43" spans="1:16" s="1624" customFormat="1">
      <c r="A43" s="1678"/>
      <c r="B43" s="1681" t="s">
        <v>3283</v>
      </c>
      <c r="E43" s="1690"/>
      <c r="F43" s="1690"/>
      <c r="G43" s="1690"/>
      <c r="H43" s="1690"/>
      <c r="I43" s="1757">
        <f>M43/1000</f>
        <v>0</v>
      </c>
      <c r="J43" s="1743"/>
      <c r="K43" s="1690">
        <v>92500</v>
      </c>
      <c r="L43" s="1740"/>
      <c r="M43" s="2257">
        <v>0</v>
      </c>
      <c r="N43" s="2256"/>
      <c r="O43" s="2257"/>
      <c r="P43" s="2257"/>
    </row>
    <row r="44" spans="1:16" s="1624" customFormat="1">
      <c r="A44" s="1678"/>
      <c r="B44" s="1681" t="s">
        <v>3282</v>
      </c>
      <c r="E44" s="1690"/>
      <c r="F44" s="1690"/>
      <c r="G44" s="1690"/>
      <c r="H44" s="1690"/>
      <c r="I44" s="1757">
        <f>-M44/1000</f>
        <v>23956.9647</v>
      </c>
      <c r="J44" s="1743"/>
      <c r="K44" s="1690">
        <v>33571</v>
      </c>
      <c r="L44" s="1740"/>
      <c r="M44" s="2257">
        <v>-23956964.699999999</v>
      </c>
      <c r="N44" s="2256"/>
      <c r="O44" s="2257"/>
      <c r="P44" s="2257"/>
    </row>
    <row r="45" spans="1:16" s="1624" customFormat="1">
      <c r="A45" s="1678"/>
      <c r="B45" s="1681"/>
      <c r="E45" s="1690"/>
      <c r="F45" s="1690"/>
      <c r="G45" s="1690"/>
      <c r="H45" s="1690"/>
      <c r="I45" s="1757"/>
      <c r="J45" s="1743"/>
      <c r="K45" s="1690"/>
      <c r="L45" s="1740"/>
      <c r="M45" s="2257"/>
      <c r="N45" s="2256"/>
      <c r="O45" s="2257"/>
      <c r="P45" s="2257"/>
    </row>
    <row r="46" spans="1:16" s="1624" customFormat="1">
      <c r="A46" s="1678"/>
      <c r="B46" s="1675" t="s">
        <v>1073</v>
      </c>
      <c r="E46" s="1690"/>
      <c r="F46" s="1690"/>
      <c r="G46" s="1690"/>
      <c r="H46" s="1690"/>
      <c r="I46" s="1757"/>
      <c r="J46" s="1743"/>
      <c r="K46" s="1690"/>
      <c r="L46" s="1740"/>
      <c r="M46" s="2257"/>
      <c r="N46" s="2256"/>
      <c r="O46" s="2258"/>
      <c r="P46" s="2257"/>
    </row>
    <row r="47" spans="1:16" s="1624" customFormat="1">
      <c r="A47" s="1678"/>
      <c r="B47" s="1681" t="s">
        <v>3290</v>
      </c>
      <c r="E47" s="1690"/>
      <c r="F47" s="1690"/>
      <c r="G47" s="1690"/>
      <c r="H47" s="1690"/>
      <c r="I47" s="1757">
        <f>M47/1000</f>
        <v>94510.384609999994</v>
      </c>
      <c r="J47" s="1743"/>
      <c r="K47" s="1690">
        <v>0</v>
      </c>
      <c r="L47" s="1740"/>
      <c r="M47" s="2257">
        <v>94510384.609999999</v>
      </c>
      <c r="P47" s="1740"/>
    </row>
    <row r="48" spans="1:16" s="1624" customFormat="1">
      <c r="A48" s="1678"/>
      <c r="B48" s="1681" t="s">
        <v>3285</v>
      </c>
      <c r="E48" s="1690"/>
      <c r="F48" s="1690"/>
      <c r="G48" s="1690"/>
      <c r="H48" s="1690"/>
      <c r="I48" s="1757">
        <f>-M48/1000</f>
        <v>0</v>
      </c>
      <c r="J48" s="1743"/>
      <c r="K48" s="1690">
        <v>0</v>
      </c>
      <c r="L48" s="1740"/>
      <c r="M48" s="2257">
        <v>0</v>
      </c>
    </row>
    <row r="49" spans="1:14" s="1624" customFormat="1">
      <c r="A49" s="1678"/>
      <c r="B49" s="2255"/>
      <c r="E49" s="1690"/>
      <c r="F49" s="1690"/>
      <c r="G49" s="1690"/>
      <c r="H49" s="1690"/>
      <c r="I49" s="1757"/>
      <c r="J49" s="1743"/>
      <c r="K49" s="1690"/>
      <c r="L49" s="1740"/>
      <c r="M49" s="2257"/>
    </row>
    <row r="50" spans="1:14" s="1624" customFormat="1">
      <c r="A50" s="1678"/>
      <c r="B50" s="1675" t="s">
        <v>576</v>
      </c>
      <c r="E50" s="1690"/>
      <c r="F50" s="1690"/>
      <c r="G50" s="1690"/>
      <c r="H50" s="1690"/>
      <c r="I50" s="1757"/>
      <c r="J50" s="1743"/>
      <c r="K50" s="1690"/>
      <c r="L50" s="1740"/>
      <c r="M50" s="2257"/>
    </row>
    <row r="51" spans="1:14" s="1624" customFormat="1">
      <c r="A51" s="1678"/>
      <c r="B51" s="1681" t="s">
        <v>3291</v>
      </c>
      <c r="E51" s="1690"/>
      <c r="F51" s="1690"/>
      <c r="G51" s="1690"/>
      <c r="H51" s="1690"/>
      <c r="I51" s="1757">
        <f>M51/1000</f>
        <v>32293.860949999998</v>
      </c>
      <c r="J51" s="1743"/>
      <c r="K51" s="1690">
        <v>152433</v>
      </c>
      <c r="L51" s="1740"/>
      <c r="M51" s="2257">
        <v>32293860.949999999</v>
      </c>
    </row>
    <row r="52" spans="1:14" s="1624" customFormat="1">
      <c r="A52" s="1678"/>
      <c r="B52" s="1681" t="s">
        <v>3285</v>
      </c>
      <c r="E52" s="1690"/>
      <c r="F52" s="1690"/>
      <c r="G52" s="1690"/>
      <c r="H52" s="1690"/>
      <c r="I52" s="1757">
        <f>-M52/1000</f>
        <v>0</v>
      </c>
      <c r="J52" s="1743"/>
      <c r="K52" s="1690">
        <v>0</v>
      </c>
      <c r="L52" s="1740"/>
      <c r="M52" s="2257">
        <v>0</v>
      </c>
    </row>
    <row r="53" spans="1:14" s="1624" customFormat="1">
      <c r="A53" s="1678"/>
      <c r="B53" s="2255"/>
      <c r="E53" s="1690"/>
      <c r="F53" s="1690"/>
      <c r="G53" s="1690"/>
      <c r="H53" s="1690"/>
      <c r="I53" s="1757"/>
      <c r="J53" s="1743"/>
      <c r="K53" s="1690"/>
      <c r="L53" s="1740"/>
      <c r="M53" s="2257"/>
    </row>
    <row r="54" spans="1:14" s="1624" customFormat="1">
      <c r="A54" s="1678"/>
      <c r="B54" s="1675" t="s">
        <v>1056</v>
      </c>
      <c r="E54" s="1690"/>
      <c r="F54" s="1690"/>
      <c r="G54" s="1690"/>
      <c r="H54" s="1690"/>
      <c r="I54" s="1757"/>
      <c r="J54" s="1743"/>
      <c r="K54" s="1690"/>
      <c r="L54" s="1740"/>
      <c r="M54" s="2257"/>
    </row>
    <row r="55" spans="1:14" s="1624" customFormat="1">
      <c r="A55" s="1678"/>
      <c r="B55" s="1681" t="s">
        <v>3284</v>
      </c>
      <c r="E55" s="1690"/>
      <c r="F55" s="1690"/>
      <c r="G55" s="1690"/>
      <c r="H55" s="1690"/>
      <c r="I55" s="1757">
        <f>M55/1000</f>
        <v>14759.614800000001</v>
      </c>
      <c r="J55" s="1743"/>
      <c r="K55" s="1690">
        <v>0</v>
      </c>
      <c r="L55" s="1740"/>
      <c r="M55" s="2257">
        <v>14759614.800000001</v>
      </c>
    </row>
    <row r="56" spans="1:14" s="1624" customFormat="1">
      <c r="A56" s="1678"/>
      <c r="B56" s="1681" t="s">
        <v>3285</v>
      </c>
      <c r="E56" s="1690"/>
      <c r="F56" s="1690"/>
      <c r="G56" s="1690"/>
      <c r="H56" s="1690"/>
      <c r="I56" s="1757">
        <f>-M56/1000</f>
        <v>0</v>
      </c>
      <c r="J56" s="1743"/>
      <c r="K56" s="1690">
        <v>0</v>
      </c>
      <c r="L56" s="1740"/>
      <c r="M56" s="2257">
        <v>0</v>
      </c>
    </row>
    <row r="57" spans="1:14" s="1624" customFormat="1">
      <c r="A57" s="1678"/>
      <c r="B57" s="2255"/>
      <c r="E57" s="1690"/>
      <c r="F57" s="1690"/>
      <c r="G57" s="1690"/>
      <c r="H57" s="1690"/>
      <c r="I57" s="1757"/>
      <c r="J57" s="1743"/>
      <c r="K57" s="1690"/>
      <c r="L57" s="1740"/>
      <c r="M57" s="2257"/>
    </row>
    <row r="58" spans="1:14" s="1624" customFormat="1">
      <c r="A58" s="1678"/>
      <c r="B58" s="1675" t="s">
        <v>501</v>
      </c>
      <c r="E58" s="1690"/>
      <c r="F58" s="1690"/>
      <c r="G58" s="1690"/>
      <c r="H58" s="1690"/>
      <c r="I58" s="1757"/>
      <c r="J58" s="1743"/>
      <c r="K58" s="1690"/>
      <c r="L58" s="1740"/>
      <c r="M58" s="2257"/>
    </row>
    <row r="59" spans="1:14" s="1624" customFormat="1">
      <c r="A59" s="1678"/>
      <c r="B59" s="1681" t="s">
        <v>3286</v>
      </c>
      <c r="E59" s="1690"/>
      <c r="F59" s="1690"/>
      <c r="G59" s="1690"/>
      <c r="H59" s="1690"/>
      <c r="I59" s="1757">
        <f>M59/1000</f>
        <v>0</v>
      </c>
      <c r="J59" s="1743"/>
      <c r="K59" s="1690">
        <v>558.44500000000005</v>
      </c>
      <c r="L59" s="2257"/>
      <c r="M59" s="2257">
        <v>0</v>
      </c>
    </row>
    <row r="60" spans="1:14" s="1624" customFormat="1">
      <c r="A60" s="1678"/>
      <c r="B60" s="1681" t="s">
        <v>3287</v>
      </c>
      <c r="E60" s="1690"/>
      <c r="F60" s="1690"/>
      <c r="G60" s="1690"/>
      <c r="H60" s="1690"/>
      <c r="I60" s="1757">
        <f>-M60/1000</f>
        <v>0</v>
      </c>
      <c r="J60" s="1743"/>
      <c r="K60" s="1690">
        <v>633.75</v>
      </c>
      <c r="L60" s="1740"/>
      <c r="M60" s="2257">
        <v>0</v>
      </c>
    </row>
    <row r="61" spans="1:14" s="1624" customFormat="1">
      <c r="A61" s="1678"/>
      <c r="B61" s="2255"/>
      <c r="E61" s="1690"/>
      <c r="F61" s="1690"/>
      <c r="G61" s="1690"/>
      <c r="H61" s="1690"/>
      <c r="I61" s="1757"/>
      <c r="J61" s="1743"/>
      <c r="K61" s="1690"/>
      <c r="L61" s="1740"/>
      <c r="M61" s="2257"/>
      <c r="N61" s="2257"/>
    </row>
    <row r="62" spans="1:14" s="1624" customFormat="1">
      <c r="A62" s="1678"/>
      <c r="B62" s="1675" t="s">
        <v>1870</v>
      </c>
      <c r="E62" s="1690"/>
      <c r="F62" s="1690"/>
      <c r="G62" s="1690"/>
      <c r="H62" s="1690"/>
      <c r="I62" s="1757"/>
      <c r="J62" s="1743"/>
      <c r="K62" s="1690"/>
      <c r="L62" s="1740"/>
      <c r="M62" s="2257"/>
      <c r="N62" s="2257"/>
    </row>
    <row r="63" spans="1:14" s="1624" customFormat="1">
      <c r="A63" s="1678"/>
      <c r="B63" s="1681" t="s">
        <v>3288</v>
      </c>
      <c r="E63" s="1690"/>
      <c r="F63" s="1690"/>
      <c r="G63" s="1690"/>
      <c r="H63" s="1690"/>
      <c r="I63" s="1757">
        <f>M63/1000</f>
        <v>0</v>
      </c>
      <c r="J63" s="1743"/>
      <c r="K63" s="1690">
        <v>0</v>
      </c>
      <c r="L63" s="1740"/>
      <c r="M63" s="2257">
        <v>0</v>
      </c>
      <c r="N63" s="2257"/>
    </row>
    <row r="64" spans="1:14" s="1624" customFormat="1">
      <c r="A64" s="1678"/>
      <c r="B64" s="1681" t="s">
        <v>3289</v>
      </c>
      <c r="E64" s="1690"/>
      <c r="F64" s="1690"/>
      <c r="G64" s="1690"/>
      <c r="H64" s="1690"/>
      <c r="I64" s="1757">
        <f>-M64/1000</f>
        <v>63262.075609999993</v>
      </c>
      <c r="J64" s="1743"/>
      <c r="K64" s="1690">
        <v>0</v>
      </c>
      <c r="L64" s="1740"/>
      <c r="M64" s="2257">
        <v>-63262075.609999992</v>
      </c>
      <c r="N64" s="2257"/>
    </row>
    <row r="65" spans="1:49" s="1624" customFormat="1" ht="10.199999999999999" customHeight="1">
      <c r="A65" s="1678"/>
      <c r="B65" s="1681"/>
      <c r="E65" s="1690"/>
      <c r="F65" s="1690"/>
      <c r="G65" s="1690"/>
      <c r="H65" s="1690"/>
      <c r="I65" s="1757"/>
      <c r="J65" s="1743"/>
      <c r="K65" s="1690"/>
      <c r="N65" s="2257"/>
    </row>
    <row r="66" spans="1:49" s="1624" customFormat="1">
      <c r="A66" s="1678"/>
      <c r="B66" s="1742"/>
      <c r="E66" s="1690"/>
      <c r="F66" s="1690"/>
      <c r="G66" s="1690"/>
      <c r="H66" s="1690"/>
      <c r="I66" s="2318"/>
      <c r="J66" s="2318"/>
      <c r="K66" s="2318"/>
      <c r="N66" s="2257"/>
    </row>
    <row r="67" spans="1:49" s="1624" customFormat="1">
      <c r="A67" s="1734"/>
      <c r="B67" s="1689"/>
      <c r="E67" s="1690"/>
      <c r="F67" s="1690"/>
      <c r="G67" s="1690"/>
      <c r="H67" s="1690"/>
      <c r="I67" s="1450" t="s">
        <v>715</v>
      </c>
      <c r="J67" s="1448"/>
      <c r="K67" s="1450" t="s">
        <v>630</v>
      </c>
      <c r="N67" s="2279"/>
    </row>
    <row r="68" spans="1:49" s="1624" customFormat="1">
      <c r="C68" s="1689"/>
      <c r="D68" s="1689"/>
      <c r="E68" s="1744"/>
      <c r="F68" s="1764"/>
      <c r="G68" s="1764"/>
      <c r="H68" s="1764"/>
      <c r="I68" s="1767" t="s">
        <v>2778</v>
      </c>
      <c r="J68" s="1768"/>
      <c r="K68" s="1767" t="s">
        <v>2496</v>
      </c>
      <c r="N68" s="2257"/>
    </row>
    <row r="69" spans="1:49" s="1624" customFormat="1">
      <c r="A69" s="1918" t="s">
        <v>3180</v>
      </c>
      <c r="B69" s="1689" t="s">
        <v>2589</v>
      </c>
      <c r="E69" s="1745"/>
      <c r="F69" s="1765"/>
      <c r="G69" s="1765"/>
      <c r="H69" s="1765"/>
      <c r="I69" s="1769">
        <v>2021</v>
      </c>
      <c r="J69" s="1770"/>
      <c r="K69" s="1769">
        <v>2021</v>
      </c>
      <c r="N69" s="2258"/>
    </row>
    <row r="70" spans="1:49" s="1624" customFormat="1">
      <c r="E70" s="1737"/>
      <c r="F70" s="1737"/>
      <c r="G70" s="1737"/>
      <c r="H70" s="1737"/>
      <c r="I70" s="2374" t="s">
        <v>2583</v>
      </c>
      <c r="J70" s="2455"/>
      <c r="K70" s="2455"/>
      <c r="L70" s="1689"/>
      <c r="M70" s="1689"/>
      <c r="N70" s="1689"/>
      <c r="O70" s="1689"/>
      <c r="P70" s="1689"/>
      <c r="Q70" s="1689"/>
      <c r="R70" s="1689"/>
      <c r="S70" s="1689"/>
      <c r="T70" s="1689"/>
      <c r="U70" s="1689"/>
      <c r="V70" s="1689"/>
      <c r="W70" s="1689"/>
      <c r="X70" s="1689"/>
      <c r="Y70" s="1689"/>
      <c r="Z70" s="1689"/>
      <c r="AW70" s="2000"/>
    </row>
    <row r="71" spans="1:49" s="1624" customFormat="1">
      <c r="A71" s="1678"/>
      <c r="B71" s="1689" t="s">
        <v>1092</v>
      </c>
      <c r="E71" s="1737"/>
      <c r="F71" s="1737"/>
      <c r="G71" s="1737"/>
      <c r="H71" s="1737"/>
      <c r="I71" s="1737"/>
      <c r="J71" s="1737"/>
      <c r="K71" s="1746"/>
    </row>
    <row r="72" spans="1:49" s="1624" customFormat="1">
      <c r="A72" s="1678"/>
      <c r="B72" s="1624" t="s">
        <v>1074</v>
      </c>
      <c r="C72" s="1737"/>
      <c r="D72" s="1737"/>
      <c r="E72" s="1690"/>
      <c r="F72" s="1690"/>
      <c r="G72" s="1747"/>
      <c r="H72" s="1690"/>
      <c r="I72" s="1757">
        <f>+'TB-31 Dec'!D89</f>
        <v>19992</v>
      </c>
      <c r="J72" s="1737"/>
      <c r="K72" s="1668">
        <v>20619</v>
      </c>
      <c r="Z72" s="1624">
        <v>2977</v>
      </c>
    </row>
    <row r="73" spans="1:49" s="1624" customFormat="1">
      <c r="A73" s="1678"/>
      <c r="B73" s="1624" t="s">
        <v>2590</v>
      </c>
      <c r="C73" s="1737"/>
      <c r="D73" s="1737"/>
      <c r="E73" s="1690"/>
      <c r="F73" s="1690"/>
      <c r="G73" s="1747"/>
      <c r="H73" s="1690"/>
      <c r="I73" s="1757">
        <f>+'TB-31 Dec'!D91</f>
        <v>2599</v>
      </c>
      <c r="J73" s="1737"/>
      <c r="K73" s="1668">
        <v>2681</v>
      </c>
      <c r="Z73" s="1624">
        <v>518</v>
      </c>
    </row>
    <row r="74" spans="1:49" s="1624" customFormat="1">
      <c r="A74" s="1678"/>
      <c r="B74" s="1624" t="s">
        <v>2353</v>
      </c>
      <c r="C74" s="1737"/>
      <c r="D74" s="1737"/>
      <c r="E74" s="1690"/>
      <c r="F74" s="1690"/>
      <c r="G74" s="1747"/>
      <c r="H74" s="1690"/>
      <c r="I74" s="1757">
        <f>+'TB-31 Dec'!D90</f>
        <v>1004</v>
      </c>
      <c r="J74" s="1737"/>
      <c r="K74" s="1668">
        <v>848</v>
      </c>
      <c r="Z74" s="1624">
        <v>2010</v>
      </c>
    </row>
    <row r="75" spans="1:49" s="1624" customFormat="1">
      <c r="A75" s="1678"/>
      <c r="B75" s="1624" t="s">
        <v>2370</v>
      </c>
      <c r="C75" s="1737"/>
      <c r="D75" s="1737"/>
      <c r="E75" s="1690"/>
      <c r="F75" s="1690"/>
      <c r="G75" s="1747"/>
      <c r="H75" s="1690"/>
      <c r="I75" s="1757">
        <f>+'TB-31 Dec'!D123</f>
        <v>999</v>
      </c>
      <c r="J75" s="1737"/>
      <c r="K75" s="1668">
        <v>1031</v>
      </c>
    </row>
    <row r="76" spans="1:49" s="1624" customFormat="1">
      <c r="A76" s="1678"/>
      <c r="B76" s="1624" t="s">
        <v>2354</v>
      </c>
      <c r="C76" s="1737"/>
      <c r="D76" s="1737"/>
      <c r="E76" s="1690"/>
      <c r="F76" s="1690"/>
      <c r="G76" s="1747"/>
      <c r="H76" s="1690"/>
      <c r="I76" s="1757">
        <f>+'TB-31 Dec'!D124</f>
        <v>40872</v>
      </c>
      <c r="J76" s="1737"/>
      <c r="K76" s="1668">
        <v>38437</v>
      </c>
      <c r="Z76" s="1624">
        <v>2698</v>
      </c>
    </row>
    <row r="77" spans="1:49" s="1624" customFormat="1" ht="10.199999999999999" customHeight="1">
      <c r="A77" s="1678"/>
      <c r="B77" s="1681"/>
      <c r="C77" s="1737"/>
      <c r="D77" s="1737"/>
      <c r="E77" s="1690"/>
      <c r="F77" s="1690"/>
      <c r="G77" s="1690"/>
      <c r="H77" s="1690"/>
      <c r="I77" s="1757"/>
      <c r="J77" s="1737"/>
      <c r="K77" s="1748"/>
    </row>
    <row r="78" spans="1:49" s="1624" customFormat="1">
      <c r="A78" s="1678"/>
      <c r="B78" s="1675" t="s">
        <v>2585</v>
      </c>
      <c r="E78" s="1690"/>
      <c r="F78" s="1690"/>
      <c r="G78" s="1690"/>
      <c r="H78" s="1690"/>
      <c r="I78" s="1757"/>
      <c r="J78" s="1737"/>
      <c r="K78" s="1668"/>
    </row>
    <row r="79" spans="1:49" s="1624" customFormat="1">
      <c r="A79" s="1678"/>
      <c r="B79" s="1624" t="s">
        <v>1074</v>
      </c>
      <c r="E79" s="1690"/>
      <c r="F79" s="1690"/>
      <c r="G79" s="1690"/>
      <c r="H79" s="1690"/>
      <c r="I79" s="1757">
        <f>+'TB-31 Dec'!D95</f>
        <v>1082</v>
      </c>
      <c r="J79" s="1737"/>
      <c r="K79" s="1668">
        <v>1113</v>
      </c>
      <c r="Z79" s="1624">
        <v>103</v>
      </c>
    </row>
    <row r="80" spans="1:49" s="1624" customFormat="1">
      <c r="A80" s="1678"/>
      <c r="B80" s="1624" t="s">
        <v>2590</v>
      </c>
      <c r="E80" s="1690"/>
      <c r="F80" s="1690"/>
      <c r="G80" s="1690"/>
      <c r="H80" s="1690"/>
      <c r="I80" s="1757">
        <f>+'TB-31 Dec'!D93</f>
        <v>141</v>
      </c>
      <c r="J80" s="1737"/>
      <c r="K80" s="1668">
        <v>145</v>
      </c>
    </row>
    <row r="81" spans="1:26" s="1624" customFormat="1">
      <c r="A81" s="1678"/>
      <c r="B81" s="1624" t="s">
        <v>506</v>
      </c>
      <c r="E81" s="1690"/>
      <c r="F81" s="1690"/>
      <c r="G81" s="1747"/>
      <c r="H81" s="1690"/>
      <c r="I81" s="1757">
        <f>+'TB-31 Dec'!C54</f>
        <v>500</v>
      </c>
      <c r="J81" s="1737"/>
      <c r="K81" s="1668">
        <v>500</v>
      </c>
    </row>
    <row r="82" spans="1:26" s="1624" customFormat="1" ht="10.199999999999999" customHeight="1">
      <c r="A82" s="1678"/>
      <c r="E82" s="1690"/>
      <c r="F82" s="1690"/>
      <c r="G82" s="1747"/>
      <c r="H82" s="1690"/>
      <c r="I82" s="1757"/>
      <c r="J82" s="1737"/>
      <c r="K82" s="1668"/>
    </row>
    <row r="83" spans="1:26" s="1624" customFormat="1">
      <c r="A83" s="1678"/>
      <c r="B83" s="1675" t="s">
        <v>1037</v>
      </c>
      <c r="E83" s="1690"/>
      <c r="F83" s="1690"/>
      <c r="G83" s="1690"/>
      <c r="H83" s="1690"/>
      <c r="I83" s="1757"/>
      <c r="J83" s="1737"/>
      <c r="K83" s="1668"/>
      <c r="O83" s="1624" t="e">
        <f>'5.2'!#REF!</f>
        <v>#REF!</v>
      </c>
      <c r="P83" s="1624">
        <v>1552000</v>
      </c>
      <c r="Q83" s="1624" t="e">
        <f>P83+O83</f>
        <v>#REF!</v>
      </c>
    </row>
    <row r="84" spans="1:26" s="1624" customFormat="1">
      <c r="A84" s="1678"/>
      <c r="B84" s="1681" t="s">
        <v>1075</v>
      </c>
      <c r="E84" s="1690"/>
      <c r="F84" s="1690"/>
      <c r="G84" s="1690"/>
      <c r="H84" s="1690"/>
      <c r="I84" s="1757">
        <f>+'TB-31 Dec'!C10+'TB-31 Dec'!C11+'TB-31 Dec'!C12+'TB-31 Dec'!C13+'TB-31 Dec'!C20+'TB-31 Dec'!C21+'TB-31 Dec'!C22</f>
        <v>632985</v>
      </c>
      <c r="J84" s="1737"/>
      <c r="K84" s="1668">
        <v>219105</v>
      </c>
      <c r="Z84" s="1749">
        <v>59342</v>
      </c>
    </row>
    <row r="85" spans="1:26" s="1624" customFormat="1">
      <c r="A85" s="1678"/>
      <c r="B85" s="1681" t="s">
        <v>2346</v>
      </c>
      <c r="E85" s="1690"/>
      <c r="F85" s="1690"/>
      <c r="G85" s="1690"/>
      <c r="H85" s="1690"/>
      <c r="I85" s="1757">
        <f>+'TB-31 Dec'!C41+'TB-31 Dec'!C42</f>
        <v>1714</v>
      </c>
      <c r="J85" s="1737"/>
      <c r="K85" s="1668">
        <v>680</v>
      </c>
    </row>
    <row r="86" spans="1:26" s="1624" customFormat="1">
      <c r="A86" s="1678"/>
      <c r="B86" s="1681" t="s">
        <v>1108</v>
      </c>
      <c r="E86" s="1690"/>
      <c r="F86" s="1690"/>
      <c r="G86" s="1690"/>
      <c r="H86" s="1690"/>
      <c r="I86" s="1827">
        <v>0</v>
      </c>
      <c r="J86" s="1737"/>
      <c r="K86" s="1668">
        <v>0</v>
      </c>
      <c r="L86" s="1993"/>
      <c r="M86" s="1993"/>
    </row>
    <row r="87" spans="1:26" s="1624" customFormat="1" ht="14.25" customHeight="1">
      <c r="A87" s="1678"/>
      <c r="B87" s="1681"/>
      <c r="E87" s="1690"/>
      <c r="F87" s="1690"/>
      <c r="G87" s="1690"/>
      <c r="H87" s="1690"/>
      <c r="L87" s="1993"/>
      <c r="M87" s="1993"/>
    </row>
    <row r="88" spans="1:26" s="1624" customFormat="1" hidden="1">
      <c r="A88" s="1920"/>
      <c r="B88" s="1675" t="s">
        <v>2508</v>
      </c>
      <c r="E88" s="1690"/>
      <c r="F88" s="1690"/>
      <c r="G88" s="1690"/>
      <c r="H88" s="1690"/>
      <c r="I88" s="1757"/>
      <c r="J88" s="1737"/>
      <c r="K88" s="1668"/>
    </row>
    <row r="89" spans="1:26" s="1624" customFormat="1" hidden="1">
      <c r="A89" s="1920"/>
      <c r="B89" s="1681" t="s">
        <v>1075</v>
      </c>
      <c r="E89" s="1690"/>
      <c r="F89" s="1690"/>
      <c r="G89" s="1690"/>
      <c r="H89" s="1690"/>
      <c r="I89" s="1757">
        <v>2925.0478700000003</v>
      </c>
      <c r="J89" s="1737"/>
      <c r="K89" s="1668">
        <v>22730.396000000001</v>
      </c>
      <c r="Z89" s="1740"/>
    </row>
    <row r="90" spans="1:26" s="1624" customFormat="1" hidden="1">
      <c r="A90" s="1920"/>
      <c r="B90" s="1681" t="s">
        <v>2346</v>
      </c>
      <c r="E90" s="1690"/>
      <c r="F90" s="1690"/>
      <c r="G90" s="1690"/>
      <c r="H90" s="1690"/>
      <c r="I90" s="1757">
        <v>228.57814999999999</v>
      </c>
      <c r="J90" s="1737"/>
      <c r="K90" s="1668">
        <v>1543.9580000000001</v>
      </c>
    </row>
    <row r="91" spans="1:26" s="1624" customFormat="1" hidden="1">
      <c r="A91" s="1920"/>
      <c r="B91" s="1675"/>
      <c r="E91" s="1690"/>
      <c r="F91" s="1690"/>
      <c r="G91" s="1690"/>
      <c r="H91" s="1690"/>
      <c r="I91" s="1757"/>
      <c r="J91" s="1737"/>
      <c r="K91" s="1668"/>
    </row>
    <row r="92" spans="1:26" s="1624" customFormat="1" hidden="1">
      <c r="A92" s="1920"/>
      <c r="B92" s="1675" t="s">
        <v>2508</v>
      </c>
      <c r="E92" s="1690"/>
      <c r="F92" s="1690"/>
      <c r="G92" s="1690"/>
      <c r="H92" s="1690"/>
      <c r="I92" s="1757"/>
      <c r="J92" s="1737"/>
      <c r="K92" s="1668"/>
    </row>
    <row r="93" spans="1:26" s="1624" customFormat="1" hidden="1">
      <c r="A93" s="1920"/>
      <c r="B93" s="1681" t="s">
        <v>2780</v>
      </c>
      <c r="E93" s="1690"/>
      <c r="F93" s="1690"/>
      <c r="G93" s="1690"/>
      <c r="H93" s="1690"/>
      <c r="I93" s="1757">
        <f>+'TB-31 Dec'!C28</f>
        <v>14</v>
      </c>
      <c r="J93" s="1737"/>
      <c r="K93" s="1668">
        <v>3584</v>
      </c>
    </row>
    <row r="94" spans="1:26" s="1624" customFormat="1" hidden="1">
      <c r="A94" s="1920"/>
      <c r="B94" s="1681" t="s">
        <v>2346</v>
      </c>
      <c r="E94" s="1690"/>
      <c r="F94" s="1690"/>
      <c r="G94" s="1690"/>
      <c r="H94" s="1690"/>
      <c r="I94" s="1757">
        <f>+'TB-31 Dec'!C46</f>
        <v>0</v>
      </c>
      <c r="J94" s="1737"/>
      <c r="K94" s="1668">
        <v>551</v>
      </c>
    </row>
    <row r="95" spans="1:26" s="1624" customFormat="1" hidden="1">
      <c r="A95" s="1920"/>
      <c r="B95" s="1675"/>
      <c r="E95" s="1690"/>
      <c r="F95" s="1690"/>
      <c r="G95" s="1690"/>
      <c r="H95" s="1690"/>
      <c r="I95" s="1757"/>
      <c r="J95" s="1737"/>
      <c r="K95" s="1668"/>
    </row>
    <row r="96" spans="1:26" s="1624" customFormat="1">
      <c r="A96" s="1920"/>
      <c r="B96" s="1675" t="s">
        <v>1037</v>
      </c>
      <c r="E96" s="1690"/>
      <c r="F96" s="1690"/>
      <c r="G96" s="1690"/>
      <c r="H96" s="1690"/>
      <c r="I96" s="1757"/>
      <c r="J96" s="1737"/>
      <c r="K96" s="1668"/>
    </row>
    <row r="97" spans="1:12" s="1624" customFormat="1">
      <c r="A97" s="1920"/>
      <c r="B97" s="1681" t="s">
        <v>3329</v>
      </c>
      <c r="E97" s="1690"/>
      <c r="F97" s="1690"/>
      <c r="G97" s="1690"/>
      <c r="H97" s="1690"/>
      <c r="I97" s="1757">
        <f>'5-5.1.1'!I51</f>
        <v>127.333</v>
      </c>
      <c r="K97" s="1668">
        <v>0</v>
      </c>
      <c r="L97" s="1740"/>
    </row>
    <row r="98" spans="1:12" s="1624" customFormat="1" ht="10.199999999999999" customHeight="1">
      <c r="A98" s="1678"/>
      <c r="B98" s="1681"/>
      <c r="E98" s="1690"/>
      <c r="F98" s="1690"/>
      <c r="G98" s="1690"/>
      <c r="H98" s="1690"/>
    </row>
    <row r="99" spans="1:12" s="1624" customFormat="1">
      <c r="A99" s="1920"/>
      <c r="B99" s="1675" t="s">
        <v>2922</v>
      </c>
      <c r="E99" s="1690"/>
      <c r="F99" s="1690"/>
      <c r="G99" s="1690"/>
      <c r="H99" s="1690"/>
      <c r="I99" s="1757"/>
      <c r="J99" s="1737"/>
      <c r="K99" s="1668"/>
      <c r="L99" s="1740"/>
    </row>
    <row r="100" spans="1:12" s="1624" customFormat="1">
      <c r="A100" s="1920"/>
      <c r="B100" s="1681" t="s">
        <v>3206</v>
      </c>
      <c r="E100" s="1690"/>
      <c r="F100" s="1690"/>
      <c r="G100" s="1690"/>
      <c r="H100" s="1690"/>
      <c r="I100" s="1757">
        <f>'5-5.1.1'!I81</f>
        <v>36476.47</v>
      </c>
      <c r="J100" s="1737"/>
      <c r="K100" s="1668">
        <v>42901</v>
      </c>
      <c r="L100" s="1740"/>
    </row>
    <row r="101" spans="1:12" s="1624" customFormat="1" ht="10.199999999999999" customHeight="1">
      <c r="A101" s="1678"/>
      <c r="B101" s="1681"/>
      <c r="E101" s="1690"/>
      <c r="F101" s="1690"/>
      <c r="G101" s="1690"/>
      <c r="H101" s="1690"/>
    </row>
    <row r="102" spans="1:12" s="1624" customFormat="1">
      <c r="A102" s="1920"/>
      <c r="B102" s="1675" t="s">
        <v>2941</v>
      </c>
      <c r="E102" s="1690"/>
      <c r="F102" s="1690"/>
      <c r="G102" s="1690"/>
      <c r="H102" s="1690"/>
      <c r="I102" s="1757"/>
      <c r="J102" s="1737"/>
      <c r="K102" s="1668"/>
      <c r="L102" s="1740"/>
    </row>
    <row r="103" spans="1:12" s="1624" customFormat="1">
      <c r="A103" s="1920"/>
      <c r="B103" s="1681" t="s">
        <v>3268</v>
      </c>
      <c r="E103" s="1690"/>
      <c r="F103" s="1690"/>
      <c r="G103" s="1690"/>
      <c r="H103" s="1690"/>
      <c r="I103" s="1757">
        <f>'5-5.1.1'!I58</f>
        <v>21850.5</v>
      </c>
      <c r="J103" s="1737"/>
      <c r="K103" s="1668">
        <v>109330</v>
      </c>
      <c r="L103" s="1740"/>
    </row>
    <row r="104" spans="1:12" s="1624" customFormat="1" ht="10.199999999999999" customHeight="1">
      <c r="A104" s="1678"/>
      <c r="B104" s="1681"/>
      <c r="E104" s="1690"/>
      <c r="F104" s="1690"/>
      <c r="G104" s="1690"/>
      <c r="H104" s="1690"/>
    </row>
    <row r="105" spans="1:12" s="1624" customFormat="1">
      <c r="A105" s="1920"/>
      <c r="B105" s="1675" t="s">
        <v>1077</v>
      </c>
      <c r="E105" s="1690"/>
      <c r="F105" s="1690"/>
      <c r="G105" s="1690"/>
      <c r="H105" s="1690"/>
      <c r="I105" s="1757"/>
      <c r="J105" s="1737"/>
      <c r="K105" s="1668"/>
      <c r="L105" s="1740"/>
    </row>
    <row r="106" spans="1:12" s="1624" customFormat="1">
      <c r="A106" s="1920"/>
      <c r="B106" s="1681" t="s">
        <v>3269</v>
      </c>
      <c r="E106" s="1690"/>
      <c r="F106" s="1690"/>
      <c r="G106" s="1690"/>
      <c r="H106" s="1690"/>
      <c r="I106" s="1757">
        <f>'5-5.1.1'!I85</f>
        <v>0</v>
      </c>
      <c r="J106" s="1737"/>
      <c r="K106" s="1668">
        <v>5516</v>
      </c>
      <c r="L106" s="1740"/>
    </row>
    <row r="107" spans="1:12" s="1624" customFormat="1" ht="10.199999999999999" customHeight="1">
      <c r="A107" s="1678"/>
      <c r="B107" s="1681"/>
      <c r="E107" s="1690"/>
      <c r="F107" s="1690"/>
      <c r="G107" s="1690"/>
      <c r="H107" s="1690"/>
    </row>
    <row r="108" spans="1:12" s="1624" customFormat="1">
      <c r="A108" s="1920"/>
      <c r="B108" s="1675" t="s">
        <v>481</v>
      </c>
      <c r="E108" s="1690"/>
      <c r="F108" s="1690"/>
      <c r="G108" s="1690"/>
      <c r="H108" s="1690"/>
      <c r="I108" s="1757"/>
      <c r="J108" s="1737"/>
      <c r="K108" s="1668"/>
      <c r="L108" s="1740"/>
    </row>
    <row r="109" spans="1:12" s="1624" customFormat="1">
      <c r="A109" s="1920"/>
      <c r="B109" s="1681" t="s">
        <v>3270</v>
      </c>
      <c r="E109" s="1690"/>
      <c r="F109" s="1690"/>
      <c r="G109" s="1690"/>
      <c r="H109" s="1690"/>
      <c r="I109" s="1757">
        <f>'5-5.1.1'!I28</f>
        <v>116088.829</v>
      </c>
      <c r="J109" s="1737"/>
      <c r="K109" s="1668">
        <v>218327</v>
      </c>
      <c r="L109" s="1740"/>
    </row>
    <row r="110" spans="1:12" s="1624" customFormat="1" ht="10.199999999999999" customHeight="1">
      <c r="A110" s="1678"/>
      <c r="B110" s="1681"/>
      <c r="E110" s="1690"/>
      <c r="F110" s="1690"/>
      <c r="G110" s="1690"/>
      <c r="H110" s="1690"/>
    </row>
    <row r="111" spans="1:12" s="1624" customFormat="1">
      <c r="A111" s="1920"/>
      <c r="B111" s="1675" t="s">
        <v>576</v>
      </c>
      <c r="E111" s="1690"/>
      <c r="F111" s="1690"/>
      <c r="G111" s="1690"/>
      <c r="H111" s="1690"/>
      <c r="I111" s="1757"/>
      <c r="J111" s="1737"/>
      <c r="K111" s="1668"/>
    </row>
    <row r="112" spans="1:12" s="1624" customFormat="1">
      <c r="A112" s="1920"/>
      <c r="B112" s="1681" t="s">
        <v>3310</v>
      </c>
      <c r="E112" s="1690"/>
      <c r="F112" s="1690"/>
      <c r="G112" s="1690"/>
      <c r="H112" s="1690"/>
      <c r="I112" s="1757">
        <f>29529500/1000</f>
        <v>29529.5</v>
      </c>
      <c r="J112" s="1737"/>
      <c r="K112" s="1668">
        <v>0</v>
      </c>
    </row>
    <row r="113" spans="1:15" s="1624" customFormat="1" ht="10.199999999999999" customHeight="1">
      <c r="A113" s="1678"/>
      <c r="B113" s="1681"/>
      <c r="E113" s="1690"/>
      <c r="F113" s="1690"/>
      <c r="G113" s="1690"/>
      <c r="H113" s="1690"/>
    </row>
    <row r="114" spans="1:15" s="1624" customFormat="1">
      <c r="A114" s="1920"/>
      <c r="B114" s="1675" t="s">
        <v>1073</v>
      </c>
      <c r="E114" s="1690"/>
      <c r="F114" s="1690"/>
      <c r="G114" s="1690"/>
      <c r="H114" s="1690"/>
      <c r="I114" s="1757"/>
      <c r="J114" s="1737"/>
      <c r="K114" s="1668"/>
    </row>
    <row r="115" spans="1:15" s="1624" customFormat="1">
      <c r="A115" s="1920"/>
      <c r="B115" s="1681" t="s">
        <v>3311</v>
      </c>
      <c r="E115" s="1690"/>
      <c r="F115" s="1690"/>
      <c r="G115" s="1690"/>
      <c r="H115" s="1690"/>
      <c r="I115" s="1757">
        <f>94088000/1000</f>
        <v>94088</v>
      </c>
      <c r="J115" s="1737"/>
      <c r="K115" s="1668">
        <v>0</v>
      </c>
    </row>
    <row r="116" spans="1:15" s="1624" customFormat="1" ht="10.199999999999999" customHeight="1">
      <c r="A116" s="1678"/>
      <c r="B116" s="1681"/>
      <c r="E116" s="1690"/>
      <c r="F116" s="1690"/>
      <c r="G116" s="1690"/>
      <c r="H116" s="1690"/>
    </row>
    <row r="117" spans="1:15" s="1624" customFormat="1">
      <c r="A117" s="1678"/>
      <c r="B117" s="1675" t="s">
        <v>339</v>
      </c>
      <c r="E117" s="1690"/>
      <c r="F117" s="1690"/>
      <c r="G117" s="1690"/>
      <c r="H117" s="1690"/>
    </row>
    <row r="118" spans="1:15" s="1624" customFormat="1">
      <c r="A118" s="1678"/>
      <c r="B118" s="1681" t="s">
        <v>3271</v>
      </c>
      <c r="E118" s="1690"/>
      <c r="F118" s="1690"/>
      <c r="G118" s="1690"/>
      <c r="H118" s="1690"/>
      <c r="I118" s="2277">
        <f>'5-5.1.1'!I128</f>
        <v>89511.45</v>
      </c>
      <c r="K118" s="1668">
        <v>128637</v>
      </c>
    </row>
    <row r="119" spans="1:15" s="1624" customFormat="1" ht="10.199999999999999" customHeight="1">
      <c r="A119" s="1678"/>
      <c r="B119" s="1681"/>
      <c r="E119" s="1690"/>
      <c r="F119" s="1690"/>
      <c r="G119" s="1690"/>
      <c r="H119" s="1690"/>
    </row>
    <row r="120" spans="1:15" s="1624" customFormat="1">
      <c r="A120" s="1678"/>
      <c r="B120" s="1675" t="s">
        <v>1056</v>
      </c>
      <c r="E120" s="1690"/>
      <c r="F120" s="1690"/>
      <c r="G120" s="1690"/>
      <c r="H120" s="1690"/>
    </row>
    <row r="121" spans="1:15" s="1624" customFormat="1">
      <c r="A121" s="1678"/>
      <c r="B121" s="1681" t="s">
        <v>3272</v>
      </c>
      <c r="E121" s="1690"/>
      <c r="F121" s="1690"/>
      <c r="G121" s="1690"/>
      <c r="H121" s="1690"/>
      <c r="I121" s="2277">
        <f>'5-5.1.1'!I129</f>
        <v>33246.480000000003</v>
      </c>
      <c r="K121" s="1668">
        <v>19041</v>
      </c>
    </row>
    <row r="122" spans="1:15" s="1624" customFormat="1" ht="10.199999999999999" customHeight="1">
      <c r="A122" s="1678"/>
      <c r="B122" s="1681"/>
      <c r="E122" s="1690"/>
      <c r="F122" s="1690"/>
      <c r="G122" s="1690"/>
      <c r="H122" s="1690"/>
    </row>
    <row r="123" spans="1:15" s="1624" customFormat="1">
      <c r="A123" s="1920"/>
      <c r="B123" s="1675" t="s">
        <v>1870</v>
      </c>
      <c r="E123" s="1690"/>
      <c r="F123" s="1690"/>
      <c r="G123" s="1690"/>
      <c r="H123" s="1690"/>
      <c r="I123" s="1757"/>
      <c r="J123" s="1737"/>
      <c r="K123" s="1668"/>
    </row>
    <row r="124" spans="1:15" s="1624" customFormat="1">
      <c r="A124" s="1920"/>
      <c r="B124" s="1681" t="s">
        <v>3273</v>
      </c>
      <c r="E124" s="1690"/>
      <c r="F124" s="1690"/>
      <c r="G124" s="1690"/>
      <c r="H124" s="1690"/>
      <c r="I124" s="1757">
        <f>'5-5.1.1'!I34</f>
        <v>3.37</v>
      </c>
      <c r="J124" s="1737"/>
      <c r="K124" s="1668">
        <v>69125</v>
      </c>
    </row>
    <row r="125" spans="1:15" s="1624" customFormat="1" ht="10.199999999999999" customHeight="1">
      <c r="A125" s="1678"/>
      <c r="B125" s="1681"/>
      <c r="E125" s="1690"/>
      <c r="F125" s="1690"/>
      <c r="G125" s="1690"/>
      <c r="H125" s="1690"/>
    </row>
    <row r="126" spans="1:15" s="1624" customFormat="1">
      <c r="A126" s="1678"/>
      <c r="B126" s="1675" t="s">
        <v>2591</v>
      </c>
      <c r="E126" s="1690"/>
      <c r="F126" s="1690"/>
      <c r="G126" s="1750"/>
      <c r="H126" s="1690"/>
      <c r="I126" s="1757"/>
      <c r="J126" s="1731"/>
      <c r="K126" s="1668"/>
      <c r="M126" s="1767"/>
      <c r="N126" s="1768"/>
      <c r="O126" s="1767"/>
    </row>
    <row r="127" spans="1:15" s="1624" customFormat="1">
      <c r="A127" s="1678"/>
      <c r="B127" s="1681" t="s">
        <v>2604</v>
      </c>
      <c r="E127" s="1690"/>
      <c r="F127" s="1690"/>
      <c r="G127" s="1750"/>
      <c r="H127" s="1690"/>
      <c r="I127" s="2278">
        <f>277147/1000</f>
        <v>277.14699999999999</v>
      </c>
      <c r="J127" s="1731"/>
      <c r="K127" s="1668">
        <v>776</v>
      </c>
      <c r="M127" s="1769"/>
      <c r="N127" s="1770"/>
      <c r="O127" s="1769"/>
    </row>
    <row r="128" spans="1:15" s="1624" customFormat="1" ht="10.199999999999999" customHeight="1">
      <c r="A128" s="1678"/>
      <c r="B128" s="1675"/>
      <c r="E128" s="1690"/>
      <c r="F128" s="1690"/>
      <c r="G128" s="1750"/>
      <c r="H128" s="1690"/>
      <c r="I128" s="1757"/>
      <c r="J128" s="1731"/>
      <c r="K128" s="1668"/>
      <c r="M128" s="1450"/>
      <c r="N128" s="1448"/>
      <c r="O128" s="1450"/>
    </row>
    <row r="129" spans="1:26" s="1624" customFormat="1" ht="15" customHeight="1">
      <c r="A129" s="1678"/>
      <c r="B129" s="2430" t="s">
        <v>2840</v>
      </c>
      <c r="C129" s="2430"/>
      <c r="D129" s="2430"/>
      <c r="E129" s="2430"/>
      <c r="F129" s="2430"/>
      <c r="G129" s="2430"/>
      <c r="H129" s="2430"/>
      <c r="I129" s="2430"/>
      <c r="J129" s="2430"/>
      <c r="K129" s="2430"/>
    </row>
    <row r="130" spans="1:26" s="1624" customFormat="1" ht="14.25" customHeight="1">
      <c r="A130" s="2001"/>
      <c r="B130" s="2430"/>
      <c r="C130" s="2430"/>
      <c r="D130" s="2430"/>
      <c r="E130" s="2430"/>
      <c r="F130" s="2430"/>
      <c r="G130" s="2430"/>
      <c r="H130" s="2430"/>
      <c r="I130" s="2430"/>
      <c r="J130" s="2430"/>
      <c r="K130" s="2430"/>
    </row>
    <row r="131" spans="1:26" s="1624" customFormat="1">
      <c r="A131" s="2001"/>
      <c r="B131" s="2430"/>
      <c r="C131" s="2430"/>
      <c r="D131" s="2430"/>
      <c r="E131" s="2430"/>
      <c r="F131" s="2430"/>
      <c r="G131" s="2430"/>
      <c r="H131" s="2430"/>
      <c r="I131" s="2430"/>
      <c r="J131" s="2430"/>
      <c r="K131" s="2430"/>
    </row>
    <row r="132" spans="1:26" s="1624" customFormat="1">
      <c r="B132" s="1736"/>
      <c r="E132" s="1690"/>
      <c r="F132" s="1690"/>
      <c r="G132" s="1690"/>
      <c r="H132" s="1690"/>
      <c r="I132" s="1690"/>
      <c r="K132" s="1690"/>
      <c r="Z132" s="1690"/>
    </row>
  </sheetData>
  <mergeCells count="6">
    <mergeCell ref="I1:K2"/>
    <mergeCell ref="B129:K131"/>
    <mergeCell ref="I70:K70"/>
    <mergeCell ref="I5:K5"/>
    <mergeCell ref="I3:K3"/>
    <mergeCell ref="I66:K66"/>
  </mergeCells>
  <phoneticPr fontId="39" type="noConversion"/>
  <pageMargins left="0.75" right="0.25" top="0.75" bottom="0" header="0.25" footer="0"/>
  <pageSetup paperSize="9" scale="87" firstPageNumber="15" fitToHeight="0" orientation="portrait" useFirstPageNumber="1" r:id="rId1"/>
  <headerFooter>
    <oddHeader>&amp;C&amp;"Arial Black,Regular"&amp;11&amp;P&amp;R&amp;"Arial Black,Regular"&amp;11MCB PAKISTAN STOCK MARKET FUND</oddHeader>
  </headerFooter>
  <rowBreaks count="2" manualBreakCount="2">
    <brk id="65" max="10" man="1"/>
    <brk id="131" max="10"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100"/>
  <sheetViews>
    <sheetView showGridLines="0" view="pageBreakPreview" zoomScale="120" zoomScaleSheetLayoutView="120" workbookViewId="0">
      <selection activeCell="F1" sqref="F1"/>
    </sheetView>
  </sheetViews>
  <sheetFormatPr defaultColWidth="9" defaultRowHeight="10.199999999999999"/>
  <cols>
    <col min="1" max="1" width="5.09765625" style="317" customWidth="1"/>
    <col min="2" max="2" width="3.59765625" style="317" customWidth="1"/>
    <col min="3" max="3" width="26.19921875" style="317" customWidth="1"/>
    <col min="4" max="4" width="3.69921875" style="317" customWidth="1"/>
    <col min="5" max="5" width="5.5" style="317" customWidth="1"/>
    <col min="6" max="6" width="6.69921875" style="317" customWidth="1"/>
    <col min="7" max="7" width="5.5" style="317" customWidth="1"/>
    <col min="8" max="8" width="5.69921875" style="317" customWidth="1"/>
    <col min="9" max="9" width="0.59765625" style="317" customWidth="1"/>
    <col min="10" max="10" width="5.5" style="317" customWidth="1"/>
    <col min="11" max="11" width="6.69921875" style="317" customWidth="1"/>
    <col min="12" max="12" width="5.5" style="317" customWidth="1"/>
    <col min="13" max="13" width="5.59765625" style="317" customWidth="1"/>
    <col min="14" max="16" width="10" style="317" customWidth="1"/>
    <col min="17" max="17" width="10.09765625" style="317" customWidth="1"/>
    <col min="18" max="18" width="1.59765625" style="317" customWidth="1"/>
    <col min="19" max="19" width="10.19921875" style="317" customWidth="1"/>
    <col min="20" max="20" width="1" style="317" customWidth="1"/>
    <col min="21" max="21" width="8.19921875" style="317" hidden="1" customWidth="1"/>
    <col min="22" max="22" width="1" style="317" hidden="1" customWidth="1"/>
    <col min="23" max="23" width="8.59765625" style="317" hidden="1" customWidth="1"/>
    <col min="24" max="24" width="8.59765625" style="317" customWidth="1"/>
    <col min="25" max="25" width="13.19921875" style="317" customWidth="1"/>
    <col min="26" max="26" width="14.5" style="317" bestFit="1" customWidth="1"/>
    <col min="27" max="27" width="9" style="317"/>
    <col min="28" max="28" width="9.69921875" style="317" bestFit="1" customWidth="1"/>
    <col min="29" max="30" width="9" style="317"/>
    <col min="31" max="31" width="9.5" style="317" bestFit="1" customWidth="1"/>
    <col min="32" max="16384" width="9" style="317"/>
  </cols>
  <sheetData>
    <row r="1" spans="1:32">
      <c r="A1" s="1197" t="str">
        <f>BS!$A$1</f>
        <v>MCB PAKISTAN STOCK MARKET FUND</v>
      </c>
      <c r="B1" s="1198"/>
      <c r="C1" s="1198"/>
      <c r="D1" s="213"/>
      <c r="E1" s="213"/>
      <c r="F1" s="213"/>
      <c r="G1" s="213"/>
      <c r="H1" s="213"/>
      <c r="I1" s="213"/>
      <c r="J1" s="213"/>
      <c r="K1" s="213"/>
      <c r="L1" s="213"/>
      <c r="M1" s="213"/>
      <c r="N1" s="213"/>
      <c r="O1" s="213"/>
      <c r="P1" s="213"/>
      <c r="Q1" s="213"/>
      <c r="R1" s="213"/>
      <c r="S1" s="213"/>
      <c r="T1" s="213"/>
      <c r="U1" s="213"/>
      <c r="W1" s="213"/>
      <c r="X1" s="213"/>
      <c r="Y1" s="1093"/>
    </row>
    <row r="2" spans="1:32">
      <c r="A2" s="213" t="s">
        <v>725</v>
      </c>
      <c r="B2" s="213"/>
      <c r="C2" s="213"/>
      <c r="D2" s="213"/>
      <c r="E2" s="213"/>
      <c r="F2" s="213"/>
      <c r="G2" s="213"/>
      <c r="H2" s="213"/>
      <c r="I2" s="213"/>
      <c r="J2" s="213"/>
      <c r="K2" s="213"/>
      <c r="L2" s="213"/>
      <c r="M2" s="213"/>
      <c r="N2" s="213" t="s">
        <v>2402</v>
      </c>
      <c r="O2" s="1093">
        <f>K10</f>
        <v>2990795</v>
      </c>
      <c r="P2" s="213"/>
      <c r="Q2" s="213"/>
      <c r="R2" s="213"/>
      <c r="S2" s="213"/>
      <c r="T2" s="213"/>
      <c r="U2" s="213"/>
      <c r="W2" s="213"/>
      <c r="X2" s="1094">
        <v>38728225</v>
      </c>
      <c r="Y2" s="317">
        <v>3707789</v>
      </c>
    </row>
    <row r="3" spans="1:32">
      <c r="A3" s="213" t="s">
        <v>2448</v>
      </c>
      <c r="B3" s="213"/>
      <c r="C3" s="213"/>
      <c r="D3" s="213"/>
      <c r="E3" s="213"/>
      <c r="F3" s="213"/>
      <c r="G3" s="213"/>
      <c r="H3" s="213"/>
      <c r="I3" s="213"/>
      <c r="J3" s="213"/>
      <c r="K3" s="213"/>
      <c r="L3" s="213"/>
      <c r="M3" s="213"/>
      <c r="N3" s="213" t="s">
        <v>2403</v>
      </c>
      <c r="O3" s="1113">
        <f>2456629</f>
        <v>2456629</v>
      </c>
      <c r="P3" s="213"/>
      <c r="Q3" s="213"/>
      <c r="R3" s="213"/>
      <c r="S3" s="213"/>
      <c r="T3" s="213"/>
      <c r="U3" s="213"/>
      <c r="W3" s="213"/>
      <c r="X3" s="952">
        <f>X2*BS!H40/1000</f>
        <v>4013382.5766752209</v>
      </c>
      <c r="Y3" s="213"/>
      <c r="Z3" s="975">
        <v>22923854</v>
      </c>
      <c r="AA3" s="975">
        <f>Y3-Z3</f>
        <v>-22923854</v>
      </c>
    </row>
    <row r="4" spans="1:32">
      <c r="A4" s="213"/>
      <c r="B4" s="213"/>
      <c r="C4" s="213"/>
      <c r="D4" s="213"/>
      <c r="E4" s="213"/>
      <c r="F4" s="213"/>
      <c r="G4" s="213"/>
      <c r="H4" s="213"/>
      <c r="I4" s="213"/>
      <c r="J4" s="213"/>
      <c r="K4" s="213"/>
      <c r="L4" s="213"/>
      <c r="M4" s="213"/>
      <c r="N4" s="213" t="s">
        <v>2404</v>
      </c>
      <c r="O4" s="1093">
        <v>-967094</v>
      </c>
      <c r="P4" s="213"/>
      <c r="Q4" s="2320" t="s">
        <v>704</v>
      </c>
      <c r="R4" s="2320"/>
      <c r="S4" s="2320"/>
      <c r="T4" s="1089"/>
      <c r="U4" s="2320" t="s">
        <v>705</v>
      </c>
      <c r="V4" s="2320"/>
      <c r="W4" s="2320"/>
      <c r="X4" s="213"/>
      <c r="Y4" s="1089"/>
      <c r="Z4" s="975">
        <v>42550240</v>
      </c>
    </row>
    <row r="5" spans="1:32" s="985" customFormat="1" ht="10.8">
      <c r="A5" s="990"/>
      <c r="B5" s="990"/>
      <c r="C5" s="990"/>
      <c r="D5" s="990"/>
      <c r="E5" s="2458" t="s">
        <v>2385</v>
      </c>
      <c r="F5" s="2459"/>
      <c r="G5" s="2459"/>
      <c r="H5" s="2460"/>
      <c r="I5" s="1114"/>
      <c r="J5" s="2458" t="s">
        <v>2385</v>
      </c>
      <c r="K5" s="2459"/>
      <c r="L5" s="2459"/>
      <c r="M5" s="2460"/>
      <c r="N5" s="1114"/>
      <c r="O5" s="1115">
        <f>SUM(O2:O4)</f>
        <v>4480330</v>
      </c>
      <c r="P5" s="1114"/>
      <c r="Q5" s="2456" t="s">
        <v>622</v>
      </c>
      <c r="R5" s="2456"/>
      <c r="S5" s="2456"/>
      <c r="T5" s="1116"/>
      <c r="U5" s="2456" t="s">
        <v>622</v>
      </c>
      <c r="V5" s="2456"/>
      <c r="W5" s="2456"/>
      <c r="X5" s="1116"/>
      <c r="Y5" s="1116" t="s">
        <v>624</v>
      </c>
      <c r="Z5" s="1117">
        <f>Z4/1000*S86</f>
        <v>3705755.0309877428</v>
      </c>
      <c r="AB5" s="1118">
        <v>42503625</v>
      </c>
    </row>
    <row r="6" spans="1:32" s="985" customFormat="1" ht="10.8">
      <c r="A6" s="990"/>
      <c r="B6" s="990"/>
      <c r="C6" s="990"/>
      <c r="D6" s="990"/>
      <c r="E6" s="2461">
        <v>2018</v>
      </c>
      <c r="F6" s="2462"/>
      <c r="G6" s="2462"/>
      <c r="H6" s="2463"/>
      <c r="I6" s="1114"/>
      <c r="J6" s="2461">
        <v>2017</v>
      </c>
      <c r="K6" s="2462"/>
      <c r="L6" s="2462"/>
      <c r="M6" s="2463"/>
      <c r="N6" s="1114"/>
      <c r="O6" s="1114"/>
      <c r="P6" s="1114"/>
      <c r="Q6" s="1116" t="s">
        <v>1158</v>
      </c>
      <c r="R6" s="1116"/>
      <c r="S6" s="1116" t="s">
        <v>989</v>
      </c>
      <c r="T6" s="1116"/>
      <c r="U6" s="1116" t="s">
        <v>1158</v>
      </c>
      <c r="V6" s="1116"/>
      <c r="W6" s="1116" t="s">
        <v>989</v>
      </c>
      <c r="X6" s="1116"/>
      <c r="Y6" s="1116" t="s">
        <v>989</v>
      </c>
      <c r="AB6" s="985">
        <f>AB5/1000*BS!H40</f>
        <v>4404624.9994813176</v>
      </c>
    </row>
    <row r="7" spans="1:32" s="985" customFormat="1" ht="10.8">
      <c r="A7" s="990"/>
      <c r="B7" s="990"/>
      <c r="C7" s="990"/>
      <c r="D7" s="990"/>
      <c r="E7" s="2464" t="s">
        <v>2386</v>
      </c>
      <c r="F7" s="2464"/>
      <c r="G7" s="2464"/>
      <c r="H7" s="2464"/>
      <c r="I7" s="1119"/>
      <c r="J7" s="2464" t="s">
        <v>2386</v>
      </c>
      <c r="K7" s="2464"/>
      <c r="L7" s="2464"/>
      <c r="M7" s="2464"/>
      <c r="N7" s="1119" t="s">
        <v>2405</v>
      </c>
      <c r="O7" s="1120">
        <v>616069</v>
      </c>
      <c r="P7" s="1119"/>
      <c r="Q7" s="2457" t="s">
        <v>1068</v>
      </c>
      <c r="R7" s="2457"/>
      <c r="S7" s="2457"/>
      <c r="T7" s="2457"/>
      <c r="U7" s="2457" t="s">
        <v>1068</v>
      </c>
      <c r="V7" s="2457"/>
      <c r="W7" s="2457"/>
      <c r="X7" s="2457"/>
      <c r="Y7" s="1121"/>
    </row>
    <row r="8" spans="1:32" s="985" customFormat="1" ht="64.8">
      <c r="A8" s="990"/>
      <c r="B8" s="990"/>
      <c r="C8" s="990"/>
      <c r="D8" s="1193"/>
      <c r="E8" s="1122" t="s">
        <v>2387</v>
      </c>
      <c r="F8" s="1122" t="s">
        <v>2388</v>
      </c>
      <c r="G8" s="1122" t="s">
        <v>2443</v>
      </c>
      <c r="H8" s="1122" t="s">
        <v>44</v>
      </c>
      <c r="I8" s="1123"/>
      <c r="J8" s="1122" t="s">
        <v>2387</v>
      </c>
      <c r="K8" s="1122" t="s">
        <v>2388</v>
      </c>
      <c r="L8" s="1122" t="s">
        <v>2443</v>
      </c>
      <c r="M8" s="1122" t="s">
        <v>44</v>
      </c>
      <c r="N8" s="1119" t="s">
        <v>2406</v>
      </c>
      <c r="O8" s="1120">
        <v>423508</v>
      </c>
      <c r="P8" s="1123"/>
      <c r="Q8" s="1124"/>
      <c r="R8" s="1124"/>
      <c r="S8" s="1124"/>
      <c r="T8" s="1124"/>
      <c r="U8" s="1124"/>
      <c r="W8" s="1124"/>
      <c r="X8" s="1124"/>
      <c r="Y8" s="1124"/>
    </row>
    <row r="9" spans="1:32" s="985" customFormat="1" ht="10.8">
      <c r="A9" s="990"/>
      <c r="B9" s="990"/>
      <c r="C9" s="990"/>
      <c r="D9" s="990"/>
      <c r="E9" s="1123"/>
      <c r="F9" s="1123"/>
      <c r="G9" s="1123"/>
      <c r="H9" s="1123"/>
      <c r="I9" s="1123"/>
      <c r="J9" s="1123"/>
      <c r="K9" s="1123"/>
      <c r="L9" s="1123"/>
      <c r="M9" s="1123"/>
      <c r="N9" s="1123"/>
      <c r="O9" s="1123"/>
      <c r="P9" s="1123"/>
      <c r="Q9" s="1124"/>
      <c r="R9" s="1124"/>
      <c r="S9" s="1124"/>
      <c r="T9" s="1124"/>
      <c r="U9" s="1124"/>
      <c r="W9" s="1124"/>
      <c r="X9" s="1124"/>
      <c r="Y9" s="1124"/>
      <c r="AB9" s="1118">
        <v>36679734</v>
      </c>
    </row>
    <row r="10" spans="1:32" s="985" customFormat="1" ht="10.8">
      <c r="A10" s="1125" t="s">
        <v>463</v>
      </c>
      <c r="E10" s="988">
        <f>H10-G10-F10</f>
        <v>7300783.4000000004</v>
      </c>
      <c r="F10" s="988">
        <f>O5</f>
        <v>4480330</v>
      </c>
      <c r="G10" s="988">
        <f>O7</f>
        <v>616069</v>
      </c>
      <c r="H10" s="988">
        <f>BS!$H$31</f>
        <v>12397182.4</v>
      </c>
      <c r="I10" s="988"/>
      <c r="J10" s="988">
        <f>M10-L10-K10</f>
        <v>4603583</v>
      </c>
      <c r="K10" s="988">
        <v>2990795</v>
      </c>
      <c r="L10" s="988">
        <f>O8</f>
        <v>423508</v>
      </c>
      <c r="M10" s="986">
        <v>8017886</v>
      </c>
      <c r="N10" s="986"/>
      <c r="O10" s="986"/>
      <c r="P10" s="986"/>
      <c r="Q10" s="1126">
        <f>BS!$H$31</f>
        <v>12397182.4</v>
      </c>
      <c r="R10" s="1126"/>
      <c r="S10" s="1126">
        <v>8017886</v>
      </c>
      <c r="T10" s="986"/>
      <c r="U10" s="986">
        <v>9789861.5</v>
      </c>
      <c r="W10" s="986">
        <v>8840981.75</v>
      </c>
      <c r="X10" s="986"/>
      <c r="Y10" s="1037">
        <v>8017886</v>
      </c>
      <c r="Z10" s="1117">
        <f>Q10-U10</f>
        <v>2607320.9000000004</v>
      </c>
      <c r="AB10" s="1117">
        <f>AB9/1000*S86</f>
        <v>3194485.1264244849</v>
      </c>
    </row>
    <row r="11" spans="1:32" s="985" customFormat="1" ht="10.8">
      <c r="E11" s="988"/>
      <c r="F11" s="988"/>
      <c r="G11" s="988"/>
      <c r="H11" s="988"/>
      <c r="I11" s="988"/>
      <c r="J11" s="988"/>
      <c r="K11" s="988"/>
      <c r="L11" s="988"/>
      <c r="M11" s="988"/>
      <c r="N11" s="988" t="s">
        <v>2392</v>
      </c>
      <c r="O11" s="988" t="s">
        <v>694</v>
      </c>
      <c r="P11" s="988"/>
      <c r="Q11" s="987"/>
      <c r="U11" s="987"/>
      <c r="X11" s="985">
        <v>3707789</v>
      </c>
      <c r="Y11" s="989"/>
      <c r="Z11" s="1117">
        <f>Q11-U11</f>
        <v>0</v>
      </c>
    </row>
    <row r="12" spans="1:32" s="985" customFormat="1" ht="10.8">
      <c r="A12" s="1127" t="s">
        <v>2421</v>
      </c>
      <c r="E12" s="1128"/>
      <c r="F12" s="1128"/>
      <c r="G12" s="1128"/>
      <c r="H12" s="1128"/>
      <c r="I12" s="988"/>
      <c r="J12" s="988"/>
      <c r="K12" s="988"/>
      <c r="L12" s="988"/>
      <c r="M12" s="988"/>
      <c r="N12" s="988">
        <v>38728225</v>
      </c>
      <c r="O12" s="988">
        <v>42550240</v>
      </c>
      <c r="P12" s="988" t="s">
        <v>2397</v>
      </c>
      <c r="S12" s="989"/>
      <c r="U12" s="1129"/>
      <c r="W12" s="1130"/>
      <c r="X12" s="994">
        <v>38728225</v>
      </c>
      <c r="Y12" s="989"/>
      <c r="Z12" s="1117">
        <f>Q12-U12</f>
        <v>0</v>
      </c>
    </row>
    <row r="13" spans="1:32" s="985" customFormat="1" ht="10.8">
      <c r="A13" s="1127" t="s">
        <v>2324</v>
      </c>
      <c r="E13" s="1131">
        <f>N14</f>
        <v>4013382.5766752209</v>
      </c>
      <c r="F13" s="1064">
        <v>0</v>
      </c>
      <c r="G13" s="993">
        <v>0</v>
      </c>
      <c r="H13" s="1131">
        <f>SUM(E13:G13)</f>
        <v>4013382.5766752209</v>
      </c>
      <c r="I13" s="988"/>
      <c r="J13" s="988"/>
      <c r="K13" s="988"/>
      <c r="L13" s="988"/>
      <c r="M13" s="988"/>
      <c r="N13" s="1132">
        <f>BS!H40</f>
        <v>103.6293963039933</v>
      </c>
      <c r="O13" s="1132">
        <v>87.09</v>
      </c>
      <c r="P13" s="988" t="s">
        <v>2398</v>
      </c>
      <c r="Q13" s="1133">
        <f>X13</f>
        <v>4013382.5766752209</v>
      </c>
      <c r="R13" s="1037"/>
      <c r="S13" s="992"/>
      <c r="T13" s="1037"/>
      <c r="U13" s="1134">
        <f>Q13-Y13</f>
        <v>1763096.3266752209</v>
      </c>
      <c r="W13" s="1134">
        <v>2849646</v>
      </c>
      <c r="X13" s="1037">
        <f>X12*BS!H40/1000</f>
        <v>4013382.5766752209</v>
      </c>
      <c r="Y13" s="1037">
        <v>2250286.25</v>
      </c>
      <c r="Z13" s="1117">
        <f>Q13-U13</f>
        <v>2250286.25</v>
      </c>
      <c r="AD13" s="1118"/>
      <c r="AE13" s="1118"/>
      <c r="AF13" s="1118"/>
    </row>
    <row r="14" spans="1:32" s="985" customFormat="1" ht="10.8">
      <c r="A14" s="1127" t="s">
        <v>2325</v>
      </c>
      <c r="E14" s="1135">
        <f>Y2-X3</f>
        <v>-305593.57667522086</v>
      </c>
      <c r="F14" s="1065">
        <v>0</v>
      </c>
      <c r="G14" s="1136">
        <v>0</v>
      </c>
      <c r="H14" s="1135">
        <f>SUM(E14:G14)</f>
        <v>-305593.57667522086</v>
      </c>
      <c r="I14" s="988"/>
      <c r="J14" s="988"/>
      <c r="K14" s="988"/>
      <c r="L14" s="988"/>
      <c r="M14" s="988"/>
      <c r="N14" s="988">
        <f>N12*N13/1000</f>
        <v>4013382.5766752209</v>
      </c>
      <c r="O14" s="988">
        <f>O12*O13/1000</f>
        <v>3705700.4016000004</v>
      </c>
      <c r="P14" s="988" t="s">
        <v>2399</v>
      </c>
      <c r="Q14" s="1137">
        <f>X11-Q13</f>
        <v>-305593.57667522086</v>
      </c>
      <c r="R14" s="1037"/>
      <c r="S14" s="1037"/>
      <c r="T14" s="1037"/>
      <c r="U14" s="1134"/>
      <c r="W14" s="1134"/>
      <c r="X14" s="1037"/>
      <c r="Y14" s="1037"/>
      <c r="Z14" s="1117"/>
      <c r="AD14" s="1118"/>
      <c r="AE14" s="1118"/>
      <c r="AF14" s="1118"/>
    </row>
    <row r="15" spans="1:32" s="985" customFormat="1" ht="10.8">
      <c r="A15" s="1138"/>
      <c r="E15" s="1139">
        <f>SUM(E12:E14)</f>
        <v>3707789</v>
      </c>
      <c r="F15" s="988">
        <f>SUM(F12:F14)</f>
        <v>0</v>
      </c>
      <c r="G15" s="988">
        <f>SUM(G12:G14)</f>
        <v>0</v>
      </c>
      <c r="H15" s="1139">
        <f>SUM(H12:H14)</f>
        <v>3707789</v>
      </c>
      <c r="I15" s="988"/>
      <c r="J15" s="988">
        <f>M15-K15</f>
        <v>3940264</v>
      </c>
      <c r="K15" s="988">
        <f>O23</f>
        <v>232471</v>
      </c>
      <c r="L15" s="988">
        <v>0</v>
      </c>
      <c r="M15" s="988">
        <v>4172735</v>
      </c>
      <c r="N15" s="988"/>
      <c r="O15" s="988"/>
      <c r="P15" s="988"/>
      <c r="Q15" s="1037">
        <f>SUM(Q13:Q14)</f>
        <v>3707789</v>
      </c>
      <c r="R15" s="1037"/>
      <c r="S15" s="1037">
        <v>4172735</v>
      </c>
      <c r="T15" s="1037"/>
      <c r="U15" s="1134"/>
      <c r="W15" s="1134"/>
      <c r="X15" s="1037">
        <v>4040032</v>
      </c>
      <c r="Y15" s="1037"/>
      <c r="Z15" s="1117"/>
      <c r="AD15" s="1118"/>
      <c r="AE15" s="1118"/>
      <c r="AF15" s="1118"/>
    </row>
    <row r="16" spans="1:32" s="985" customFormat="1" ht="10.8">
      <c r="A16" s="1138"/>
      <c r="E16" s="1139"/>
      <c r="F16" s="1139"/>
      <c r="G16" s="1139"/>
      <c r="H16" s="1139"/>
      <c r="I16" s="988"/>
      <c r="J16" s="988"/>
      <c r="K16" s="988"/>
      <c r="L16" s="988"/>
      <c r="M16" s="988"/>
      <c r="N16" s="988"/>
      <c r="O16" s="988"/>
      <c r="P16" s="988"/>
      <c r="Q16" s="1037"/>
      <c r="R16" s="1037"/>
      <c r="S16" s="1037"/>
      <c r="T16" s="1037"/>
      <c r="U16" s="1134"/>
      <c r="W16" s="1134"/>
      <c r="X16" s="1037"/>
      <c r="Y16" s="1037"/>
      <c r="Z16" s="1117"/>
      <c r="AD16" s="1118"/>
      <c r="AE16" s="1118"/>
      <c r="AF16" s="1118"/>
    </row>
    <row r="17" spans="1:32" s="985" customFormat="1" ht="10.8">
      <c r="A17" s="1140" t="s">
        <v>2422</v>
      </c>
      <c r="E17" s="988"/>
      <c r="F17" s="988"/>
      <c r="G17" s="988"/>
      <c r="H17" s="988"/>
      <c r="I17" s="988"/>
      <c r="J17" s="988"/>
      <c r="K17" s="988"/>
      <c r="L17" s="988"/>
      <c r="M17" s="988"/>
      <c r="N17" s="988" t="s">
        <v>2392</v>
      </c>
      <c r="O17" s="988" t="s">
        <v>694</v>
      </c>
      <c r="P17" s="988"/>
      <c r="Q17" s="1037"/>
      <c r="R17" s="1037"/>
      <c r="S17" s="1037"/>
      <c r="T17" s="1037"/>
      <c r="U17" s="1134"/>
      <c r="W17" s="1134"/>
      <c r="X17" s="1037">
        <v>42503625</v>
      </c>
      <c r="Y17" s="1037"/>
      <c r="Z17" s="1117">
        <f>Q17-U17</f>
        <v>0</v>
      </c>
      <c r="AD17" s="1118"/>
      <c r="AE17" s="1118"/>
      <c r="AF17" s="1118"/>
    </row>
    <row r="18" spans="1:32" s="985" customFormat="1" ht="10.8">
      <c r="A18" s="1127" t="s">
        <v>2324</v>
      </c>
      <c r="E18" s="1063">
        <f>N20</f>
        <v>4356692.1062381696</v>
      </c>
      <c r="F18" s="1063">
        <v>0</v>
      </c>
      <c r="G18" s="1066">
        <v>0</v>
      </c>
      <c r="H18" s="1063">
        <f>SUM(E18:G18)</f>
        <v>4356692.1062381696</v>
      </c>
      <c r="I18" s="988"/>
      <c r="J18" s="988"/>
      <c r="K18" s="988"/>
      <c r="L18" s="988"/>
      <c r="M18" s="988"/>
      <c r="N18" s="988">
        <v>42503625</v>
      </c>
      <c r="O18" s="988">
        <v>36679734</v>
      </c>
      <c r="P18" s="988" t="s">
        <v>2397</v>
      </c>
      <c r="Q18" s="1141">
        <f>X18</f>
        <v>4404624.9994813176</v>
      </c>
      <c r="R18" s="1037"/>
      <c r="S18" s="1037"/>
      <c r="T18" s="1037"/>
      <c r="U18" s="1137">
        <f>ROUND(Q18-Y18,0)</f>
        <v>7462449</v>
      </c>
      <c r="W18" s="1142">
        <v>-2421551</v>
      </c>
      <c r="X18" s="1037">
        <f>X17*BS!H40/1000</f>
        <v>4404624.9994813176</v>
      </c>
      <c r="Y18" s="1037">
        <v>-3057824.25</v>
      </c>
      <c r="Z18" s="1117">
        <f>Q18-U18</f>
        <v>-3057824.0005186824</v>
      </c>
      <c r="AD18" s="1118"/>
      <c r="AE18" s="1118"/>
      <c r="AF18" s="1118"/>
    </row>
    <row r="19" spans="1:32" s="985" customFormat="1" ht="10.8">
      <c r="A19" s="1143" t="s">
        <v>2389</v>
      </c>
      <c r="E19" s="1064"/>
      <c r="F19" s="1064"/>
      <c r="G19" s="993"/>
      <c r="H19" s="1064"/>
      <c r="I19" s="988"/>
      <c r="J19" s="988"/>
      <c r="K19" s="988"/>
      <c r="L19" s="988"/>
      <c r="M19" s="988"/>
      <c r="N19" s="1132">
        <v>102.50165971109922</v>
      </c>
      <c r="O19" s="1132">
        <v>87.09</v>
      </c>
      <c r="P19" s="988" t="s">
        <v>2398</v>
      </c>
      <c r="Q19" s="1144" t="e">
        <f>IS!#REF!</f>
        <v>#REF!</v>
      </c>
      <c r="R19" s="1037"/>
      <c r="S19" s="1145"/>
      <c r="T19" s="1037"/>
      <c r="U19" s="1037"/>
      <c r="W19" s="1037"/>
      <c r="X19" s="1037">
        <v>4356692.1062381696</v>
      </c>
      <c r="Y19" s="1037"/>
      <c r="Z19" s="1117"/>
      <c r="AD19" s="1118"/>
      <c r="AE19" s="1118"/>
      <c r="AF19" s="1118"/>
    </row>
    <row r="20" spans="1:32" s="985" customFormat="1" ht="10.8">
      <c r="A20" s="1143" t="s">
        <v>2410</v>
      </c>
      <c r="E20" s="1064">
        <v>0</v>
      </c>
      <c r="F20" s="1064">
        <v>0</v>
      </c>
      <c r="G20" s="993">
        <v>0</v>
      </c>
      <c r="H20" s="1064">
        <f>SUM(E20:G20)</f>
        <v>0</v>
      </c>
      <c r="I20" s="988"/>
      <c r="J20" s="988"/>
      <c r="K20" s="988"/>
      <c r="L20" s="988"/>
      <c r="M20" s="988"/>
      <c r="N20" s="988">
        <f>N18*N19/1000</f>
        <v>4356692.1062381696</v>
      </c>
      <c r="O20" s="988">
        <f>O18*O19/1000</f>
        <v>3194438.03406</v>
      </c>
      <c r="P20" s="988" t="s">
        <v>2399</v>
      </c>
      <c r="Q20" s="1144"/>
      <c r="R20" s="1037"/>
      <c r="S20" s="1145"/>
      <c r="T20" s="1037"/>
      <c r="U20" s="1037"/>
      <c r="W20" s="1037"/>
      <c r="X20" s="1037"/>
      <c r="Y20" s="1037"/>
      <c r="Z20" s="1117"/>
      <c r="AD20" s="1118"/>
      <c r="AE20" s="1118"/>
      <c r="AF20" s="1118"/>
    </row>
    <row r="21" spans="1:32" s="985" customFormat="1" ht="10.8">
      <c r="A21" s="1143" t="s">
        <v>2390</v>
      </c>
      <c r="E21" s="1064">
        <v>0</v>
      </c>
      <c r="F21" s="1064">
        <v>0</v>
      </c>
      <c r="G21" s="993">
        <v>0</v>
      </c>
      <c r="H21" s="1064">
        <f>SUM(E21:G21)</f>
        <v>0</v>
      </c>
      <c r="I21" s="988"/>
      <c r="J21" s="988"/>
      <c r="K21" s="988"/>
      <c r="L21" s="988"/>
      <c r="M21" s="988"/>
      <c r="N21" s="988"/>
      <c r="O21" s="988"/>
      <c r="P21" s="988"/>
      <c r="Q21" s="1146">
        <v>-134680.96627407559</v>
      </c>
      <c r="R21" s="986"/>
      <c r="T21" s="1037"/>
      <c r="U21" s="1037"/>
      <c r="W21" s="1037"/>
      <c r="X21" s="1037"/>
      <c r="Y21" s="1037"/>
      <c r="Z21" s="1117"/>
      <c r="AD21" s="1118"/>
      <c r="AE21" s="1118"/>
      <c r="AF21" s="1118"/>
    </row>
    <row r="22" spans="1:32" s="985" customFormat="1" ht="10.8">
      <c r="A22" s="1143" t="s">
        <v>2377</v>
      </c>
      <c r="E22" s="1065">
        <f>E23-E18</f>
        <v>-316660.1062381696</v>
      </c>
      <c r="F22" s="1147">
        <v>0</v>
      </c>
      <c r="G22" s="1147">
        <v>0</v>
      </c>
      <c r="H22" s="1065">
        <f>SUM(E22:G22)</f>
        <v>-316660.1062381696</v>
      </c>
      <c r="I22" s="988"/>
      <c r="J22" s="988"/>
      <c r="K22" s="988"/>
      <c r="L22" s="988"/>
      <c r="M22" s="988"/>
      <c r="N22" s="988"/>
      <c r="O22" s="988"/>
      <c r="P22" s="988"/>
      <c r="Q22" s="988" t="e">
        <f>SUM(Q18:Q21)</f>
        <v>#REF!</v>
      </c>
      <c r="R22" s="986"/>
      <c r="S22" s="986">
        <v>3621217</v>
      </c>
      <c r="T22" s="986"/>
      <c r="U22" s="986">
        <f>SUM(U13:U18)</f>
        <v>9225545.3266752213</v>
      </c>
      <c r="W22" s="986">
        <f>+SUM(W13:W18)</f>
        <v>428095</v>
      </c>
      <c r="X22" s="986"/>
      <c r="Y22" s="1037">
        <f>SUM(Y13:Y18)</f>
        <v>-807538</v>
      </c>
      <c r="Z22" s="1117">
        <f>Q21-U22</f>
        <v>-9360226.2929492965</v>
      </c>
    </row>
    <row r="23" spans="1:32" s="985" customFormat="1" ht="10.8">
      <c r="E23" s="1148">
        <v>4040032</v>
      </c>
      <c r="F23" s="988">
        <f>SUM(F18:F22)</f>
        <v>0</v>
      </c>
      <c r="G23" s="988">
        <f>SUM(G18:G22)</f>
        <v>0</v>
      </c>
      <c r="H23" s="1148">
        <f>SUM(H18:H22)</f>
        <v>4040032</v>
      </c>
      <c r="I23" s="988"/>
      <c r="J23" s="988">
        <f>M23-K23</f>
        <v>3820282</v>
      </c>
      <c r="K23" s="988">
        <f>O24</f>
        <v>-199065</v>
      </c>
      <c r="L23" s="988">
        <v>0</v>
      </c>
      <c r="M23" s="988">
        <v>3621217</v>
      </c>
      <c r="N23" s="988">
        <f>K15+K23</f>
        <v>33406</v>
      </c>
      <c r="O23" s="988">
        <v>232471</v>
      </c>
      <c r="P23" s="988" t="s">
        <v>2400</v>
      </c>
      <c r="Q23" s="986"/>
      <c r="R23" s="986"/>
      <c r="S23" s="986"/>
      <c r="T23" s="986"/>
      <c r="U23" s="986"/>
      <c r="W23" s="986"/>
      <c r="X23" s="986"/>
      <c r="Y23" s="1037"/>
      <c r="Z23" s="1117"/>
    </row>
    <row r="24" spans="1:32" s="985" customFormat="1" ht="10.8">
      <c r="E24" s="1149"/>
      <c r="F24" s="1149"/>
      <c r="G24" s="1149"/>
      <c r="H24" s="1149"/>
      <c r="I24" s="988"/>
      <c r="J24" s="988"/>
      <c r="K24" s="988"/>
      <c r="L24" s="988"/>
      <c r="M24" s="988"/>
      <c r="N24" s="988" t="e">
        <f>K26</f>
        <v>#REF!</v>
      </c>
      <c r="O24" s="988">
        <v>-199065</v>
      </c>
      <c r="P24" s="988" t="s">
        <v>2401</v>
      </c>
      <c r="Q24" s="986"/>
      <c r="R24" s="986"/>
      <c r="S24" s="986"/>
      <c r="T24" s="986"/>
      <c r="U24" s="986"/>
      <c r="W24" s="986"/>
      <c r="X24" s="986"/>
      <c r="Y24" s="1037"/>
      <c r="Z24" s="1117"/>
    </row>
    <row r="25" spans="1:32" s="985" customFormat="1" ht="10.8">
      <c r="A25" s="1150" t="s">
        <v>2394</v>
      </c>
      <c r="E25" s="1139"/>
      <c r="F25" s="1139"/>
      <c r="G25" s="1139"/>
      <c r="H25" s="1139"/>
      <c r="I25" s="988"/>
      <c r="J25" s="988"/>
      <c r="K25" s="988"/>
      <c r="L25" s="988"/>
      <c r="M25" s="988"/>
      <c r="N25" s="988" t="e">
        <f>SUM(N23:N24)</f>
        <v>#REF!</v>
      </c>
      <c r="O25" s="1151">
        <f>SUM(O23:O24)</f>
        <v>33406</v>
      </c>
      <c r="P25" s="988"/>
      <c r="Q25" s="986"/>
      <c r="R25" s="986"/>
      <c r="S25" s="986"/>
      <c r="T25" s="986"/>
      <c r="U25" s="986"/>
      <c r="W25" s="986"/>
      <c r="X25" s="986"/>
      <c r="Y25" s="1037"/>
      <c r="Z25" s="1117"/>
    </row>
    <row r="26" spans="1:32" s="985" customFormat="1" ht="10.8">
      <c r="A26" s="1152" t="s">
        <v>2393</v>
      </c>
      <c r="E26" s="988">
        <v>0</v>
      </c>
      <c r="F26" s="988">
        <v>0</v>
      </c>
      <c r="G26" s="988">
        <v>0</v>
      </c>
      <c r="H26" s="988">
        <v>0</v>
      </c>
      <c r="I26" s="988"/>
      <c r="J26" s="988">
        <v>0</v>
      </c>
      <c r="K26" s="988" t="e">
        <f>-IS!#REF!</f>
        <v>#REF!</v>
      </c>
      <c r="L26" s="988">
        <v>0</v>
      </c>
      <c r="M26" s="988" t="e">
        <f>SUM(J26:L26)</f>
        <v>#REF!</v>
      </c>
      <c r="N26" s="988"/>
      <c r="O26" s="988"/>
      <c r="P26" s="988"/>
      <c r="Q26" s="986"/>
      <c r="R26" s="986"/>
      <c r="S26" s="986"/>
      <c r="T26" s="986"/>
      <c r="U26" s="986"/>
      <c r="W26" s="986"/>
      <c r="X26" s="986"/>
      <c r="Y26" s="1037"/>
      <c r="Z26" s="1117"/>
    </row>
    <row r="27" spans="1:32" s="985" customFormat="1" ht="10.8">
      <c r="A27" s="1153"/>
      <c r="B27" s="1154"/>
      <c r="E27" s="988"/>
      <c r="F27" s="988"/>
      <c r="G27" s="988"/>
      <c r="H27" s="988"/>
      <c r="I27" s="988"/>
      <c r="J27" s="988"/>
      <c r="K27" s="988"/>
      <c r="L27" s="988"/>
      <c r="M27" s="988"/>
      <c r="N27" s="988"/>
      <c r="O27" s="988"/>
      <c r="P27" s="988"/>
      <c r="Q27" s="1163">
        <f>E22-E14</f>
        <v>-11066.529562948737</v>
      </c>
      <c r="R27" s="986"/>
      <c r="S27" s="1037"/>
      <c r="T27" s="986"/>
      <c r="U27" s="986"/>
      <c r="W27" s="986"/>
      <c r="X27" s="986"/>
      <c r="Y27" s="1037"/>
      <c r="Z27" s="1117"/>
    </row>
    <row r="28" spans="1:32" s="985" customFormat="1" ht="10.8">
      <c r="A28" s="1155" t="s">
        <v>2368</v>
      </c>
      <c r="B28" s="1154"/>
      <c r="E28" s="1156">
        <v>0</v>
      </c>
      <c r="F28" s="1156" t="e">
        <f>IS!#REF!</f>
        <v>#REF!</v>
      </c>
      <c r="G28" s="1156" t="e">
        <f>OCI!#REF!</f>
        <v>#REF!</v>
      </c>
      <c r="H28" s="1156" t="e">
        <f>SUM(E28:G28)</f>
        <v>#REF!</v>
      </c>
      <c r="I28" s="988"/>
      <c r="J28" s="1141">
        <v>0</v>
      </c>
      <c r="K28" s="1156" t="e">
        <f>IS!#REF!</f>
        <v>#REF!</v>
      </c>
      <c r="L28" s="1156" t="e">
        <f>OCI!#REF!</f>
        <v>#REF!</v>
      </c>
      <c r="M28" s="1156" t="e">
        <f>SUM(J28:L28)</f>
        <v>#REF!</v>
      </c>
      <c r="N28" s="1157"/>
      <c r="O28" s="1157"/>
      <c r="P28" s="1157"/>
      <c r="Q28" s="986"/>
      <c r="R28" s="986"/>
      <c r="S28" s="1037"/>
      <c r="T28" s="986"/>
      <c r="U28" s="986"/>
      <c r="W28" s="986"/>
      <c r="X28" s="986"/>
      <c r="Y28" s="1037"/>
      <c r="Z28" s="1117"/>
    </row>
    <row r="29" spans="1:32" s="985" customFormat="1" ht="10.8">
      <c r="A29" s="1155" t="s">
        <v>2309</v>
      </c>
      <c r="B29" s="1154"/>
      <c r="E29" s="1158">
        <v>0</v>
      </c>
      <c r="F29" s="1158">
        <v>0</v>
      </c>
      <c r="G29" s="1158">
        <v>0</v>
      </c>
      <c r="H29" s="1158">
        <f>SUM(E29:G29)</f>
        <v>0</v>
      </c>
      <c r="I29" s="988"/>
      <c r="J29" s="1147">
        <v>0</v>
      </c>
      <c r="K29" s="1147">
        <v>0</v>
      </c>
      <c r="L29" s="1147">
        <v>0</v>
      </c>
      <c r="M29" s="1158">
        <f>SUM(J29:L29)</f>
        <v>0</v>
      </c>
      <c r="N29" s="1157"/>
      <c r="O29" s="1157"/>
      <c r="P29" s="1157"/>
      <c r="Q29" s="986"/>
      <c r="R29" s="986"/>
      <c r="S29" s="1037"/>
      <c r="T29" s="986"/>
      <c r="U29" s="986"/>
      <c r="W29" s="986"/>
      <c r="X29" s="986"/>
      <c r="Y29" s="1037"/>
      <c r="Z29" s="1117"/>
    </row>
    <row r="30" spans="1:32" s="985" customFormat="1" ht="10.8">
      <c r="A30" s="1155" t="s">
        <v>2423</v>
      </c>
      <c r="B30" s="1154"/>
      <c r="E30" s="988">
        <f>SUM(E28:E29)</f>
        <v>0</v>
      </c>
      <c r="F30" s="988" t="e">
        <f>SUM(F28:F29)</f>
        <v>#REF!</v>
      </c>
      <c r="G30" s="988" t="e">
        <f>SUM(G28:G29)</f>
        <v>#REF!</v>
      </c>
      <c r="H30" s="988" t="e">
        <f>SUM(H28:H29)</f>
        <v>#REF!</v>
      </c>
      <c r="I30" s="988"/>
      <c r="J30" s="988">
        <f>SUM(J28:J29)</f>
        <v>0</v>
      </c>
      <c r="K30" s="988" t="e">
        <f>SUM(K28:K29)</f>
        <v>#REF!</v>
      </c>
      <c r="L30" s="988" t="e">
        <f>SUM(L28:L29)</f>
        <v>#REF!</v>
      </c>
      <c r="M30" s="988" t="e">
        <f>SUM(M28:M29)</f>
        <v>#REF!</v>
      </c>
      <c r="N30" s="988"/>
      <c r="O30" s="988"/>
      <c r="P30" s="988"/>
      <c r="Q30" s="986"/>
      <c r="R30" s="986"/>
      <c r="S30" s="1037"/>
      <c r="T30" s="986"/>
      <c r="U30" s="986"/>
      <c r="W30" s="986"/>
      <c r="X30" s="986"/>
      <c r="Y30" s="1037"/>
      <c r="Z30" s="1117"/>
    </row>
    <row r="31" spans="1:32" s="985" customFormat="1" ht="10.8">
      <c r="A31" s="1153"/>
      <c r="B31" s="1154"/>
      <c r="E31" s="988"/>
      <c r="F31" s="988"/>
      <c r="G31" s="988"/>
      <c r="H31" s="988"/>
      <c r="I31" s="988"/>
      <c r="J31" s="988"/>
      <c r="K31" s="988"/>
      <c r="L31" s="988"/>
      <c r="M31" s="988"/>
      <c r="N31" s="988"/>
      <c r="O31" s="988"/>
      <c r="P31" s="988"/>
      <c r="Q31" s="986"/>
      <c r="R31" s="986"/>
      <c r="S31" s="1037"/>
      <c r="T31" s="986"/>
      <c r="U31" s="986"/>
      <c r="W31" s="986"/>
      <c r="X31" s="986"/>
      <c r="Y31" s="1037"/>
      <c r="Z31" s="1117"/>
    </row>
    <row r="32" spans="1:32" s="985" customFormat="1" ht="11.4" thickBot="1">
      <c r="A32" s="1159" t="s">
        <v>2310</v>
      </c>
      <c r="E32" s="1160">
        <f>E10+E15-E23+E30</f>
        <v>6968540.4000000004</v>
      </c>
      <c r="F32" s="1160" t="e">
        <f>F10+F15-F23+F30</f>
        <v>#REF!</v>
      </c>
      <c r="G32" s="1160" t="e">
        <f>G10+G15-G23+G30</f>
        <v>#REF!</v>
      </c>
      <c r="H32" s="1160" t="e">
        <f>H10+H15-H23+H30</f>
        <v>#REF!</v>
      </c>
      <c r="I32" s="988"/>
      <c r="J32" s="1160">
        <f>J10+J15-J23+J26+J30</f>
        <v>4723565</v>
      </c>
      <c r="K32" s="1160" t="e">
        <f>K10+K15+K23+K26+K30</f>
        <v>#REF!</v>
      </c>
      <c r="L32" s="1160" t="e">
        <f>L10+L15-L23+L26+L30</f>
        <v>#REF!</v>
      </c>
      <c r="M32" s="1160" t="e">
        <f>M10+M15-M23+M26+M30</f>
        <v>#REF!</v>
      </c>
      <c r="N32" s="1160"/>
      <c r="O32" s="1160"/>
      <c r="P32" s="1160"/>
      <c r="Q32" s="1161" t="e">
        <f>Q10+Q15-Q22+#REF!+#REF!</f>
        <v>#REF!</v>
      </c>
      <c r="R32" s="1126"/>
      <c r="S32" s="1161" t="e">
        <f>S10+S15-S22+#REF!+#REF!+#REF!</f>
        <v>#REF!</v>
      </c>
      <c r="T32" s="986"/>
      <c r="U32" s="1162" t="e">
        <f>U10+U22+#REF!+#REF!</f>
        <v>#REF!</v>
      </c>
      <c r="W32" s="1162" t="e">
        <f>W10+W22+#REF!+#REF!</f>
        <v>#REF!</v>
      </c>
      <c r="X32" s="986"/>
      <c r="Y32" s="1037"/>
    </row>
    <row r="33" spans="1:28" s="985" customFormat="1" ht="11.4" thickTop="1">
      <c r="E33" s="988"/>
      <c r="F33" s="988"/>
      <c r="G33" s="988"/>
      <c r="H33" s="988"/>
      <c r="I33" s="988"/>
      <c r="J33" s="988"/>
      <c r="K33" s="988"/>
      <c r="L33" s="988"/>
      <c r="M33" s="988"/>
      <c r="N33" s="988"/>
      <c r="O33" s="988"/>
      <c r="P33" s="988"/>
      <c r="Q33" s="986"/>
      <c r="R33" s="986"/>
      <c r="S33" s="986"/>
      <c r="T33" s="986"/>
      <c r="U33" s="986"/>
      <c r="W33" s="986"/>
      <c r="X33" s="986"/>
      <c r="Y33" s="1037"/>
      <c r="Z33" s="1117"/>
    </row>
    <row r="34" spans="1:28" s="985" customFormat="1" ht="10.8">
      <c r="A34" s="990" t="s">
        <v>2384</v>
      </c>
      <c r="E34" s="988"/>
      <c r="F34" s="988"/>
      <c r="G34" s="988"/>
      <c r="H34" s="988"/>
      <c r="I34" s="988"/>
      <c r="J34" s="988"/>
      <c r="K34" s="988"/>
      <c r="L34" s="988"/>
      <c r="M34" s="988"/>
      <c r="N34" s="988"/>
      <c r="O34" s="988"/>
      <c r="P34" s="988"/>
      <c r="Q34" s="1163"/>
      <c r="R34" s="1163"/>
      <c r="S34" s="1163"/>
      <c r="T34" s="1163"/>
      <c r="U34" s="1163"/>
      <c r="V34" s="1163"/>
      <c r="W34" s="1163"/>
      <c r="X34" s="1163"/>
      <c r="Y34" s="1037"/>
      <c r="Z34" s="1117"/>
    </row>
    <row r="35" spans="1:28" s="985" customFormat="1" ht="10.8">
      <c r="E35" s="988"/>
      <c r="F35" s="988"/>
      <c r="G35" s="988"/>
      <c r="H35" s="988"/>
      <c r="I35" s="988"/>
      <c r="J35" s="988"/>
      <c r="K35" s="988"/>
      <c r="L35" s="988"/>
      <c r="M35" s="988"/>
      <c r="N35" s="988"/>
      <c r="O35" s="988"/>
      <c r="P35" s="988"/>
      <c r="Q35" s="1163"/>
      <c r="R35" s="1163"/>
      <c r="S35" s="1163"/>
      <c r="T35" s="1163"/>
      <c r="U35" s="1163"/>
      <c r="V35" s="1163"/>
      <c r="W35" s="1163"/>
      <c r="X35" s="1163"/>
      <c r="Y35" s="1037"/>
      <c r="Z35" s="1117"/>
    </row>
    <row r="36" spans="1:28" s="985" customFormat="1" ht="10.8">
      <c r="A36" s="1164" t="s">
        <v>2313</v>
      </c>
      <c r="E36" s="988"/>
      <c r="F36" s="988"/>
      <c r="G36" s="988"/>
      <c r="H36" s="988"/>
      <c r="I36" s="988"/>
      <c r="J36" s="988"/>
      <c r="K36" s="988"/>
      <c r="L36" s="988"/>
      <c r="M36" s="988"/>
      <c r="N36" s="988"/>
      <c r="O36" s="988"/>
      <c r="P36" s="988"/>
      <c r="Q36" s="986"/>
      <c r="R36" s="986"/>
      <c r="S36" s="986"/>
      <c r="T36" s="986"/>
      <c r="U36" s="986"/>
      <c r="W36" s="986"/>
      <c r="X36" s="986"/>
      <c r="Y36" s="1037"/>
      <c r="Z36" s="1117"/>
    </row>
    <row r="37" spans="1:28" s="985" customFormat="1" ht="10.8">
      <c r="B37" s="985" t="s">
        <v>2314</v>
      </c>
      <c r="E37" s="988"/>
      <c r="F37" s="988">
        <f>F10-F38</f>
        <v>5136935</v>
      </c>
      <c r="G37" s="988"/>
      <c r="H37" s="988"/>
      <c r="I37" s="988"/>
      <c r="J37" s="988"/>
      <c r="K37" s="988">
        <v>3026013</v>
      </c>
      <c r="L37" s="988"/>
      <c r="M37" s="988"/>
      <c r="N37" s="988">
        <v>5340008</v>
      </c>
      <c r="O37" s="1165">
        <v>42916</v>
      </c>
      <c r="P37" s="988"/>
      <c r="Q37" s="986">
        <v>5996613</v>
      </c>
      <c r="R37" s="986"/>
      <c r="S37" s="986">
        <v>3026013</v>
      </c>
      <c r="T37" s="986"/>
      <c r="U37" s="986">
        <v>5160202.872314889</v>
      </c>
      <c r="W37" s="986">
        <f>W39-W38</f>
        <v>3445160</v>
      </c>
      <c r="X37" s="986"/>
      <c r="Y37" s="1037"/>
      <c r="Z37" s="1117"/>
    </row>
    <row r="38" spans="1:28" s="985" customFormat="1" ht="10.8">
      <c r="B38" s="1078" t="s">
        <v>2419</v>
      </c>
      <c r="E38" s="988"/>
      <c r="F38" s="988">
        <v>-656605</v>
      </c>
      <c r="G38" s="988"/>
      <c r="H38" s="988"/>
      <c r="I38" s="988"/>
      <c r="J38" s="988"/>
      <c r="K38" s="988">
        <v>-35218</v>
      </c>
      <c r="L38" s="988"/>
      <c r="M38" s="988"/>
      <c r="N38" s="988">
        <v>859678</v>
      </c>
      <c r="O38" s="988" t="s">
        <v>2395</v>
      </c>
      <c r="P38" s="988"/>
      <c r="Q38" s="986">
        <v>-656605</v>
      </c>
      <c r="R38" s="986"/>
      <c r="S38" s="986">
        <v>-35218</v>
      </c>
      <c r="T38" s="986"/>
      <c r="U38" s="986">
        <v>-435683</v>
      </c>
      <c r="W38" s="986">
        <v>128</v>
      </c>
      <c r="X38" s="986"/>
      <c r="Y38" s="1037"/>
      <c r="Z38" s="1117" t="e">
        <f>IS!#REF!</f>
        <v>#REF!</v>
      </c>
      <c r="AA38" s="985" t="e">
        <f>IS!#REF!</f>
        <v>#REF!</v>
      </c>
      <c r="AB38" s="1117" t="e">
        <f>Z38-AA38</f>
        <v>#REF!</v>
      </c>
    </row>
    <row r="39" spans="1:28" s="985" customFormat="1" ht="10.8">
      <c r="E39" s="988"/>
      <c r="F39" s="1166">
        <f>SUM(F37:F38)</f>
        <v>4480330</v>
      </c>
      <c r="G39" s="988"/>
      <c r="H39" s="988"/>
      <c r="I39" s="988"/>
      <c r="J39" s="988"/>
      <c r="K39" s="1166">
        <f>SUM(K37:K38)</f>
        <v>2990795</v>
      </c>
      <c r="L39" s="988"/>
      <c r="M39" s="988"/>
      <c r="N39" s="1167">
        <f>N37-N38</f>
        <v>4480330</v>
      </c>
      <c r="O39" s="988"/>
      <c r="P39" s="988"/>
      <c r="Q39" s="1168">
        <f>SUM(Q37:Q38)</f>
        <v>5340008</v>
      </c>
      <c r="R39" s="1126"/>
      <c r="S39" s="1168">
        <f>SUM(S37:S38)</f>
        <v>2990795</v>
      </c>
      <c r="T39" s="986"/>
      <c r="U39" s="1169">
        <f>SUM(U37:U38)</f>
        <v>4724519.872314889</v>
      </c>
      <c r="W39" s="1169">
        <v>3445288</v>
      </c>
      <c r="X39" s="986"/>
      <c r="Y39" s="1037"/>
      <c r="Z39" s="1117"/>
    </row>
    <row r="40" spans="1:28" s="985" customFormat="1" ht="10.8">
      <c r="A40" s="1164" t="s">
        <v>2409</v>
      </c>
      <c r="E40" s="988"/>
      <c r="F40" s="988"/>
      <c r="G40" s="988"/>
      <c r="H40" s="988"/>
      <c r="I40" s="988"/>
      <c r="J40" s="988"/>
      <c r="K40" s="988"/>
      <c r="L40" s="988"/>
      <c r="M40" s="988"/>
      <c r="N40" s="988">
        <f>G10</f>
        <v>616069</v>
      </c>
      <c r="O40" s="988" t="s">
        <v>2396</v>
      </c>
      <c r="P40" s="988"/>
      <c r="Q40" s="986"/>
      <c r="R40" s="986"/>
      <c r="S40" s="986"/>
      <c r="T40" s="986"/>
      <c r="U40" s="986"/>
      <c r="W40" s="986"/>
      <c r="X40" s="986"/>
      <c r="Y40" s="1037"/>
      <c r="Z40" s="1117"/>
    </row>
    <row r="41" spans="1:28" s="985" customFormat="1" ht="10.8">
      <c r="B41" s="1078" t="s">
        <v>2306</v>
      </c>
      <c r="E41" s="988"/>
      <c r="F41" s="1141" t="e">
        <f>IS!#REF!</f>
        <v>#REF!</v>
      </c>
      <c r="G41" s="988"/>
      <c r="H41" s="988"/>
      <c r="I41" s="988"/>
      <c r="J41" s="988"/>
      <c r="K41" s="992"/>
      <c r="L41" s="988"/>
      <c r="M41" s="988"/>
      <c r="N41" s="988">
        <f>N39-N40</f>
        <v>3864261</v>
      </c>
      <c r="O41" s="988"/>
      <c r="P41" s="988"/>
      <c r="Q41" s="986" t="e">
        <f>IS!#REF!</f>
        <v>#REF!</v>
      </c>
      <c r="R41" s="986"/>
      <c r="S41" s="986">
        <v>0</v>
      </c>
      <c r="T41" s="986"/>
      <c r="U41" s="986" t="e">
        <f>Q41-X41</f>
        <v>#REF!</v>
      </c>
      <c r="W41" s="986" t="e">
        <f>IS!#REF!+IS!#REF!</f>
        <v>#REF!</v>
      </c>
      <c r="X41" s="986">
        <v>-611630.0628000393</v>
      </c>
      <c r="Y41" s="1037"/>
      <c r="Z41" s="1117"/>
    </row>
    <row r="42" spans="1:28" s="985" customFormat="1" ht="10.8">
      <c r="B42" s="1078" t="s">
        <v>2307</v>
      </c>
      <c r="E42" s="988"/>
      <c r="F42" s="1147" t="e">
        <f>IS!#REF!</f>
        <v>#REF!</v>
      </c>
      <c r="G42" s="988"/>
      <c r="H42" s="988"/>
      <c r="I42" s="988"/>
      <c r="J42" s="988"/>
      <c r="K42" s="992"/>
      <c r="L42" s="988"/>
      <c r="M42" s="988"/>
      <c r="N42" s="988"/>
      <c r="O42" s="988"/>
      <c r="P42" s="988"/>
      <c r="Q42" s="986" t="e">
        <f>IS!#REF!</f>
        <v>#REF!</v>
      </c>
      <c r="R42" s="986"/>
      <c r="S42" s="986">
        <v>0</v>
      </c>
      <c r="T42" s="986"/>
      <c r="U42" s="986" t="e">
        <f>Q42-X42</f>
        <v>#REF!</v>
      </c>
      <c r="W42" s="986" t="e">
        <f>W43-W41</f>
        <v>#REF!</v>
      </c>
      <c r="X42" s="986">
        <v>-3858.0648850719444</v>
      </c>
      <c r="Y42" s="1037"/>
      <c r="Z42" s="1117"/>
    </row>
    <row r="43" spans="1:28" s="985" customFormat="1" ht="10.8">
      <c r="E43" s="988"/>
      <c r="F43" s="988" t="e">
        <f>SUM(F41:F42)</f>
        <v>#REF!</v>
      </c>
      <c r="G43" s="988"/>
      <c r="H43" s="988"/>
      <c r="I43" s="988"/>
      <c r="J43" s="988"/>
      <c r="K43" s="992"/>
      <c r="L43" s="988"/>
      <c r="M43" s="988"/>
      <c r="N43" s="988"/>
      <c r="O43" s="988"/>
      <c r="P43" s="988"/>
      <c r="Q43" s="1169" t="e">
        <f>SUM(Q41:Q42)</f>
        <v>#REF!</v>
      </c>
      <c r="R43" s="986"/>
      <c r="S43" s="1169">
        <v>0</v>
      </c>
      <c r="T43" s="986"/>
      <c r="U43" s="1169" t="e">
        <f>SUM(U41:U42)</f>
        <v>#REF!</v>
      </c>
      <c r="W43" s="1169" t="e">
        <f>IS!#REF!</f>
        <v>#REF!</v>
      </c>
      <c r="X43" s="986"/>
      <c r="Y43" s="1037"/>
      <c r="Z43" s="1117"/>
    </row>
    <row r="44" spans="1:28" s="985" customFormat="1" ht="10.8">
      <c r="E44" s="988"/>
      <c r="F44" s="988"/>
      <c r="G44" s="988"/>
      <c r="H44" s="988"/>
      <c r="I44" s="988"/>
      <c r="J44" s="988"/>
      <c r="K44" s="988"/>
      <c r="L44" s="988"/>
      <c r="M44" s="988"/>
      <c r="N44" s="988"/>
      <c r="O44" s="988"/>
      <c r="P44" s="988"/>
      <c r="Q44" s="1037"/>
      <c r="R44" s="986"/>
      <c r="S44" s="1037"/>
      <c r="T44" s="986"/>
      <c r="U44" s="1037"/>
      <c r="W44" s="1037"/>
      <c r="X44" s="986"/>
      <c r="Y44" s="1037"/>
      <c r="Z44" s="1117"/>
    </row>
    <row r="45" spans="1:28" s="985" customFormat="1" ht="10.8">
      <c r="A45" s="985" t="e">
        <f>IS!#REF!</f>
        <v>#REF!</v>
      </c>
      <c r="E45" s="988"/>
      <c r="F45" s="988" t="e">
        <f>IS!#REF!</f>
        <v>#REF!</v>
      </c>
      <c r="G45" s="988"/>
      <c r="H45" s="988"/>
      <c r="I45" s="988"/>
      <c r="J45" s="988"/>
      <c r="K45" s="988" t="e">
        <f>IS!#REF!</f>
        <v>#REF!</v>
      </c>
      <c r="L45" s="988"/>
      <c r="M45" s="988"/>
      <c r="N45" s="988"/>
      <c r="O45" s="988"/>
      <c r="P45" s="988"/>
      <c r="Q45" s="986">
        <v>0</v>
      </c>
      <c r="R45" s="986"/>
      <c r="S45" s="986" t="e">
        <f>IS!#REF!</f>
        <v>#REF!</v>
      </c>
      <c r="T45" s="986"/>
      <c r="U45" s="986"/>
      <c r="W45" s="986"/>
      <c r="X45" s="986"/>
      <c r="Y45" s="1037"/>
      <c r="Z45" s="1117"/>
    </row>
    <row r="46" spans="1:28" s="985" customFormat="1" ht="10.8">
      <c r="E46" s="988"/>
      <c r="F46" s="988"/>
      <c r="G46" s="988"/>
      <c r="H46" s="988"/>
      <c r="I46" s="988"/>
      <c r="J46" s="988"/>
      <c r="K46" s="988"/>
      <c r="L46" s="988"/>
      <c r="M46" s="988"/>
      <c r="N46" s="988"/>
      <c r="O46" s="988"/>
      <c r="P46" s="988"/>
      <c r="Q46" s="986"/>
      <c r="R46" s="986"/>
      <c r="S46" s="986"/>
      <c r="T46" s="986"/>
      <c r="U46" s="986"/>
      <c r="W46" s="986"/>
      <c r="X46" s="986"/>
      <c r="Y46" s="1037"/>
      <c r="Z46" s="1117"/>
    </row>
    <row r="47" spans="1:28" s="985" customFormat="1" ht="10.8">
      <c r="A47" s="985" t="s">
        <v>2318</v>
      </c>
      <c r="E47" s="988"/>
      <c r="F47" s="988"/>
      <c r="G47" s="988"/>
      <c r="H47" s="988"/>
      <c r="I47" s="988"/>
      <c r="J47" s="988"/>
      <c r="K47" s="988"/>
      <c r="L47" s="988"/>
      <c r="M47" s="988"/>
      <c r="N47" s="988"/>
      <c r="O47" s="988"/>
      <c r="P47" s="988"/>
      <c r="Q47" s="986"/>
      <c r="R47" s="986"/>
      <c r="S47" s="986"/>
      <c r="T47" s="986"/>
      <c r="U47" s="986"/>
      <c r="W47" s="986"/>
      <c r="X47" s="986"/>
      <c r="Y47" s="1037"/>
      <c r="Z47" s="1117"/>
    </row>
    <row r="48" spans="1:28" s="985" customFormat="1" ht="10.8">
      <c r="A48" s="985" t="s">
        <v>2319</v>
      </c>
      <c r="E48" s="988"/>
      <c r="F48" s="988">
        <v>0</v>
      </c>
      <c r="G48" s="988"/>
      <c r="H48" s="988"/>
      <c r="I48" s="988"/>
      <c r="J48" s="988"/>
      <c r="K48" s="988">
        <v>0</v>
      </c>
      <c r="L48" s="988"/>
      <c r="M48" s="988"/>
      <c r="N48" s="988"/>
      <c r="O48" s="988"/>
      <c r="P48" s="988"/>
      <c r="Q48" s="986">
        <v>0</v>
      </c>
      <c r="R48" s="986"/>
      <c r="S48" s="986">
        <v>0</v>
      </c>
      <c r="T48" s="986"/>
      <c r="U48" s="986">
        <v>0</v>
      </c>
      <c r="W48" s="986">
        <v>0</v>
      </c>
      <c r="X48" s="986"/>
      <c r="Y48" s="1037"/>
      <c r="Z48" s="1117"/>
    </row>
    <row r="49" spans="1:26" s="985" customFormat="1" ht="10.8">
      <c r="E49" s="988"/>
      <c r="F49" s="988"/>
      <c r="G49" s="988"/>
      <c r="H49" s="988"/>
      <c r="I49" s="988"/>
      <c r="J49" s="988"/>
      <c r="K49" s="988"/>
      <c r="L49" s="988"/>
      <c r="M49" s="988"/>
      <c r="N49" s="988"/>
      <c r="O49" s="988"/>
      <c r="P49" s="988"/>
      <c r="Q49" s="986"/>
      <c r="R49" s="986"/>
      <c r="S49" s="986"/>
      <c r="T49" s="986"/>
      <c r="U49" s="986"/>
      <c r="W49" s="986"/>
      <c r="X49" s="986"/>
      <c r="Y49" s="1037"/>
      <c r="Z49" s="1117"/>
    </row>
    <row r="50" spans="1:26" s="985" customFormat="1" ht="11.4" thickBot="1">
      <c r="A50" s="1159" t="s">
        <v>2320</v>
      </c>
      <c r="E50" s="988"/>
      <c r="F50" s="1170" t="e">
        <f>F39+F43+F45-F48</f>
        <v>#REF!</v>
      </c>
      <c r="G50" s="988"/>
      <c r="H50" s="988"/>
      <c r="I50" s="988"/>
      <c r="J50" s="988"/>
      <c r="K50" s="1170" t="e">
        <f>K39+K43+K45-K48</f>
        <v>#REF!</v>
      </c>
      <c r="L50" s="988"/>
      <c r="M50" s="988"/>
      <c r="N50" s="988"/>
      <c r="O50" s="988"/>
      <c r="P50" s="988"/>
      <c r="Q50" s="1161" t="e">
        <f>Q39+Q43+#REF!+Q48+Q45</f>
        <v>#REF!</v>
      </c>
      <c r="R50" s="1126"/>
      <c r="S50" s="1161" t="e">
        <f>S39+S43+#REF!+S48+S45</f>
        <v>#REF!</v>
      </c>
      <c r="T50" s="986"/>
      <c r="U50" s="1162" t="e">
        <f>U39+U43+#REF!+U48</f>
        <v>#REF!</v>
      </c>
      <c r="W50" s="1162" t="e">
        <f>W39+W43+#REF!+W48</f>
        <v>#REF!</v>
      </c>
      <c r="X50" s="986"/>
      <c r="Y50" s="1037"/>
      <c r="Z50" s="1117"/>
    </row>
    <row r="51" spans="1:26" s="985" customFormat="1" ht="11.4" thickTop="1">
      <c r="E51" s="988"/>
      <c r="F51" s="988"/>
      <c r="G51" s="988"/>
      <c r="H51" s="988"/>
      <c r="I51" s="988"/>
      <c r="J51" s="988"/>
      <c r="K51" s="988"/>
      <c r="L51" s="988"/>
      <c r="M51" s="988"/>
      <c r="N51" s="988"/>
      <c r="O51" s="988"/>
      <c r="P51" s="988"/>
      <c r="Q51" s="986"/>
      <c r="R51" s="986"/>
      <c r="S51" s="986"/>
      <c r="T51" s="986"/>
      <c r="U51" s="986"/>
      <c r="W51" s="986"/>
      <c r="X51" s="986"/>
      <c r="Y51" s="1037"/>
      <c r="Z51" s="1117"/>
    </row>
    <row r="52" spans="1:26" s="985" customFormat="1" ht="10.8">
      <c r="A52" s="1164" t="s">
        <v>2321</v>
      </c>
      <c r="E52" s="988"/>
      <c r="F52" s="988"/>
      <c r="G52" s="988"/>
      <c r="H52" s="988"/>
      <c r="I52" s="988"/>
      <c r="J52" s="988"/>
      <c r="K52" s="988"/>
      <c r="L52" s="988"/>
      <c r="M52" s="988"/>
      <c r="N52" s="988"/>
      <c r="O52" s="988"/>
      <c r="P52" s="988"/>
      <c r="Q52" s="986"/>
      <c r="R52" s="986"/>
      <c r="S52" s="986"/>
      <c r="T52" s="986"/>
      <c r="U52" s="986"/>
      <c r="W52" s="986"/>
      <c r="X52" s="986"/>
      <c r="Y52" s="1037"/>
      <c r="Z52" s="1117"/>
    </row>
    <row r="53" spans="1:26" s="985" customFormat="1" ht="10.8">
      <c r="B53" s="985" t="s">
        <v>2314</v>
      </c>
      <c r="E53" s="988"/>
      <c r="F53" s="1141" t="e">
        <f>F55-F54</f>
        <v>#REF!</v>
      </c>
      <c r="G53" s="988"/>
      <c r="H53" s="988"/>
      <c r="I53" s="988"/>
      <c r="J53" s="988"/>
      <c r="K53" s="1141" t="e">
        <f>K55-K54</f>
        <v>#REF!</v>
      </c>
      <c r="L53" s="988"/>
      <c r="M53" s="988"/>
      <c r="N53" s="988"/>
      <c r="O53" s="988"/>
      <c r="P53" s="988"/>
      <c r="Q53" s="986" t="e">
        <f>Q55-Q54</f>
        <v>#REF!</v>
      </c>
      <c r="R53" s="986"/>
      <c r="S53" s="986" t="e">
        <f>S55-S54</f>
        <v>#REF!</v>
      </c>
      <c r="T53" s="986"/>
      <c r="U53" s="986" t="e">
        <f>U55-U54</f>
        <v>#REF!</v>
      </c>
      <c r="W53" s="986"/>
      <c r="X53" s="986"/>
      <c r="Y53" s="1037"/>
      <c r="Z53" s="1117"/>
    </row>
    <row r="54" spans="1:26" s="985" customFormat="1" ht="10.8">
      <c r="B54" s="1078" t="s">
        <v>2375</v>
      </c>
      <c r="E54" s="988"/>
      <c r="F54" s="1147">
        <f>IS!H15</f>
        <v>-813834.11999999546</v>
      </c>
      <c r="G54" s="988"/>
      <c r="H54" s="988"/>
      <c r="I54" s="988"/>
      <c r="J54" s="988"/>
      <c r="K54" s="1147">
        <f>IS!$J$15</f>
        <v>1235644</v>
      </c>
      <c r="L54" s="988"/>
      <c r="M54" s="988"/>
      <c r="N54" s="988"/>
      <c r="O54" s="988"/>
      <c r="P54" s="988"/>
      <c r="Q54" s="986">
        <f>IS!H15</f>
        <v>-813834.11999999546</v>
      </c>
      <c r="R54" s="986"/>
      <c r="S54" s="986">
        <f>IS!J15</f>
        <v>1235644</v>
      </c>
      <c r="T54" s="986"/>
      <c r="U54" s="986" t="e">
        <f>IS!#REF!</f>
        <v>#REF!</v>
      </c>
      <c r="W54" s="986"/>
      <c r="X54" s="986"/>
      <c r="Y54" s="1037"/>
      <c r="Z54" s="1117"/>
    </row>
    <row r="55" spans="1:26" s="985" customFormat="1" ht="11.4" thickBot="1">
      <c r="E55" s="988"/>
      <c r="F55" s="1196" t="e">
        <f>F50</f>
        <v>#REF!</v>
      </c>
      <c r="G55" s="988"/>
      <c r="H55" s="988"/>
      <c r="I55" s="988"/>
      <c r="J55" s="988"/>
      <c r="K55" s="1196" t="e">
        <f>K50</f>
        <v>#REF!</v>
      </c>
      <c r="L55" s="988"/>
      <c r="M55" s="988"/>
      <c r="N55" s="988"/>
      <c r="O55" s="988"/>
      <c r="P55" s="988"/>
      <c r="Q55" s="1162" t="e">
        <f>Q50</f>
        <v>#REF!</v>
      </c>
      <c r="R55" s="986"/>
      <c r="S55" s="1162" t="e">
        <f>S50</f>
        <v>#REF!</v>
      </c>
      <c r="T55" s="986"/>
      <c r="U55" s="1162" t="e">
        <f>U50</f>
        <v>#REF!</v>
      </c>
      <c r="W55" s="986"/>
      <c r="X55" s="986"/>
      <c r="Y55" s="1037"/>
      <c r="Z55" s="1117"/>
    </row>
    <row r="56" spans="1:26" s="985" customFormat="1" ht="10.5" customHeight="1" thickTop="1">
      <c r="A56" s="1171"/>
      <c r="E56" s="988"/>
      <c r="F56" s="988"/>
      <c r="G56" s="988"/>
      <c r="H56" s="988"/>
      <c r="I56" s="988"/>
      <c r="J56" s="988"/>
      <c r="K56" s="988"/>
      <c r="L56" s="988"/>
      <c r="M56" s="988"/>
      <c r="N56" s="988"/>
      <c r="O56" s="988"/>
      <c r="P56" s="988"/>
      <c r="Q56" s="986"/>
      <c r="R56" s="986"/>
      <c r="S56" s="986"/>
      <c r="T56" s="986"/>
      <c r="U56" s="986"/>
      <c r="W56" s="986"/>
      <c r="X56" s="986"/>
      <c r="Y56" s="1037"/>
      <c r="Z56" s="1117">
        <f t="shared" ref="Z56:Z83" si="0">Q56-U56</f>
        <v>0</v>
      </c>
    </row>
    <row r="57" spans="1:26" s="985" customFormat="1" ht="0.75" hidden="1" customHeight="1">
      <c r="A57" s="1150" t="s">
        <v>1009</v>
      </c>
      <c r="E57" s="988"/>
      <c r="F57" s="988"/>
      <c r="G57" s="988"/>
      <c r="H57" s="988"/>
      <c r="I57" s="988"/>
      <c r="J57" s="988"/>
      <c r="K57" s="988"/>
      <c r="L57" s="988"/>
      <c r="M57" s="988"/>
      <c r="N57" s="988"/>
      <c r="O57" s="988"/>
      <c r="P57" s="988"/>
      <c r="Q57" s="986"/>
      <c r="R57" s="986"/>
      <c r="S57" s="986"/>
      <c r="T57" s="986"/>
      <c r="U57" s="986"/>
      <c r="W57" s="986"/>
      <c r="X57" s="986"/>
      <c r="Y57" s="1037"/>
      <c r="Z57" s="1117">
        <f t="shared" si="0"/>
        <v>0</v>
      </c>
    </row>
    <row r="58" spans="1:26" s="985" customFormat="1" ht="10.8" hidden="1">
      <c r="A58" s="1152" t="s">
        <v>1010</v>
      </c>
      <c r="E58" s="988"/>
      <c r="F58" s="988"/>
      <c r="G58" s="988"/>
      <c r="H58" s="988"/>
      <c r="I58" s="988"/>
      <c r="J58" s="988"/>
      <c r="K58" s="988"/>
      <c r="L58" s="988"/>
      <c r="M58" s="988"/>
      <c r="N58" s="988"/>
      <c r="O58" s="988"/>
      <c r="P58" s="988"/>
      <c r="Q58" s="986"/>
      <c r="R58" s="986"/>
      <c r="S58" s="986"/>
      <c r="T58" s="986"/>
      <c r="U58" s="986"/>
      <c r="W58" s="986"/>
      <c r="X58" s="986"/>
      <c r="Y58" s="1037"/>
      <c r="Z58" s="1117">
        <f t="shared" si="0"/>
        <v>0</v>
      </c>
    </row>
    <row r="59" spans="1:26" s="985" customFormat="1" ht="10.8" hidden="1">
      <c r="A59" s="1172" t="s">
        <v>1011</v>
      </c>
      <c r="E59" s="988"/>
      <c r="F59" s="988"/>
      <c r="G59" s="988"/>
      <c r="H59" s="988"/>
      <c r="I59" s="988"/>
      <c r="J59" s="988"/>
      <c r="K59" s="988"/>
      <c r="L59" s="988"/>
      <c r="M59" s="988"/>
      <c r="N59" s="988"/>
      <c r="O59" s="988"/>
      <c r="P59" s="988"/>
      <c r="Q59" s="1173"/>
      <c r="R59" s="986"/>
      <c r="S59" s="1173"/>
      <c r="T59" s="986"/>
      <c r="U59" s="1173"/>
      <c r="W59" s="1173"/>
      <c r="X59" s="1037"/>
      <c r="Y59" s="1037"/>
      <c r="Z59" s="1117">
        <f t="shared" si="0"/>
        <v>0</v>
      </c>
    </row>
    <row r="60" spans="1:26" s="985" customFormat="1" ht="10.8" hidden="1">
      <c r="A60" s="1174" t="s">
        <v>1012</v>
      </c>
      <c r="E60" s="988"/>
      <c r="F60" s="988"/>
      <c r="G60" s="988"/>
      <c r="H60" s="988"/>
      <c r="I60" s="988"/>
      <c r="J60" s="988"/>
      <c r="K60" s="988"/>
      <c r="L60" s="988"/>
      <c r="M60" s="988"/>
      <c r="N60" s="988"/>
      <c r="O60" s="988"/>
      <c r="P60" s="988"/>
      <c r="Q60" s="1134"/>
      <c r="R60" s="986"/>
      <c r="S60" s="1134"/>
      <c r="T60" s="986"/>
      <c r="U60" s="1134"/>
      <c r="W60" s="1134"/>
      <c r="X60" s="1037"/>
      <c r="Y60" s="1037"/>
      <c r="Z60" s="1117">
        <f t="shared" si="0"/>
        <v>0</v>
      </c>
    </row>
    <row r="61" spans="1:26" s="985" customFormat="1" ht="10.8" hidden="1">
      <c r="A61" s="1153"/>
      <c r="B61" s="1154" t="s">
        <v>1096</v>
      </c>
      <c r="E61" s="988"/>
      <c r="F61" s="988"/>
      <c r="G61" s="988"/>
      <c r="H61" s="988"/>
      <c r="I61" s="988"/>
      <c r="J61" s="988"/>
      <c r="K61" s="988"/>
      <c r="L61" s="988"/>
      <c r="M61" s="988"/>
      <c r="N61" s="988"/>
      <c r="O61" s="988"/>
      <c r="P61" s="988"/>
      <c r="Q61" s="1134" t="e">
        <f>-IS!#REF!</f>
        <v>#REF!</v>
      </c>
      <c r="R61" s="986"/>
      <c r="S61" s="1134">
        <v>-61486</v>
      </c>
      <c r="T61" s="986"/>
      <c r="U61" s="1134" t="e">
        <f>ROUND(Q61-Y61,0)-0.5</f>
        <v>#REF!</v>
      </c>
      <c r="W61" s="1134">
        <v>-36477</v>
      </c>
      <c r="X61" s="1037"/>
      <c r="Y61" s="1037">
        <v>-8425.75</v>
      </c>
      <c r="Z61" s="987" t="e">
        <f t="shared" si="0"/>
        <v>#REF!</v>
      </c>
    </row>
    <row r="62" spans="1:26" s="985" customFormat="1" ht="10.8" hidden="1">
      <c r="A62" s="1153"/>
      <c r="B62" s="1154" t="s">
        <v>1095</v>
      </c>
      <c r="E62" s="988"/>
      <c r="F62" s="988"/>
      <c r="G62" s="988"/>
      <c r="H62" s="988"/>
      <c r="I62" s="988"/>
      <c r="J62" s="988"/>
      <c r="K62" s="988"/>
      <c r="L62" s="988"/>
      <c r="M62" s="988"/>
      <c r="N62" s="988"/>
      <c r="O62" s="988"/>
      <c r="P62" s="988"/>
      <c r="Q62" s="1134" t="e">
        <f>-IS!#REF!</f>
        <v>#REF!</v>
      </c>
      <c r="R62" s="986"/>
      <c r="S62" s="1134">
        <v>5554</v>
      </c>
      <c r="T62" s="986"/>
      <c r="U62" s="1134" t="e">
        <f>Q62-Y62-0.1</f>
        <v>#REF!</v>
      </c>
      <c r="W62" s="1134">
        <v>2806</v>
      </c>
      <c r="X62" s="1037"/>
      <c r="Y62" s="1037">
        <v>2100</v>
      </c>
      <c r="Z62" s="1117" t="e">
        <f t="shared" si="0"/>
        <v>#REF!</v>
      </c>
    </row>
    <row r="63" spans="1:26" s="985" customFormat="1" ht="10.8" hidden="1">
      <c r="A63" s="1172" t="s">
        <v>1102</v>
      </c>
      <c r="E63" s="988"/>
      <c r="F63" s="988"/>
      <c r="G63" s="988"/>
      <c r="H63" s="988"/>
      <c r="I63" s="988"/>
      <c r="J63" s="988"/>
      <c r="K63" s="988"/>
      <c r="L63" s="988"/>
      <c r="M63" s="988"/>
      <c r="N63" s="988"/>
      <c r="O63" s="988"/>
      <c r="P63" s="988"/>
      <c r="Q63" s="1134"/>
      <c r="R63" s="986"/>
      <c r="S63" s="1134"/>
      <c r="T63" s="986"/>
      <c r="U63" s="1134"/>
      <c r="W63" s="1134"/>
      <c r="X63" s="1037"/>
      <c r="Y63" s="1037"/>
      <c r="Z63" s="1117">
        <f t="shared" si="0"/>
        <v>0</v>
      </c>
    </row>
    <row r="64" spans="1:26" s="985" customFormat="1" ht="10.8" hidden="1">
      <c r="A64" s="1174" t="s">
        <v>1013</v>
      </c>
      <c r="E64" s="988"/>
      <c r="F64" s="988"/>
      <c r="G64" s="988"/>
      <c r="H64" s="988"/>
      <c r="I64" s="988"/>
      <c r="J64" s="988"/>
      <c r="K64" s="988"/>
      <c r="L64" s="988"/>
      <c r="M64" s="988"/>
      <c r="N64" s="988"/>
      <c r="O64" s="988"/>
      <c r="P64" s="988"/>
      <c r="Q64" s="1137">
        <f>-DS!$E$16</f>
        <v>0</v>
      </c>
      <c r="R64" s="986"/>
      <c r="S64" s="1137">
        <v>-570912</v>
      </c>
      <c r="T64" s="986"/>
      <c r="U64" s="1137">
        <f>ROUND(Q64-Y64,0)</f>
        <v>44101</v>
      </c>
      <c r="W64" s="1137">
        <v>-255428</v>
      </c>
      <c r="X64" s="1037"/>
      <c r="Y64" s="1037">
        <v>-44100.75</v>
      </c>
      <c r="Z64" s="1117">
        <f t="shared" si="0"/>
        <v>-44101</v>
      </c>
    </row>
    <row r="65" spans="1:26" s="985" customFormat="1" ht="10.8" hidden="1">
      <c r="A65" s="1171"/>
      <c r="E65" s="988"/>
      <c r="F65" s="988"/>
      <c r="G65" s="988"/>
      <c r="H65" s="988"/>
      <c r="I65" s="988"/>
      <c r="J65" s="988"/>
      <c r="K65" s="988"/>
      <c r="L65" s="988"/>
      <c r="M65" s="988"/>
      <c r="N65" s="988"/>
      <c r="O65" s="988"/>
      <c r="P65" s="988"/>
      <c r="Q65" s="986" t="e">
        <f>SUM(Q59:Q64)</f>
        <v>#REF!</v>
      </c>
      <c r="R65" s="986"/>
      <c r="S65" s="986">
        <f>SUM(S59:S64)</f>
        <v>-626844</v>
      </c>
      <c r="T65" s="986"/>
      <c r="U65" s="986" t="e">
        <f>SUM(U59:U64)</f>
        <v>#REF!</v>
      </c>
      <c r="W65" s="986">
        <f>SUM(W59:W64)</f>
        <v>-289099</v>
      </c>
      <c r="X65" s="986"/>
      <c r="Y65" s="1037">
        <f>SUM(Y59:Y64)</f>
        <v>-50426.5</v>
      </c>
      <c r="Z65" s="1117" t="e">
        <f t="shared" si="0"/>
        <v>#REF!</v>
      </c>
    </row>
    <row r="66" spans="1:26" s="985" customFormat="1" ht="10.8" hidden="1">
      <c r="A66" s="1171"/>
      <c r="E66" s="988"/>
      <c r="F66" s="988"/>
      <c r="G66" s="988"/>
      <c r="H66" s="988"/>
      <c r="I66" s="988"/>
      <c r="J66" s="988"/>
      <c r="K66" s="988"/>
      <c r="L66" s="988"/>
      <c r="M66" s="988"/>
      <c r="N66" s="988"/>
      <c r="O66" s="988"/>
      <c r="P66" s="988"/>
      <c r="Q66" s="986"/>
      <c r="R66" s="986"/>
      <c r="S66" s="986"/>
      <c r="T66" s="986"/>
      <c r="U66" s="986"/>
      <c r="W66" s="986"/>
      <c r="X66" s="986"/>
      <c r="Y66" s="1037"/>
      <c r="Z66" s="1117">
        <f t="shared" si="0"/>
        <v>0</v>
      </c>
    </row>
    <row r="67" spans="1:26" s="985" customFormat="1" ht="10.8" hidden="1">
      <c r="A67" s="1150" t="s">
        <v>1101</v>
      </c>
      <c r="E67" s="988"/>
      <c r="F67" s="988"/>
      <c r="G67" s="988"/>
      <c r="H67" s="988"/>
      <c r="I67" s="988"/>
      <c r="J67" s="988"/>
      <c r="K67" s="988"/>
      <c r="L67" s="988"/>
      <c r="M67" s="988"/>
      <c r="N67" s="988"/>
      <c r="O67" s="988"/>
      <c r="P67" s="988"/>
      <c r="Q67" s="986"/>
      <c r="R67" s="986"/>
      <c r="S67" s="986"/>
      <c r="T67" s="986"/>
      <c r="U67" s="986"/>
      <c r="W67" s="986"/>
      <c r="X67" s="986"/>
      <c r="Y67" s="1037"/>
      <c r="Z67" s="1117">
        <f t="shared" si="0"/>
        <v>0</v>
      </c>
    </row>
    <row r="68" spans="1:26" s="985" customFormat="1" ht="10.8" hidden="1">
      <c r="A68" s="1152" t="s">
        <v>1091</v>
      </c>
      <c r="E68" s="988"/>
      <c r="F68" s="988"/>
      <c r="G68" s="988"/>
      <c r="H68" s="988"/>
      <c r="I68" s="988"/>
      <c r="J68" s="988"/>
      <c r="K68" s="988"/>
      <c r="L68" s="988"/>
      <c r="M68" s="988"/>
      <c r="N68" s="988"/>
      <c r="O68" s="988"/>
      <c r="P68" s="988"/>
      <c r="Q68" s="986"/>
      <c r="R68" s="986"/>
      <c r="S68" s="986"/>
      <c r="T68" s="986"/>
      <c r="U68" s="986"/>
      <c r="W68" s="986"/>
      <c r="X68" s="986"/>
      <c r="Y68" s="1037"/>
      <c r="Z68" s="1117">
        <f t="shared" si="0"/>
        <v>0</v>
      </c>
    </row>
    <row r="69" spans="1:26" s="985" customFormat="1" ht="10.5" hidden="1" customHeight="1">
      <c r="A69" s="1175" t="s">
        <v>1090</v>
      </c>
      <c r="E69" s="988"/>
      <c r="F69" s="988"/>
      <c r="G69" s="988"/>
      <c r="H69" s="988"/>
      <c r="I69" s="988"/>
      <c r="J69" s="988"/>
      <c r="K69" s="988"/>
      <c r="L69" s="988"/>
      <c r="M69" s="988"/>
      <c r="N69" s="988"/>
      <c r="O69" s="988"/>
      <c r="P69" s="988"/>
      <c r="Q69" s="986">
        <f>-Q64</f>
        <v>0</v>
      </c>
      <c r="R69" s="986"/>
      <c r="S69" s="986">
        <v>570912</v>
      </c>
      <c r="T69" s="986"/>
      <c r="U69" s="986">
        <f>ROUND(Q69-Y69,0)</f>
        <v>-44101</v>
      </c>
      <c r="W69" s="986">
        <v>255428</v>
      </c>
      <c r="X69" s="986"/>
      <c r="Y69" s="1037">
        <v>44100.75</v>
      </c>
      <c r="Z69" s="1117">
        <f t="shared" si="0"/>
        <v>44101</v>
      </c>
    </row>
    <row r="70" spans="1:26" s="985" customFormat="1" ht="10.8" hidden="1">
      <c r="A70" s="1171"/>
      <c r="E70" s="988"/>
      <c r="F70" s="988"/>
      <c r="G70" s="988"/>
      <c r="H70" s="988"/>
      <c r="I70" s="988"/>
      <c r="J70" s="988"/>
      <c r="K70" s="988"/>
      <c r="L70" s="988"/>
      <c r="M70" s="988"/>
      <c r="N70" s="988"/>
      <c r="O70" s="988"/>
      <c r="P70" s="988"/>
      <c r="Q70" s="986"/>
      <c r="R70" s="986"/>
      <c r="S70" s="986"/>
      <c r="T70" s="986"/>
      <c r="U70" s="986"/>
      <c r="W70" s="986"/>
      <c r="X70" s="986"/>
      <c r="Y70" s="1037"/>
      <c r="Z70" s="1117">
        <f t="shared" si="0"/>
        <v>0</v>
      </c>
    </row>
    <row r="71" spans="1:26" s="985" customFormat="1" ht="10.8" hidden="1">
      <c r="A71" s="985" t="s">
        <v>1014</v>
      </c>
      <c r="E71" s="988"/>
      <c r="F71" s="988"/>
      <c r="G71" s="988"/>
      <c r="H71" s="988"/>
      <c r="I71" s="988"/>
      <c r="J71" s="988"/>
      <c r="K71" s="988"/>
      <c r="L71" s="988"/>
      <c r="M71" s="988"/>
      <c r="N71" s="988"/>
      <c r="O71" s="988"/>
      <c r="P71" s="988"/>
      <c r="Q71" s="1173">
        <f>IS!$H$10</f>
        <v>-25206</v>
      </c>
      <c r="R71" s="986"/>
      <c r="S71" s="1173">
        <v>147253</v>
      </c>
      <c r="T71" s="986"/>
      <c r="U71" s="1173">
        <f>Q71-Y71</f>
        <v>-394368</v>
      </c>
      <c r="W71" s="1173">
        <v>14084</v>
      </c>
      <c r="X71" s="1037"/>
      <c r="Y71" s="1037">
        <v>369162</v>
      </c>
      <c r="Z71" s="1117">
        <f t="shared" si="0"/>
        <v>369162</v>
      </c>
    </row>
    <row r="72" spans="1:26" s="985" customFormat="1" ht="10.8" hidden="1">
      <c r="E72" s="988"/>
      <c r="F72" s="988"/>
      <c r="G72" s="988"/>
      <c r="H72" s="988"/>
      <c r="I72" s="988"/>
      <c r="J72" s="988"/>
      <c r="K72" s="988"/>
      <c r="L72" s="988"/>
      <c r="M72" s="988"/>
      <c r="N72" s="988"/>
      <c r="O72" s="988"/>
      <c r="P72" s="988"/>
      <c r="Q72" s="1134"/>
      <c r="R72" s="986"/>
      <c r="S72" s="1134"/>
      <c r="T72" s="986"/>
      <c r="U72" s="1134"/>
      <c r="W72" s="1134"/>
      <c r="X72" s="1037"/>
      <c r="Y72" s="1037"/>
      <c r="Z72" s="1176">
        <f t="shared" si="0"/>
        <v>0</v>
      </c>
    </row>
    <row r="73" spans="1:26" s="985" customFormat="1" ht="10.8" hidden="1">
      <c r="A73" s="985" t="s">
        <v>1099</v>
      </c>
      <c r="E73" s="988"/>
      <c r="F73" s="988"/>
      <c r="G73" s="988"/>
      <c r="H73" s="988"/>
      <c r="I73" s="988"/>
      <c r="J73" s="988"/>
      <c r="K73" s="988"/>
      <c r="L73" s="988"/>
      <c r="M73" s="988"/>
      <c r="N73" s="988"/>
      <c r="O73" s="988"/>
      <c r="P73" s="988"/>
      <c r="Q73" s="1177"/>
      <c r="S73" s="1178"/>
      <c r="U73" s="1177"/>
      <c r="W73" s="1178"/>
      <c r="X73" s="989"/>
      <c r="Y73" s="989"/>
      <c r="Z73" s="1117">
        <f t="shared" si="0"/>
        <v>0</v>
      </c>
    </row>
    <row r="74" spans="1:26" s="985" customFormat="1" ht="10.8" hidden="1">
      <c r="A74" s="1171" t="s">
        <v>1015</v>
      </c>
      <c r="E74" s="988"/>
      <c r="F74" s="988"/>
      <c r="G74" s="988"/>
      <c r="H74" s="988"/>
      <c r="I74" s="988"/>
      <c r="J74" s="988"/>
      <c r="K74" s="988"/>
      <c r="L74" s="988"/>
      <c r="M74" s="988"/>
      <c r="N74" s="988"/>
      <c r="O74" s="988"/>
      <c r="P74" s="988"/>
      <c r="Q74" s="1177"/>
      <c r="R74" s="1179"/>
      <c r="S74" s="1177"/>
      <c r="T74" s="1179"/>
      <c r="U74" s="1177"/>
      <c r="W74" s="1180"/>
      <c r="X74" s="1179"/>
      <c r="Y74" s="1179"/>
      <c r="Z74" s="1117">
        <f t="shared" si="0"/>
        <v>0</v>
      </c>
    </row>
    <row r="75" spans="1:26" s="985" customFormat="1" ht="10.8" hidden="1">
      <c r="A75" s="1171" t="s">
        <v>1016</v>
      </c>
      <c r="E75" s="988"/>
      <c r="F75" s="988"/>
      <c r="G75" s="988"/>
      <c r="H75" s="988"/>
      <c r="I75" s="988"/>
      <c r="J75" s="988"/>
      <c r="K75" s="988"/>
      <c r="L75" s="988"/>
      <c r="M75" s="988"/>
      <c r="N75" s="988"/>
      <c r="O75" s="988"/>
      <c r="P75" s="988"/>
      <c r="Q75" s="1177">
        <f>IS!$H$15</f>
        <v>-813834.11999999546</v>
      </c>
      <c r="R75" s="1179"/>
      <c r="S75" s="1177">
        <v>110653</v>
      </c>
      <c r="T75" s="1179"/>
      <c r="U75" s="1177">
        <f>ROUND(Q75-Y75,0)</f>
        <v>-811656</v>
      </c>
      <c r="W75" s="1177">
        <v>87096</v>
      </c>
      <c r="X75" s="1145"/>
      <c r="Y75" s="1145">
        <v>-2177.75</v>
      </c>
      <c r="Z75" s="1117">
        <f t="shared" si="0"/>
        <v>-2178.1199999954551</v>
      </c>
    </row>
    <row r="76" spans="1:26" s="985" customFormat="1" ht="10.8" hidden="1">
      <c r="A76" s="1181"/>
      <c r="E76" s="988"/>
      <c r="F76" s="988"/>
      <c r="G76" s="988"/>
      <c r="H76" s="988"/>
      <c r="I76" s="988"/>
      <c r="J76" s="988"/>
      <c r="K76" s="988"/>
      <c r="L76" s="988"/>
      <c r="M76" s="988"/>
      <c r="N76" s="988"/>
      <c r="O76" s="988"/>
      <c r="P76" s="988"/>
      <c r="Q76" s="1177"/>
      <c r="R76" s="1179"/>
      <c r="S76" s="1177"/>
      <c r="T76" s="1179"/>
      <c r="U76" s="1177"/>
      <c r="W76" s="1180"/>
      <c r="X76" s="1179"/>
      <c r="Y76" s="1179"/>
      <c r="Z76" s="1117">
        <f t="shared" si="0"/>
        <v>0</v>
      </c>
    </row>
    <row r="77" spans="1:26" s="985" customFormat="1" ht="10.8" hidden="1">
      <c r="A77" s="984" t="s">
        <v>1017</v>
      </c>
      <c r="E77" s="988"/>
      <c r="F77" s="988"/>
      <c r="G77" s="988"/>
      <c r="H77" s="988"/>
      <c r="I77" s="988"/>
      <c r="J77" s="988"/>
      <c r="K77" s="988"/>
      <c r="L77" s="988"/>
      <c r="M77" s="988"/>
      <c r="N77" s="988"/>
      <c r="O77" s="988"/>
      <c r="P77" s="988"/>
      <c r="Q77" s="1134" t="e">
        <f>IS!H11+IS!H12+IS!H13-IS!H35+IS!#REF!+IS!#REF!</f>
        <v>#REF!</v>
      </c>
      <c r="R77" s="1182"/>
      <c r="S77" s="1134">
        <v>109894</v>
      </c>
      <c r="T77" s="1182"/>
      <c r="U77" s="1134" t="e">
        <f>ROUND(Q77-Y77,0)</f>
        <v>#REF!</v>
      </c>
      <c r="W77" s="1177">
        <v>56115</v>
      </c>
      <c r="X77" s="1145"/>
      <c r="Y77" s="1037">
        <v>43407.75</v>
      </c>
      <c r="Z77" s="1117" t="e">
        <f t="shared" si="0"/>
        <v>#REF!</v>
      </c>
    </row>
    <row r="78" spans="1:26" s="985" customFormat="1" ht="10.8" hidden="1">
      <c r="A78" s="984"/>
      <c r="E78" s="988"/>
      <c r="F78" s="988"/>
      <c r="G78" s="988"/>
      <c r="H78" s="988"/>
      <c r="I78" s="988"/>
      <c r="J78" s="988"/>
      <c r="K78" s="988"/>
      <c r="L78" s="988"/>
      <c r="M78" s="988"/>
      <c r="N78" s="988"/>
      <c r="O78" s="988"/>
      <c r="P78" s="988"/>
      <c r="Q78" s="1134"/>
      <c r="R78" s="1182"/>
      <c r="S78" s="1183"/>
      <c r="T78" s="1182"/>
      <c r="U78" s="1134"/>
      <c r="W78" s="1180"/>
      <c r="X78" s="1179"/>
      <c r="Y78" s="1037"/>
      <c r="Z78" s="1117">
        <f t="shared" si="0"/>
        <v>0</v>
      </c>
    </row>
    <row r="79" spans="1:26" s="985" customFormat="1" ht="10.8" hidden="1">
      <c r="A79" s="984" t="s">
        <v>1094</v>
      </c>
      <c r="E79" s="988"/>
      <c r="F79" s="988"/>
      <c r="G79" s="988"/>
      <c r="H79" s="988"/>
      <c r="I79" s="988"/>
      <c r="J79" s="988"/>
      <c r="K79" s="988"/>
      <c r="L79" s="988"/>
      <c r="M79" s="988"/>
      <c r="N79" s="988"/>
      <c r="O79" s="988"/>
      <c r="P79" s="988"/>
      <c r="Q79" s="1134"/>
      <c r="R79" s="1182"/>
      <c r="S79" s="1183"/>
      <c r="T79" s="1182"/>
      <c r="U79" s="1134"/>
      <c r="W79" s="1180"/>
      <c r="X79" s="1179"/>
      <c r="Y79" s="1037"/>
      <c r="Z79" s="1117">
        <f t="shared" si="0"/>
        <v>0</v>
      </c>
    </row>
    <row r="80" spans="1:26" s="985" customFormat="1" ht="10.8" hidden="1">
      <c r="A80" s="984" t="s">
        <v>1018</v>
      </c>
      <c r="E80" s="988"/>
      <c r="F80" s="988"/>
      <c r="G80" s="988"/>
      <c r="H80" s="988"/>
      <c r="I80" s="988"/>
      <c r="J80" s="988"/>
      <c r="K80" s="988"/>
      <c r="L80" s="988"/>
      <c r="M80" s="988"/>
      <c r="N80" s="988"/>
      <c r="O80" s="988"/>
      <c r="P80" s="988"/>
      <c r="Q80" s="1137" t="e">
        <f>OCI!#REF!</f>
        <v>#REF!</v>
      </c>
      <c r="R80" s="1182"/>
      <c r="S80" s="1184" t="e">
        <f>OCI!#REF!</f>
        <v>#REF!</v>
      </c>
      <c r="T80" s="1182"/>
      <c r="U80" s="1137" t="e">
        <f>OCI!#REF!</f>
        <v>#REF!</v>
      </c>
      <c r="W80" s="1185" t="e">
        <f>OCI!#REF!</f>
        <v>#REF!</v>
      </c>
      <c r="X80" s="1145"/>
      <c r="Y80" s="1037">
        <v>295606.25</v>
      </c>
      <c r="Z80" s="1117" t="e">
        <f t="shared" si="0"/>
        <v>#REF!</v>
      </c>
    </row>
    <row r="81" spans="1:29" s="985" customFormat="1" ht="10.8" hidden="1">
      <c r="A81" s="985" t="s">
        <v>1103</v>
      </c>
      <c r="E81" s="988"/>
      <c r="F81" s="988"/>
      <c r="G81" s="988"/>
      <c r="H81" s="988"/>
      <c r="I81" s="988"/>
      <c r="J81" s="988"/>
      <c r="K81" s="988"/>
      <c r="L81" s="988"/>
      <c r="M81" s="988"/>
      <c r="N81" s="988"/>
      <c r="O81" s="988"/>
      <c r="P81" s="988"/>
      <c r="Q81" s="986" t="e">
        <f>SUM(Q71:Q80)</f>
        <v>#REF!</v>
      </c>
      <c r="R81" s="1186"/>
      <c r="S81" s="1186" t="e">
        <f>SUM(S71:S80)</f>
        <v>#REF!</v>
      </c>
      <c r="T81" s="1186"/>
      <c r="U81" s="986" t="e">
        <f>SUM(U71:U80)</f>
        <v>#REF!</v>
      </c>
      <c r="W81" s="1187" t="e">
        <f>SUM(W71:W80)</f>
        <v>#REF!</v>
      </c>
      <c r="X81" s="1037"/>
      <c r="Y81" s="1037">
        <f>SUM(Y71:Y80)</f>
        <v>705998.25</v>
      </c>
      <c r="Z81" s="1117" t="e">
        <f t="shared" si="0"/>
        <v>#REF!</v>
      </c>
    </row>
    <row r="82" spans="1:29" s="985" customFormat="1" ht="10.8" hidden="1">
      <c r="E82" s="988"/>
      <c r="F82" s="988"/>
      <c r="G82" s="988"/>
      <c r="H82" s="988"/>
      <c r="I82" s="988"/>
      <c r="J82" s="988"/>
      <c r="K82" s="988"/>
      <c r="L82" s="988"/>
      <c r="M82" s="988"/>
      <c r="N82" s="988"/>
      <c r="O82" s="988"/>
      <c r="P82" s="988"/>
      <c r="Q82" s="986"/>
      <c r="R82" s="986"/>
      <c r="S82" s="986"/>
      <c r="T82" s="986"/>
      <c r="U82" s="986"/>
      <c r="W82" s="986"/>
      <c r="X82" s="986"/>
      <c r="Y82" s="1037"/>
      <c r="Z82" s="1117">
        <f t="shared" si="0"/>
        <v>0</v>
      </c>
    </row>
    <row r="83" spans="1:29" s="985" customFormat="1" ht="11.4" hidden="1" thickBot="1">
      <c r="A83" s="990" t="s">
        <v>66</v>
      </c>
      <c r="B83" s="990"/>
      <c r="C83" s="990"/>
      <c r="D83" s="990"/>
      <c r="E83" s="1167"/>
      <c r="F83" s="1167"/>
      <c r="G83" s="1167"/>
      <c r="H83" s="1167"/>
      <c r="I83" s="1167"/>
      <c r="J83" s="1167"/>
      <c r="K83" s="1167"/>
      <c r="L83" s="1167"/>
      <c r="M83" s="1167"/>
      <c r="N83" s="1167"/>
      <c r="O83" s="1167"/>
      <c r="P83" s="1167"/>
      <c r="Q83" s="1188" t="e">
        <f>Q81+Q69+Q65+Q21+Q10</f>
        <v>#REF!</v>
      </c>
      <c r="R83" s="1179"/>
      <c r="S83" s="1189" t="e">
        <f>S81+S69+S65+S21+S10</f>
        <v>#REF!</v>
      </c>
      <c r="T83" s="1179"/>
      <c r="U83" s="1188" t="e">
        <f>U81+U69+U65+U22+U10</f>
        <v>#REF!</v>
      </c>
      <c r="W83" s="1189" t="e">
        <f>W81+W69+W65+W22+W10</f>
        <v>#REF!</v>
      </c>
      <c r="X83" s="1190"/>
      <c r="Y83" s="1189">
        <f>Y81+Y69+Y65+Y22+Y10</f>
        <v>7910020.5</v>
      </c>
      <c r="Z83" s="1117" t="e">
        <f t="shared" si="0"/>
        <v>#REF!</v>
      </c>
    </row>
    <row r="84" spans="1:29" s="985" customFormat="1" ht="10.8">
      <c r="A84" s="990"/>
      <c r="B84" s="990"/>
      <c r="C84" s="990"/>
      <c r="D84" s="990"/>
      <c r="E84" s="1167"/>
      <c r="F84" s="1167"/>
      <c r="G84" s="1167"/>
      <c r="H84" s="1191" t="s">
        <v>2391</v>
      </c>
      <c r="I84" s="1167"/>
      <c r="J84" s="1167"/>
      <c r="K84" s="1167"/>
      <c r="L84" s="1167"/>
      <c r="M84" s="1191" t="s">
        <v>2391</v>
      </c>
      <c r="N84" s="1191"/>
      <c r="O84" s="1191"/>
      <c r="P84" s="1191"/>
      <c r="Q84" s="1145"/>
      <c r="R84" s="1179"/>
      <c r="S84" s="1179"/>
      <c r="T84" s="1179"/>
      <c r="U84" s="1145"/>
      <c r="W84" s="1179"/>
      <c r="X84" s="1179"/>
      <c r="Y84" s="1179"/>
      <c r="Z84" s="1117"/>
    </row>
    <row r="85" spans="1:29" s="985" customFormat="1" ht="10.8">
      <c r="A85" s="990"/>
      <c r="B85" s="990"/>
      <c r="C85" s="990"/>
      <c r="D85" s="990"/>
      <c r="E85" s="1167"/>
      <c r="F85" s="1167"/>
      <c r="G85" s="1167"/>
      <c r="H85" s="1195"/>
      <c r="I85" s="1195"/>
      <c r="J85" s="1195"/>
      <c r="K85" s="1195"/>
      <c r="L85" s="1195"/>
      <c r="M85" s="1195"/>
      <c r="N85" s="1167"/>
      <c r="O85" s="1167"/>
      <c r="P85" s="1167"/>
      <c r="Q85" s="1145"/>
      <c r="R85" s="1179"/>
      <c r="S85" s="1179"/>
      <c r="T85" s="1179"/>
      <c r="U85" s="1145"/>
      <c r="W85" s="1179"/>
      <c r="X85" s="1179"/>
      <c r="Y85" s="1179"/>
      <c r="Z85" s="1117"/>
    </row>
    <row r="86" spans="1:29" s="985" customFormat="1" ht="11.4" thickBot="1">
      <c r="A86" s="1164" t="s">
        <v>2424</v>
      </c>
      <c r="E86" s="988"/>
      <c r="F86" s="988"/>
      <c r="G86" s="988"/>
      <c r="H86" s="1194">
        <v>102.5017</v>
      </c>
      <c r="I86" s="988"/>
      <c r="J86" s="988"/>
      <c r="K86" s="988"/>
      <c r="L86" s="988"/>
      <c r="M86" s="1194">
        <v>87.091300000000004</v>
      </c>
      <c r="N86" s="1192"/>
      <c r="O86" s="1192"/>
      <c r="P86" s="1192"/>
      <c r="Q86" s="1163">
        <v>102.50165971109922</v>
      </c>
      <c r="R86" s="1163"/>
      <c r="S86" s="1163">
        <v>87.091283879661859</v>
      </c>
      <c r="T86" s="1179"/>
      <c r="U86" s="1145"/>
      <c r="W86" s="1179"/>
      <c r="X86" s="1179"/>
      <c r="Y86" s="1179"/>
      <c r="Z86" s="1117"/>
    </row>
    <row r="87" spans="1:29" s="985" customFormat="1" ht="11.4" thickTop="1">
      <c r="E87" s="988"/>
      <c r="F87" s="988"/>
      <c r="G87" s="988"/>
      <c r="H87" s="1163"/>
      <c r="I87" s="988"/>
      <c r="J87" s="988"/>
      <c r="K87" s="988"/>
      <c r="L87" s="988"/>
      <c r="M87" s="1163"/>
      <c r="N87" s="1163"/>
      <c r="O87" s="1163"/>
      <c r="P87" s="1163"/>
      <c r="Q87" s="1163"/>
      <c r="R87" s="1163"/>
      <c r="S87" s="1163"/>
      <c r="T87" s="1179"/>
      <c r="U87" s="1145"/>
      <c r="W87" s="1179"/>
      <c r="X87" s="1179"/>
      <c r="Y87" s="1179"/>
      <c r="Z87" s="1117"/>
    </row>
    <row r="88" spans="1:29" s="985" customFormat="1" ht="11.4" thickBot="1">
      <c r="A88" s="1164" t="s">
        <v>2425</v>
      </c>
      <c r="E88" s="988"/>
      <c r="F88" s="988"/>
      <c r="G88" s="988"/>
      <c r="H88" s="1194">
        <v>91.01</v>
      </c>
      <c r="I88" s="988"/>
      <c r="J88" s="988"/>
      <c r="K88" s="988"/>
      <c r="L88" s="988"/>
      <c r="M88" s="1194">
        <v>112.15</v>
      </c>
      <c r="N88" s="1192"/>
      <c r="O88" s="1192"/>
      <c r="P88" s="1192"/>
      <c r="Q88" s="1163">
        <v>91.01</v>
      </c>
      <c r="R88" s="1163"/>
      <c r="S88" s="1163">
        <v>112.15</v>
      </c>
      <c r="T88" s="1179"/>
      <c r="U88" s="1145"/>
      <c r="W88" s="1179"/>
      <c r="X88" s="1179"/>
      <c r="Y88" s="1179"/>
      <c r="Z88" s="1117"/>
    </row>
    <row r="89" spans="1:29" ht="10.8" thickTop="1">
      <c r="E89" s="1103"/>
      <c r="F89" s="1103"/>
      <c r="G89" s="1103"/>
      <c r="H89" s="1103"/>
      <c r="I89" s="1103"/>
      <c r="J89" s="1103"/>
      <c r="K89" s="1103"/>
      <c r="L89" s="1103"/>
      <c r="M89" s="1103"/>
      <c r="N89" s="1103"/>
      <c r="O89" s="1103"/>
      <c r="P89" s="1103"/>
      <c r="Y89" s="946"/>
    </row>
    <row r="90" spans="1:29">
      <c r="A90" s="301" t="e">
        <f>BS!#REF!</f>
        <v>#REF!</v>
      </c>
      <c r="E90" s="1103"/>
      <c r="F90" s="1103"/>
      <c r="G90" s="1103"/>
      <c r="H90" s="1103"/>
      <c r="I90" s="1103"/>
      <c r="J90" s="1103"/>
      <c r="K90" s="1103"/>
      <c r="L90" s="1103"/>
      <c r="M90" s="1103"/>
      <c r="N90" s="1103"/>
      <c r="O90" s="1103"/>
      <c r="P90" s="1103"/>
      <c r="T90" s="946"/>
      <c r="U90" s="946"/>
      <c r="V90" s="946"/>
      <c r="W90" s="946"/>
      <c r="X90" s="946"/>
      <c r="Y90" s="946"/>
      <c r="Z90" s="946"/>
      <c r="AA90" s="946"/>
      <c r="AB90" s="946"/>
      <c r="AC90" s="946"/>
    </row>
    <row r="91" spans="1:29">
      <c r="E91" s="1103"/>
      <c r="F91" s="1103"/>
      <c r="G91" s="1103"/>
      <c r="H91" s="1103"/>
      <c r="I91" s="1103"/>
      <c r="J91" s="1103"/>
      <c r="K91" s="1103"/>
      <c r="L91" s="1103"/>
      <c r="M91" s="1103"/>
      <c r="N91" s="1103"/>
      <c r="O91" s="1103"/>
      <c r="P91" s="1103"/>
      <c r="T91" s="946"/>
      <c r="U91" s="946"/>
      <c r="V91" s="946"/>
      <c r="W91" s="946"/>
      <c r="X91" s="946"/>
      <c r="Y91" s="946"/>
      <c r="Z91" s="946"/>
      <c r="AA91" s="946"/>
      <c r="AB91" s="946"/>
      <c r="AC91" s="946"/>
    </row>
    <row r="92" spans="1:29">
      <c r="E92" s="1103"/>
      <c r="F92" s="1103"/>
      <c r="G92" s="1103"/>
      <c r="H92" s="1103"/>
      <c r="I92" s="1103"/>
      <c r="J92" s="1103"/>
      <c r="K92" s="1103"/>
      <c r="L92" s="1103"/>
      <c r="M92" s="1103"/>
      <c r="N92" s="1103"/>
      <c r="O92" s="1103"/>
      <c r="P92" s="1103"/>
      <c r="T92" s="946"/>
      <c r="U92" s="946"/>
      <c r="V92" s="946"/>
      <c r="W92" s="946"/>
      <c r="X92" s="946"/>
      <c r="Y92" s="946"/>
      <c r="Z92" s="946"/>
      <c r="AA92" s="946"/>
      <c r="AB92" s="946"/>
      <c r="AC92" s="946"/>
    </row>
    <row r="93" spans="1:29" s="1095" customFormat="1">
      <c r="A93" s="1090">
        <f>BS!$A$44</f>
        <v>0</v>
      </c>
      <c r="B93" s="1090"/>
      <c r="C93" s="1090"/>
      <c r="D93" s="1090"/>
      <c r="E93" s="1104"/>
      <c r="F93" s="1104"/>
      <c r="G93" s="1104"/>
      <c r="H93" s="1104"/>
      <c r="I93" s="1104"/>
      <c r="J93" s="1104"/>
      <c r="K93" s="1104"/>
      <c r="L93" s="1104"/>
      <c r="M93" s="1104"/>
      <c r="N93" s="1104"/>
      <c r="O93" s="1104"/>
      <c r="P93" s="1104"/>
      <c r="Q93" s="1090"/>
      <c r="R93" s="1090"/>
      <c r="S93" s="1090"/>
      <c r="T93" s="1090"/>
      <c r="U93" s="1090"/>
      <c r="V93" s="1090"/>
    </row>
    <row r="94" spans="1:29" s="1095" customFormat="1">
      <c r="A94" s="1091" t="str">
        <f>BS!$A$45</f>
        <v>For MCB-Arif Habib Savings and Investments Limited</v>
      </c>
      <c r="B94" s="1091"/>
      <c r="C94" s="1091"/>
      <c r="D94" s="1091"/>
      <c r="E94" s="1105"/>
      <c r="F94" s="1105"/>
      <c r="G94" s="1105"/>
      <c r="H94" s="1105"/>
      <c r="I94" s="1105"/>
      <c r="J94" s="1105"/>
      <c r="K94" s="1105"/>
      <c r="L94" s="1105"/>
      <c r="M94" s="1105"/>
      <c r="N94" s="1105"/>
      <c r="O94" s="1105"/>
      <c r="P94" s="1105"/>
      <c r="Q94" s="1091"/>
      <c r="R94" s="1091"/>
      <c r="S94" s="1091"/>
      <c r="T94" s="1091"/>
      <c r="U94" s="1091"/>
      <c r="V94" s="1091"/>
      <c r="W94" s="1091"/>
      <c r="X94" s="1091"/>
    </row>
    <row r="95" spans="1:29" s="1099" customFormat="1">
      <c r="A95" s="1096"/>
      <c r="B95" s="1092"/>
      <c r="C95" s="1092"/>
      <c r="D95" s="1092"/>
      <c r="E95" s="1092"/>
      <c r="F95" s="1092"/>
      <c r="G95" s="1092"/>
      <c r="H95" s="1092"/>
      <c r="I95" s="1092"/>
      <c r="J95" s="1092"/>
      <c r="K95" s="1092"/>
      <c r="L95" s="1092"/>
      <c r="M95" s="1092"/>
      <c r="N95" s="1092"/>
      <c r="O95" s="1092"/>
      <c r="P95" s="1092"/>
      <c r="Q95" s="1106"/>
      <c r="R95" s="1092"/>
      <c r="S95" s="1097"/>
      <c r="T95" s="1107"/>
      <c r="U95" s="1092"/>
      <c r="V95" s="1097"/>
      <c r="W95" s="1098"/>
      <c r="X95" s="1098"/>
    </row>
    <row r="96" spans="1:29" s="1099" customFormat="1">
      <c r="B96" s="1092"/>
      <c r="C96" s="1092"/>
      <c r="D96" s="1092"/>
      <c r="E96" s="1092"/>
      <c r="F96" s="1092"/>
      <c r="G96" s="1092"/>
      <c r="H96" s="1092"/>
      <c r="I96" s="1092"/>
      <c r="J96" s="1092"/>
      <c r="K96" s="1092"/>
      <c r="L96" s="1092"/>
      <c r="M96" s="1092"/>
      <c r="N96" s="1092"/>
      <c r="O96" s="1092"/>
      <c r="P96" s="1092"/>
      <c r="Q96" s="1106"/>
      <c r="R96" s="1092"/>
      <c r="S96" s="1097"/>
      <c r="T96" s="1107"/>
      <c r="U96" s="1092"/>
      <c r="V96" s="1097"/>
      <c r="W96" s="1098"/>
      <c r="X96" s="1098"/>
    </row>
    <row r="97" spans="1:24" s="1099" customFormat="1">
      <c r="B97" s="1092"/>
      <c r="C97" s="1092"/>
      <c r="D97" s="1092"/>
      <c r="E97" s="1092"/>
      <c r="F97" s="1092"/>
      <c r="G97" s="1092"/>
      <c r="H97" s="1092"/>
      <c r="I97" s="1092"/>
      <c r="J97" s="1092"/>
      <c r="K97" s="1092"/>
      <c r="L97" s="1092"/>
      <c r="M97" s="1092"/>
      <c r="N97" s="1092"/>
      <c r="O97" s="1092"/>
      <c r="P97" s="1092"/>
      <c r="Q97" s="1106"/>
      <c r="R97" s="1092"/>
      <c r="S97" s="1097"/>
      <c r="T97" s="1107"/>
      <c r="U97" s="1092"/>
      <c r="V97" s="1097"/>
      <c r="W97" s="1098"/>
      <c r="X97" s="1098"/>
    </row>
    <row r="98" spans="1:24" s="1099" customFormat="1">
      <c r="B98" s="1092"/>
      <c r="C98" s="1092"/>
      <c r="D98" s="1092"/>
      <c r="E98" s="1092"/>
      <c r="F98" s="1092"/>
      <c r="G98" s="1092"/>
      <c r="H98" s="1092"/>
      <c r="I98" s="1092"/>
      <c r="J98" s="1092"/>
      <c r="K98" s="1092"/>
      <c r="L98" s="1092"/>
      <c r="M98" s="1092"/>
      <c r="N98" s="1092"/>
      <c r="O98" s="1092"/>
      <c r="P98" s="1092"/>
      <c r="Q98" s="1106"/>
      <c r="R98" s="1092"/>
      <c r="S98" s="1097"/>
      <c r="T98" s="1107"/>
      <c r="U98" s="1092"/>
      <c r="V98" s="1097"/>
      <c r="W98" s="1098"/>
      <c r="X98" s="1098"/>
    </row>
    <row r="99" spans="1:24" s="1099" customFormat="1">
      <c r="A99" s="1100" t="str">
        <f>BS!$A$52</f>
        <v>Chief Executive Officer</v>
      </c>
      <c r="B99" s="1101"/>
      <c r="C99" s="1092"/>
      <c r="D99" s="1092"/>
      <c r="E99" s="1092"/>
      <c r="F99" s="1092"/>
      <c r="G99" s="1092"/>
      <c r="H99" s="1092"/>
      <c r="I99" s="1092"/>
      <c r="J99" s="1092"/>
      <c r="K99" s="1092"/>
      <c r="L99" s="1092"/>
      <c r="M99" s="1092"/>
      <c r="N99" s="1092"/>
      <c r="O99" s="1092"/>
      <c r="P99" s="1092"/>
      <c r="Q99" s="1106"/>
      <c r="R99" s="1092"/>
      <c r="S99" s="1108"/>
      <c r="T99" s="1107"/>
      <c r="U99" s="1092"/>
      <c r="V99" s="1097"/>
      <c r="W99" s="1098"/>
      <c r="X99" s="1098"/>
    </row>
    <row r="100" spans="1:24" s="1099" customFormat="1">
      <c r="A100" s="1102" t="e">
        <f>BS!#REF!</f>
        <v>#REF!</v>
      </c>
      <c r="B100" s="1101"/>
      <c r="C100" s="1092"/>
      <c r="D100" s="1092"/>
      <c r="E100" s="1092"/>
      <c r="F100" s="1092"/>
      <c r="G100" s="1092"/>
      <c r="H100" s="1092"/>
      <c r="I100" s="1092"/>
      <c r="J100" s="1092"/>
      <c r="K100" s="1092"/>
      <c r="L100" s="1092"/>
      <c r="M100" s="1092"/>
      <c r="N100" s="1092"/>
      <c r="O100" s="1092"/>
      <c r="P100" s="1092"/>
      <c r="Q100" s="1106"/>
      <c r="R100" s="1092"/>
      <c r="S100" s="1109"/>
      <c r="T100" s="1107"/>
      <c r="U100" s="1092"/>
      <c r="V100" s="1097"/>
      <c r="W100" s="1098"/>
      <c r="X100" s="1098"/>
    </row>
  </sheetData>
  <mergeCells count="12">
    <mergeCell ref="E5:H5"/>
    <mergeCell ref="J5:M5"/>
    <mergeCell ref="E6:H6"/>
    <mergeCell ref="J6:M6"/>
    <mergeCell ref="E7:H7"/>
    <mergeCell ref="J7:M7"/>
    <mergeCell ref="Q4:S4"/>
    <mergeCell ref="U4:W4"/>
    <mergeCell ref="Q5:S5"/>
    <mergeCell ref="U5:W5"/>
    <mergeCell ref="Q7:T7"/>
    <mergeCell ref="U7:X7"/>
  </mergeCells>
  <printOptions horizontalCentered="1"/>
  <pageMargins left="0.65" right="0.4" top="0.5" bottom="0.4" header="0.28999999999999998" footer="0.5"/>
  <pageSetup paperSize="9" fitToHeight="0" orientation="portrait" horizontalDpi="4294967295" verticalDpi="4294967295" r:id="rId1"/>
  <headerFooter alignWithMargins="0"/>
  <ignoredErrors>
    <ignoredError sqref="F23:H23" unlockedFormula="1"/>
    <ignoredError sqref="K32"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08"/>
  <sheetViews>
    <sheetView showGridLines="0" view="pageBreakPreview" zoomScale="110" zoomScaleSheetLayoutView="110" workbookViewId="0">
      <selection activeCell="H44" sqref="H44"/>
    </sheetView>
  </sheetViews>
  <sheetFormatPr defaultColWidth="9" defaultRowHeight="11.4"/>
  <cols>
    <col min="1" max="1" width="5.09765625" style="846" customWidth="1"/>
    <col min="2" max="2" width="3.59765625" style="846" customWidth="1"/>
    <col min="3" max="3" width="41.59765625" style="846" customWidth="1"/>
    <col min="4" max="5" width="5.59765625" style="846" customWidth="1"/>
    <col min="6" max="6" width="10.09765625" style="846" customWidth="1"/>
    <col min="7" max="7" width="1.59765625" style="846" customWidth="1"/>
    <col min="8" max="8" width="10.19921875" style="846" customWidth="1"/>
    <col min="9" max="9" width="1" style="846" customWidth="1"/>
    <col min="10" max="10" width="8.19921875" style="846" hidden="1" customWidth="1"/>
    <col min="11" max="11" width="1" style="846" hidden="1" customWidth="1"/>
    <col min="12" max="12" width="8.59765625" style="846" hidden="1" customWidth="1"/>
    <col min="13" max="13" width="8.59765625" style="846" customWidth="1"/>
    <col min="14" max="14" width="13.19921875" style="846" customWidth="1"/>
    <col min="15" max="15" width="14.5" style="846" bestFit="1" customWidth="1"/>
    <col min="16" max="19" width="9" style="846"/>
    <col min="20" max="20" width="9.5" style="846" bestFit="1" customWidth="1"/>
    <col min="21" max="16384" width="9" style="846"/>
  </cols>
  <sheetData>
    <row r="1" spans="1:21" ht="12">
      <c r="A1" s="536" t="str">
        <f>BS!$A$1</f>
        <v>MCB PAKISTAN STOCK MARKET FUND</v>
      </c>
      <c r="B1" s="715"/>
      <c r="C1" s="715"/>
      <c r="D1" s="715"/>
      <c r="E1" s="715"/>
      <c r="F1" s="715"/>
      <c r="G1" s="715"/>
      <c r="H1" s="715"/>
      <c r="I1" s="715"/>
      <c r="J1" s="715"/>
      <c r="L1" s="715"/>
      <c r="M1" s="715"/>
      <c r="N1" s="1086"/>
    </row>
    <row r="2" spans="1:21" ht="12">
      <c r="A2" s="715" t="s">
        <v>725</v>
      </c>
      <c r="B2" s="715"/>
      <c r="C2" s="715"/>
      <c r="D2" s="715"/>
      <c r="E2" s="715"/>
      <c r="F2" s="715"/>
      <c r="G2" s="715"/>
      <c r="H2" s="715"/>
      <c r="I2" s="715"/>
      <c r="J2" s="715"/>
      <c r="L2" s="715"/>
      <c r="M2" s="715"/>
      <c r="N2" s="715"/>
    </row>
    <row r="3" spans="1:21" ht="12">
      <c r="A3" s="715" t="str">
        <f>+IS!A3</f>
        <v>FOR THE QUARTER ENDED SEPTEMBER 30, 2021</v>
      </c>
      <c r="B3" s="715"/>
      <c r="C3" s="715"/>
      <c r="D3" s="715"/>
      <c r="E3" s="715"/>
      <c r="F3" s="715"/>
      <c r="G3" s="715"/>
      <c r="H3" s="715"/>
      <c r="I3" s="715"/>
      <c r="J3" s="715"/>
      <c r="L3" s="715"/>
      <c r="M3" s="715"/>
      <c r="N3" s="715"/>
      <c r="O3" s="1040">
        <v>22923854</v>
      </c>
      <c r="P3" s="1040">
        <f>N3-O3</f>
        <v>-22923854</v>
      </c>
    </row>
    <row r="4" spans="1:21" ht="12">
      <c r="A4" s="715"/>
      <c r="B4" s="715"/>
      <c r="C4" s="715"/>
      <c r="D4" s="715"/>
      <c r="E4" s="715"/>
      <c r="F4" s="715"/>
      <c r="G4" s="715"/>
      <c r="H4" s="715"/>
      <c r="I4" s="715"/>
      <c r="J4" s="715"/>
      <c r="L4" s="715"/>
      <c r="M4" s="715"/>
      <c r="N4" s="715"/>
    </row>
    <row r="5" spans="1:21" s="317" customFormat="1" ht="12">
      <c r="A5" s="213"/>
      <c r="B5" s="213"/>
      <c r="C5" s="213"/>
      <c r="D5" s="213"/>
      <c r="E5" s="213"/>
      <c r="F5" s="2320" t="s">
        <v>704</v>
      </c>
      <c r="G5" s="2320"/>
      <c r="H5" s="2320"/>
      <c r="I5" s="1039"/>
      <c r="J5" s="2320" t="s">
        <v>705</v>
      </c>
      <c r="K5" s="2320"/>
      <c r="L5" s="2320"/>
      <c r="M5" s="715"/>
      <c r="N5" s="1039"/>
    </row>
    <row r="6" spans="1:21" s="317" customFormat="1" ht="10.199999999999999">
      <c r="A6" s="213"/>
      <c r="B6" s="213"/>
      <c r="C6" s="213"/>
      <c r="D6" s="213"/>
      <c r="E6" s="213"/>
      <c r="F6" s="2466" t="s">
        <v>622</v>
      </c>
      <c r="G6" s="2466"/>
      <c r="H6" s="2466"/>
      <c r="I6" s="1038"/>
      <c r="J6" s="2321" t="s">
        <v>622</v>
      </c>
      <c r="K6" s="2321"/>
      <c r="L6" s="2321"/>
      <c r="M6" s="1038"/>
      <c r="N6" s="1038" t="s">
        <v>624</v>
      </c>
    </row>
    <row r="7" spans="1:21" s="317" customFormat="1" ht="10.199999999999999">
      <c r="A7" s="213"/>
      <c r="B7" s="213"/>
      <c r="C7" s="213"/>
      <c r="D7" s="213"/>
      <c r="E7" s="213"/>
      <c r="F7" s="1038" t="s">
        <v>2447</v>
      </c>
      <c r="G7" s="1038"/>
      <c r="H7" s="1038" t="s">
        <v>1158</v>
      </c>
      <c r="I7" s="1038"/>
      <c r="J7" s="1038" t="s">
        <v>1158</v>
      </c>
      <c r="K7" s="1038"/>
      <c r="L7" s="1038" t="s">
        <v>989</v>
      </c>
      <c r="M7" s="1038"/>
      <c r="N7" s="1038" t="s">
        <v>989</v>
      </c>
    </row>
    <row r="8" spans="1:21" s="317" customFormat="1" ht="10.199999999999999">
      <c r="A8" s="213"/>
      <c r="B8" s="213"/>
      <c r="C8" s="213"/>
      <c r="D8" s="213"/>
      <c r="E8" s="213"/>
      <c r="F8" s="2324" t="s">
        <v>1068</v>
      </c>
      <c r="G8" s="2324"/>
      <c r="H8" s="2324"/>
      <c r="I8" s="2324"/>
      <c r="J8" s="2324" t="s">
        <v>1068</v>
      </c>
      <c r="K8" s="2324"/>
      <c r="L8" s="2324"/>
      <c r="M8" s="2324"/>
      <c r="N8" s="844"/>
    </row>
    <row r="9" spans="1:21" s="317" customFormat="1" ht="10.199999999999999">
      <c r="A9" s="213"/>
      <c r="B9" s="213"/>
      <c r="C9" s="213"/>
      <c r="D9" s="213"/>
      <c r="E9" s="213"/>
      <c r="F9" s="843"/>
      <c r="G9" s="843"/>
      <c r="H9" s="843"/>
      <c r="I9" s="843"/>
      <c r="J9" s="843"/>
      <c r="L9" s="843"/>
      <c r="M9" s="843"/>
      <c r="N9" s="843"/>
    </row>
    <row r="10" spans="1:21" s="317" customFormat="1" ht="10.199999999999999">
      <c r="A10" s="1088" t="s">
        <v>463</v>
      </c>
      <c r="F10" s="230">
        <f>BS!$H$31</f>
        <v>12397182.4</v>
      </c>
      <c r="G10" s="230"/>
      <c r="H10" s="230">
        <v>10112584</v>
      </c>
      <c r="I10" s="230"/>
      <c r="J10" s="230">
        <v>9789861.5</v>
      </c>
      <c r="L10" s="230">
        <v>8840981.75</v>
      </c>
      <c r="M10" s="230"/>
      <c r="N10" s="952">
        <v>8017886</v>
      </c>
      <c r="O10" s="962">
        <f>F10-J10</f>
        <v>2607320.9000000004</v>
      </c>
    </row>
    <row r="11" spans="1:21" s="317" customFormat="1" ht="10.199999999999999">
      <c r="F11" s="872"/>
      <c r="H11" s="872"/>
      <c r="J11" s="872"/>
      <c r="M11" s="317">
        <v>3707789</v>
      </c>
      <c r="N11" s="946"/>
      <c r="O11" s="962">
        <f>F11-J11</f>
        <v>0</v>
      </c>
    </row>
    <row r="12" spans="1:21" s="317" customFormat="1" ht="10.199999999999999">
      <c r="A12" s="929" t="s">
        <v>2323</v>
      </c>
      <c r="J12" s="972"/>
      <c r="L12" s="974"/>
      <c r="N12" s="946"/>
      <c r="O12" s="962">
        <f>F12-J12</f>
        <v>0</v>
      </c>
    </row>
    <row r="13" spans="1:21" s="317" customFormat="1" ht="10.199999999999999">
      <c r="A13" s="929" t="s">
        <v>2324</v>
      </c>
      <c r="F13" s="1046">
        <f>'UHF New'!X3</f>
        <v>4013382.5766752209</v>
      </c>
      <c r="G13" s="952"/>
      <c r="H13" s="1046">
        <v>3452008.9510114626</v>
      </c>
      <c r="I13" s="952"/>
      <c r="J13" s="954">
        <f>F13-N13</f>
        <v>1763096.3266752209</v>
      </c>
      <c r="L13" s="954">
        <v>2849646</v>
      </c>
      <c r="N13" s="952">
        <v>2250286.25</v>
      </c>
      <c r="O13" s="962">
        <f>F13-J13</f>
        <v>2250286.25</v>
      </c>
      <c r="S13" s="975"/>
      <c r="T13" s="975"/>
      <c r="U13" s="975"/>
    </row>
    <row r="14" spans="1:21" s="317" customFormat="1" ht="10.199999999999999">
      <c r="A14" s="929" t="s">
        <v>2325</v>
      </c>
      <c r="F14" s="956">
        <f>M11-F13</f>
        <v>-305593.57667522086</v>
      </c>
      <c r="G14" s="952"/>
      <c r="H14" s="956">
        <v>255780.0489885374</v>
      </c>
      <c r="I14" s="952"/>
      <c r="J14" s="954"/>
      <c r="L14" s="954"/>
      <c r="M14" s="952"/>
      <c r="N14" s="952"/>
      <c r="O14" s="962"/>
      <c r="S14" s="975"/>
      <c r="T14" s="975"/>
      <c r="U14" s="975"/>
    </row>
    <row r="15" spans="1:21" s="317" customFormat="1" ht="10.199999999999999">
      <c r="A15" s="928"/>
      <c r="F15" s="952">
        <f>SUM(F13:F14)</f>
        <v>3707789</v>
      </c>
      <c r="G15" s="952"/>
      <c r="H15" s="952">
        <v>3707789</v>
      </c>
      <c r="I15" s="952"/>
      <c r="J15" s="954"/>
      <c r="L15" s="954"/>
      <c r="M15" s="952">
        <v>4040032</v>
      </c>
      <c r="N15" s="952"/>
      <c r="O15" s="962"/>
      <c r="S15" s="975"/>
      <c r="T15" s="975"/>
      <c r="U15" s="975"/>
    </row>
    <row r="16" spans="1:21" s="317" customFormat="1" ht="10.199999999999999">
      <c r="A16" s="930" t="s">
        <v>2326</v>
      </c>
      <c r="F16" s="952"/>
      <c r="G16" s="952"/>
      <c r="H16" s="952"/>
      <c r="I16" s="952"/>
      <c r="J16" s="954"/>
      <c r="L16" s="954"/>
      <c r="M16" s="952">
        <v>42503625</v>
      </c>
      <c r="N16" s="952"/>
      <c r="O16" s="962">
        <f>F16-J16</f>
        <v>0</v>
      </c>
      <c r="S16" s="975"/>
      <c r="T16" s="975"/>
      <c r="U16" s="975"/>
    </row>
    <row r="17" spans="1:21" s="317" customFormat="1" ht="10.199999999999999">
      <c r="A17" s="929" t="s">
        <v>2324</v>
      </c>
      <c r="F17" s="1046">
        <f>M17</f>
        <v>4404624.9994813176</v>
      </c>
      <c r="G17" s="952"/>
      <c r="H17" s="1046">
        <v>3788526.170523813</v>
      </c>
      <c r="I17" s="952"/>
      <c r="J17" s="956">
        <f>ROUND(F17-N17,0)</f>
        <v>7462449</v>
      </c>
      <c r="L17" s="957">
        <v>-2421551</v>
      </c>
      <c r="M17" s="952">
        <f>M16*BS!H40/1000</f>
        <v>4404624.9994813176</v>
      </c>
      <c r="N17" s="952">
        <v>-3057824.25</v>
      </c>
      <c r="O17" s="962">
        <f>F17-J17</f>
        <v>-3057824.0005186824</v>
      </c>
      <c r="S17" s="975"/>
      <c r="T17" s="975"/>
      <c r="U17" s="975"/>
    </row>
    <row r="18" spans="1:21" s="317" customFormat="1" ht="10.199999999999999">
      <c r="A18" s="1087" t="s">
        <v>2376</v>
      </c>
      <c r="F18" s="977">
        <f>F20-F17-F19</f>
        <v>-2846879.0332072419</v>
      </c>
      <c r="G18" s="952"/>
      <c r="H18" s="977">
        <v>386186.79575026256</v>
      </c>
      <c r="I18" s="952"/>
      <c r="J18" s="952"/>
      <c r="L18" s="952"/>
      <c r="M18" s="952">
        <v>4356692.1062381696</v>
      </c>
      <c r="N18" s="952"/>
      <c r="O18" s="962"/>
      <c r="S18" s="975"/>
      <c r="T18" s="975"/>
      <c r="U18" s="975"/>
    </row>
    <row r="19" spans="1:21" s="317" customFormat="1" ht="10.199999999999999">
      <c r="A19" s="1087" t="s">
        <v>2377</v>
      </c>
      <c r="F19" s="956">
        <v>-134680.96627407559</v>
      </c>
      <c r="G19" s="230"/>
      <c r="H19" s="956">
        <v>-134680.96627407559</v>
      </c>
      <c r="I19" s="230"/>
      <c r="J19" s="230">
        <f>SUM(J13:J17)</f>
        <v>9225545.3266752213</v>
      </c>
      <c r="L19" s="230">
        <f>+SUM(L13:L17)</f>
        <v>428095</v>
      </c>
      <c r="M19" s="230"/>
      <c r="N19" s="952">
        <f>SUM(N13:N17)</f>
        <v>-807538</v>
      </c>
      <c r="O19" s="962">
        <f>F19-J19</f>
        <v>-9360226.2929492965</v>
      </c>
    </row>
    <row r="20" spans="1:21" s="317" customFormat="1" ht="10.199999999999999">
      <c r="F20" s="230">
        <f>-CFs!H38</f>
        <v>1423065</v>
      </c>
      <c r="G20" s="230"/>
      <c r="H20" s="230">
        <v>4040032</v>
      </c>
      <c r="I20" s="230"/>
      <c r="J20" s="230"/>
      <c r="L20" s="230"/>
      <c r="M20" s="230"/>
      <c r="N20" s="952"/>
      <c r="O20" s="962"/>
    </row>
    <row r="21" spans="1:21" s="317" customFormat="1" ht="10.199999999999999">
      <c r="A21" s="921" t="s">
        <v>1009</v>
      </c>
      <c r="F21" s="230"/>
      <c r="G21" s="230"/>
      <c r="H21" s="230"/>
      <c r="I21" s="230"/>
      <c r="J21" s="230"/>
      <c r="L21" s="230"/>
      <c r="M21" s="230"/>
      <c r="N21" s="952"/>
      <c r="O21" s="962"/>
    </row>
    <row r="22" spans="1:21" s="317" customFormat="1" ht="10.199999999999999">
      <c r="A22" s="922" t="s">
        <v>1010</v>
      </c>
      <c r="F22" s="230"/>
      <c r="G22" s="230"/>
      <c r="H22" s="230"/>
      <c r="I22" s="230"/>
      <c r="J22" s="230"/>
      <c r="L22" s="230"/>
      <c r="M22" s="230"/>
      <c r="N22" s="952"/>
      <c r="O22" s="962"/>
    </row>
    <row r="23" spans="1:21" s="317" customFormat="1" ht="10.199999999999999">
      <c r="A23" s="923" t="s">
        <v>1011</v>
      </c>
      <c r="F23" s="1085"/>
      <c r="G23" s="230"/>
      <c r="H23" s="1085"/>
      <c r="I23" s="230"/>
      <c r="J23" s="230"/>
      <c r="L23" s="230"/>
      <c r="M23" s="230"/>
      <c r="N23" s="952"/>
      <c r="O23" s="962"/>
    </row>
    <row r="24" spans="1:21" s="317" customFormat="1" ht="10.199999999999999">
      <c r="A24" s="924" t="s">
        <v>1012</v>
      </c>
      <c r="F24" s="954"/>
      <c r="G24" s="230"/>
      <c r="H24" s="954"/>
      <c r="I24" s="230"/>
      <c r="J24" s="230"/>
      <c r="L24" s="230"/>
      <c r="M24" s="230"/>
      <c r="N24" s="952"/>
      <c r="O24" s="962"/>
    </row>
    <row r="25" spans="1:21" s="317" customFormat="1" ht="10.199999999999999">
      <c r="A25" s="925"/>
      <c r="B25" s="926" t="s">
        <v>1096</v>
      </c>
      <c r="F25" s="954">
        <v>0</v>
      </c>
      <c r="G25" s="230"/>
      <c r="H25" s="954">
        <v>0</v>
      </c>
      <c r="I25" s="230"/>
      <c r="J25" s="230"/>
      <c r="L25" s="230"/>
      <c r="M25" s="230"/>
      <c r="N25" s="952"/>
      <c r="O25" s="962"/>
    </row>
    <row r="26" spans="1:21" s="317" customFormat="1" ht="10.199999999999999">
      <c r="A26" s="925"/>
      <c r="B26" s="926" t="s">
        <v>1095</v>
      </c>
      <c r="F26" s="957">
        <v>0</v>
      </c>
      <c r="G26" s="230"/>
      <c r="H26" s="957">
        <v>0</v>
      </c>
      <c r="I26" s="230"/>
      <c r="J26" s="230"/>
      <c r="L26" s="230"/>
      <c r="M26" s="230"/>
      <c r="N26" s="952"/>
      <c r="O26" s="962"/>
    </row>
    <row r="27" spans="1:21" s="317" customFormat="1" ht="10.199999999999999">
      <c r="A27" s="925"/>
      <c r="B27" s="926"/>
      <c r="F27" s="230">
        <v>0</v>
      </c>
      <c r="G27" s="230"/>
      <c r="H27" s="230">
        <v>0</v>
      </c>
      <c r="I27" s="230"/>
      <c r="J27" s="230"/>
      <c r="L27" s="230"/>
      <c r="M27" s="230"/>
      <c r="N27" s="952"/>
      <c r="O27" s="962"/>
    </row>
    <row r="28" spans="1:21" s="317" customFormat="1" ht="10.199999999999999">
      <c r="F28" s="230"/>
      <c r="G28" s="230"/>
      <c r="H28" s="230"/>
      <c r="I28" s="230"/>
      <c r="J28" s="230"/>
      <c r="L28" s="230"/>
      <c r="M28" s="230"/>
      <c r="N28" s="952"/>
      <c r="O28" s="962"/>
    </row>
    <row r="29" spans="1:21" s="317" customFormat="1" ht="10.199999999999999">
      <c r="A29" s="1041" t="s">
        <v>2362</v>
      </c>
      <c r="F29" s="230" t="e">
        <f>IS!#REF!</f>
        <v>#REF!</v>
      </c>
      <c r="G29" s="230"/>
      <c r="H29" s="230">
        <v>-983154</v>
      </c>
      <c r="I29" s="230"/>
      <c r="J29" s="230" t="e">
        <f>F29-M29</f>
        <v>#REF!</v>
      </c>
      <c r="L29" s="230" t="e">
        <f>IS!#REF!</f>
        <v>#REF!</v>
      </c>
      <c r="M29" s="230">
        <v>-731259</v>
      </c>
      <c r="N29" s="952">
        <f>F20-F15</f>
        <v>-2284724</v>
      </c>
      <c r="O29" s="962"/>
    </row>
    <row r="30" spans="1:21" s="317" customFormat="1" ht="10.199999999999999">
      <c r="F30" s="230"/>
      <c r="G30" s="230"/>
      <c r="H30" s="230"/>
      <c r="I30" s="230"/>
      <c r="J30" s="230"/>
      <c r="L30" s="230"/>
      <c r="M30" s="230"/>
      <c r="N30" s="952"/>
      <c r="O30" s="962"/>
    </row>
    <row r="31" spans="1:21" s="317" customFormat="1" ht="10.199999999999999">
      <c r="A31" s="317" t="s">
        <v>2383</v>
      </c>
      <c r="F31" s="230"/>
      <c r="G31" s="230"/>
      <c r="H31" s="230"/>
      <c r="I31" s="230"/>
      <c r="J31" s="230"/>
      <c r="L31" s="230"/>
      <c r="M31" s="230"/>
      <c r="N31" s="952"/>
      <c r="O31" s="962"/>
    </row>
    <row r="32" spans="1:21" s="317" customFormat="1" ht="10.199999999999999">
      <c r="A32" s="317" t="s">
        <v>2322</v>
      </c>
      <c r="F32" s="230" t="e">
        <f>OCI!#REF!</f>
        <v>#REF!</v>
      </c>
      <c r="G32" s="230"/>
      <c r="H32" s="230">
        <v>-86344</v>
      </c>
      <c r="I32" s="230"/>
      <c r="J32" s="230" t="e">
        <f>F32-M32</f>
        <v>#REF!</v>
      </c>
      <c r="L32" s="230" t="e">
        <f>OCI!#REF!</f>
        <v>#REF!</v>
      </c>
      <c r="M32" s="230">
        <v>-300512</v>
      </c>
      <c r="N32" s="952"/>
      <c r="O32" s="962">
        <f>-F18</f>
        <v>2846879.0332072419</v>
      </c>
    </row>
    <row r="33" spans="1:17" s="317" customFormat="1" ht="10.199999999999999">
      <c r="F33" s="230"/>
      <c r="G33" s="230"/>
      <c r="H33" s="230"/>
      <c r="I33" s="230"/>
      <c r="J33" s="230"/>
      <c r="L33" s="230"/>
      <c r="M33" s="230"/>
      <c r="N33" s="952"/>
      <c r="O33" s="962">
        <f>-F19</f>
        <v>134680.96627407559</v>
      </c>
    </row>
    <row r="34" spans="1:17" s="317" customFormat="1" ht="10.199999999999999">
      <c r="A34" s="317" t="s">
        <v>2309</v>
      </c>
      <c r="F34" s="230">
        <v>0</v>
      </c>
      <c r="G34" s="230"/>
      <c r="H34" s="230">
        <v>0</v>
      </c>
      <c r="I34" s="230"/>
      <c r="J34" s="230">
        <v>0</v>
      </c>
      <c r="L34" s="230">
        <v>0</v>
      </c>
      <c r="M34" s="230"/>
      <c r="N34" s="952"/>
      <c r="O34" s="962">
        <f>-F14</f>
        <v>305593.57667522086</v>
      </c>
    </row>
    <row r="35" spans="1:17" s="317" customFormat="1" ht="10.199999999999999">
      <c r="F35" s="230"/>
      <c r="G35" s="230"/>
      <c r="H35" s="230"/>
      <c r="I35" s="230"/>
      <c r="J35" s="230"/>
      <c r="L35" s="230"/>
      <c r="M35" s="230"/>
      <c r="N35" s="952"/>
      <c r="O35" s="962">
        <f>O32+O33-O34</f>
        <v>2675966.4228060967</v>
      </c>
    </row>
    <row r="36" spans="1:17" s="317" customFormat="1" ht="10.8" thickBot="1">
      <c r="A36" s="1042" t="s">
        <v>2310</v>
      </c>
      <c r="F36" s="1043" t="e">
        <f>F10+F15-F20+F29+F32</f>
        <v>#REF!</v>
      </c>
      <c r="G36" s="230"/>
      <c r="H36" s="1043">
        <v>8710843</v>
      </c>
      <c r="I36" s="230"/>
      <c r="J36" s="1043" t="e">
        <f>J10+J19+J29+J32</f>
        <v>#REF!</v>
      </c>
      <c r="L36" s="1043" t="e">
        <f>L10+L19+L29+L32</f>
        <v>#REF!</v>
      </c>
      <c r="M36" s="230"/>
      <c r="N36" s="952"/>
    </row>
    <row r="37" spans="1:17" s="317" customFormat="1" ht="10.8" thickTop="1">
      <c r="F37" s="230"/>
      <c r="G37" s="230"/>
      <c r="H37" s="230"/>
      <c r="I37" s="230"/>
      <c r="J37" s="230"/>
      <c r="L37" s="230"/>
      <c r="M37" s="230"/>
      <c r="N37" s="952"/>
      <c r="O37" s="962"/>
    </row>
    <row r="38" spans="1:17" s="317" customFormat="1" ht="10.199999999999999">
      <c r="A38" s="213" t="s">
        <v>2384</v>
      </c>
      <c r="F38" s="1045"/>
      <c r="G38" s="1045"/>
      <c r="H38" s="1045"/>
      <c r="I38" s="1045"/>
      <c r="J38" s="1045"/>
      <c r="K38" s="1045"/>
      <c r="L38" s="1045"/>
      <c r="M38" s="1045"/>
      <c r="N38" s="952"/>
      <c r="O38" s="962"/>
    </row>
    <row r="39" spans="1:17" s="317" customFormat="1" ht="10.199999999999999">
      <c r="F39" s="1045"/>
      <c r="G39" s="1045"/>
      <c r="H39" s="1045"/>
      <c r="I39" s="1045"/>
      <c r="J39" s="1045"/>
      <c r="K39" s="1045"/>
      <c r="L39" s="1045"/>
      <c r="M39" s="1045"/>
      <c r="N39" s="952"/>
      <c r="O39" s="962"/>
    </row>
    <row r="40" spans="1:17" s="317" customFormat="1" ht="10.199999999999999">
      <c r="A40" s="1041" t="s">
        <v>2313</v>
      </c>
      <c r="F40" s="230"/>
      <c r="G40" s="230"/>
      <c r="H40" s="230"/>
      <c r="I40" s="230"/>
      <c r="J40" s="230"/>
      <c r="L40" s="230"/>
      <c r="M40" s="230"/>
      <c r="N40" s="952"/>
      <c r="O40" s="962"/>
    </row>
    <row r="41" spans="1:17" s="317" customFormat="1" ht="10.199999999999999">
      <c r="B41" s="317" t="s">
        <v>2314</v>
      </c>
      <c r="F41" s="230">
        <v>5996613</v>
      </c>
      <c r="G41" s="230"/>
      <c r="H41" s="230">
        <v>5996613</v>
      </c>
      <c r="I41" s="230"/>
      <c r="J41" s="230">
        <v>5160202.872314889</v>
      </c>
      <c r="L41" s="230">
        <f>L43-L42</f>
        <v>3445160</v>
      </c>
      <c r="M41" s="230"/>
      <c r="N41" s="952"/>
      <c r="O41" s="962"/>
    </row>
    <row r="42" spans="1:17" s="317" customFormat="1" ht="10.199999999999999">
      <c r="B42" s="317" t="s">
        <v>2315</v>
      </c>
      <c r="F42" s="230">
        <v>-656605</v>
      </c>
      <c r="G42" s="230"/>
      <c r="H42" s="230">
        <v>-656605</v>
      </c>
      <c r="I42" s="230"/>
      <c r="J42" s="230">
        <v>-435683</v>
      </c>
      <c r="L42" s="230">
        <v>128</v>
      </c>
      <c r="M42" s="230"/>
      <c r="N42" s="952"/>
      <c r="O42" s="962" t="e">
        <f>IS!#REF!</f>
        <v>#REF!</v>
      </c>
      <c r="P42" s="317" t="e">
        <f>IS!#REF!</f>
        <v>#REF!</v>
      </c>
      <c r="Q42" s="962" t="e">
        <f>O42-P42</f>
        <v>#REF!</v>
      </c>
    </row>
    <row r="43" spans="1:17" s="317" customFormat="1" ht="10.199999999999999">
      <c r="F43" s="1044">
        <f>SUM(F41:F42)</f>
        <v>5340008</v>
      </c>
      <c r="G43" s="230"/>
      <c r="H43" s="1044">
        <v>5340008</v>
      </c>
      <c r="I43" s="230"/>
      <c r="J43" s="1044">
        <f>SUM(J41:J42)</f>
        <v>4724519.872314889</v>
      </c>
      <c r="L43" s="1044">
        <v>3445288</v>
      </c>
      <c r="M43" s="230"/>
      <c r="N43" s="952"/>
      <c r="O43" s="962"/>
    </row>
    <row r="44" spans="1:17" s="317" customFormat="1" ht="10.199999999999999">
      <c r="A44" s="1041" t="s">
        <v>2363</v>
      </c>
      <c r="F44" s="230"/>
      <c r="G44" s="230"/>
      <c r="H44" s="230"/>
      <c r="I44" s="230"/>
      <c r="J44" s="230"/>
      <c r="L44" s="230"/>
      <c r="M44" s="230"/>
      <c r="N44" s="952"/>
      <c r="O44" s="962"/>
    </row>
    <row r="45" spans="1:17" s="317" customFormat="1" ht="10.199999999999999">
      <c r="B45" s="996" t="s">
        <v>2381</v>
      </c>
      <c r="F45" s="230" t="e">
        <f>IS!#REF!</f>
        <v>#REF!</v>
      </c>
      <c r="G45" s="230"/>
      <c r="H45" s="230">
        <v>0</v>
      </c>
      <c r="I45" s="230"/>
      <c r="J45" s="230" t="e">
        <f>F45-M45</f>
        <v>#REF!</v>
      </c>
      <c r="L45" s="230" t="e">
        <f>IS!#REF!+IS!#REF!</f>
        <v>#REF!</v>
      </c>
      <c r="M45" s="230">
        <v>-611630.0628000393</v>
      </c>
      <c r="N45" s="952"/>
      <c r="O45" s="962"/>
    </row>
    <row r="46" spans="1:17" s="317" customFormat="1" ht="10.199999999999999">
      <c r="B46" s="996" t="s">
        <v>2382</v>
      </c>
      <c r="F46" s="230" t="e">
        <f>IS!#REF!</f>
        <v>#REF!</v>
      </c>
      <c r="G46" s="230"/>
      <c r="H46" s="230">
        <v>0</v>
      </c>
      <c r="I46" s="230"/>
      <c r="J46" s="230" t="e">
        <f>F46-M46</f>
        <v>#REF!</v>
      </c>
      <c r="L46" s="230" t="e">
        <f>L47-L45</f>
        <v>#REF!</v>
      </c>
      <c r="M46" s="230">
        <v>-3858.0648850719444</v>
      </c>
      <c r="N46" s="952"/>
      <c r="O46" s="962"/>
    </row>
    <row r="47" spans="1:17" s="317" customFormat="1" ht="10.199999999999999">
      <c r="F47" s="1044" t="e">
        <f>SUM(F45:F46)</f>
        <v>#REF!</v>
      </c>
      <c r="G47" s="230"/>
      <c r="H47" s="1044">
        <v>0</v>
      </c>
      <c r="I47" s="230"/>
      <c r="J47" s="1044" t="e">
        <f>SUM(J45:J46)</f>
        <v>#REF!</v>
      </c>
      <c r="L47" s="1044" t="e">
        <f>IS!#REF!</f>
        <v>#REF!</v>
      </c>
      <c r="M47" s="230"/>
      <c r="N47" s="952"/>
      <c r="O47" s="962"/>
    </row>
    <row r="48" spans="1:17" s="317" customFormat="1" ht="10.199999999999999">
      <c r="F48" s="952"/>
      <c r="G48" s="230"/>
      <c r="H48" s="952"/>
      <c r="I48" s="230"/>
      <c r="J48" s="952"/>
      <c r="L48" s="952"/>
      <c r="M48" s="230"/>
      <c r="N48" s="952"/>
      <c r="O48" s="962"/>
    </row>
    <row r="49" spans="1:15" s="317" customFormat="1" ht="10.199999999999999">
      <c r="A49" s="317" t="e">
        <f>IS!#REF!</f>
        <v>#REF!</v>
      </c>
      <c r="F49" s="230">
        <v>0</v>
      </c>
      <c r="G49" s="230"/>
      <c r="H49" s="230">
        <v>0</v>
      </c>
      <c r="I49" s="230"/>
      <c r="J49" s="230"/>
      <c r="L49" s="230"/>
      <c r="M49" s="230"/>
      <c r="N49" s="952"/>
      <c r="O49" s="962"/>
    </row>
    <row r="50" spans="1:15" s="317" customFormat="1" ht="10.199999999999999">
      <c r="F50" s="230"/>
      <c r="G50" s="230"/>
      <c r="H50" s="230"/>
      <c r="I50" s="230"/>
      <c r="J50" s="230"/>
      <c r="L50" s="230"/>
      <c r="M50" s="230"/>
      <c r="N50" s="952"/>
      <c r="O50" s="962"/>
    </row>
    <row r="51" spans="1:15" s="317" customFormat="1" ht="10.199999999999999">
      <c r="A51" s="317" t="s">
        <v>2316</v>
      </c>
      <c r="F51" s="230"/>
      <c r="G51" s="230"/>
      <c r="H51" s="230"/>
      <c r="I51" s="230"/>
      <c r="J51" s="230"/>
      <c r="L51" s="230"/>
      <c r="M51" s="230"/>
      <c r="N51" s="952"/>
      <c r="O51" s="962"/>
    </row>
    <row r="52" spans="1:15" s="317" customFormat="1" ht="10.199999999999999">
      <c r="A52" s="317" t="s">
        <v>2317</v>
      </c>
      <c r="F52" s="230">
        <v>0</v>
      </c>
      <c r="G52" s="230"/>
      <c r="H52" s="230">
        <v>0</v>
      </c>
      <c r="I52" s="230"/>
      <c r="J52" s="230">
        <v>0</v>
      </c>
      <c r="L52" s="230">
        <v>180497</v>
      </c>
      <c r="M52" s="230"/>
      <c r="N52" s="952"/>
      <c r="O52" s="962"/>
    </row>
    <row r="53" spans="1:15" s="317" customFormat="1" ht="10.199999999999999">
      <c r="F53" s="230"/>
      <c r="G53" s="230"/>
      <c r="H53" s="230"/>
      <c r="I53" s="230"/>
      <c r="J53" s="230"/>
      <c r="L53" s="230"/>
      <c r="M53" s="230"/>
      <c r="N53" s="952"/>
      <c r="O53" s="962"/>
    </row>
    <row r="54" spans="1:15" s="317" customFormat="1" ht="10.199999999999999">
      <c r="A54" s="317" t="s">
        <v>2318</v>
      </c>
      <c r="F54" s="230"/>
      <c r="G54" s="230"/>
      <c r="H54" s="230"/>
      <c r="I54" s="230"/>
      <c r="J54" s="230"/>
      <c r="L54" s="230"/>
      <c r="M54" s="230"/>
      <c r="N54" s="952"/>
      <c r="O54" s="962"/>
    </row>
    <row r="55" spans="1:15" s="317" customFormat="1" ht="10.199999999999999">
      <c r="A55" s="317" t="s">
        <v>2319</v>
      </c>
      <c r="F55" s="230">
        <v>0</v>
      </c>
      <c r="G55" s="230"/>
      <c r="H55" s="230">
        <v>0</v>
      </c>
      <c r="I55" s="230"/>
      <c r="J55" s="230">
        <v>0</v>
      </c>
      <c r="L55" s="230">
        <v>0</v>
      </c>
      <c r="M55" s="230"/>
      <c r="N55" s="952"/>
      <c r="O55" s="962"/>
    </row>
    <row r="56" spans="1:15" s="317" customFormat="1" ht="10.199999999999999">
      <c r="F56" s="230"/>
      <c r="G56" s="230"/>
      <c r="H56" s="230"/>
      <c r="I56" s="230"/>
      <c r="J56" s="230"/>
      <c r="L56" s="230"/>
      <c r="M56" s="230"/>
      <c r="N56" s="952"/>
      <c r="O56" s="962"/>
    </row>
    <row r="57" spans="1:15" s="317" customFormat="1" ht="10.8" thickBot="1">
      <c r="A57" s="1042" t="s">
        <v>2320</v>
      </c>
      <c r="F57" s="1043" t="e">
        <f>F43+F47+F52+F55+F49</f>
        <v>#REF!</v>
      </c>
      <c r="G57" s="230"/>
      <c r="H57" s="1043">
        <v>5340008</v>
      </c>
      <c r="I57" s="230"/>
      <c r="J57" s="1043" t="e">
        <f>J43+J47+J52+J55</f>
        <v>#REF!</v>
      </c>
      <c r="L57" s="1043" t="e">
        <f>L43+L47+L52+L55</f>
        <v>#REF!</v>
      </c>
      <c r="M57" s="230"/>
      <c r="N57" s="952"/>
      <c r="O57" s="962"/>
    </row>
    <row r="58" spans="1:15" s="317" customFormat="1" ht="10.8" thickTop="1">
      <c r="F58" s="230"/>
      <c r="G58" s="230"/>
      <c r="H58" s="230"/>
      <c r="I58" s="230"/>
      <c r="J58" s="230"/>
      <c r="L58" s="230"/>
      <c r="M58" s="230"/>
      <c r="N58" s="952"/>
      <c r="O58" s="962"/>
    </row>
    <row r="59" spans="1:15" s="317" customFormat="1" ht="10.199999999999999">
      <c r="A59" s="1041" t="s">
        <v>2321</v>
      </c>
      <c r="F59" s="230"/>
      <c r="G59" s="230"/>
      <c r="H59" s="230"/>
      <c r="I59" s="230"/>
      <c r="J59" s="230"/>
      <c r="L59" s="230"/>
      <c r="M59" s="230"/>
      <c r="N59" s="952"/>
      <c r="O59" s="962"/>
    </row>
    <row r="60" spans="1:15" s="317" customFormat="1" ht="10.199999999999999">
      <c r="B60" s="317" t="s">
        <v>2314</v>
      </c>
      <c r="F60" s="230" t="e">
        <f>F62-F61</f>
        <v>#REF!</v>
      </c>
      <c r="G60" s="230"/>
      <c r="H60" s="230">
        <v>5713098</v>
      </c>
      <c r="I60" s="230"/>
      <c r="J60" s="230" t="e">
        <f>J62-J61</f>
        <v>#REF!</v>
      </c>
      <c r="L60" s="230"/>
      <c r="M60" s="230"/>
      <c r="N60" s="952"/>
      <c r="O60" s="962"/>
    </row>
    <row r="61" spans="1:15" s="317" customFormat="1" ht="10.199999999999999">
      <c r="B61" s="996" t="s">
        <v>2375</v>
      </c>
      <c r="F61" s="230">
        <f>IS!H15</f>
        <v>-813834.11999999546</v>
      </c>
      <c r="G61" s="230"/>
      <c r="H61" s="230">
        <v>-373090</v>
      </c>
      <c r="I61" s="230"/>
      <c r="J61" s="230" t="e">
        <f>IS!#REF!</f>
        <v>#REF!</v>
      </c>
      <c r="L61" s="230"/>
      <c r="M61" s="230"/>
      <c r="N61" s="952"/>
      <c r="O61" s="962"/>
    </row>
    <row r="62" spans="1:15" s="317" customFormat="1" ht="10.8" thickBot="1">
      <c r="F62" s="1043" t="e">
        <f>F57</f>
        <v>#REF!</v>
      </c>
      <c r="G62" s="230"/>
      <c r="H62" s="1043">
        <v>5340008</v>
      </c>
      <c r="I62" s="230"/>
      <c r="J62" s="1043" t="e">
        <f>J57</f>
        <v>#REF!</v>
      </c>
      <c r="L62" s="230"/>
      <c r="M62" s="230"/>
      <c r="N62" s="952"/>
      <c r="O62" s="962"/>
    </row>
    <row r="63" spans="1:15" s="317" customFormat="1" ht="10.5" customHeight="1" thickTop="1">
      <c r="A63" s="959"/>
      <c r="F63" s="230"/>
      <c r="G63" s="230"/>
      <c r="H63" s="230"/>
      <c r="I63" s="230"/>
      <c r="J63" s="230"/>
      <c r="L63" s="230"/>
      <c r="M63" s="230"/>
      <c r="N63" s="952"/>
      <c r="O63" s="962">
        <f t="shared" ref="O63:O90" si="0">F63-J63</f>
        <v>0</v>
      </c>
    </row>
    <row r="64" spans="1:15" s="317" customFormat="1" ht="0.75" hidden="1" customHeight="1">
      <c r="A64" s="921" t="s">
        <v>1009</v>
      </c>
      <c r="F64" s="230"/>
      <c r="G64" s="230"/>
      <c r="H64" s="230"/>
      <c r="I64" s="230"/>
      <c r="J64" s="230"/>
      <c r="L64" s="230"/>
      <c r="M64" s="230"/>
      <c r="N64" s="952"/>
      <c r="O64" s="962">
        <f t="shared" si="0"/>
        <v>0</v>
      </c>
    </row>
    <row r="65" spans="1:15" s="317" customFormat="1" ht="10.199999999999999" hidden="1">
      <c r="A65" s="922" t="s">
        <v>1010</v>
      </c>
      <c r="F65" s="230"/>
      <c r="G65" s="230"/>
      <c r="H65" s="230"/>
      <c r="I65" s="230"/>
      <c r="J65" s="230"/>
      <c r="L65" s="230"/>
      <c r="M65" s="230"/>
      <c r="N65" s="952"/>
      <c r="O65" s="962">
        <f t="shared" si="0"/>
        <v>0</v>
      </c>
    </row>
    <row r="66" spans="1:15" s="317" customFormat="1" ht="10.199999999999999" hidden="1">
      <c r="A66" s="923" t="s">
        <v>1011</v>
      </c>
      <c r="F66" s="951"/>
      <c r="G66" s="230"/>
      <c r="H66" s="951"/>
      <c r="I66" s="230"/>
      <c r="J66" s="951"/>
      <c r="L66" s="951"/>
      <c r="M66" s="952"/>
      <c r="N66" s="952"/>
      <c r="O66" s="962">
        <f t="shared" si="0"/>
        <v>0</v>
      </c>
    </row>
    <row r="67" spans="1:15" s="317" customFormat="1" ht="10.199999999999999" hidden="1">
      <c r="A67" s="924" t="s">
        <v>1012</v>
      </c>
      <c r="F67" s="954"/>
      <c r="G67" s="230"/>
      <c r="H67" s="954"/>
      <c r="I67" s="230"/>
      <c r="J67" s="954"/>
      <c r="L67" s="954"/>
      <c r="M67" s="952"/>
      <c r="N67" s="952"/>
      <c r="O67" s="962">
        <f t="shared" si="0"/>
        <v>0</v>
      </c>
    </row>
    <row r="68" spans="1:15" s="317" customFormat="1" ht="10.199999999999999" hidden="1">
      <c r="A68" s="925"/>
      <c r="B68" s="926" t="s">
        <v>1096</v>
      </c>
      <c r="F68" s="954" t="e">
        <f>-IS!#REF!</f>
        <v>#REF!</v>
      </c>
      <c r="G68" s="230"/>
      <c r="H68" s="954">
        <v>0</v>
      </c>
      <c r="I68" s="230"/>
      <c r="J68" s="954" t="e">
        <f>ROUND(F68-N68,0)-0.5</f>
        <v>#REF!</v>
      </c>
      <c r="L68" s="954">
        <v>-36477</v>
      </c>
      <c r="M68" s="952"/>
      <c r="N68" s="952">
        <v>-8425.75</v>
      </c>
      <c r="O68" s="872" t="e">
        <f t="shared" si="0"/>
        <v>#REF!</v>
      </c>
    </row>
    <row r="69" spans="1:15" s="317" customFormat="1" ht="10.199999999999999" hidden="1">
      <c r="A69" s="925"/>
      <c r="B69" s="926" t="s">
        <v>1095</v>
      </c>
      <c r="F69" s="954" t="e">
        <f>-IS!#REF!</f>
        <v>#REF!</v>
      </c>
      <c r="G69" s="230"/>
      <c r="H69" s="954">
        <v>0</v>
      </c>
      <c r="I69" s="230"/>
      <c r="J69" s="954" t="e">
        <f>F69-N69-0.1</f>
        <v>#REF!</v>
      </c>
      <c r="L69" s="954">
        <v>2806</v>
      </c>
      <c r="M69" s="952"/>
      <c r="N69" s="952">
        <v>2100</v>
      </c>
      <c r="O69" s="962" t="e">
        <f t="shared" si="0"/>
        <v>#REF!</v>
      </c>
    </row>
    <row r="70" spans="1:15" s="317" customFormat="1" ht="10.199999999999999" hidden="1">
      <c r="A70" s="923" t="s">
        <v>1102</v>
      </c>
      <c r="F70" s="954"/>
      <c r="G70" s="230"/>
      <c r="H70" s="954"/>
      <c r="I70" s="230"/>
      <c r="J70" s="954"/>
      <c r="L70" s="954"/>
      <c r="M70" s="952"/>
      <c r="N70" s="952"/>
      <c r="O70" s="962">
        <f t="shared" si="0"/>
        <v>0</v>
      </c>
    </row>
    <row r="71" spans="1:15" s="317" customFormat="1" ht="10.199999999999999" hidden="1">
      <c r="A71" s="924" t="s">
        <v>1013</v>
      </c>
      <c r="F71" s="956">
        <f>-DS!$E$16</f>
        <v>0</v>
      </c>
      <c r="G71" s="230"/>
      <c r="H71" s="956">
        <v>0</v>
      </c>
      <c r="I71" s="230"/>
      <c r="J71" s="956">
        <f>ROUND(F71-N71,0)</f>
        <v>44101</v>
      </c>
      <c r="L71" s="956">
        <v>-255428</v>
      </c>
      <c r="M71" s="952"/>
      <c r="N71" s="952">
        <v>-44100.75</v>
      </c>
      <c r="O71" s="962">
        <f t="shared" si="0"/>
        <v>-44101</v>
      </c>
    </row>
    <row r="72" spans="1:15" s="317" customFormat="1" ht="10.199999999999999" hidden="1">
      <c r="A72" s="959"/>
      <c r="F72" s="230" t="e">
        <f>SUM(F66:F71)</f>
        <v>#REF!</v>
      </c>
      <c r="G72" s="230"/>
      <c r="H72" s="230">
        <v>0</v>
      </c>
      <c r="I72" s="230"/>
      <c r="J72" s="230" t="e">
        <f>SUM(J66:J71)</f>
        <v>#REF!</v>
      </c>
      <c r="L72" s="230">
        <f>SUM(L66:L71)</f>
        <v>-289099</v>
      </c>
      <c r="M72" s="230"/>
      <c r="N72" s="952">
        <f>SUM(N66:N71)</f>
        <v>-50426.5</v>
      </c>
      <c r="O72" s="962" t="e">
        <f t="shared" si="0"/>
        <v>#REF!</v>
      </c>
    </row>
    <row r="73" spans="1:15" s="317" customFormat="1" ht="10.199999999999999" hidden="1">
      <c r="A73" s="959"/>
      <c r="F73" s="230"/>
      <c r="G73" s="230"/>
      <c r="H73" s="230"/>
      <c r="I73" s="230"/>
      <c r="J73" s="230"/>
      <c r="L73" s="230"/>
      <c r="M73" s="230"/>
      <c r="N73" s="952"/>
      <c r="O73" s="962">
        <f t="shared" si="0"/>
        <v>0</v>
      </c>
    </row>
    <row r="74" spans="1:15" s="317" customFormat="1" ht="10.199999999999999" hidden="1">
      <c r="A74" s="921" t="s">
        <v>1101</v>
      </c>
      <c r="F74" s="230"/>
      <c r="G74" s="230"/>
      <c r="H74" s="230"/>
      <c r="I74" s="230"/>
      <c r="J74" s="230"/>
      <c r="L74" s="230"/>
      <c r="M74" s="230"/>
      <c r="N74" s="952"/>
      <c r="O74" s="962">
        <f t="shared" si="0"/>
        <v>0</v>
      </c>
    </row>
    <row r="75" spans="1:15" s="317" customFormat="1" ht="10.199999999999999" hidden="1">
      <c r="A75" s="922" t="s">
        <v>1091</v>
      </c>
      <c r="F75" s="230"/>
      <c r="G75" s="230"/>
      <c r="H75" s="230"/>
      <c r="I75" s="230"/>
      <c r="J75" s="230"/>
      <c r="L75" s="230"/>
      <c r="M75" s="230"/>
      <c r="N75" s="952"/>
      <c r="O75" s="962">
        <f t="shared" si="0"/>
        <v>0</v>
      </c>
    </row>
    <row r="76" spans="1:15" s="317" customFormat="1" ht="10.5" hidden="1" customHeight="1">
      <c r="A76" s="927" t="s">
        <v>1090</v>
      </c>
      <c r="F76" s="230">
        <f>-F71</f>
        <v>0</v>
      </c>
      <c r="G76" s="230"/>
      <c r="H76" s="230">
        <v>0</v>
      </c>
      <c r="I76" s="230"/>
      <c r="J76" s="230">
        <f>ROUND(F76-N76,0)</f>
        <v>-44101</v>
      </c>
      <c r="L76" s="230">
        <v>255428</v>
      </c>
      <c r="M76" s="230"/>
      <c r="N76" s="952">
        <v>44100.75</v>
      </c>
      <c r="O76" s="962">
        <f t="shared" si="0"/>
        <v>44101</v>
      </c>
    </row>
    <row r="77" spans="1:15" s="317" customFormat="1" ht="10.199999999999999" hidden="1">
      <c r="A77" s="959"/>
      <c r="F77" s="230"/>
      <c r="G77" s="230"/>
      <c r="H77" s="230"/>
      <c r="I77" s="230"/>
      <c r="J77" s="230"/>
      <c r="L77" s="230"/>
      <c r="M77" s="230"/>
      <c r="N77" s="952"/>
      <c r="O77" s="962">
        <f t="shared" si="0"/>
        <v>0</v>
      </c>
    </row>
    <row r="78" spans="1:15" s="317" customFormat="1" ht="10.199999999999999" hidden="1">
      <c r="A78" s="317" t="s">
        <v>1014</v>
      </c>
      <c r="F78" s="951">
        <f>IS!$H$10</f>
        <v>-25206</v>
      </c>
      <c r="G78" s="230"/>
      <c r="H78" s="951">
        <v>-619149</v>
      </c>
      <c r="I78" s="230"/>
      <c r="J78" s="951">
        <f>F78-N78</f>
        <v>-394368</v>
      </c>
      <c r="L78" s="951">
        <v>14084</v>
      </c>
      <c r="M78" s="952"/>
      <c r="N78" s="952">
        <v>369162</v>
      </c>
      <c r="O78" s="962">
        <f t="shared" si="0"/>
        <v>369162</v>
      </c>
    </row>
    <row r="79" spans="1:15" s="317" customFormat="1" ht="10.199999999999999" hidden="1">
      <c r="F79" s="954"/>
      <c r="G79" s="230"/>
      <c r="H79" s="954"/>
      <c r="I79" s="230"/>
      <c r="J79" s="954"/>
      <c r="L79" s="954"/>
      <c r="M79" s="952"/>
      <c r="N79" s="952"/>
      <c r="O79" s="997">
        <f t="shared" si="0"/>
        <v>0</v>
      </c>
    </row>
    <row r="80" spans="1:15" s="317" customFormat="1" ht="10.199999999999999" hidden="1">
      <c r="A80" s="317" t="s">
        <v>1099</v>
      </c>
      <c r="F80" s="977"/>
      <c r="H80" s="977"/>
      <c r="J80" s="977"/>
      <c r="L80" s="978"/>
      <c r="M80" s="946"/>
      <c r="N80" s="946"/>
      <c r="O80" s="962">
        <f t="shared" si="0"/>
        <v>0</v>
      </c>
    </row>
    <row r="81" spans="1:18" s="317" customFormat="1" ht="10.199999999999999" hidden="1">
      <c r="A81" s="959" t="s">
        <v>1015</v>
      </c>
      <c r="F81" s="977"/>
      <c r="G81" s="950"/>
      <c r="H81" s="977"/>
      <c r="I81" s="950"/>
      <c r="J81" s="977"/>
      <c r="L81" s="955"/>
      <c r="M81" s="950"/>
      <c r="N81" s="950"/>
      <c r="O81" s="962">
        <f t="shared" si="0"/>
        <v>0</v>
      </c>
    </row>
    <row r="82" spans="1:18" s="317" customFormat="1" ht="10.199999999999999" hidden="1">
      <c r="A82" s="959" t="s">
        <v>1016</v>
      </c>
      <c r="F82" s="977">
        <f>IS!$H$15</f>
        <v>-813834.11999999546</v>
      </c>
      <c r="G82" s="950"/>
      <c r="H82" s="977">
        <v>-373090</v>
      </c>
      <c r="I82" s="950"/>
      <c r="J82" s="977">
        <f>ROUND(F82-N82,0)</f>
        <v>-811656</v>
      </c>
      <c r="L82" s="977">
        <v>87096</v>
      </c>
      <c r="M82" s="947"/>
      <c r="N82" s="947">
        <v>-2177.75</v>
      </c>
      <c r="O82" s="962">
        <f t="shared" si="0"/>
        <v>-2178.1199999954551</v>
      </c>
    </row>
    <row r="83" spans="1:18" s="317" customFormat="1" ht="10.199999999999999" hidden="1">
      <c r="A83" s="979"/>
      <c r="F83" s="977"/>
      <c r="G83" s="950"/>
      <c r="H83" s="977"/>
      <c r="I83" s="950"/>
      <c r="J83" s="977"/>
      <c r="L83" s="955"/>
      <c r="M83" s="950"/>
      <c r="N83" s="950"/>
      <c r="O83" s="962">
        <f t="shared" si="0"/>
        <v>0</v>
      </c>
    </row>
    <row r="84" spans="1:18" s="317" customFormat="1" ht="10.199999999999999" hidden="1">
      <c r="A84" s="314" t="s">
        <v>1017</v>
      </c>
      <c r="F84" s="954" t="e">
        <f>IS!H11+IS!H12+IS!H13-IS!H35+IS!#REF!+IS!#REF!</f>
        <v>#REF!</v>
      </c>
      <c r="G84" s="953"/>
      <c r="H84" s="954">
        <v>8880</v>
      </c>
      <c r="I84" s="953"/>
      <c r="J84" s="954" t="e">
        <f>ROUND(F84-N84,0)</f>
        <v>#REF!</v>
      </c>
      <c r="L84" s="977">
        <v>56115</v>
      </c>
      <c r="M84" s="947"/>
      <c r="N84" s="952">
        <v>43407.75</v>
      </c>
      <c r="O84" s="962" t="e">
        <f t="shared" si="0"/>
        <v>#REF!</v>
      </c>
    </row>
    <row r="85" spans="1:18" s="317" customFormat="1" ht="10.199999999999999" hidden="1">
      <c r="A85" s="314"/>
      <c r="F85" s="954"/>
      <c r="G85" s="953"/>
      <c r="H85" s="954"/>
      <c r="I85" s="953"/>
      <c r="J85" s="954"/>
      <c r="L85" s="955"/>
      <c r="M85" s="950"/>
      <c r="N85" s="952"/>
      <c r="O85" s="962">
        <f t="shared" si="0"/>
        <v>0</v>
      </c>
    </row>
    <row r="86" spans="1:18" s="317" customFormat="1" ht="10.199999999999999" hidden="1">
      <c r="A86" s="314" t="s">
        <v>1094</v>
      </c>
      <c r="F86" s="954"/>
      <c r="G86" s="953"/>
      <c r="H86" s="954"/>
      <c r="I86" s="953"/>
      <c r="J86" s="954"/>
      <c r="L86" s="955"/>
      <c r="M86" s="950"/>
      <c r="N86" s="952"/>
      <c r="O86" s="962">
        <f t="shared" si="0"/>
        <v>0</v>
      </c>
    </row>
    <row r="87" spans="1:18" s="317" customFormat="1" ht="10.199999999999999" hidden="1">
      <c r="A87" s="314" t="s">
        <v>1018</v>
      </c>
      <c r="F87" s="956" t="e">
        <f>OCI!#REF!</f>
        <v>#REF!</v>
      </c>
      <c r="G87" s="953"/>
      <c r="H87" s="956">
        <v>-86344</v>
      </c>
      <c r="I87" s="953"/>
      <c r="J87" s="956" t="e">
        <f>OCI!#REF!</f>
        <v>#REF!</v>
      </c>
      <c r="L87" s="982" t="e">
        <f>OCI!#REF!</f>
        <v>#REF!</v>
      </c>
      <c r="M87" s="947"/>
      <c r="N87" s="952">
        <v>295606.25</v>
      </c>
      <c r="O87" s="962" t="e">
        <f t="shared" si="0"/>
        <v>#REF!</v>
      </c>
    </row>
    <row r="88" spans="1:18" s="317" customFormat="1" ht="10.199999999999999" hidden="1">
      <c r="A88" s="317" t="s">
        <v>1103</v>
      </c>
      <c r="F88" s="230" t="e">
        <f>SUM(F78:F87)</f>
        <v>#REF!</v>
      </c>
      <c r="G88" s="958"/>
      <c r="H88" s="230">
        <v>-1069703</v>
      </c>
      <c r="I88" s="958"/>
      <c r="J88" s="230" t="e">
        <f>SUM(J78:J87)</f>
        <v>#REF!</v>
      </c>
      <c r="L88" s="964" t="e">
        <f>SUM(L78:L87)</f>
        <v>#REF!</v>
      </c>
      <c r="M88" s="952"/>
      <c r="N88" s="952">
        <f>SUM(N78:N87)</f>
        <v>705998.25</v>
      </c>
      <c r="O88" s="962" t="e">
        <f t="shared" si="0"/>
        <v>#REF!</v>
      </c>
    </row>
    <row r="89" spans="1:18" s="317" customFormat="1" ht="10.199999999999999" hidden="1">
      <c r="F89" s="230"/>
      <c r="G89" s="230"/>
      <c r="H89" s="230"/>
      <c r="I89" s="230"/>
      <c r="J89" s="230"/>
      <c r="L89" s="230"/>
      <c r="M89" s="230"/>
      <c r="N89" s="952"/>
      <c r="O89" s="962">
        <f t="shared" si="0"/>
        <v>0</v>
      </c>
    </row>
    <row r="90" spans="1:18" s="317" customFormat="1" ht="10.8" hidden="1" thickBot="1">
      <c r="A90" s="213" t="s">
        <v>66</v>
      </c>
      <c r="B90" s="213"/>
      <c r="C90" s="213"/>
      <c r="D90" s="213"/>
      <c r="E90" s="213"/>
      <c r="F90" s="1110" t="e">
        <f>F88+F76+F72+F19+F10</f>
        <v>#REF!</v>
      </c>
      <c r="G90" s="950"/>
      <c r="H90" s="1110">
        <v>8908200.0337259248</v>
      </c>
      <c r="I90" s="950"/>
      <c r="J90" s="983" t="e">
        <f>J88+J76+J72+J19+J10</f>
        <v>#REF!</v>
      </c>
      <c r="L90" s="963" t="e">
        <f>L88+L76+L72+L19+L10</f>
        <v>#REF!</v>
      </c>
      <c r="M90" s="1034"/>
      <c r="N90" s="963">
        <f>N88+N76+N72+N19+N10</f>
        <v>7910020.5</v>
      </c>
      <c r="O90" s="962" t="e">
        <f t="shared" si="0"/>
        <v>#REF!</v>
      </c>
    </row>
    <row r="91" spans="1:18" s="317" customFormat="1" ht="10.199999999999999">
      <c r="A91" s="1041" t="s">
        <v>2311</v>
      </c>
      <c r="F91" s="1112">
        <v>102.50165971109922</v>
      </c>
      <c r="G91" s="1111"/>
      <c r="H91" s="1112">
        <v>102.50165971109922</v>
      </c>
      <c r="I91" s="950"/>
      <c r="J91" s="947"/>
      <c r="L91" s="950"/>
      <c r="M91" s="950"/>
      <c r="N91" s="950"/>
      <c r="O91" s="962"/>
    </row>
    <row r="92" spans="1:18" s="317" customFormat="1" ht="10.199999999999999">
      <c r="F92" s="1045"/>
      <c r="G92" s="1045"/>
      <c r="H92" s="1045"/>
      <c r="I92" s="950"/>
      <c r="J92" s="947"/>
      <c r="L92" s="950"/>
      <c r="M92" s="950"/>
      <c r="N92" s="950"/>
      <c r="O92" s="962"/>
    </row>
    <row r="93" spans="1:18" s="317" customFormat="1" ht="10.199999999999999">
      <c r="A93" s="1041" t="s">
        <v>2312</v>
      </c>
      <c r="F93" s="1112">
        <v>91.01</v>
      </c>
      <c r="G93" s="1111"/>
      <c r="H93" s="1112">
        <v>91.01</v>
      </c>
      <c r="I93" s="950"/>
      <c r="J93" s="947"/>
      <c r="L93" s="950"/>
      <c r="M93" s="950"/>
      <c r="N93" s="950"/>
      <c r="O93" s="962"/>
    </row>
    <row r="94" spans="1:18">
      <c r="N94" s="816"/>
    </row>
    <row r="95" spans="1:18">
      <c r="A95" s="244" t="e">
        <f>BS!#REF!</f>
        <v>#REF!</v>
      </c>
      <c r="I95" s="816"/>
      <c r="J95" s="816"/>
      <c r="K95" s="816"/>
      <c r="L95" s="816"/>
      <c r="M95" s="816"/>
      <c r="N95" s="816"/>
      <c r="O95" s="816"/>
      <c r="P95" s="816"/>
      <c r="Q95" s="816"/>
      <c r="R95" s="816"/>
    </row>
    <row r="96" spans="1:18">
      <c r="I96" s="816"/>
      <c r="J96" s="816"/>
      <c r="K96" s="816"/>
      <c r="L96" s="816"/>
      <c r="M96" s="816"/>
      <c r="N96" s="816"/>
      <c r="O96" s="816"/>
      <c r="P96" s="816"/>
      <c r="Q96" s="816"/>
      <c r="R96" s="816"/>
    </row>
    <row r="97" spans="1:18">
      <c r="I97" s="816"/>
      <c r="J97" s="816"/>
      <c r="K97" s="816"/>
      <c r="L97" s="816"/>
      <c r="M97" s="816"/>
      <c r="N97" s="816"/>
      <c r="O97" s="816"/>
      <c r="P97" s="816"/>
      <c r="Q97" s="816"/>
      <c r="R97" s="816"/>
    </row>
    <row r="98" spans="1:18" s="1000" customFormat="1" ht="12">
      <c r="A98" s="999">
        <f>BS!$A$44</f>
        <v>0</v>
      </c>
      <c r="B98" s="999"/>
      <c r="C98" s="999"/>
      <c r="D98" s="999"/>
      <c r="E98" s="999"/>
      <c r="F98" s="999"/>
      <c r="G98" s="999"/>
      <c r="H98" s="999"/>
      <c r="I98" s="999"/>
      <c r="J98" s="999"/>
      <c r="K98" s="999"/>
    </row>
    <row r="99" spans="1:18" s="1000" customFormat="1" ht="12">
      <c r="A99" s="1001" t="str">
        <f>BS!$A$45</f>
        <v>For MCB-Arif Habib Savings and Investments Limited</v>
      </c>
      <c r="B99" s="1001"/>
      <c r="C99" s="1001"/>
      <c r="D99" s="1001"/>
      <c r="E99" s="1001"/>
      <c r="F99" s="1001"/>
      <c r="G99" s="1001"/>
      <c r="H99" s="1001"/>
      <c r="I99" s="1001"/>
      <c r="J99" s="1001"/>
      <c r="K99" s="1001"/>
      <c r="L99" s="1001"/>
      <c r="M99" s="1001"/>
    </row>
    <row r="100" spans="1:18" s="1013" customFormat="1" ht="12">
      <c r="A100" s="1011"/>
      <c r="B100" s="1004"/>
      <c r="C100" s="1004"/>
      <c r="D100" s="1004"/>
      <c r="E100" s="1004"/>
      <c r="F100" s="1005"/>
      <c r="G100" s="1004"/>
      <c r="H100" s="1008"/>
      <c r="I100" s="1007"/>
      <c r="J100" s="1004"/>
      <c r="K100" s="1008"/>
      <c r="L100" s="1012"/>
      <c r="M100" s="1012"/>
    </row>
    <row r="101" spans="1:18" s="1013" customFormat="1" ht="12">
      <c r="B101" s="1004"/>
      <c r="C101" s="1004"/>
      <c r="D101" s="1004"/>
      <c r="E101" s="1004"/>
      <c r="F101" s="1005"/>
      <c r="G101" s="1004"/>
      <c r="H101" s="1008"/>
      <c r="I101" s="1007"/>
      <c r="J101" s="1004"/>
      <c r="K101" s="1008"/>
      <c r="L101" s="1012"/>
      <c r="M101" s="1012"/>
    </row>
    <row r="102" spans="1:18" s="1013" customFormat="1" ht="12">
      <c r="B102" s="1004"/>
      <c r="C102" s="1004"/>
      <c r="D102" s="1004"/>
      <c r="E102" s="1004"/>
      <c r="F102" s="1005"/>
      <c r="G102" s="1004"/>
      <c r="H102" s="1008"/>
      <c r="I102" s="1007"/>
      <c r="J102" s="1004"/>
      <c r="K102" s="1008"/>
      <c r="L102" s="1012"/>
      <c r="M102" s="1012"/>
    </row>
    <row r="103" spans="1:18" s="1013" customFormat="1" ht="12">
      <c r="B103" s="1004"/>
      <c r="C103" s="1004"/>
      <c r="D103" s="1004"/>
      <c r="E103" s="1004"/>
      <c r="F103" s="1005"/>
      <c r="G103" s="1004"/>
      <c r="H103" s="1008"/>
      <c r="I103" s="1007"/>
      <c r="J103" s="1004"/>
      <c r="K103" s="1008"/>
      <c r="L103" s="1012"/>
      <c r="M103" s="1012"/>
    </row>
    <row r="104" spans="1:18" s="1013" customFormat="1" ht="12">
      <c r="A104" s="1002" t="str">
        <f>BS!$A$52</f>
        <v>Chief Executive Officer</v>
      </c>
      <c r="B104" s="1003"/>
      <c r="C104" s="1004"/>
      <c r="D104" s="1004"/>
      <c r="E104" s="1004"/>
      <c r="F104" s="1005"/>
      <c r="G104" s="1004"/>
      <c r="H104" s="1006"/>
      <c r="I104" s="1007"/>
      <c r="J104" s="1004"/>
      <c r="K104" s="1008"/>
      <c r="L104" s="1012"/>
      <c r="M104" s="1012"/>
    </row>
    <row r="105" spans="1:18" s="1013" customFormat="1" ht="12">
      <c r="A105" s="1009" t="e">
        <f>BS!#REF!</f>
        <v>#REF!</v>
      </c>
      <c r="B105" s="1003"/>
      <c r="C105" s="1004"/>
      <c r="D105" s="1004"/>
      <c r="E105" s="1004"/>
      <c r="F105" s="1005"/>
      <c r="G105" s="1004"/>
      <c r="H105" s="1010"/>
      <c r="I105" s="1007"/>
      <c r="J105" s="1004"/>
      <c r="K105" s="1008"/>
      <c r="L105" s="1012"/>
      <c r="M105" s="1012"/>
    </row>
    <row r="553" spans="1:12">
      <c r="B553" s="2465" t="s">
        <v>2416</v>
      </c>
      <c r="C553" s="2465"/>
      <c r="D553" s="2465"/>
      <c r="E553" s="2465"/>
      <c r="F553" s="2465"/>
      <c r="G553" s="2465"/>
      <c r="H553" s="2465"/>
      <c r="I553" s="2465"/>
      <c r="J553" s="2465"/>
      <c r="K553" s="2465"/>
      <c r="L553" s="2465"/>
    </row>
    <row r="554" spans="1:12">
      <c r="B554" s="2465"/>
      <c r="C554" s="2465"/>
      <c r="D554" s="2465"/>
      <c r="E554" s="2465"/>
      <c r="F554" s="2465"/>
      <c r="G554" s="2465"/>
      <c r="H554" s="2465"/>
      <c r="I554" s="2465"/>
      <c r="J554" s="2465"/>
      <c r="K554" s="2465"/>
      <c r="L554" s="2465"/>
    </row>
    <row r="555" spans="1:12">
      <c r="B555" s="2465"/>
      <c r="C555" s="2465"/>
      <c r="D555" s="2465"/>
      <c r="E555" s="2465"/>
      <c r="F555" s="2465"/>
      <c r="G555" s="2465"/>
      <c r="H555" s="2465"/>
      <c r="I555" s="2465"/>
      <c r="J555" s="2465"/>
      <c r="K555" s="2465"/>
      <c r="L555" s="2465"/>
    </row>
    <row r="557" spans="1:12">
      <c r="A557" s="846">
        <f>A553+0.1</f>
        <v>0.1</v>
      </c>
    </row>
    <row r="694" spans="3:3">
      <c r="C694" s="846" t="s">
        <v>2417</v>
      </c>
    </row>
    <row r="708" spans="3:3">
      <c r="C708" s="846" t="s">
        <v>2418</v>
      </c>
    </row>
  </sheetData>
  <mergeCells count="7">
    <mergeCell ref="B553:L555"/>
    <mergeCell ref="F5:H5"/>
    <mergeCell ref="J5:L5"/>
    <mergeCell ref="F6:H6"/>
    <mergeCell ref="J6:L6"/>
    <mergeCell ref="F8:I8"/>
    <mergeCell ref="J8:M8"/>
  </mergeCells>
  <printOptions horizontalCentered="1"/>
  <pageMargins left="0.75" right="0.5" top="0.5" bottom="0.4" header="0.28999999999999998" footer="0.5"/>
  <pageSetup paperSize="9" scale="89" fitToHeight="0" orientation="portrait" r:id="rId1"/>
  <headerFooter alignWithMargins="0"/>
  <ignoredErrors>
    <ignoredError sqref="G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A7" sqref="A7"/>
    </sheetView>
  </sheetViews>
  <sheetFormatPr defaultRowHeight="15.6"/>
  <sheetData>
    <row r="1" spans="1:14">
      <c r="A1" s="2467" t="s">
        <v>2426</v>
      </c>
      <c r="B1" s="2467"/>
      <c r="C1" s="2467"/>
      <c r="D1" s="2467"/>
      <c r="E1" s="2467"/>
      <c r="F1" s="2467"/>
      <c r="G1" s="2467"/>
      <c r="H1" s="2467"/>
      <c r="I1" s="2467"/>
      <c r="J1" s="2467"/>
      <c r="K1" s="2467"/>
      <c r="L1" s="2467"/>
      <c r="M1" s="2467"/>
      <c r="N1" s="2467"/>
    </row>
    <row r="2" spans="1:14">
      <c r="A2" s="2467"/>
      <c r="B2" s="2467"/>
      <c r="C2" s="2467"/>
      <c r="D2" s="2467"/>
      <c r="E2" s="2467"/>
      <c r="F2" s="2467"/>
      <c r="G2" s="2467"/>
      <c r="H2" s="2467"/>
      <c r="I2" s="2467"/>
      <c r="J2" s="2467"/>
      <c r="K2" s="2467"/>
      <c r="L2" s="2467"/>
      <c r="M2" s="2467"/>
      <c r="N2" s="2467"/>
    </row>
    <row r="3" spans="1:14">
      <c r="A3" s="2467"/>
      <c r="B3" s="2467"/>
      <c r="C3" s="2467"/>
      <c r="D3" s="2467"/>
      <c r="E3" s="2467"/>
      <c r="F3" s="2467"/>
      <c r="G3" s="2467"/>
      <c r="H3" s="2467"/>
      <c r="I3" s="2467"/>
      <c r="J3" s="2467"/>
      <c r="K3" s="2467"/>
      <c r="L3" s="2467"/>
      <c r="M3" s="2467"/>
      <c r="N3" s="2467"/>
    </row>
    <row r="4" spans="1:14">
      <c r="A4" s="2467"/>
      <c r="B4" s="2467"/>
      <c r="C4" s="2467"/>
      <c r="D4" s="2467"/>
      <c r="E4" s="2467"/>
      <c r="F4" s="2467"/>
      <c r="G4" s="2467"/>
      <c r="H4" s="2467"/>
      <c r="I4" s="2467"/>
      <c r="J4" s="2467"/>
      <c r="K4" s="2467"/>
      <c r="L4" s="2467"/>
      <c r="M4" s="2467"/>
      <c r="N4" s="2467"/>
    </row>
    <row r="5" spans="1:14">
      <c r="A5" s="2467"/>
      <c r="B5" s="2467"/>
      <c r="C5" s="2467"/>
      <c r="D5" s="2467"/>
      <c r="E5" s="2467"/>
      <c r="F5" s="2467"/>
      <c r="G5" s="2467"/>
      <c r="H5" s="2467"/>
      <c r="I5" s="2467"/>
      <c r="J5" s="2467"/>
      <c r="K5" s="2467"/>
      <c r="L5" s="2467"/>
      <c r="M5" s="2467"/>
      <c r="N5" s="2467"/>
    </row>
    <row r="6" spans="1:14">
      <c r="A6" s="2467"/>
      <c r="B6" s="2467"/>
      <c r="C6" s="2467"/>
      <c r="D6" s="2467"/>
      <c r="E6" s="2467"/>
      <c r="F6" s="2467"/>
      <c r="G6" s="2467"/>
      <c r="H6" s="2467"/>
      <c r="I6" s="2467"/>
      <c r="J6" s="2467"/>
      <c r="K6" s="2467"/>
      <c r="L6" s="2467"/>
      <c r="M6" s="2467"/>
      <c r="N6" s="2467"/>
    </row>
  </sheetData>
  <mergeCells count="1">
    <mergeCell ref="A1:N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W66"/>
  <sheetViews>
    <sheetView view="pageBreakPreview" topLeftCell="A34" zoomScaleSheetLayoutView="100" workbookViewId="0">
      <selection activeCell="H37" sqref="H37"/>
    </sheetView>
  </sheetViews>
  <sheetFormatPr defaultColWidth="9" defaultRowHeight="13.8"/>
  <cols>
    <col min="1" max="1" width="7.09765625" style="1446" customWidth="1"/>
    <col min="2" max="2" width="24.19921875" style="1446" customWidth="1"/>
    <col min="3" max="5" width="7" style="1446" customWidth="1"/>
    <col min="6" max="7" width="5.59765625" style="1446" customWidth="1"/>
    <col min="8" max="8" width="11.8984375" style="1966" customWidth="1"/>
    <col min="9" max="9" width="0.69921875" style="1479" customWidth="1"/>
    <col min="10" max="10" width="13.09765625" style="1479" customWidth="1"/>
    <col min="11" max="11" width="11.69921875" style="1479" hidden="1" customWidth="1"/>
    <col min="12" max="12" width="11" style="1446" hidden="1" customWidth="1"/>
    <col min="13" max="14" width="9.69921875" style="1446" hidden="1" customWidth="1"/>
    <col min="15" max="15" width="9.5" style="1446" hidden="1" customWidth="1"/>
    <col min="16" max="16" width="13" style="1446" hidden="1" customWidth="1"/>
    <col min="17" max="20" width="9" style="1446" hidden="1" customWidth="1"/>
    <col min="21" max="21" width="9" style="1446" customWidth="1"/>
    <col min="22" max="22" width="13.69921875" style="1562" customWidth="1"/>
    <col min="23" max="23" width="13.69921875" style="1446" customWidth="1"/>
    <col min="24" max="16384" width="9" style="1446"/>
  </cols>
  <sheetData>
    <row r="1" spans="1:23" ht="18.75" customHeight="1">
      <c r="A1" s="2311" t="str">
        <f>BS!$A$1</f>
        <v>MCB PAKISTAN STOCK MARKET FUND</v>
      </c>
      <c r="B1" s="2311"/>
      <c r="C1" s="2311"/>
      <c r="D1" s="2311"/>
      <c r="E1" s="2311"/>
      <c r="F1" s="2311"/>
      <c r="G1" s="2311"/>
      <c r="H1" s="2311"/>
      <c r="I1" s="2311"/>
      <c r="J1" s="2311"/>
    </row>
    <row r="2" spans="1:23" ht="18.75" customHeight="1">
      <c r="A2" s="2311" t="s">
        <v>1070</v>
      </c>
      <c r="B2" s="2311"/>
      <c r="C2" s="2311"/>
      <c r="D2" s="2311"/>
      <c r="E2" s="2311"/>
      <c r="F2" s="2311"/>
      <c r="G2" s="2311"/>
      <c r="H2" s="2311"/>
      <c r="I2" s="2311"/>
      <c r="J2" s="2311"/>
      <c r="K2" s="1525"/>
      <c r="L2" s="1615"/>
    </row>
    <row r="3" spans="1:23" ht="18.75" customHeight="1">
      <c r="A3" s="2311" t="s">
        <v>3196</v>
      </c>
      <c r="B3" s="2311"/>
      <c r="C3" s="2311"/>
      <c r="D3" s="2311"/>
      <c r="E3" s="2311"/>
      <c r="F3" s="2311"/>
      <c r="G3" s="2311"/>
      <c r="H3" s="2311"/>
      <c r="I3" s="2311"/>
      <c r="J3" s="2311"/>
      <c r="K3" s="1525"/>
      <c r="L3" s="1615"/>
    </row>
    <row r="4" spans="1:23">
      <c r="A4" s="1445"/>
      <c r="B4" s="1445"/>
      <c r="C4" s="1445"/>
      <c r="D4" s="1445"/>
      <c r="E4" s="1445"/>
      <c r="F4" s="1445"/>
      <c r="G4" s="1445"/>
      <c r="H4" s="1965"/>
      <c r="I4" s="1525"/>
      <c r="J4" s="1525"/>
      <c r="K4" s="1525"/>
    </row>
    <row r="5" spans="1:23">
      <c r="A5" s="1445"/>
      <c r="B5" s="1445"/>
      <c r="C5" s="1445"/>
      <c r="D5" s="1445"/>
      <c r="E5" s="1445"/>
      <c r="F5" s="1445"/>
      <c r="H5" s="2317" t="s">
        <v>705</v>
      </c>
      <c r="I5" s="2317"/>
      <c r="J5" s="2317"/>
      <c r="K5" s="1527"/>
      <c r="O5" s="1446">
        <f>-86429461-4447315</f>
        <v>-90876776</v>
      </c>
    </row>
    <row r="6" spans="1:23">
      <c r="A6" s="1445"/>
      <c r="B6" s="1445"/>
      <c r="C6" s="1445"/>
      <c r="D6" s="1445"/>
      <c r="E6" s="1445"/>
      <c r="F6" s="1445"/>
      <c r="G6" s="1528"/>
      <c r="H6" s="2318" t="s">
        <v>2778</v>
      </c>
      <c r="I6" s="2318"/>
      <c r="J6" s="2318"/>
      <c r="K6" s="1526" t="s">
        <v>624</v>
      </c>
      <c r="L6" s="1446" t="s">
        <v>2371</v>
      </c>
      <c r="O6" s="1562">
        <f>+O5/1000</f>
        <v>-90876.775999999998</v>
      </c>
      <c r="U6" s="1446" t="s">
        <v>2497</v>
      </c>
    </row>
    <row r="7" spans="1:23">
      <c r="A7" s="1445"/>
      <c r="B7" s="1445"/>
      <c r="C7" s="1445"/>
      <c r="D7" s="1445"/>
      <c r="E7" s="1445"/>
      <c r="F7" s="1445"/>
      <c r="G7" s="1528"/>
      <c r="H7" s="2210" t="s">
        <v>3197</v>
      </c>
      <c r="I7" s="1526"/>
      <c r="J7" s="1940" t="s">
        <v>2917</v>
      </c>
      <c r="K7" s="1526" t="s">
        <v>989</v>
      </c>
    </row>
    <row r="8" spans="1:23">
      <c r="A8" s="1445"/>
      <c r="B8" s="1445"/>
      <c r="C8" s="1445"/>
      <c r="D8" s="1445"/>
      <c r="E8" s="1445"/>
      <c r="F8" s="1445"/>
      <c r="G8" s="1528" t="s">
        <v>51</v>
      </c>
      <c r="H8" s="2312" t="s">
        <v>2521</v>
      </c>
      <c r="I8" s="2312"/>
      <c r="J8" s="2312"/>
      <c r="K8" s="1530"/>
      <c r="W8" s="1562"/>
    </row>
    <row r="9" spans="1:23">
      <c r="A9" s="1531" t="s">
        <v>59</v>
      </c>
      <c r="G9" s="1532"/>
      <c r="I9" s="1446"/>
      <c r="J9" s="1446"/>
      <c r="K9" s="1446"/>
      <c r="P9" s="1445" t="s">
        <v>2509</v>
      </c>
      <c r="S9" s="1445" t="s">
        <v>2510</v>
      </c>
      <c r="W9" s="1562"/>
    </row>
    <row r="10" spans="1:23">
      <c r="A10" s="1220" t="s">
        <v>2611</v>
      </c>
      <c r="H10" s="1967">
        <f>'TB-31 Dec'!I127</f>
        <v>-25206</v>
      </c>
      <c r="I10" s="1457"/>
      <c r="J10" s="1533">
        <v>454696</v>
      </c>
      <c r="K10" s="1534">
        <v>369162</v>
      </c>
      <c r="L10" s="1535">
        <f t="shared" ref="L10:L15" si="0">J10-K10</f>
        <v>85534</v>
      </c>
      <c r="M10" s="1484"/>
      <c r="N10" s="1479"/>
      <c r="O10" s="1479"/>
      <c r="P10" s="1474">
        <v>-169261.92061</v>
      </c>
      <c r="S10" s="1446" t="s">
        <v>2611</v>
      </c>
      <c r="V10" s="1562">
        <v>-22878718</v>
      </c>
      <c r="W10" s="1562"/>
    </row>
    <row r="11" spans="1:23">
      <c r="A11" s="1220" t="s">
        <v>115</v>
      </c>
      <c r="G11" s="1477"/>
      <c r="H11" s="1968">
        <f>'TB-31 Dec'!I128</f>
        <v>175818</v>
      </c>
      <c r="I11" s="1537"/>
      <c r="J11" s="1538">
        <v>27033.25</v>
      </c>
      <c r="K11" s="1539">
        <v>90184</v>
      </c>
      <c r="L11" s="1535">
        <f t="shared" si="0"/>
        <v>-63150.75</v>
      </c>
      <c r="M11" s="1484"/>
      <c r="N11" s="1479"/>
      <c r="O11" s="1479"/>
      <c r="P11" s="1536">
        <v>262268.71899999998</v>
      </c>
      <c r="S11" s="1446" t="s">
        <v>115</v>
      </c>
      <c r="V11" s="1562">
        <v>-2327500</v>
      </c>
    </row>
    <row r="12" spans="1:23">
      <c r="A12" s="1220" t="s">
        <v>2522</v>
      </c>
      <c r="G12" s="1477"/>
      <c r="H12" s="1968">
        <f>'TB-31 Dec'!J129</f>
        <v>0</v>
      </c>
      <c r="I12" s="1537"/>
      <c r="J12" s="1538">
        <v>1187</v>
      </c>
      <c r="K12" s="1539">
        <v>3845</v>
      </c>
      <c r="L12" s="1535">
        <f t="shared" si="0"/>
        <v>-2658</v>
      </c>
      <c r="M12" s="1484">
        <v>-992241</v>
      </c>
      <c r="N12" s="1479"/>
      <c r="O12" s="1479"/>
      <c r="P12" s="1536">
        <v>30000.52477</v>
      </c>
      <c r="S12" s="1446" t="s">
        <v>2612</v>
      </c>
    </row>
    <row r="13" spans="1:23">
      <c r="A13" s="1220" t="s">
        <v>2408</v>
      </c>
      <c r="G13" s="1477"/>
      <c r="H13" s="1968">
        <f>'TB-31 Dec'!I130</f>
        <v>8201</v>
      </c>
      <c r="I13" s="1537"/>
      <c r="J13" s="1538">
        <v>5940.25</v>
      </c>
      <c r="K13" s="1540">
        <v>6151</v>
      </c>
      <c r="L13" s="1535">
        <f t="shared" si="0"/>
        <v>-210.75</v>
      </c>
      <c r="M13" s="1457">
        <f>SUM(H11:H13)</f>
        <v>184019</v>
      </c>
      <c r="N13" s="1479"/>
      <c r="O13" s="1479"/>
      <c r="P13" s="1536">
        <v>31270.527459999998</v>
      </c>
      <c r="S13" s="1446" t="s">
        <v>2408</v>
      </c>
    </row>
    <row r="14" spans="1:23">
      <c r="A14" s="1220" t="s">
        <v>3297</v>
      </c>
      <c r="G14" s="1477"/>
      <c r="H14" s="1968"/>
      <c r="I14" s="1537"/>
      <c r="J14" s="1538"/>
      <c r="K14" s="1541"/>
      <c r="L14" s="1535">
        <f t="shared" si="0"/>
        <v>0</v>
      </c>
      <c r="M14" s="1484"/>
      <c r="N14" s="1479"/>
      <c r="O14" s="1479"/>
      <c r="P14" s="1536"/>
      <c r="S14" s="1446" t="s">
        <v>2613</v>
      </c>
    </row>
    <row r="15" spans="1:23">
      <c r="A15" s="1220" t="s">
        <v>2523</v>
      </c>
      <c r="G15" s="1543"/>
      <c r="H15" s="1968">
        <f>'5-5.1.1'!J155</f>
        <v>-813834.11999999546</v>
      </c>
      <c r="I15" s="1537"/>
      <c r="J15" s="1538">
        <v>1235644</v>
      </c>
      <c r="K15" s="1544">
        <v>-2178</v>
      </c>
      <c r="L15" s="1535">
        <f t="shared" si="0"/>
        <v>1237822</v>
      </c>
      <c r="M15" s="1484"/>
      <c r="N15" s="1479"/>
      <c r="O15" s="1479"/>
      <c r="P15" s="1536">
        <v>-1249948.1930140001</v>
      </c>
      <c r="S15" s="1446" t="s">
        <v>2614</v>
      </c>
    </row>
    <row r="16" spans="1:23">
      <c r="A16" s="1220" t="s">
        <v>2374</v>
      </c>
      <c r="G16" s="1543"/>
      <c r="H16" s="1969">
        <f>'TB-31 Dec'!I133</f>
        <v>31</v>
      </c>
      <c r="I16" s="1537"/>
      <c r="J16" s="2043">
        <v>23</v>
      </c>
      <c r="K16" s="1484"/>
      <c r="L16" s="1535"/>
      <c r="M16" s="1484"/>
      <c r="N16" s="1479"/>
      <c r="O16" s="1479"/>
      <c r="P16" s="1545">
        <v>0</v>
      </c>
      <c r="S16" s="1446" t="s">
        <v>2374</v>
      </c>
    </row>
    <row r="17" spans="1:22">
      <c r="A17" s="1445" t="s">
        <v>2777</v>
      </c>
      <c r="H17" s="1970">
        <f>SUM(H10:H16)</f>
        <v>-654990.11999999546</v>
      </c>
      <c r="I17" s="1537"/>
      <c r="J17" s="1537">
        <f>SUM(J10:J16)</f>
        <v>1724523.5</v>
      </c>
      <c r="K17" s="1547">
        <f>SUM(K10:K15)</f>
        <v>467164</v>
      </c>
      <c r="M17" s="1484"/>
      <c r="N17" s="1547"/>
      <c r="O17" s="1562">
        <f>2245877673/1000</f>
        <v>2245877.673</v>
      </c>
      <c r="S17" s="1479"/>
    </row>
    <row r="18" spans="1:22">
      <c r="B18" s="1445"/>
      <c r="C18" s="1445"/>
      <c r="D18" s="1445"/>
      <c r="E18" s="1445"/>
      <c r="F18" s="1445"/>
      <c r="G18" s="1548"/>
      <c r="H18" s="1971"/>
      <c r="I18" s="1549"/>
      <c r="J18" s="1549"/>
      <c r="K18" s="1547"/>
      <c r="M18" s="1547"/>
    </row>
    <row r="19" spans="1:22">
      <c r="A19" s="1531" t="s">
        <v>60</v>
      </c>
      <c r="B19" s="1531"/>
      <c r="C19" s="1531"/>
      <c r="D19" s="1531"/>
      <c r="E19" s="1531"/>
      <c r="F19" s="1531"/>
      <c r="G19" s="1479"/>
      <c r="H19" s="1971"/>
      <c r="I19" s="1549"/>
      <c r="J19" s="1549"/>
      <c r="K19" s="1547"/>
      <c r="M19" s="1547"/>
    </row>
    <row r="20" spans="1:22" s="1445" customFormat="1">
      <c r="A20" s="1220" t="s">
        <v>2379</v>
      </c>
      <c r="B20" s="1446"/>
      <c r="C20" s="1446"/>
      <c r="D20" s="1446"/>
      <c r="E20" s="1446"/>
      <c r="F20" s="1446"/>
      <c r="G20" s="1550"/>
      <c r="H20" s="1967">
        <f>'TB-31 Dec'!I134</f>
        <v>62880</v>
      </c>
      <c r="I20" s="1537"/>
      <c r="J20" s="1552">
        <v>54055</v>
      </c>
      <c r="K20" s="1553">
        <v>43190</v>
      </c>
      <c r="L20" s="1535">
        <f>J20-K20</f>
        <v>10865</v>
      </c>
      <c r="M20" s="1484">
        <v>48432.75</v>
      </c>
      <c r="N20" s="1554"/>
      <c r="O20" s="1479"/>
      <c r="P20" s="1551">
        <v>114602.24370000001</v>
      </c>
      <c r="S20" s="1949"/>
      <c r="V20" s="1569"/>
    </row>
    <row r="21" spans="1:22" s="1445" customFormat="1">
      <c r="A21" s="1220" t="s">
        <v>2596</v>
      </c>
      <c r="B21" s="1446"/>
      <c r="C21" s="1446"/>
      <c r="D21" s="1446"/>
      <c r="E21" s="1446"/>
      <c r="F21" s="1446"/>
      <c r="G21" s="1550"/>
      <c r="H21" s="1968"/>
      <c r="I21" s="1537"/>
      <c r="J21" s="1947"/>
      <c r="K21" s="1553"/>
      <c r="L21" s="1535"/>
      <c r="M21" s="1484"/>
      <c r="N21" s="1554"/>
      <c r="O21" s="1479"/>
      <c r="P21" s="1536"/>
      <c r="S21" s="1950"/>
      <c r="V21" s="1569"/>
    </row>
    <row r="22" spans="1:22" s="1445" customFormat="1">
      <c r="A22" s="1220" t="s">
        <v>2913</v>
      </c>
      <c r="B22" s="1446"/>
      <c r="C22" s="1446"/>
      <c r="D22" s="1446"/>
      <c r="E22" s="1446"/>
      <c r="F22" s="1446"/>
      <c r="G22" s="1550"/>
      <c r="H22" s="1968">
        <f>'TB-31 Dec'!I136</f>
        <v>8174</v>
      </c>
      <c r="I22" s="1537"/>
      <c r="J22" s="1555">
        <v>7027</v>
      </c>
      <c r="K22" s="1553">
        <v>5615</v>
      </c>
      <c r="L22" s="1535">
        <f>J23-K22</f>
        <v>-2660</v>
      </c>
      <c r="M22" s="1484">
        <v>6297</v>
      </c>
      <c r="N22" s="1554"/>
      <c r="O22" s="1479"/>
      <c r="P22" s="1536">
        <v>14898.29168</v>
      </c>
      <c r="S22" s="1950"/>
      <c r="T22" s="1445" t="s">
        <v>2775</v>
      </c>
      <c r="V22" s="1569"/>
    </row>
    <row r="23" spans="1:22" s="1445" customFormat="1">
      <c r="A23" s="1220" t="s">
        <v>2380</v>
      </c>
      <c r="B23" s="1446"/>
      <c r="C23" s="1446"/>
      <c r="D23" s="1446"/>
      <c r="E23" s="1446"/>
      <c r="F23" s="1446"/>
      <c r="G23" s="1550"/>
      <c r="H23" s="1968">
        <f>'TB-31 Dec'!I137</f>
        <v>3396</v>
      </c>
      <c r="I23" s="1537"/>
      <c r="J23" s="1555">
        <v>2955</v>
      </c>
      <c r="K23" s="1556">
        <v>2412</v>
      </c>
      <c r="L23" s="1535">
        <f>J24-K23</f>
        <v>-2028</v>
      </c>
      <c r="M23" s="1484">
        <v>2673.75</v>
      </c>
      <c r="N23" s="1554"/>
      <c r="O23" s="1479"/>
      <c r="P23" s="1536">
        <v>6234.5209999999997</v>
      </c>
      <c r="S23" s="1950"/>
      <c r="T23" s="1445">
        <v>928</v>
      </c>
      <c r="V23" s="1569"/>
    </row>
    <row r="24" spans="1:22" s="1445" customFormat="1">
      <c r="A24" s="1220" t="s">
        <v>706</v>
      </c>
      <c r="B24" s="1446"/>
      <c r="C24" s="1446"/>
      <c r="D24" s="1446"/>
      <c r="E24" s="1446"/>
      <c r="F24" s="1446"/>
      <c r="G24" s="1550"/>
      <c r="H24" s="1968">
        <f>'TB-31 Dec'!I138</f>
        <v>441</v>
      </c>
      <c r="I24" s="1537"/>
      <c r="J24" s="1555">
        <v>384</v>
      </c>
      <c r="K24" s="1553">
        <v>314</v>
      </c>
      <c r="L24" s="1535">
        <f>J27-K24</f>
        <v>2389</v>
      </c>
      <c r="M24" s="1484">
        <v>347</v>
      </c>
      <c r="N24" s="1554"/>
      <c r="O24" s="1479"/>
      <c r="P24" s="1536">
        <v>810.48900000000003</v>
      </c>
      <c r="S24" s="1950"/>
      <c r="V24" s="1569"/>
    </row>
    <row r="25" spans="1:22" s="1445" customFormat="1">
      <c r="A25" s="1220" t="s">
        <v>2597</v>
      </c>
      <c r="B25" s="1446"/>
      <c r="C25" s="1446"/>
      <c r="D25" s="1446"/>
      <c r="E25" s="1446"/>
      <c r="F25" s="1446"/>
      <c r="G25" s="1550"/>
      <c r="H25" s="1968"/>
      <c r="I25" s="1537"/>
      <c r="J25" s="1947"/>
      <c r="K25" s="1553"/>
      <c r="L25" s="1535"/>
      <c r="M25" s="1484"/>
      <c r="N25" s="1554"/>
      <c r="O25" s="1479"/>
      <c r="P25" s="1536"/>
      <c r="S25" s="1950"/>
      <c r="V25" s="1569"/>
    </row>
    <row r="26" spans="1:22" s="1445" customFormat="1">
      <c r="A26" s="1220" t="s">
        <v>2914</v>
      </c>
      <c r="B26" s="1446"/>
      <c r="C26" s="1446"/>
      <c r="D26" s="1446"/>
      <c r="E26" s="1446"/>
      <c r="F26" s="1446"/>
      <c r="G26" s="1550"/>
      <c r="H26" s="1968">
        <f>'TB-31 Dec'!I140</f>
        <v>629</v>
      </c>
      <c r="I26" s="1537"/>
      <c r="J26" s="1555">
        <v>541</v>
      </c>
      <c r="K26" s="1553">
        <v>2052</v>
      </c>
      <c r="L26" s="1535">
        <f>J29-K26</f>
        <v>-1806</v>
      </c>
      <c r="M26" s="1484">
        <v>2300.75</v>
      </c>
      <c r="N26" s="1554"/>
      <c r="O26" s="1479"/>
      <c r="P26" s="1536">
        <v>5443.6096900000002</v>
      </c>
      <c r="S26" s="1950"/>
      <c r="V26" s="1569"/>
    </row>
    <row r="27" spans="1:22" s="1445" customFormat="1" ht="15.6">
      <c r="A27" s="1220" t="s">
        <v>1105</v>
      </c>
      <c r="B27" s="1446"/>
      <c r="C27" s="1446"/>
      <c r="D27" s="1446"/>
      <c r="E27" s="1446"/>
      <c r="F27" s="1446"/>
      <c r="G27" s="1550"/>
      <c r="H27" s="1968">
        <f>'TB-31 Dec'!I141</f>
        <v>3144</v>
      </c>
      <c r="I27" s="1537"/>
      <c r="J27" s="1555">
        <v>2703</v>
      </c>
      <c r="K27" s="1553">
        <v>2440</v>
      </c>
      <c r="L27" s="1535">
        <f>J30-K27</f>
        <v>18041</v>
      </c>
      <c r="M27" s="1484">
        <v>2737</v>
      </c>
      <c r="N27" s="1554"/>
      <c r="O27" s="1479"/>
      <c r="P27" s="1536">
        <v>6474.5861799999993</v>
      </c>
      <c r="S27" s="1950"/>
      <c r="V27" s="2248">
        <v>951136</v>
      </c>
    </row>
    <row r="28" spans="1:22" ht="15.6">
      <c r="A28" s="1220" t="s">
        <v>2808</v>
      </c>
      <c r="G28" s="1550"/>
      <c r="H28" s="1968">
        <f>'TB-31 Dec'!I142</f>
        <v>40872</v>
      </c>
      <c r="I28" s="1537">
        <v>0</v>
      </c>
      <c r="J28" s="1555">
        <v>35136</v>
      </c>
      <c r="K28" s="1557"/>
      <c r="L28" s="1535">
        <f>J31-K28</f>
        <v>918</v>
      </c>
      <c r="M28" s="1484">
        <v>9686</v>
      </c>
      <c r="N28" s="1554"/>
      <c r="O28" s="1479"/>
      <c r="P28" s="1536">
        <v>22918.900890000001</v>
      </c>
      <c r="S28" s="1950"/>
      <c r="V28" s="2248">
        <v>69355</v>
      </c>
    </row>
    <row r="29" spans="1:22" s="1445" customFormat="1">
      <c r="A29" s="1220" t="s">
        <v>62</v>
      </c>
      <c r="B29" s="1446"/>
      <c r="C29" s="1446"/>
      <c r="D29" s="1446"/>
      <c r="E29" s="1446"/>
      <c r="F29" s="1446"/>
      <c r="G29" s="1558"/>
      <c r="H29" s="1968">
        <f>'TB-31 Dec'!I143</f>
        <v>267</v>
      </c>
      <c r="I29" s="1537">
        <v>369241</v>
      </c>
      <c r="J29" s="1555">
        <v>246</v>
      </c>
      <c r="K29" s="1559">
        <v>241</v>
      </c>
      <c r="L29" s="1535">
        <f>J32-K29</f>
        <v>-207</v>
      </c>
      <c r="M29" s="1484">
        <v>230</v>
      </c>
      <c r="N29" s="1554"/>
      <c r="O29" s="1479"/>
      <c r="P29" s="1536">
        <v>494.24</v>
      </c>
      <c r="S29" s="1950"/>
      <c r="V29" s="1569">
        <f>SUM(V27:V28)</f>
        <v>1020491</v>
      </c>
    </row>
    <row r="30" spans="1:22">
      <c r="A30" s="1220" t="s">
        <v>61</v>
      </c>
      <c r="G30" s="1457"/>
      <c r="H30" s="1968">
        <f>'TB-31 Dec'!I144</f>
        <v>14360</v>
      </c>
      <c r="I30" s="1537"/>
      <c r="J30" s="1555">
        <v>20481</v>
      </c>
      <c r="K30" s="1553">
        <v>5713</v>
      </c>
      <c r="L30" s="1535">
        <f>J33-K30</f>
        <v>-5706</v>
      </c>
      <c r="M30" s="1484">
        <v>11586</v>
      </c>
      <c r="N30" s="1554"/>
      <c r="O30" s="1479"/>
      <c r="P30" s="1536">
        <v>15760.481839999999</v>
      </c>
      <c r="S30" s="1950"/>
    </row>
    <row r="31" spans="1:22">
      <c r="A31" s="1220" t="s">
        <v>157</v>
      </c>
      <c r="H31" s="1968">
        <f>'TB-31 Dec'!I145</f>
        <v>1022</v>
      </c>
      <c r="I31" s="1537"/>
      <c r="J31" s="1555">
        <v>918</v>
      </c>
      <c r="K31" s="1560">
        <v>793</v>
      </c>
      <c r="L31" s="1535" t="e">
        <f>#REF!-K31</f>
        <v>#REF!</v>
      </c>
      <c r="M31" s="1484">
        <v>633</v>
      </c>
      <c r="N31" s="1554"/>
      <c r="O31" s="1479"/>
      <c r="P31" s="1536">
        <v>1201.3581200000001</v>
      </c>
      <c r="R31" s="1446">
        <f>92727+552416</f>
        <v>645143</v>
      </c>
      <c r="S31" s="1950"/>
    </row>
    <row r="32" spans="1:22">
      <c r="A32" s="1220" t="s">
        <v>2373</v>
      </c>
      <c r="H32" s="1968">
        <f>'TB-31 Dec'!I146</f>
        <v>435</v>
      </c>
      <c r="I32" s="1537"/>
      <c r="J32" s="1555">
        <v>34</v>
      </c>
      <c r="K32" s="1560"/>
      <c r="L32" s="1535"/>
      <c r="M32" s="1484"/>
      <c r="N32" s="1554" t="e">
        <f>#REF!/2</f>
        <v>#REF!</v>
      </c>
      <c r="O32" s="1479"/>
      <c r="P32" s="1536">
        <v>90.016840000000002</v>
      </c>
      <c r="S32" s="1950"/>
    </row>
    <row r="33" spans="1:22">
      <c r="A33" s="1220" t="s">
        <v>998</v>
      </c>
      <c r="H33" s="1968">
        <f>'TB-31 Dec'!I147</f>
        <v>7</v>
      </c>
      <c r="I33" s="1537"/>
      <c r="J33" s="1555">
        <v>7</v>
      </c>
      <c r="K33" s="1557">
        <v>200</v>
      </c>
      <c r="L33" s="1535">
        <f>J34-K33</f>
        <v>-198</v>
      </c>
      <c r="M33" s="1484">
        <v>-7</v>
      </c>
      <c r="N33" s="1554"/>
      <c r="O33" s="1479"/>
      <c r="P33" s="1536">
        <v>61.843010000000007</v>
      </c>
      <c r="S33" s="1951"/>
    </row>
    <row r="34" spans="1:22">
      <c r="A34" s="1220" t="s">
        <v>2782</v>
      </c>
      <c r="H34" s="1969">
        <f>'TB-31 Dec'!I149</f>
        <v>25</v>
      </c>
      <c r="I34" s="1537"/>
      <c r="J34" s="1561">
        <v>2</v>
      </c>
      <c r="K34" s="1948"/>
      <c r="L34" s="1535"/>
      <c r="M34" s="1484"/>
      <c r="N34" s="1554"/>
      <c r="O34" s="1479"/>
      <c r="P34" s="1654">
        <v>0</v>
      </c>
    </row>
    <row r="35" spans="1:22">
      <c r="A35" s="1445" t="s">
        <v>462</v>
      </c>
      <c r="B35" s="1445"/>
      <c r="C35" s="1445"/>
      <c r="D35" s="1445"/>
      <c r="E35" s="1445"/>
      <c r="F35" s="1445"/>
      <c r="G35" s="1485"/>
      <c r="H35" s="1971">
        <f>SUM(H20:H34)</f>
        <v>135652</v>
      </c>
      <c r="I35" s="1549"/>
      <c r="J35" s="1549">
        <f>SUM(J20:J34)</f>
        <v>124489</v>
      </c>
      <c r="K35" s="1547">
        <f>SUM(K20:K33)</f>
        <v>62970</v>
      </c>
      <c r="M35" s="1484"/>
      <c r="N35" s="1484"/>
      <c r="P35" s="1562">
        <v>188991</v>
      </c>
      <c r="Q35" s="1479"/>
      <c r="R35" s="1479"/>
    </row>
    <row r="36" spans="1:22">
      <c r="A36" s="1445"/>
      <c r="B36" s="1445"/>
      <c r="C36" s="1445"/>
      <c r="D36" s="1445"/>
      <c r="E36" s="1445"/>
      <c r="F36" s="1445"/>
      <c r="G36" s="1485"/>
      <c r="H36" s="1971"/>
      <c r="I36" s="1549"/>
      <c r="J36" s="1548"/>
      <c r="K36" s="1547"/>
      <c r="M36" s="1484"/>
      <c r="N36" s="1484"/>
      <c r="P36" s="1562"/>
      <c r="Q36" s="1479"/>
      <c r="R36" s="1479"/>
    </row>
    <row r="37" spans="1:22">
      <c r="A37" s="1220" t="s">
        <v>3315</v>
      </c>
      <c r="B37" s="1445"/>
      <c r="C37" s="1445"/>
      <c r="D37" s="1445"/>
      <c r="E37" s="1445"/>
      <c r="F37" s="1445"/>
      <c r="G37" s="1543">
        <f>'7-16'!B19</f>
        <v>8.1</v>
      </c>
      <c r="H37" s="1971">
        <f>-'TB-31 Dec'!I151</f>
        <v>120605</v>
      </c>
      <c r="I37" s="1549"/>
      <c r="J37" s="1966">
        <v>-32001</v>
      </c>
      <c r="K37" s="1547"/>
      <c r="M37" s="1484"/>
      <c r="N37" s="1484"/>
      <c r="O37" s="1562">
        <f>155107786/1000</f>
        <v>155107.78599999999</v>
      </c>
      <c r="P37" s="1562"/>
      <c r="Q37" s="1479"/>
      <c r="R37" s="1479"/>
    </row>
    <row r="38" spans="1:22">
      <c r="A38" s="1445"/>
      <c r="B38" s="1445"/>
      <c r="C38" s="1445"/>
      <c r="D38" s="1445"/>
      <c r="E38" s="1445"/>
      <c r="F38" s="1445"/>
      <c r="G38" s="1486"/>
      <c r="H38" s="1972"/>
      <c r="I38" s="1537"/>
      <c r="J38" s="1972"/>
      <c r="K38" s="1563"/>
      <c r="M38" s="1484"/>
      <c r="N38" s="1449"/>
      <c r="P38" s="1446">
        <f>552416+100585</f>
        <v>653001</v>
      </c>
      <c r="V38" s="1562">
        <f>+H17-H35</f>
        <v>-790642.11999999546</v>
      </c>
    </row>
    <row r="39" spans="1:22">
      <c r="A39" s="1445" t="s">
        <v>3181</v>
      </c>
      <c r="G39" s="1479"/>
      <c r="H39" s="1971">
        <f>+H17-H35+H37</f>
        <v>-670037.11999999546</v>
      </c>
      <c r="I39" s="1971"/>
      <c r="J39" s="1966">
        <f>+J17-J35+J37</f>
        <v>1568033.5</v>
      </c>
      <c r="K39" s="1547"/>
      <c r="O39" s="1562">
        <f>2090769887/1000</f>
        <v>2090769.8870000001</v>
      </c>
      <c r="V39" s="1562">
        <f>+V38-H37</f>
        <v>-911247.11999999546</v>
      </c>
    </row>
    <row r="40" spans="1:22" s="1445" customFormat="1" ht="13.95" customHeight="1">
      <c r="B40" s="1446"/>
      <c r="C40" s="1446"/>
      <c r="D40" s="1446"/>
      <c r="E40" s="1446"/>
      <c r="F40" s="1446"/>
      <c r="H40" s="1971"/>
      <c r="I40" s="1562"/>
      <c r="J40" s="1562"/>
      <c r="K40" s="1547">
        <v>0</v>
      </c>
      <c r="M40" s="1485"/>
      <c r="O40" s="2077">
        <f>O39-H39</f>
        <v>2760807.0069999956</v>
      </c>
      <c r="V40" s="1569"/>
    </row>
    <row r="41" spans="1:22" s="1445" customFormat="1">
      <c r="A41" s="1446" t="s">
        <v>63</v>
      </c>
      <c r="B41" s="1446"/>
      <c r="C41" s="1446"/>
      <c r="D41" s="1446"/>
      <c r="E41" s="1446"/>
      <c r="F41" s="1446"/>
      <c r="G41" s="1477" t="str">
        <f>'7-16'!A46</f>
        <v>10.</v>
      </c>
      <c r="H41" s="1971">
        <v>0</v>
      </c>
      <c r="I41" s="1549"/>
      <c r="J41" s="1966">
        <v>0</v>
      </c>
      <c r="K41" s="1547"/>
      <c r="V41" s="1569"/>
    </row>
    <row r="42" spans="1:22">
      <c r="A42" s="1445"/>
      <c r="B42" s="1445"/>
      <c r="C42" s="1445"/>
      <c r="D42" s="1445"/>
      <c r="E42" s="1445"/>
      <c r="F42" s="1445"/>
      <c r="G42" s="1485"/>
      <c r="H42" s="1970"/>
      <c r="I42" s="1537">
        <v>82582</v>
      </c>
      <c r="J42" s="1537"/>
      <c r="K42" s="1459"/>
    </row>
    <row r="43" spans="1:22" ht="14.4" thickBot="1">
      <c r="A43" s="1445" t="s">
        <v>2972</v>
      </c>
      <c r="B43" s="1445"/>
      <c r="C43" s="1445"/>
      <c r="D43" s="1445"/>
      <c r="E43" s="1445"/>
      <c r="F43" s="1445"/>
      <c r="G43" s="1485"/>
      <c r="H43" s="2024">
        <f>SUM(H39:H42)</f>
        <v>-670037.11999999546</v>
      </c>
      <c r="I43" s="1537"/>
      <c r="J43" s="2025">
        <f>SUM(J39:J42)</f>
        <v>1568033.5</v>
      </c>
      <c r="K43" s="1459"/>
    </row>
    <row r="44" spans="1:22" ht="10.199999999999999" customHeight="1" thickTop="1">
      <c r="G44" s="1479"/>
      <c r="H44" s="1971"/>
    </row>
    <row r="45" spans="1:22" ht="13.95" customHeight="1">
      <c r="A45" s="2156" t="s">
        <v>2615</v>
      </c>
      <c r="B45" s="1953"/>
      <c r="G45" s="1479"/>
      <c r="H45" s="1971"/>
    </row>
    <row r="46" spans="1:22" ht="13.95" customHeight="1">
      <c r="A46" s="1220" t="s">
        <v>64</v>
      </c>
      <c r="B46" s="1953"/>
      <c r="G46" s="1479"/>
      <c r="H46" s="2203">
        <v>0</v>
      </c>
      <c r="I46" s="1956">
        <v>0</v>
      </c>
      <c r="J46" s="2253">
        <f>J43</f>
        <v>1568033.5</v>
      </c>
    </row>
    <row r="47" spans="1:22" ht="13.95" customHeight="1">
      <c r="A47" s="1220" t="s">
        <v>2616</v>
      </c>
      <c r="B47" s="1953"/>
      <c r="G47" s="1479"/>
      <c r="H47" s="2204">
        <v>0</v>
      </c>
      <c r="I47" s="1956">
        <v>0</v>
      </c>
      <c r="J47" s="1959">
        <v>-105623.71</v>
      </c>
    </row>
    <row r="48" spans="1:22" ht="13.95" customHeight="1" thickBot="1">
      <c r="A48" s="1952"/>
      <c r="B48" s="1954"/>
      <c r="G48" s="1479"/>
      <c r="H48" s="2205">
        <f>SUM(H46:H47)</f>
        <v>0</v>
      </c>
      <c r="I48" s="1957"/>
      <c r="J48" s="1958">
        <f>SUM(J46:J47)</f>
        <v>1462409.79</v>
      </c>
      <c r="P48" s="1615">
        <v>111858215</v>
      </c>
    </row>
    <row r="49" spans="1:16" ht="13.95" customHeight="1" thickTop="1">
      <c r="A49" s="2156" t="s">
        <v>2617</v>
      </c>
      <c r="B49" s="1954"/>
      <c r="G49" s="1479"/>
      <c r="H49" s="1485"/>
      <c r="P49" s="1615">
        <v>-6234505</v>
      </c>
    </row>
    <row r="50" spans="1:16" ht="13.95" customHeight="1">
      <c r="A50" s="1955" t="s">
        <v>2618</v>
      </c>
      <c r="B50" s="1954"/>
      <c r="G50" s="1479"/>
      <c r="H50" s="2211">
        <f>H52</f>
        <v>0</v>
      </c>
      <c r="I50" s="1957">
        <v>0</v>
      </c>
      <c r="J50" s="2254">
        <f>J52</f>
        <v>1462409.79</v>
      </c>
      <c r="P50" s="1615">
        <f>SUM(P48:P49)</f>
        <v>105623710</v>
      </c>
    </row>
    <row r="51" spans="1:16" ht="13.95" customHeight="1">
      <c r="A51" s="1955" t="s">
        <v>2619</v>
      </c>
      <c r="B51" s="1954"/>
      <c r="G51" s="1479"/>
      <c r="H51" s="2212">
        <f>-H50+H52</f>
        <v>0</v>
      </c>
      <c r="I51" s="1957"/>
      <c r="J51" s="2212">
        <f>-J50+J52</f>
        <v>0</v>
      </c>
      <c r="P51" s="1446">
        <f>P50/1000</f>
        <v>105623.71</v>
      </c>
    </row>
    <row r="52" spans="1:16" ht="13.95" customHeight="1" thickBot="1">
      <c r="H52" s="2205">
        <f>H48</f>
        <v>0</v>
      </c>
      <c r="I52" s="1957"/>
      <c r="J52" s="1958">
        <f>J48</f>
        <v>1462409.79</v>
      </c>
    </row>
    <row r="53" spans="1:16" ht="13.95" customHeight="1" thickTop="1">
      <c r="A53" s="1445"/>
      <c r="G53" s="1996"/>
      <c r="H53" s="1971"/>
      <c r="I53" s="1479">
        <v>8181</v>
      </c>
    </row>
    <row r="54" spans="1:16" ht="10.199999999999999" customHeight="1">
      <c r="G54" s="1479"/>
      <c r="H54" s="1971"/>
    </row>
    <row r="55" spans="1:16">
      <c r="A55" s="1446" t="s">
        <v>3190</v>
      </c>
      <c r="G55" s="1479" t="str">
        <f>'7-16'!A63</f>
        <v>11.</v>
      </c>
      <c r="H55" s="1971"/>
    </row>
    <row r="56" spans="1:16">
      <c r="G56" s="1479"/>
      <c r="H56" s="1971"/>
    </row>
    <row r="57" spans="1:16">
      <c r="A57" s="1775" t="str">
        <f>+BS!A43</f>
        <v>The annexed notes 1 to 17 form an integral part of these interim financial statements.</v>
      </c>
      <c r="I57" s="1446"/>
      <c r="J57" s="1446"/>
      <c r="K57" s="1449"/>
      <c r="L57" s="1449"/>
      <c r="M57" s="1449"/>
      <c r="N57" s="1449"/>
      <c r="O57" s="1449"/>
    </row>
    <row r="58" spans="1:16" ht="10.199999999999999" customHeight="1">
      <c r="A58" s="1504"/>
      <c r="I58" s="1446"/>
      <c r="J58" s="1446"/>
      <c r="K58" s="1449"/>
      <c r="L58" s="1449"/>
      <c r="M58" s="1449"/>
      <c r="N58" s="1449"/>
      <c r="O58" s="1449"/>
    </row>
    <row r="59" spans="1:16">
      <c r="A59" s="2319" t="s">
        <v>2524</v>
      </c>
      <c r="B59" s="2319"/>
      <c r="C59" s="2319"/>
      <c r="D59" s="2319"/>
      <c r="E59" s="2319"/>
      <c r="F59" s="2319"/>
      <c r="G59" s="2319"/>
      <c r="H59" s="2319"/>
      <c r="I59" s="2319"/>
      <c r="J59" s="2319"/>
      <c r="K59" s="1449"/>
      <c r="L59" s="1449"/>
      <c r="M59" s="1449"/>
      <c r="N59" s="1449"/>
      <c r="O59" s="1449"/>
    </row>
    <row r="60" spans="1:16">
      <c r="A60" s="2316" t="s">
        <v>148</v>
      </c>
      <c r="B60" s="2316"/>
      <c r="C60" s="2316"/>
      <c r="D60" s="2316"/>
      <c r="E60" s="2316"/>
      <c r="F60" s="2316"/>
      <c r="G60" s="2316"/>
      <c r="H60" s="2316"/>
      <c r="I60" s="2316"/>
      <c r="J60" s="2316"/>
      <c r="K60" s="1449"/>
      <c r="L60" s="1449"/>
      <c r="M60" s="1449"/>
      <c r="N60" s="1449"/>
      <c r="O60" s="1449"/>
    </row>
    <row r="61" spans="1:16">
      <c r="A61" s="2209"/>
      <c r="B61" s="2209"/>
      <c r="C61" s="2209"/>
      <c r="D61" s="2209"/>
      <c r="E61" s="2209"/>
      <c r="F61" s="2209"/>
      <c r="G61" s="2209"/>
      <c r="H61" s="2209"/>
      <c r="I61" s="2209"/>
      <c r="J61" s="2209"/>
      <c r="K61" s="1449"/>
      <c r="L61" s="1449"/>
      <c r="M61" s="1449"/>
      <c r="N61" s="1449"/>
      <c r="O61" s="1449"/>
    </row>
    <row r="62" spans="1:16">
      <c r="A62" s="2209"/>
      <c r="B62" s="2209"/>
      <c r="C62" s="2209"/>
      <c r="D62" s="2209"/>
      <c r="E62" s="2209"/>
      <c r="F62" s="2209"/>
      <c r="G62" s="2209"/>
      <c r="H62" s="2209"/>
      <c r="I62" s="2209"/>
      <c r="J62" s="2209"/>
      <c r="K62" s="1449"/>
      <c r="L62" s="1449"/>
      <c r="M62" s="1449"/>
      <c r="N62" s="1449"/>
      <c r="O62" s="1449"/>
    </row>
    <row r="63" spans="1:16">
      <c r="A63" s="1451"/>
      <c r="B63" s="1451"/>
      <c r="C63" s="1451"/>
      <c r="D63" s="1998"/>
      <c r="E63" s="1998"/>
      <c r="F63" s="1451"/>
      <c r="G63" s="1451"/>
      <c r="H63" s="1973"/>
      <c r="I63" s="1451"/>
      <c r="J63" s="1451"/>
      <c r="K63" s="1449"/>
      <c r="L63" s="1449"/>
      <c r="M63" s="1449"/>
      <c r="N63" s="1449"/>
      <c r="O63" s="1449"/>
    </row>
    <row r="64" spans="1:16">
      <c r="A64" s="2029" t="s">
        <v>3192</v>
      </c>
      <c r="B64" s="2030"/>
      <c r="C64" s="2020"/>
      <c r="D64" s="2027" t="s">
        <v>2529</v>
      </c>
      <c r="E64" s="2028"/>
      <c r="F64" s="2026"/>
      <c r="G64" s="1516"/>
      <c r="H64" s="1446"/>
      <c r="I64" s="1451"/>
      <c r="J64" s="2026" t="s">
        <v>2527</v>
      </c>
      <c r="K64" s="1449"/>
      <c r="L64" s="1449"/>
      <c r="M64" s="1449"/>
      <c r="N64" s="1449"/>
      <c r="O64" s="1449"/>
    </row>
    <row r="65" spans="1:22" s="1506" customFormat="1">
      <c r="A65" s="1507"/>
      <c r="B65" s="1507"/>
      <c r="C65" s="1507"/>
      <c r="D65" s="1507"/>
      <c r="E65" s="1507"/>
      <c r="F65" s="1507"/>
      <c r="G65" s="1507"/>
      <c r="H65" s="1974"/>
      <c r="I65" s="1507">
        <v>0</v>
      </c>
      <c r="J65" s="1507"/>
      <c r="V65" s="1945"/>
    </row>
    <row r="66" spans="1:22" s="1513" customFormat="1">
      <c r="A66" s="1517"/>
      <c r="B66" s="1515"/>
      <c r="C66" s="1515"/>
      <c r="D66" s="1515"/>
      <c r="E66" s="1515"/>
      <c r="F66" s="1509"/>
      <c r="G66" s="1509"/>
      <c r="H66" s="1975"/>
      <c r="I66" s="1509"/>
      <c r="J66" s="1518"/>
      <c r="V66" s="1946"/>
    </row>
  </sheetData>
  <mergeCells count="8">
    <mergeCell ref="A1:J1"/>
    <mergeCell ref="A2:J2"/>
    <mergeCell ref="A3:J3"/>
    <mergeCell ref="A60:J60"/>
    <mergeCell ref="H5:J5"/>
    <mergeCell ref="H6:J6"/>
    <mergeCell ref="H8:J8"/>
    <mergeCell ref="A59:J59"/>
  </mergeCells>
  <phoneticPr fontId="39" type="noConversion"/>
  <pageMargins left="0.75" right="0.25" top="0.75" bottom="0" header="0.25" footer="0"/>
  <pageSetup paperSize="9" scale="79" firstPageNumber="2" fitToHeight="0" orientation="portrait" useFirstPageNumber="1" r:id="rId1"/>
  <headerFooter>
    <oddHeader>&amp;C&amp;"Arial Black,Regular"&amp;11&amp;P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XFD713"/>
  <sheetViews>
    <sheetView showGridLines="0" zoomScaleSheetLayoutView="120" workbookViewId="0">
      <selection activeCell="D6" sqref="D6:D12"/>
    </sheetView>
  </sheetViews>
  <sheetFormatPr defaultColWidth="10.19921875" defaultRowHeight="13.2"/>
  <cols>
    <col min="1" max="1" width="5.09765625" style="1217" customWidth="1"/>
    <col min="2" max="2" width="25" style="1217" customWidth="1"/>
    <col min="3" max="4" width="8.19921875" style="1228" customWidth="1"/>
    <col min="5" max="5" width="7.19921875" style="1228" customWidth="1"/>
    <col min="6" max="6" width="7.59765625" style="1228" customWidth="1"/>
    <col min="7" max="7" width="8.19921875" style="1228" customWidth="1"/>
    <col min="8" max="8" width="8.09765625" style="1228" customWidth="1"/>
    <col min="9" max="9" width="8.5" style="1228" customWidth="1"/>
    <col min="10" max="10" width="9" style="1228" customWidth="1"/>
    <col min="11" max="11" width="5.19921875" style="1217" customWidth="1"/>
    <col min="12" max="12" width="5.59765625" style="1217" customWidth="1"/>
    <col min="13" max="16" width="5.69921875" style="1217" customWidth="1"/>
    <col min="17" max="17" width="10.69921875" style="1226" customWidth="1"/>
    <col min="18" max="18" width="10" style="1217" customWidth="1"/>
    <col min="19" max="19" width="7.59765625" style="1217" customWidth="1"/>
    <col min="20" max="20" width="10" style="1217" customWidth="1"/>
    <col min="21" max="21" width="7.59765625" style="1217" customWidth="1"/>
    <col min="22" max="22" width="13" style="1217" customWidth="1"/>
    <col min="23" max="23" width="9.19921875" style="1217" customWidth="1"/>
    <col min="24" max="24" width="10.19921875" style="1226" customWidth="1"/>
    <col min="25" max="47" width="10.19921875" style="1217" customWidth="1"/>
    <col min="48" max="16384" width="10.19921875" style="1217"/>
  </cols>
  <sheetData>
    <row r="1" spans="1:25">
      <c r="A1" s="1213" t="e">
        <f>'10.2-10.3'!#REF!+1</f>
        <v>#REF!</v>
      </c>
      <c r="B1" s="1214"/>
      <c r="C1" s="1215"/>
      <c r="D1" s="1215"/>
      <c r="E1" s="1215"/>
      <c r="F1" s="1215"/>
      <c r="G1" s="1215"/>
      <c r="H1" s="1215"/>
      <c r="I1" s="1215"/>
      <c r="J1" s="1215"/>
      <c r="K1" s="1214"/>
      <c r="L1" s="1214"/>
      <c r="M1" s="1214"/>
      <c r="N1" s="1214"/>
      <c r="O1" s="1214"/>
      <c r="P1" s="1214"/>
      <c r="Q1" s="1216"/>
      <c r="R1" s="1214"/>
      <c r="S1" s="1214"/>
      <c r="T1" s="1214"/>
      <c r="U1" s="1214"/>
      <c r="X1" s="1217"/>
    </row>
    <row r="2" spans="1:25">
      <c r="A2" s="1218">
        <v>5.0999999999999996</v>
      </c>
      <c r="B2" s="1218" t="s">
        <v>986</v>
      </c>
      <c r="C2" s="1219"/>
      <c r="D2" s="1219"/>
      <c r="E2" s="1219"/>
      <c r="F2" s="1219"/>
      <c r="G2" s="1219"/>
      <c r="H2" s="1219"/>
      <c r="I2" s="1219"/>
      <c r="J2" s="1219"/>
      <c r="K2" s="1214"/>
      <c r="L2" s="1214"/>
      <c r="M2" s="1214"/>
      <c r="N2" s="1214"/>
      <c r="O2" s="1214"/>
      <c r="P2" s="1214"/>
      <c r="Q2" s="1216"/>
      <c r="R2" s="1214"/>
      <c r="S2" s="1214"/>
      <c r="T2" s="1214"/>
      <c r="U2" s="1214"/>
      <c r="X2" s="1217"/>
    </row>
    <row r="4" spans="1:25">
      <c r="A4" s="174"/>
      <c r="B4" s="1220" t="s">
        <v>1107</v>
      </c>
      <c r="C4" s="1221"/>
      <c r="D4" s="1222"/>
      <c r="E4" s="1222"/>
      <c r="F4" s="1222"/>
      <c r="G4" s="1222"/>
      <c r="H4" s="1222"/>
      <c r="I4" s="1223"/>
      <c r="J4" s="1223"/>
      <c r="K4" s="1224"/>
      <c r="L4" s="1224"/>
      <c r="M4" s="1220"/>
      <c r="N4" s="1220"/>
      <c r="O4" s="1220"/>
      <c r="P4" s="1220"/>
      <c r="Q4" s="1225"/>
      <c r="R4" s="1220"/>
      <c r="S4" s="1220"/>
      <c r="T4" s="1220"/>
      <c r="U4" s="1220"/>
    </row>
    <row r="5" spans="1:25">
      <c r="A5" s="1227"/>
      <c r="D5" s="1222"/>
      <c r="E5" s="1222"/>
      <c r="F5" s="1222"/>
      <c r="G5" s="1222"/>
      <c r="H5" s="1222"/>
      <c r="I5" s="1229"/>
      <c r="J5" s="1229"/>
      <c r="K5" s="1224"/>
      <c r="L5" s="1224"/>
      <c r="M5" s="1220"/>
      <c r="N5" s="1220"/>
      <c r="O5" s="1220"/>
      <c r="P5" s="1220"/>
      <c r="Q5" s="1225"/>
      <c r="R5" s="1220"/>
      <c r="S5" s="1220"/>
      <c r="T5" s="1220"/>
      <c r="U5" s="1220"/>
    </row>
    <row r="6" spans="1:25" s="1233" customFormat="1" ht="13.8">
      <c r="A6" s="1230"/>
      <c r="B6" s="2478" t="s">
        <v>116</v>
      </c>
      <c r="C6" s="2473" t="s">
        <v>2449</v>
      </c>
      <c r="D6" s="2473" t="s">
        <v>130</v>
      </c>
      <c r="E6" s="2473" t="s">
        <v>119</v>
      </c>
      <c r="F6" s="2473" t="s">
        <v>2420</v>
      </c>
      <c r="G6" s="2473" t="s">
        <v>2450</v>
      </c>
      <c r="H6" s="2478" t="s">
        <v>2450</v>
      </c>
      <c r="I6" s="2485"/>
      <c r="J6" s="2479"/>
      <c r="K6" s="2478" t="s">
        <v>308</v>
      </c>
      <c r="L6" s="2479"/>
      <c r="M6" s="2482" t="s">
        <v>708</v>
      </c>
      <c r="N6" s="1231"/>
      <c r="O6" s="1231"/>
      <c r="P6" s="1231"/>
      <c r="Q6" s="1232"/>
      <c r="R6" s="1231"/>
      <c r="S6" s="1231"/>
      <c r="T6" s="1231"/>
      <c r="U6" s="1231"/>
      <c r="W6" s="1234" t="s">
        <v>166</v>
      </c>
      <c r="X6" s="1235">
        <f>ROUND(BS!$F$29,0)</f>
        <v>11812275</v>
      </c>
      <c r="Y6" s="1236"/>
    </row>
    <row r="7" spans="1:25" s="1233" customFormat="1" ht="13.8">
      <c r="A7" s="1230"/>
      <c r="B7" s="2488"/>
      <c r="C7" s="2474"/>
      <c r="D7" s="2474"/>
      <c r="E7" s="2474"/>
      <c r="F7" s="2474"/>
      <c r="G7" s="2474"/>
      <c r="H7" s="2473" t="s">
        <v>984</v>
      </c>
      <c r="I7" s="2473" t="s">
        <v>2451</v>
      </c>
      <c r="J7" s="2473" t="s">
        <v>1028</v>
      </c>
      <c r="K7" s="2480"/>
      <c r="L7" s="2481"/>
      <c r="M7" s="2483"/>
      <c r="N7" s="1231"/>
      <c r="O7" s="1231"/>
      <c r="P7" s="1231"/>
      <c r="Q7" s="1232"/>
      <c r="R7" s="1231"/>
      <c r="S7" s="1231"/>
      <c r="T7" s="1231"/>
      <c r="U7" s="1231"/>
      <c r="W7" s="1237" t="s">
        <v>167</v>
      </c>
      <c r="X7" s="1238">
        <f>ROUND(BS!$F$12,0)</f>
        <v>11260226</v>
      </c>
      <c r="Y7" s="1236"/>
    </row>
    <row r="8" spans="1:25" s="1233" customFormat="1" ht="13.8">
      <c r="A8" s="1230"/>
      <c r="B8" s="2488"/>
      <c r="C8" s="2476"/>
      <c r="D8" s="2476"/>
      <c r="E8" s="2476"/>
      <c r="F8" s="2476"/>
      <c r="G8" s="2476"/>
      <c r="H8" s="2474"/>
      <c r="I8" s="2474"/>
      <c r="J8" s="2474"/>
      <c r="K8" s="2483" t="s">
        <v>121</v>
      </c>
      <c r="L8" s="2483" t="s">
        <v>295</v>
      </c>
      <c r="M8" s="2483"/>
      <c r="N8" s="1231"/>
      <c r="O8" s="1231"/>
      <c r="P8" s="1231"/>
      <c r="Q8" s="1232">
        <f>BS!F29</f>
        <v>11812275.018000003</v>
      </c>
      <c r="R8" s="1231"/>
      <c r="S8" s="1231"/>
      <c r="T8" s="1231"/>
      <c r="U8" s="1231"/>
      <c r="W8" s="1234"/>
      <c r="X8" s="1239"/>
      <c r="Y8" s="1236"/>
    </row>
    <row r="9" spans="1:25" s="1233" customFormat="1" ht="13.8">
      <c r="A9" s="1230"/>
      <c r="B9" s="2488"/>
      <c r="C9" s="2476"/>
      <c r="D9" s="2476"/>
      <c r="E9" s="2476"/>
      <c r="F9" s="2476"/>
      <c r="G9" s="2476"/>
      <c r="H9" s="2474"/>
      <c r="I9" s="2474"/>
      <c r="J9" s="2474"/>
      <c r="K9" s="2483"/>
      <c r="L9" s="2483"/>
      <c r="M9" s="2483"/>
      <c r="N9" s="1231"/>
      <c r="O9" s="1231"/>
      <c r="P9" s="1231"/>
      <c r="Q9" s="1232">
        <f>BS!F12</f>
        <v>11260226.018000003</v>
      </c>
      <c r="R9" s="1231"/>
      <c r="S9" s="1231"/>
      <c r="T9" s="1231"/>
      <c r="U9" s="1231"/>
      <c r="X9" s="1240"/>
    </row>
    <row r="10" spans="1:25" s="1233" customFormat="1" ht="13.8">
      <c r="A10" s="1230"/>
      <c r="B10" s="2488"/>
      <c r="C10" s="2476"/>
      <c r="D10" s="2476"/>
      <c r="E10" s="2476"/>
      <c r="F10" s="2476"/>
      <c r="G10" s="2476"/>
      <c r="H10" s="2474"/>
      <c r="I10" s="2474"/>
      <c r="J10" s="2474"/>
      <c r="K10" s="2483"/>
      <c r="L10" s="2483"/>
      <c r="M10" s="2483"/>
      <c r="N10" s="1231"/>
      <c r="O10" s="1231"/>
      <c r="P10" s="1231"/>
      <c r="Q10" s="1232"/>
      <c r="R10" s="1231"/>
      <c r="S10" s="1231"/>
      <c r="T10" s="1231"/>
      <c r="U10" s="1231"/>
      <c r="X10" s="1240"/>
    </row>
    <row r="11" spans="1:25" s="1233" customFormat="1" ht="13.8">
      <c r="A11" s="1230"/>
      <c r="B11" s="2488"/>
      <c r="C11" s="2476"/>
      <c r="D11" s="2476"/>
      <c r="E11" s="2476"/>
      <c r="F11" s="2476"/>
      <c r="G11" s="2476"/>
      <c r="H11" s="2474"/>
      <c r="I11" s="2474"/>
      <c r="J11" s="2474"/>
      <c r="K11" s="2483"/>
      <c r="L11" s="2483"/>
      <c r="M11" s="2483"/>
      <c r="N11" s="1231"/>
      <c r="O11" s="1231" t="s">
        <v>2442</v>
      </c>
      <c r="P11" s="1231"/>
      <c r="Q11" s="1232"/>
      <c r="R11" s="1231"/>
      <c r="S11" s="1231"/>
      <c r="T11" s="1231"/>
      <c r="U11" s="1231"/>
      <c r="X11" s="1240"/>
    </row>
    <row r="12" spans="1:25" s="1233" customFormat="1" ht="13.8">
      <c r="A12" s="1230"/>
      <c r="B12" s="2489"/>
      <c r="C12" s="2477"/>
      <c r="D12" s="2477"/>
      <c r="E12" s="2477"/>
      <c r="F12" s="2477"/>
      <c r="G12" s="2477"/>
      <c r="H12" s="2475"/>
      <c r="I12" s="2475"/>
      <c r="J12" s="2475"/>
      <c r="K12" s="2484"/>
      <c r="L12" s="2484"/>
      <c r="M12" s="2484"/>
      <c r="N12" s="1231"/>
      <c r="O12" s="1231"/>
      <c r="P12" s="1231"/>
      <c r="Q12" s="1232"/>
      <c r="R12" s="1231"/>
      <c r="S12" s="1231"/>
      <c r="T12" s="1231"/>
      <c r="U12" s="1231"/>
      <c r="X12" s="1240"/>
    </row>
    <row r="13" spans="1:25" s="1233" customFormat="1" ht="9" customHeight="1">
      <c r="A13" s="1230"/>
      <c r="B13" s="1241"/>
      <c r="C13" s="2471" t="s">
        <v>2364</v>
      </c>
      <c r="D13" s="2472"/>
      <c r="E13" s="2472"/>
      <c r="F13" s="2472"/>
      <c r="G13" s="2472"/>
      <c r="H13" s="2486" t="s">
        <v>2365</v>
      </c>
      <c r="I13" s="2487"/>
      <c r="J13" s="2487"/>
      <c r="K13" s="2469" t="s">
        <v>2366</v>
      </c>
      <c r="L13" s="2470"/>
      <c r="M13" s="2470"/>
      <c r="N13" s="1242"/>
      <c r="O13" s="1242"/>
      <c r="P13" s="1242"/>
      <c r="Q13" s="1243"/>
      <c r="R13" s="1242"/>
      <c r="S13" s="1242"/>
      <c r="T13" s="1242"/>
      <c r="U13" s="1242"/>
      <c r="X13" s="1240"/>
    </row>
    <row r="14" spans="1:25" s="1233" customFormat="1" ht="13.8">
      <c r="A14" s="1230"/>
      <c r="B14" s="1241"/>
      <c r="C14" s="1244"/>
      <c r="D14" s="1244"/>
      <c r="E14" s="1244"/>
      <c r="F14" s="1244"/>
      <c r="G14" s="1244"/>
      <c r="H14" s="1245"/>
      <c r="I14" s="1245"/>
      <c r="J14" s="1245"/>
      <c r="K14" s="1246"/>
      <c r="L14" s="1242"/>
      <c r="M14" s="1242"/>
      <c r="N14" s="1242"/>
      <c r="O14" s="1242"/>
      <c r="P14" s="1242"/>
      <c r="Q14" s="1243"/>
      <c r="R14" s="1242"/>
      <c r="S14" s="1242"/>
      <c r="T14" s="1242"/>
      <c r="U14" s="1242"/>
      <c r="X14" s="1240"/>
    </row>
    <row r="15" spans="1:25" s="1257" customFormat="1" ht="13.8">
      <c r="A15" s="1247"/>
      <c r="B15" s="1248" t="s">
        <v>2361</v>
      </c>
      <c r="C15" s="1249"/>
      <c r="D15" s="1250"/>
      <c r="E15" s="1251"/>
      <c r="F15" s="1251"/>
      <c r="G15" s="1252"/>
      <c r="H15" s="1252"/>
      <c r="I15" s="1251"/>
      <c r="J15" s="1251"/>
      <c r="K15" s="1238"/>
      <c r="L15" s="1238"/>
      <c r="M15" s="1238"/>
      <c r="N15" s="1238"/>
      <c r="O15" s="1238"/>
      <c r="P15" s="1238"/>
      <c r="Q15" s="1253"/>
      <c r="R15" s="1238"/>
      <c r="S15" s="1238"/>
      <c r="T15" s="1238"/>
      <c r="U15" s="1238"/>
      <c r="V15" s="1254"/>
      <c r="W15" s="1255"/>
      <c r="X15" s="1256"/>
    </row>
    <row r="16" spans="1:25" s="1257" customFormat="1" ht="13.8">
      <c r="A16" s="1247"/>
      <c r="B16" s="1258" t="s">
        <v>335</v>
      </c>
      <c r="C16" s="1259">
        <v>0</v>
      </c>
      <c r="D16" s="1259">
        <v>10</v>
      </c>
      <c r="E16" s="1259">
        <v>0</v>
      </c>
      <c r="F16" s="1259">
        <v>10</v>
      </c>
      <c r="G16" s="1235">
        <f>C16+D16+E16-F16</f>
        <v>0</v>
      </c>
      <c r="H16" s="1260">
        <v>0</v>
      </c>
      <c r="I16" s="1260">
        <v>0</v>
      </c>
      <c r="J16" s="1260">
        <f>I16-H16</f>
        <v>0</v>
      </c>
      <c r="K16" s="1261">
        <f>I16/$X$40</f>
        <v>0</v>
      </c>
      <c r="L16" s="1262">
        <f>ROUND(I16/$X$41,2)</f>
        <v>0</v>
      </c>
      <c r="M16" s="1262">
        <f>G16*10/Q16</f>
        <v>0</v>
      </c>
      <c r="N16" s="1263"/>
      <c r="O16" s="1264">
        <f>I16/$Q$8</f>
        <v>0</v>
      </c>
      <c r="P16" s="1265"/>
      <c r="Q16" s="1266">
        <v>786000000</v>
      </c>
      <c r="R16" s="1267">
        <v>0</v>
      </c>
      <c r="S16" s="1267">
        <f>R16/1000</f>
        <v>0</v>
      </c>
      <c r="T16" s="1267">
        <v>0</v>
      </c>
      <c r="U16" s="1267">
        <f t="shared" ref="U16:U46" si="0">T16/1000</f>
        <v>0</v>
      </c>
      <c r="V16" s="1268">
        <v>786000</v>
      </c>
      <c r="W16" s="1255"/>
      <c r="X16" s="1269"/>
    </row>
    <row r="17" spans="1:24" s="1257" customFormat="1" ht="13.8">
      <c r="A17" s="1247"/>
      <c r="B17" s="1270" t="s">
        <v>2486</v>
      </c>
      <c r="C17" s="1259">
        <v>147120</v>
      </c>
      <c r="D17" s="1259">
        <v>0</v>
      </c>
      <c r="E17" s="1259">
        <v>0</v>
      </c>
      <c r="F17" s="1259">
        <v>147120</v>
      </c>
      <c r="G17" s="1235">
        <f>C17+D17+E17-F17</f>
        <v>0</v>
      </c>
      <c r="H17" s="1271">
        <v>0</v>
      </c>
      <c r="I17" s="1271">
        <v>0</v>
      </c>
      <c r="J17" s="1271">
        <f>I17-H17</f>
        <v>0</v>
      </c>
      <c r="K17" s="1272">
        <f>I17/$X$40</f>
        <v>0</v>
      </c>
      <c r="L17" s="1273">
        <f>ROUND(I17/$X$41,2)</f>
        <v>0</v>
      </c>
      <c r="M17" s="1273">
        <v>0</v>
      </c>
      <c r="N17" s="1263"/>
      <c r="O17" s="1264">
        <f>I17/$Q$8</f>
        <v>0</v>
      </c>
      <c r="P17" s="1265"/>
      <c r="Q17" s="1266"/>
      <c r="R17" s="1267">
        <v>0</v>
      </c>
      <c r="S17" s="1267">
        <f>R17/1000</f>
        <v>0</v>
      </c>
      <c r="T17" s="1267">
        <v>0</v>
      </c>
      <c r="U17" s="1267">
        <f t="shared" si="0"/>
        <v>0</v>
      </c>
      <c r="V17" s="1268">
        <v>822999</v>
      </c>
      <c r="W17" s="1255"/>
      <c r="X17" s="1269"/>
    </row>
    <row r="18" spans="1:24" s="1257" customFormat="1" ht="13.8">
      <c r="A18" s="1247"/>
      <c r="B18" s="1270" t="s">
        <v>1160</v>
      </c>
      <c r="C18" s="1259">
        <v>53800</v>
      </c>
      <c r="D18" s="1259">
        <v>0</v>
      </c>
      <c r="E18" s="1259">
        <v>0</v>
      </c>
      <c r="F18" s="1259">
        <v>53800</v>
      </c>
      <c r="G18" s="1235">
        <f>C18+D18+E18-F18</f>
        <v>0</v>
      </c>
      <c r="H18" s="1271">
        <v>0</v>
      </c>
      <c r="I18" s="1271">
        <v>0</v>
      </c>
      <c r="J18" s="1271">
        <f>I18-H18</f>
        <v>0</v>
      </c>
      <c r="K18" s="1274">
        <f>I18/$X$40</f>
        <v>0</v>
      </c>
      <c r="L18" s="1275">
        <f>I18/$X$41</f>
        <v>0</v>
      </c>
      <c r="M18" s="1275">
        <f>G18*10/Q18</f>
        <v>0</v>
      </c>
      <c r="N18" s="1276"/>
      <c r="O18" s="1264">
        <f>I18/$Q$8</f>
        <v>0</v>
      </c>
      <c r="P18" s="1265"/>
      <c r="Q18" s="1266">
        <v>213044220</v>
      </c>
      <c r="R18" s="1267">
        <v>44602936</v>
      </c>
      <c r="S18" s="1267">
        <f>R18/1000</f>
        <v>44602.936000000002</v>
      </c>
      <c r="T18" s="1267">
        <v>37955500</v>
      </c>
      <c r="U18" s="1267">
        <f t="shared" si="0"/>
        <v>37955.5</v>
      </c>
      <c r="V18" s="1268"/>
      <c r="W18" s="1255"/>
      <c r="X18" s="1269"/>
    </row>
    <row r="19" spans="1:24" s="1257" customFormat="1" ht="13.8">
      <c r="A19" s="1247"/>
      <c r="B19" s="1270" t="s">
        <v>1161</v>
      </c>
      <c r="C19" s="1259">
        <v>115150</v>
      </c>
      <c r="D19" s="1259">
        <v>0</v>
      </c>
      <c r="E19" s="1259">
        <v>0</v>
      </c>
      <c r="F19" s="1259">
        <v>115150</v>
      </c>
      <c r="G19" s="1235">
        <f>C19+D19+E19-F19</f>
        <v>0</v>
      </c>
      <c r="H19" s="1277">
        <v>0</v>
      </c>
      <c r="I19" s="1277">
        <v>0</v>
      </c>
      <c r="J19" s="1277">
        <f>I19-H19</f>
        <v>0</v>
      </c>
      <c r="K19" s="1278">
        <f>I19/$X$40</f>
        <v>0</v>
      </c>
      <c r="L19" s="1279">
        <f>I19/$X$41</f>
        <v>0</v>
      </c>
      <c r="M19" s="1279">
        <f>G19*10/Q19</f>
        <v>0</v>
      </c>
      <c r="N19" s="1263"/>
      <c r="O19" s="1264">
        <f>I19/$Q$8</f>
        <v>0</v>
      </c>
      <c r="P19" s="1265"/>
      <c r="Q19" s="1266">
        <v>1428000000</v>
      </c>
      <c r="R19" s="1267">
        <v>259260911</v>
      </c>
      <c r="S19" s="1267">
        <f>R19/1000</f>
        <v>259260.91099999999</v>
      </c>
      <c r="T19" s="1267">
        <v>177550065</v>
      </c>
      <c r="U19" s="1267">
        <f t="shared" si="0"/>
        <v>177550.065</v>
      </c>
      <c r="V19" s="1268"/>
      <c r="W19" s="1255"/>
      <c r="X19" s="1269"/>
    </row>
    <row r="20" spans="1:24" s="1257" customFormat="1" ht="13.8">
      <c r="A20" s="1247"/>
      <c r="C20" s="1235"/>
      <c r="D20" s="1235"/>
      <c r="E20" s="1235"/>
      <c r="F20" s="1235"/>
      <c r="G20" s="1235"/>
      <c r="H20" s="1235">
        <f>ROUND(SUM(H16:H19),0)</f>
        <v>0</v>
      </c>
      <c r="I20" s="1235">
        <f>ROUND(SUM(I16:I19),0)</f>
        <v>0</v>
      </c>
      <c r="J20" s="1235">
        <f>ROUND(SUM(J16:J19),0)</f>
        <v>0</v>
      </c>
      <c r="K20" s="1280">
        <f>SUM(K16:K19)</f>
        <v>0</v>
      </c>
      <c r="L20" s="1280">
        <f>SUM(L16:L19)</f>
        <v>0</v>
      </c>
      <c r="M20" s="1281"/>
      <c r="N20" s="1282"/>
      <c r="O20" s="1264">
        <f>I20/$Q$8</f>
        <v>0</v>
      </c>
      <c r="P20" s="1265"/>
      <c r="Q20" s="1256"/>
      <c r="U20" s="1267">
        <f t="shared" si="0"/>
        <v>0</v>
      </c>
      <c r="V20" s="1268"/>
      <c r="W20" s="1255"/>
      <c r="X20" s="1283"/>
    </row>
    <row r="21" spans="1:24" s="1257" customFormat="1" ht="13.8">
      <c r="A21" s="1247"/>
      <c r="B21" s="1248" t="s">
        <v>1025</v>
      </c>
      <c r="C21" s="1235"/>
      <c r="D21" s="1235"/>
      <c r="E21" s="1235"/>
      <c r="F21" s="1235"/>
      <c r="G21" s="1235"/>
      <c r="H21" s="1235"/>
      <c r="I21" s="1235"/>
      <c r="J21" s="1235"/>
      <c r="K21" s="1284"/>
      <c r="L21" s="1284"/>
      <c r="M21" s="1284"/>
      <c r="N21" s="1282"/>
      <c r="O21" s="1282"/>
      <c r="P21" s="1282"/>
      <c r="Q21" s="1256"/>
      <c r="S21" s="1267">
        <f t="shared" ref="S21:S52" si="1">R21/1000</f>
        <v>0</v>
      </c>
      <c r="U21" s="1267">
        <f t="shared" si="0"/>
        <v>0</v>
      </c>
      <c r="V21" s="1268"/>
      <c r="X21" s="1256"/>
    </row>
    <row r="22" spans="1:24" s="1257" customFormat="1" ht="13.8">
      <c r="A22" s="1247"/>
      <c r="B22" s="1285" t="s">
        <v>1162</v>
      </c>
      <c r="C22" s="1259">
        <v>222400</v>
      </c>
      <c r="D22" s="1235">
        <v>0</v>
      </c>
      <c r="E22" s="1259">
        <v>0</v>
      </c>
      <c r="F22" s="1259">
        <v>222400</v>
      </c>
      <c r="G22" s="1235">
        <f>C22+D22+E22-F22</f>
        <v>0</v>
      </c>
      <c r="H22" s="1286">
        <v>0</v>
      </c>
      <c r="I22" s="1287">
        <v>0</v>
      </c>
      <c r="J22" s="1287">
        <f>I22-H22</f>
        <v>0</v>
      </c>
      <c r="K22" s="1288">
        <f>I22/$X$40</f>
        <v>0</v>
      </c>
      <c r="L22" s="1288">
        <f>I22/$X$41</f>
        <v>0</v>
      </c>
      <c r="M22" s="1289">
        <f>G22*10/Q22</f>
        <v>0</v>
      </c>
      <c r="N22" s="1263"/>
      <c r="O22" s="1264">
        <f>I22/$Q$8</f>
        <v>0</v>
      </c>
      <c r="P22" s="1265"/>
      <c r="Q22" s="1266">
        <v>597712500</v>
      </c>
      <c r="R22" s="1267">
        <v>62315100</v>
      </c>
      <c r="S22" s="1267">
        <f t="shared" si="1"/>
        <v>62315.1</v>
      </c>
      <c r="T22" s="1267">
        <v>41877920</v>
      </c>
      <c r="U22" s="1267">
        <f t="shared" si="0"/>
        <v>41877.919999999998</v>
      </c>
      <c r="V22" s="1268">
        <v>405150</v>
      </c>
      <c r="W22" s="1255"/>
      <c r="X22" s="1256"/>
    </row>
    <row r="23" spans="1:24" s="1257" customFormat="1" ht="12.75" hidden="1" customHeight="1">
      <c r="A23" s="1247"/>
      <c r="C23" s="1235"/>
      <c r="D23" s="1235"/>
      <c r="E23" s="1235"/>
      <c r="F23" s="1235"/>
      <c r="G23" s="1235"/>
      <c r="H23" s="1235"/>
      <c r="I23" s="1235"/>
      <c r="J23" s="1235"/>
      <c r="K23" s="1284"/>
      <c r="L23" s="1284"/>
      <c r="M23" s="1284"/>
      <c r="N23" s="1282"/>
      <c r="O23" s="1264">
        <f>I23/$Q$8</f>
        <v>0</v>
      </c>
      <c r="P23" s="1265"/>
      <c r="Q23" s="1256"/>
      <c r="S23" s="1267">
        <f t="shared" si="1"/>
        <v>0</v>
      </c>
      <c r="U23" s="1267">
        <f t="shared" si="0"/>
        <v>0</v>
      </c>
      <c r="V23" s="1268"/>
      <c r="W23" s="1255"/>
      <c r="X23" s="1256"/>
    </row>
    <row r="24" spans="1:24" s="1257" customFormat="1" ht="12.75" hidden="1" customHeight="1">
      <c r="A24" s="1247"/>
      <c r="C24" s="1235"/>
      <c r="D24" s="1235"/>
      <c r="E24" s="1235"/>
      <c r="F24" s="1235"/>
      <c r="G24" s="1235"/>
      <c r="H24" s="1235"/>
      <c r="I24" s="1235"/>
      <c r="J24" s="1235"/>
      <c r="K24" s="1284"/>
      <c r="L24" s="1284"/>
      <c r="M24" s="1284"/>
      <c r="N24" s="1282"/>
      <c r="O24" s="1264">
        <f>I24/$Q$8</f>
        <v>0</v>
      </c>
      <c r="P24" s="1265"/>
      <c r="Q24" s="1256"/>
      <c r="S24" s="1267">
        <f t="shared" si="1"/>
        <v>0</v>
      </c>
      <c r="U24" s="1267">
        <f t="shared" si="0"/>
        <v>0</v>
      </c>
      <c r="V24" s="1268"/>
      <c r="W24" s="1255"/>
      <c r="X24" s="1256"/>
    </row>
    <row r="25" spans="1:24" s="1257" customFormat="1" ht="13.8">
      <c r="A25" s="1247"/>
      <c r="B25" s="1290"/>
      <c r="C25" s="1259"/>
      <c r="D25" s="1259"/>
      <c r="E25" s="1259"/>
      <c r="F25" s="1259"/>
      <c r="G25" s="1259"/>
      <c r="H25" s="1259">
        <f>ROUND(SUM(H22:H24),0)</f>
        <v>0</v>
      </c>
      <c r="I25" s="1259">
        <f>ROUND(SUM(I22:I24),0)</f>
        <v>0</v>
      </c>
      <c r="J25" s="1259">
        <f>ROUND(SUM(J22:J24),0)</f>
        <v>0</v>
      </c>
      <c r="K25" s="1264">
        <f>SUM(K22:K24)</f>
        <v>0</v>
      </c>
      <c r="L25" s="1291">
        <f>SUM(L22:L24)</f>
        <v>0</v>
      </c>
      <c r="M25" s="1264"/>
      <c r="N25" s="1263"/>
      <c r="O25" s="1264">
        <f>I25/$Q$8</f>
        <v>0</v>
      </c>
      <c r="P25" s="1265"/>
      <c r="Q25" s="1266"/>
      <c r="R25" s="1276"/>
      <c r="S25" s="1267">
        <f t="shared" si="1"/>
        <v>0</v>
      </c>
      <c r="T25" s="1276"/>
      <c r="U25" s="1267">
        <f t="shared" si="0"/>
        <v>0</v>
      </c>
      <c r="V25" s="1254"/>
      <c r="W25" s="1254"/>
      <c r="X25" s="1256"/>
    </row>
    <row r="26" spans="1:24" s="1257" customFormat="1" ht="13.8">
      <c r="A26" s="1247"/>
      <c r="B26" s="1248" t="s">
        <v>1026</v>
      </c>
      <c r="C26" s="1259"/>
      <c r="D26" s="1259"/>
      <c r="E26" s="1259"/>
      <c r="F26" s="1259"/>
      <c r="G26" s="1259"/>
      <c r="H26" s="1259"/>
      <c r="I26" s="1259"/>
      <c r="J26" s="1259"/>
      <c r="K26" s="1264"/>
      <c r="L26" s="1264"/>
      <c r="M26" s="1264"/>
      <c r="N26" s="1263"/>
      <c r="O26" s="1263"/>
      <c r="P26" s="1263"/>
      <c r="Q26" s="1266"/>
      <c r="R26" s="1276"/>
      <c r="S26" s="1267">
        <f t="shared" si="1"/>
        <v>0</v>
      </c>
      <c r="T26" s="1276"/>
      <c r="U26" s="1267">
        <f t="shared" si="0"/>
        <v>0</v>
      </c>
      <c r="V26" s="1254"/>
      <c r="W26" s="1254"/>
      <c r="X26" s="1256"/>
    </row>
    <row r="27" spans="1:24" s="1257" customFormat="1" ht="13.8">
      <c r="A27" s="1247"/>
      <c r="B27" s="1258" t="s">
        <v>493</v>
      </c>
      <c r="C27" s="1259">
        <v>500000</v>
      </c>
      <c r="D27" s="1259">
        <v>0</v>
      </c>
      <c r="E27" s="1259">
        <v>0</v>
      </c>
      <c r="F27" s="1259">
        <v>500000</v>
      </c>
      <c r="G27" s="1235">
        <f>C27+D27+E27-F27</f>
        <v>0</v>
      </c>
      <c r="H27" s="1330">
        <v>0</v>
      </c>
      <c r="I27" s="1341">
        <v>0</v>
      </c>
      <c r="J27" s="1395">
        <v>0</v>
      </c>
      <c r="K27" s="1295">
        <f>I27/$X$40</f>
        <v>0</v>
      </c>
      <c r="L27" s="1295">
        <f>I27/$X$41</f>
        <v>0</v>
      </c>
      <c r="M27" s="1294">
        <f>G27*10/Q27</f>
        <v>0</v>
      </c>
      <c r="N27" s="1263"/>
      <c r="O27" s="1263">
        <f>I27/$Q$8</f>
        <v>0</v>
      </c>
      <c r="P27" s="1265"/>
      <c r="Q27" s="1266">
        <v>4976814850</v>
      </c>
      <c r="R27" s="1267">
        <v>249116487</v>
      </c>
      <c r="S27" s="1267">
        <f t="shared" si="1"/>
        <v>249116.48699999999</v>
      </c>
      <c r="T27" s="1267">
        <v>164709567</v>
      </c>
      <c r="U27" s="1267">
        <f t="shared" si="0"/>
        <v>164709.56700000001</v>
      </c>
      <c r="V27" s="1268">
        <f>4976814</f>
        <v>4976814</v>
      </c>
      <c r="W27" s="1254"/>
      <c r="X27" s="1256"/>
    </row>
    <row r="28" spans="1:24" s="1257" customFormat="1" ht="13.8">
      <c r="A28" s="1247"/>
      <c r="B28" s="1258" t="s">
        <v>1027</v>
      </c>
      <c r="C28" s="1259">
        <v>47000</v>
      </c>
      <c r="D28" s="1259">
        <v>0</v>
      </c>
      <c r="E28" s="1259">
        <v>0</v>
      </c>
      <c r="F28" s="1259">
        <v>47000</v>
      </c>
      <c r="G28" s="1235">
        <f>C28+D28+E28-F28</f>
        <v>0</v>
      </c>
      <c r="H28" s="1334">
        <v>0</v>
      </c>
      <c r="I28" s="1396">
        <v>0</v>
      </c>
      <c r="J28" s="1397">
        <v>0</v>
      </c>
      <c r="K28" s="1299">
        <v>0</v>
      </c>
      <c r="L28" s="1299">
        <v>0</v>
      </c>
      <c r="M28" s="1298">
        <v>0</v>
      </c>
      <c r="N28" s="1263"/>
      <c r="O28" s="1263">
        <f>I28/$Q$8</f>
        <v>0</v>
      </c>
      <c r="P28" s="1265"/>
      <c r="Q28" s="1266">
        <v>2172489630</v>
      </c>
      <c r="R28" s="1267">
        <v>464360</v>
      </c>
      <c r="S28" s="1267">
        <f t="shared" si="1"/>
        <v>464.36</v>
      </c>
      <c r="T28" s="1267">
        <v>336050</v>
      </c>
      <c r="U28" s="1267">
        <f t="shared" si="0"/>
        <v>336.05</v>
      </c>
      <c r="V28" s="1254">
        <v>2172490</v>
      </c>
      <c r="W28" s="1254"/>
      <c r="X28" s="1256"/>
    </row>
    <row r="29" spans="1:24" s="1257" customFormat="1" ht="13.8">
      <c r="A29" s="1247"/>
      <c r="B29" s="1290"/>
      <c r="C29" s="1259"/>
      <c r="D29" s="1259"/>
      <c r="E29" s="1259"/>
      <c r="F29" s="1259"/>
      <c r="G29" s="1259"/>
      <c r="H29" s="1259">
        <f>ROUND(SUM(H27:H28),0)</f>
        <v>0</v>
      </c>
      <c r="I29" s="1259">
        <f>ROUND(SUM(I27:I28),0)</f>
        <v>0</v>
      </c>
      <c r="J29" s="1259">
        <f>ROUND(SUM(J27:J28),0)</f>
        <v>0</v>
      </c>
      <c r="K29" s="1264">
        <f>SUM(K27:K28)</f>
        <v>0</v>
      </c>
      <c r="L29" s="1264">
        <f>SUM(L27:L28)</f>
        <v>0</v>
      </c>
      <c r="M29" s="1264"/>
      <c r="N29" s="1263"/>
      <c r="O29" s="1263">
        <f>I29/$Q$8</f>
        <v>0</v>
      </c>
      <c r="P29" s="1265"/>
      <c r="Q29" s="1266"/>
      <c r="R29" s="1276"/>
      <c r="S29" s="1267">
        <f t="shared" si="1"/>
        <v>0</v>
      </c>
      <c r="T29" s="1276"/>
      <c r="U29" s="1267">
        <f t="shared" si="0"/>
        <v>0</v>
      </c>
      <c r="V29" s="1254"/>
      <c r="W29" s="1254"/>
      <c r="X29" s="1256"/>
    </row>
    <row r="30" spans="1:24" s="1257" customFormat="1" ht="13.8">
      <c r="A30" s="1247"/>
      <c r="B30" s="1248" t="s">
        <v>1029</v>
      </c>
      <c r="C30" s="1300"/>
      <c r="D30" s="1235"/>
      <c r="E30" s="1235"/>
      <c r="F30" s="1235"/>
      <c r="G30" s="1235"/>
      <c r="H30" s="1235"/>
      <c r="I30" s="1235"/>
      <c r="J30" s="1235"/>
      <c r="K30" s="1301"/>
      <c r="L30" s="1302"/>
      <c r="M30" s="1263"/>
      <c r="N30" s="1263"/>
      <c r="O30" s="1263"/>
      <c r="P30" s="1263"/>
      <c r="Q30" s="1266"/>
      <c r="R30" s="1276"/>
      <c r="S30" s="1267">
        <f t="shared" ref="S30:S37" si="2">R30/1000</f>
        <v>0</v>
      </c>
      <c r="T30" s="1276"/>
      <c r="U30" s="1267">
        <f t="shared" ref="U30:U37" si="3">T30/1000</f>
        <v>0</v>
      </c>
      <c r="V30" s="1254"/>
      <c r="W30" s="1254"/>
      <c r="X30" s="1256"/>
    </row>
    <row r="31" spans="1:24" s="1257" customFormat="1" ht="13.8">
      <c r="A31" s="1303" t="s">
        <v>1104</v>
      </c>
      <c r="B31" s="1270" t="s">
        <v>2427</v>
      </c>
      <c r="C31" s="1235">
        <v>350000</v>
      </c>
      <c r="D31" s="1259">
        <v>1600000</v>
      </c>
      <c r="E31" s="1259">
        <v>0</v>
      </c>
      <c r="F31" s="1259">
        <v>1950000</v>
      </c>
      <c r="G31" s="1235">
        <f t="shared" ref="G31:G36" si="4">C31+D31+E31-F31</f>
        <v>0</v>
      </c>
      <c r="H31" s="1260">
        <v>0</v>
      </c>
      <c r="I31" s="1260">
        <v>0</v>
      </c>
      <c r="J31" s="1260">
        <f t="shared" ref="J31:J36" si="5">I31-H31</f>
        <v>0</v>
      </c>
      <c r="K31" s="1294">
        <f t="shared" ref="K31:K36" si="6">I31/$X$40</f>
        <v>0</v>
      </c>
      <c r="L31" s="1294">
        <f t="shared" ref="L31:L36" si="7">I31/$X$41</f>
        <v>0</v>
      </c>
      <c r="M31" s="1294">
        <f>G31*10/Q31</f>
        <v>0</v>
      </c>
      <c r="N31" s="1263"/>
      <c r="O31" s="1264">
        <f t="shared" ref="O31:O37" si="8">I31/$Q$8</f>
        <v>0</v>
      </c>
      <c r="P31" s="1265"/>
      <c r="Q31" s="1266">
        <v>4381190970</v>
      </c>
      <c r="R31" s="1276">
        <v>174949126</v>
      </c>
      <c r="S31" s="1267">
        <f t="shared" si="2"/>
        <v>174949.12599999999</v>
      </c>
      <c r="T31" s="1276">
        <v>200392792</v>
      </c>
      <c r="U31" s="1267">
        <f t="shared" si="3"/>
        <v>200392.79199999999</v>
      </c>
      <c r="V31" s="1254">
        <v>4381191</v>
      </c>
      <c r="W31" s="1255"/>
      <c r="X31" s="1256"/>
    </row>
    <row r="32" spans="1:24" s="1257" customFormat="1" ht="13.8">
      <c r="A32" s="1303"/>
      <c r="B32" s="1270" t="s">
        <v>1163</v>
      </c>
      <c r="C32" s="1235">
        <v>425900</v>
      </c>
      <c r="D32" s="1259">
        <v>0</v>
      </c>
      <c r="E32" s="1259">
        <v>127770</v>
      </c>
      <c r="F32" s="1259">
        <v>0</v>
      </c>
      <c r="G32" s="1235">
        <f t="shared" si="4"/>
        <v>553670</v>
      </c>
      <c r="H32" s="1271">
        <f>52416000/1000</f>
        <v>52416</v>
      </c>
      <c r="I32" s="1271">
        <f>47028729.8/1000</f>
        <v>47028.729799999994</v>
      </c>
      <c r="J32" s="1271">
        <f t="shared" si="5"/>
        <v>-5387.2702000000063</v>
      </c>
      <c r="K32" s="1275">
        <f t="shared" si="6"/>
        <v>3.9813439663400991E-3</v>
      </c>
      <c r="L32" s="1275">
        <f t="shared" si="7"/>
        <v>4.1765351601291125E-3</v>
      </c>
      <c r="M32" s="1275">
        <f>G32*10/Q32</f>
        <v>3.5834230888039127E-3</v>
      </c>
      <c r="N32" s="1263"/>
      <c r="O32" s="1264">
        <f t="shared" si="8"/>
        <v>3.9813439602731726E-3</v>
      </c>
      <c r="P32" s="1265"/>
      <c r="Q32" s="1266">
        <v>1545086880</v>
      </c>
      <c r="R32" s="1276">
        <v>24517211</v>
      </c>
      <c r="S32" s="1267">
        <f t="shared" si="2"/>
        <v>24517.210999999999</v>
      </c>
      <c r="T32" s="1276">
        <v>24970764</v>
      </c>
      <c r="U32" s="1267">
        <f t="shared" si="3"/>
        <v>24970.763999999999</v>
      </c>
      <c r="V32" s="1254"/>
      <c r="W32" s="1255"/>
      <c r="X32" s="1256"/>
    </row>
    <row r="33" spans="1:25" s="1257" customFormat="1" ht="13.8">
      <c r="A33" s="1303"/>
      <c r="B33" s="1270" t="s">
        <v>170</v>
      </c>
      <c r="C33" s="1235">
        <v>3901100</v>
      </c>
      <c r="D33" s="1259">
        <v>5943000</v>
      </c>
      <c r="E33" s="1259">
        <v>0</v>
      </c>
      <c r="F33" s="1259">
        <v>3931600</v>
      </c>
      <c r="G33" s="1235">
        <f t="shared" si="4"/>
        <v>5912500</v>
      </c>
      <c r="H33" s="1271">
        <f>254940073.519675/1000</f>
        <v>254940.07351967497</v>
      </c>
      <c r="I33" s="1271">
        <f>240343125/1000</f>
        <v>240343.125</v>
      </c>
      <c r="J33" s="1271">
        <f t="shared" si="5"/>
        <v>-14596.948519674974</v>
      </c>
      <c r="K33" s="1275">
        <f t="shared" si="6"/>
        <v>2.0346895496422154E-2</v>
      </c>
      <c r="L33" s="1275">
        <f t="shared" si="7"/>
        <v>2.1344431719221266E-2</v>
      </c>
      <c r="M33" s="1275">
        <f>G33*10/Q33</f>
        <v>9.9587221955381808E-3</v>
      </c>
      <c r="N33" s="1263"/>
      <c r="O33" s="1264">
        <f t="shared" si="8"/>
        <v>2.0346895465416764E-2</v>
      </c>
      <c r="P33" s="1265"/>
      <c r="Q33" s="1266">
        <v>5937006660</v>
      </c>
      <c r="R33" s="1276">
        <v>126599894</v>
      </c>
      <c r="S33" s="1267">
        <f t="shared" si="2"/>
        <v>126599.894</v>
      </c>
      <c r="T33" s="1276">
        <v>126655064</v>
      </c>
      <c r="U33" s="1267">
        <f t="shared" si="3"/>
        <v>126655.064</v>
      </c>
      <c r="V33" s="1254"/>
      <c r="W33" s="1255"/>
      <c r="X33" s="1256"/>
    </row>
    <row r="34" spans="1:25" s="1257" customFormat="1" ht="13.8">
      <c r="A34" s="1303"/>
      <c r="B34" s="1270" t="s">
        <v>1030</v>
      </c>
      <c r="C34" s="1235">
        <v>98000</v>
      </c>
      <c r="D34" s="1259">
        <v>0</v>
      </c>
      <c r="E34" s="1259">
        <v>0</v>
      </c>
      <c r="F34" s="1235">
        <v>98000</v>
      </c>
      <c r="G34" s="1235">
        <f t="shared" si="4"/>
        <v>0</v>
      </c>
      <c r="H34" s="1271">
        <v>0</v>
      </c>
      <c r="I34" s="1271">
        <v>0</v>
      </c>
      <c r="J34" s="1271">
        <f t="shared" si="5"/>
        <v>0</v>
      </c>
      <c r="K34" s="1273">
        <f t="shared" si="6"/>
        <v>0</v>
      </c>
      <c r="L34" s="1273">
        <f t="shared" si="7"/>
        <v>0</v>
      </c>
      <c r="M34" s="1273">
        <f>G34*10/Q34</f>
        <v>0</v>
      </c>
      <c r="N34" s="1263"/>
      <c r="O34" s="1264">
        <f t="shared" si="8"/>
        <v>0</v>
      </c>
      <c r="P34" s="1265"/>
      <c r="Q34" s="1266">
        <v>13798150250</v>
      </c>
      <c r="R34" s="1276">
        <v>0</v>
      </c>
      <c r="S34" s="1267">
        <f t="shared" si="2"/>
        <v>0</v>
      </c>
      <c r="T34" s="1276">
        <v>0</v>
      </c>
      <c r="U34" s="1267">
        <f t="shared" si="3"/>
        <v>0</v>
      </c>
      <c r="V34" s="1254"/>
      <c r="W34" s="1255"/>
      <c r="X34" s="1256"/>
    </row>
    <row r="35" spans="1:25" s="1257" customFormat="1" ht="13.8">
      <c r="A35" s="1303" t="s">
        <v>1104</v>
      </c>
      <c r="B35" s="1270" t="s">
        <v>1886</v>
      </c>
      <c r="C35" s="1235">
        <v>2105500</v>
      </c>
      <c r="D35" s="1259">
        <v>0</v>
      </c>
      <c r="E35" s="1259">
        <v>0</v>
      </c>
      <c r="F35" s="1259">
        <v>0</v>
      </c>
      <c r="G35" s="1235">
        <f t="shared" si="4"/>
        <v>2105500</v>
      </c>
      <c r="H35" s="1271">
        <f>37899000/1000</f>
        <v>37899</v>
      </c>
      <c r="I35" s="1271">
        <f>24486965/1000</f>
        <v>24486.965</v>
      </c>
      <c r="J35" s="1271">
        <f t="shared" si="5"/>
        <v>-13412.035</v>
      </c>
      <c r="K35" s="1273">
        <f t="shared" si="6"/>
        <v>2.0730100679166377E-3</v>
      </c>
      <c r="L35" s="1273">
        <f t="shared" si="7"/>
        <v>2.1746424094862748E-3</v>
      </c>
      <c r="M35" s="1273">
        <v>0</v>
      </c>
      <c r="N35" s="1263"/>
      <c r="O35" s="1264">
        <f t="shared" si="8"/>
        <v>2.0730100647577045E-3</v>
      </c>
      <c r="P35" s="1265"/>
      <c r="Q35" s="1266"/>
      <c r="R35" s="1276">
        <v>0</v>
      </c>
      <c r="S35" s="1267">
        <f t="shared" si="2"/>
        <v>0</v>
      </c>
      <c r="T35" s="1276">
        <v>0</v>
      </c>
      <c r="U35" s="1267">
        <f t="shared" si="3"/>
        <v>0</v>
      </c>
      <c r="V35" s="1254"/>
      <c r="W35" s="1255"/>
      <c r="X35" s="1256"/>
    </row>
    <row r="36" spans="1:25" s="1257" customFormat="1" ht="13.8">
      <c r="A36" s="1247"/>
      <c r="B36" s="1258" t="s">
        <v>125</v>
      </c>
      <c r="C36" s="1235">
        <v>300750</v>
      </c>
      <c r="D36" s="1259">
        <v>996500</v>
      </c>
      <c r="E36" s="1259">
        <v>0</v>
      </c>
      <c r="F36" s="1259">
        <v>300689</v>
      </c>
      <c r="G36" s="1235">
        <f t="shared" si="4"/>
        <v>996561</v>
      </c>
      <c r="H36" s="1277">
        <f>503748095.415901/1000</f>
        <v>503748.09541590099</v>
      </c>
      <c r="I36" s="1277">
        <f>433175169.87/1000</f>
        <v>433175.16986999998</v>
      </c>
      <c r="J36" s="1277">
        <f t="shared" si="5"/>
        <v>-70572.925545901002</v>
      </c>
      <c r="K36" s="1279">
        <f t="shared" si="6"/>
        <v>3.6671612358330635E-2</v>
      </c>
      <c r="L36" s="1279">
        <f t="shared" si="7"/>
        <v>3.8469491630985023E-2</v>
      </c>
      <c r="M36" s="1279">
        <f>G36*10/Q36</f>
        <v>3.0817502899110941E-3</v>
      </c>
      <c r="N36" s="1263"/>
      <c r="O36" s="1264">
        <f t="shared" si="8"/>
        <v>3.667161230244901E-2</v>
      </c>
      <c r="P36" s="1265"/>
      <c r="Q36" s="1266">
        <v>3233750000</v>
      </c>
      <c r="R36" s="1267">
        <v>246019303</v>
      </c>
      <c r="S36" s="1267">
        <f t="shared" si="2"/>
        <v>246019.30300000001</v>
      </c>
      <c r="T36" s="1267">
        <v>242820513</v>
      </c>
      <c r="U36" s="1267">
        <f t="shared" si="3"/>
        <v>242820.51300000001</v>
      </c>
      <c r="V36" s="1268">
        <v>3233750</v>
      </c>
      <c r="W36" s="1255"/>
      <c r="X36" s="1256"/>
    </row>
    <row r="37" spans="1:25" s="1257" customFormat="1" ht="13.8">
      <c r="A37" s="1247"/>
      <c r="B37" s="1290"/>
      <c r="C37" s="1259"/>
      <c r="D37" s="1259"/>
      <c r="E37" s="1259"/>
      <c r="F37" s="1235"/>
      <c r="G37" s="1259"/>
      <c r="H37" s="1259">
        <f>ROUND(SUM(H31:H36),0)</f>
        <v>849003</v>
      </c>
      <c r="I37" s="1259">
        <f>ROUND(SUM(I31:I36),0)</f>
        <v>745034</v>
      </c>
      <c r="J37" s="1259">
        <f>ROUND(SUM(J31:J36),0)</f>
        <v>-103969</v>
      </c>
      <c r="K37" s="1264">
        <f>SUM(K31:K36)</f>
        <v>6.3072861889009527E-2</v>
      </c>
      <c r="L37" s="1264">
        <f>SUM(L31:L36)</f>
        <v>6.6165100919821682E-2</v>
      </c>
      <c r="M37" s="1264"/>
      <c r="N37" s="1263"/>
      <c r="O37" s="1403">
        <f t="shared" si="8"/>
        <v>6.3072862667410662E-2</v>
      </c>
      <c r="P37" s="1404"/>
      <c r="Q37" s="1266"/>
      <c r="R37" s="1276"/>
      <c r="S37" s="1267">
        <f t="shared" si="2"/>
        <v>0</v>
      </c>
      <c r="T37" s="1276"/>
      <c r="U37" s="1267">
        <f t="shared" si="3"/>
        <v>0</v>
      </c>
      <c r="V37" s="1254"/>
      <c r="W37" s="1254"/>
      <c r="X37" s="1256"/>
    </row>
    <row r="38" spans="1:25" s="1257" customFormat="1" ht="13.8">
      <c r="A38" s="1227"/>
      <c r="B38" s="1304"/>
      <c r="C38" s="1244"/>
      <c r="D38" s="1251"/>
      <c r="E38" s="1251"/>
      <c r="F38" s="1251"/>
      <c r="G38" s="1305"/>
      <c r="H38" s="1305"/>
      <c r="I38" s="1305"/>
      <c r="J38" s="1305"/>
      <c r="K38" s="1306"/>
      <c r="L38" s="1306"/>
      <c r="M38" s="1306"/>
      <c r="N38" s="1306"/>
      <c r="O38" s="1306"/>
      <c r="P38" s="1306"/>
      <c r="Q38" s="1253"/>
      <c r="R38" s="1306"/>
      <c r="S38" s="1267">
        <f t="shared" si="1"/>
        <v>0</v>
      </c>
      <c r="T38" s="1306"/>
      <c r="U38" s="1267">
        <f t="shared" si="0"/>
        <v>0</v>
      </c>
      <c r="V38" s="1254"/>
      <c r="W38" s="1256"/>
      <c r="X38" s="1256"/>
    </row>
    <row r="39" spans="1:25" ht="13.8">
      <c r="A39" s="1227"/>
      <c r="B39" s="1307"/>
      <c r="C39" s="1308"/>
      <c r="E39" s="1309"/>
      <c r="F39" s="1309"/>
      <c r="G39" s="1309"/>
      <c r="H39" s="1309"/>
      <c r="I39" s="1309"/>
      <c r="J39" s="1309"/>
      <c r="K39" s="1310"/>
      <c r="L39" s="1311"/>
      <c r="M39" s="1311"/>
      <c r="N39" s="1311"/>
      <c r="O39" s="1311"/>
      <c r="P39" s="1311"/>
      <c r="Q39" s="1312"/>
      <c r="R39" s="1311"/>
      <c r="S39" s="1267">
        <f t="shared" si="1"/>
        <v>0</v>
      </c>
      <c r="T39" s="1311"/>
      <c r="U39" s="1267">
        <f t="shared" si="0"/>
        <v>0</v>
      </c>
    </row>
    <row r="40" spans="1:25" s="1233" customFormat="1" ht="12.75" customHeight="1">
      <c r="A40" s="1230"/>
      <c r="B40" s="2490" t="s">
        <v>116</v>
      </c>
      <c r="C40" s="2490" t="s">
        <v>2449</v>
      </c>
      <c r="D40" s="2490" t="s">
        <v>130</v>
      </c>
      <c r="E40" s="2490" t="s">
        <v>119</v>
      </c>
      <c r="F40" s="2490" t="s">
        <v>2420</v>
      </c>
      <c r="G40" s="2490" t="s">
        <v>2450</v>
      </c>
      <c r="H40" s="2499" t="s">
        <v>2450</v>
      </c>
      <c r="I40" s="2500"/>
      <c r="J40" s="2501"/>
      <c r="K40" s="2493" t="s">
        <v>308</v>
      </c>
      <c r="L40" s="2494"/>
      <c r="M40" s="2497" t="s">
        <v>708</v>
      </c>
      <c r="N40" s="1231"/>
      <c r="O40" s="1231"/>
      <c r="P40" s="1231"/>
      <c r="Q40" s="1232"/>
      <c r="R40" s="1231"/>
      <c r="S40" s="1267">
        <f t="shared" si="1"/>
        <v>0</v>
      </c>
      <c r="T40" s="1231"/>
      <c r="U40" s="1267">
        <f t="shared" si="0"/>
        <v>0</v>
      </c>
      <c r="W40" s="1234" t="s">
        <v>166</v>
      </c>
      <c r="X40" s="1254">
        <f>ROUND(BS!$F$29,0)</f>
        <v>11812275</v>
      </c>
      <c r="Y40" s="1236"/>
    </row>
    <row r="41" spans="1:25" s="1233" customFormat="1" ht="12.75" customHeight="1">
      <c r="A41" s="1230"/>
      <c r="B41" s="2474"/>
      <c r="C41" s="2474"/>
      <c r="D41" s="2474"/>
      <c r="E41" s="2474"/>
      <c r="F41" s="2474"/>
      <c r="G41" s="2474"/>
      <c r="H41" s="2490" t="s">
        <v>984</v>
      </c>
      <c r="I41" s="2490" t="s">
        <v>2451</v>
      </c>
      <c r="J41" s="2490" t="s">
        <v>1028</v>
      </c>
      <c r="K41" s="2495"/>
      <c r="L41" s="2496"/>
      <c r="M41" s="2483"/>
      <c r="N41" s="1231"/>
      <c r="O41" s="1231"/>
      <c r="P41" s="1231"/>
      <c r="Q41" s="1232"/>
      <c r="R41" s="1231"/>
      <c r="S41" s="1267">
        <f t="shared" si="1"/>
        <v>0</v>
      </c>
      <c r="T41" s="1231"/>
      <c r="U41" s="1267">
        <f t="shared" si="0"/>
        <v>0</v>
      </c>
      <c r="W41" s="1237" t="s">
        <v>167</v>
      </c>
      <c r="X41" s="1253">
        <f>ROUND(BS!$F$12,0)</f>
        <v>11260226</v>
      </c>
      <c r="Y41" s="1236"/>
    </row>
    <row r="42" spans="1:25" s="1233" customFormat="1" ht="12.75" customHeight="1">
      <c r="A42" s="1230"/>
      <c r="B42" s="2474"/>
      <c r="C42" s="2474"/>
      <c r="D42" s="2474"/>
      <c r="E42" s="2474"/>
      <c r="F42" s="2474"/>
      <c r="G42" s="2474"/>
      <c r="H42" s="2474"/>
      <c r="I42" s="2474"/>
      <c r="J42" s="2474"/>
      <c r="K42" s="2497" t="s">
        <v>121</v>
      </c>
      <c r="L42" s="2497" t="s">
        <v>295</v>
      </c>
      <c r="M42" s="2483"/>
      <c r="N42" s="1231"/>
      <c r="O42" s="1231"/>
      <c r="P42" s="1231"/>
      <c r="Q42" s="1232"/>
      <c r="R42" s="1231"/>
      <c r="S42" s="1267">
        <f t="shared" si="1"/>
        <v>0</v>
      </c>
      <c r="T42" s="1231"/>
      <c r="U42" s="1267">
        <f t="shared" si="0"/>
        <v>0</v>
      </c>
      <c r="W42" s="1234"/>
      <c r="X42" s="1239"/>
      <c r="Y42" s="1236"/>
    </row>
    <row r="43" spans="1:25" s="1233" customFormat="1" ht="13.8">
      <c r="A43" s="1230"/>
      <c r="B43" s="2474"/>
      <c r="C43" s="2474"/>
      <c r="D43" s="2474"/>
      <c r="E43" s="2474"/>
      <c r="F43" s="2474"/>
      <c r="G43" s="2474"/>
      <c r="H43" s="2474"/>
      <c r="I43" s="2474"/>
      <c r="J43" s="2474"/>
      <c r="K43" s="2483"/>
      <c r="L43" s="2483"/>
      <c r="M43" s="2483"/>
      <c r="N43" s="1231"/>
      <c r="O43" s="1231"/>
      <c r="P43" s="1231"/>
      <c r="Q43" s="1232"/>
      <c r="R43" s="1231"/>
      <c r="S43" s="1267">
        <f t="shared" si="1"/>
        <v>0</v>
      </c>
      <c r="T43" s="1231"/>
      <c r="U43" s="1267">
        <f t="shared" si="0"/>
        <v>0</v>
      </c>
      <c r="X43" s="1240"/>
    </row>
    <row r="44" spans="1:25" s="1233" customFormat="1" ht="13.8">
      <c r="A44" s="1230"/>
      <c r="B44" s="2474"/>
      <c r="C44" s="2474"/>
      <c r="D44" s="2474"/>
      <c r="E44" s="2474"/>
      <c r="F44" s="2474"/>
      <c r="G44" s="2474"/>
      <c r="H44" s="2474"/>
      <c r="I44" s="2474"/>
      <c r="J44" s="2474"/>
      <c r="K44" s="2483"/>
      <c r="L44" s="2483"/>
      <c r="M44" s="2483"/>
      <c r="N44" s="1231"/>
      <c r="O44" s="1231"/>
      <c r="P44" s="1231"/>
      <c r="Q44" s="1232"/>
      <c r="R44" s="1231"/>
      <c r="S44" s="1267">
        <f t="shared" si="1"/>
        <v>0</v>
      </c>
      <c r="T44" s="1231"/>
      <c r="U44" s="1267">
        <f t="shared" si="0"/>
        <v>0</v>
      </c>
      <c r="X44" s="1240"/>
    </row>
    <row r="45" spans="1:25" s="1233" customFormat="1" ht="13.8">
      <c r="A45" s="1230"/>
      <c r="B45" s="2491"/>
      <c r="C45" s="2491"/>
      <c r="D45" s="2491"/>
      <c r="E45" s="2491"/>
      <c r="F45" s="2491"/>
      <c r="G45" s="2491"/>
      <c r="H45" s="2491"/>
      <c r="I45" s="2491"/>
      <c r="J45" s="2491"/>
      <c r="K45" s="2498"/>
      <c r="L45" s="2498"/>
      <c r="M45" s="2498"/>
      <c r="N45" s="1231"/>
      <c r="O45" s="1231"/>
      <c r="P45" s="1231"/>
      <c r="Q45" s="1232"/>
      <c r="R45" s="1231"/>
      <c r="S45" s="1267">
        <f t="shared" si="1"/>
        <v>0</v>
      </c>
      <c r="T45" s="1231"/>
      <c r="U45" s="1267">
        <f t="shared" si="0"/>
        <v>0</v>
      </c>
      <c r="X45" s="1240"/>
    </row>
    <row r="46" spans="1:25" s="1233" customFormat="1" ht="13.8">
      <c r="A46" s="1230"/>
      <c r="B46" s="1241"/>
      <c r="C46" s="2486" t="s">
        <v>2364</v>
      </c>
      <c r="D46" s="2486"/>
      <c r="E46" s="2486"/>
      <c r="F46" s="2486"/>
      <c r="G46" s="2486"/>
      <c r="H46" s="2486" t="s">
        <v>2365</v>
      </c>
      <c r="I46" s="2486"/>
      <c r="J46" s="2486"/>
      <c r="K46" s="2492" t="s">
        <v>2366</v>
      </c>
      <c r="L46" s="2492"/>
      <c r="M46" s="2492"/>
      <c r="N46" s="1242"/>
      <c r="O46" s="1242"/>
      <c r="P46" s="1242"/>
      <c r="Q46" s="1243"/>
      <c r="R46" s="1242"/>
      <c r="S46" s="1267">
        <f t="shared" si="1"/>
        <v>0</v>
      </c>
      <c r="T46" s="1242"/>
      <c r="U46" s="1267">
        <f t="shared" si="0"/>
        <v>0</v>
      </c>
      <c r="X46" s="1240"/>
    </row>
    <row r="47" spans="1:25" s="1257" customFormat="1" ht="13.8">
      <c r="A47" s="1247"/>
      <c r="B47" s="1248" t="s">
        <v>1031</v>
      </c>
      <c r="C47" s="1300"/>
      <c r="D47" s="1235"/>
      <c r="E47" s="1235"/>
      <c r="F47" s="1235"/>
      <c r="G47" s="1235"/>
      <c r="H47" s="1235"/>
      <c r="I47" s="1235"/>
      <c r="J47" s="1235"/>
      <c r="K47" s="1313"/>
      <c r="L47" s="1314"/>
      <c r="M47" s="1263"/>
      <c r="N47" s="1263"/>
      <c r="O47" s="1263"/>
      <c r="P47" s="1263"/>
      <c r="Q47" s="1266"/>
      <c r="R47" s="1276"/>
      <c r="S47" s="1267">
        <f t="shared" si="1"/>
        <v>0</v>
      </c>
      <c r="T47" s="1276"/>
      <c r="U47" s="1267">
        <f t="shared" ref="U47:U84" si="9">T47/1000</f>
        <v>0</v>
      </c>
      <c r="V47" s="1268"/>
      <c r="W47" s="1254"/>
      <c r="X47" s="1256"/>
    </row>
    <row r="48" spans="1:25" s="1257" customFormat="1" ht="13.8">
      <c r="A48" s="1247"/>
      <c r="B48" s="1258" t="s">
        <v>1032</v>
      </c>
      <c r="C48" s="1259">
        <f>4508000+1256186</f>
        <v>5764186</v>
      </c>
      <c r="D48" s="1259">
        <v>13601655</v>
      </c>
      <c r="E48" s="1259">
        <v>1533469</v>
      </c>
      <c r="F48" s="1259">
        <f>3724500+2789655</f>
        <v>6514155</v>
      </c>
      <c r="G48" s="1235">
        <f>C48+D48+E48-F48</f>
        <v>14385155</v>
      </c>
      <c r="H48" s="1260">
        <f>465780678.938899/1000</f>
        <v>465780.67893889896</v>
      </c>
      <c r="I48" s="1260">
        <f>534264656.7/1000</f>
        <v>534264.65669999993</v>
      </c>
      <c r="J48" s="1260">
        <f>I48-H48</f>
        <v>68483.977761100978</v>
      </c>
      <c r="K48" s="1294">
        <f>I48/$X$40</f>
        <v>4.5229615522835352E-2</v>
      </c>
      <c r="L48" s="1295">
        <f>I48/$X$41</f>
        <v>4.744706338043303E-2</v>
      </c>
      <c r="M48" s="1294">
        <f>G48*10/Q48</f>
        <v>2.1681735840752166E-2</v>
      </c>
      <c r="N48" s="1263"/>
      <c r="O48" s="1264">
        <f>I48/$Q$8</f>
        <v>4.5229615453912707E-2</v>
      </c>
      <c r="P48" s="1265"/>
      <c r="Q48" s="1266">
        <v>6634687880</v>
      </c>
      <c r="R48" s="1267">
        <v>253421303</v>
      </c>
      <c r="S48" s="1267">
        <f t="shared" si="1"/>
        <v>253421.30300000001</v>
      </c>
      <c r="T48" s="1267">
        <v>206588760</v>
      </c>
      <c r="U48" s="1267">
        <f t="shared" si="9"/>
        <v>206588.76</v>
      </c>
      <c r="V48" s="1268"/>
      <c r="W48" s="1255"/>
      <c r="X48" s="1256"/>
    </row>
    <row r="49" spans="1:16384" s="1257" customFormat="1" ht="13.8">
      <c r="A49" s="1247"/>
      <c r="B49" s="1258" t="s">
        <v>1063</v>
      </c>
      <c r="C49" s="1259">
        <v>60800</v>
      </c>
      <c r="D49" s="1259">
        <v>5050</v>
      </c>
      <c r="E49" s="1259">
        <v>0</v>
      </c>
      <c r="F49" s="1259">
        <v>0</v>
      </c>
      <c r="G49" s="1235">
        <f>C49+D49+E49-F49</f>
        <v>65850</v>
      </c>
      <c r="H49" s="1271">
        <f>33254250/1000</f>
        <v>33254.25</v>
      </c>
      <c r="I49" s="1271">
        <f>33583500/1000</f>
        <v>33583.5</v>
      </c>
      <c r="J49" s="1271">
        <f>I49-H49</f>
        <v>329.25</v>
      </c>
      <c r="K49" s="1275">
        <f>I49/$X$40</f>
        <v>2.8431017733671119E-3</v>
      </c>
      <c r="L49" s="1356">
        <f>I49/$X$41</f>
        <v>2.9824889837912669E-3</v>
      </c>
      <c r="M49" s="1275">
        <f>G49*10/Q49</f>
        <v>1.9300532861773101E-3</v>
      </c>
      <c r="N49" s="1263"/>
      <c r="O49" s="1264">
        <f>I49/$Q$8</f>
        <v>2.8431017690346829E-3</v>
      </c>
      <c r="P49" s="1265"/>
      <c r="Q49" s="1266">
        <v>341182290</v>
      </c>
      <c r="R49" s="1267">
        <v>43337632</v>
      </c>
      <c r="S49" s="1267">
        <f t="shared" si="1"/>
        <v>43337.631999999998</v>
      </c>
      <c r="T49" s="1267">
        <v>32163200</v>
      </c>
      <c r="U49" s="1267">
        <f t="shared" si="9"/>
        <v>32163.200000000001</v>
      </c>
      <c r="V49" s="1268"/>
      <c r="W49" s="1255"/>
      <c r="X49" s="1256"/>
    </row>
    <row r="50" spans="1:16384" s="1399" customFormat="1" ht="13.8">
      <c r="A50" s="1398"/>
      <c r="B50" s="1400" t="s">
        <v>2121</v>
      </c>
      <c r="C50" s="1259">
        <v>0</v>
      </c>
      <c r="D50" s="1259">
        <v>64000</v>
      </c>
      <c r="E50" s="1401"/>
      <c r="F50" s="1259">
        <v>64000</v>
      </c>
      <c r="G50" s="1235">
        <f>C50+D50+E50-F50</f>
        <v>0</v>
      </c>
      <c r="H50" s="1277">
        <v>0</v>
      </c>
      <c r="I50" s="1277">
        <v>0</v>
      </c>
      <c r="J50" s="1277">
        <f>I50-H50</f>
        <v>0</v>
      </c>
      <c r="K50" s="1279">
        <f>I50/$X$40</f>
        <v>0</v>
      </c>
      <c r="L50" s="1357">
        <f>I50/$X$41</f>
        <v>0</v>
      </c>
      <c r="M50" s="1402" t="e">
        <f>G50*10/Q50</f>
        <v>#DIV/0!</v>
      </c>
      <c r="N50" s="1398"/>
      <c r="O50" s="1398"/>
      <c r="P50" s="1398"/>
      <c r="Q50" s="1398"/>
      <c r="R50" s="1398"/>
      <c r="S50" s="1398"/>
      <c r="T50" s="1398"/>
      <c r="U50" s="1398"/>
      <c r="V50" s="1398"/>
      <c r="W50" s="1398"/>
      <c r="X50" s="1398"/>
      <c r="Y50" s="1398"/>
      <c r="Z50" s="1398"/>
      <c r="AA50" s="1398"/>
      <c r="AB50" s="1398"/>
      <c r="AC50" s="1398"/>
      <c r="AD50" s="1398"/>
      <c r="AE50" s="1398"/>
      <c r="AF50" s="1398"/>
      <c r="AG50" s="1398"/>
      <c r="AH50" s="1398"/>
      <c r="AI50" s="1398"/>
      <c r="AJ50" s="1398"/>
      <c r="AK50" s="1398"/>
      <c r="AL50" s="1398"/>
      <c r="AM50" s="1398"/>
      <c r="AN50" s="1398"/>
      <c r="AO50" s="1398"/>
      <c r="AP50" s="1398"/>
      <c r="AQ50" s="1398"/>
      <c r="AR50" s="1398"/>
      <c r="AS50" s="1398"/>
      <c r="AT50" s="1398"/>
      <c r="AU50" s="1398"/>
      <c r="AV50" s="1398"/>
      <c r="AW50" s="1398"/>
      <c r="AX50" s="1398"/>
      <c r="AY50" s="1398"/>
      <c r="AZ50" s="1398"/>
      <c r="BA50" s="1398"/>
      <c r="BB50" s="1398"/>
      <c r="BC50" s="1398"/>
      <c r="BD50" s="1398"/>
      <c r="BE50" s="1398"/>
      <c r="BF50" s="1398"/>
      <c r="BG50" s="1398"/>
      <c r="BH50" s="1398"/>
      <c r="BI50" s="1398"/>
      <c r="BJ50" s="1398"/>
      <c r="BK50" s="1398"/>
      <c r="BL50" s="1398"/>
      <c r="BM50" s="1398"/>
      <c r="BN50" s="1398"/>
      <c r="BO50" s="1398"/>
      <c r="BP50" s="1398"/>
      <c r="BQ50" s="1398"/>
      <c r="BR50" s="1398"/>
      <c r="BS50" s="1398"/>
      <c r="BT50" s="1398"/>
      <c r="BU50" s="1398"/>
      <c r="BV50" s="1398"/>
      <c r="BW50" s="1398"/>
      <c r="BX50" s="1398"/>
      <c r="BY50" s="1398"/>
      <c r="BZ50" s="1398"/>
      <c r="CA50" s="1398"/>
      <c r="CB50" s="1398"/>
      <c r="CC50" s="1398"/>
      <c r="CD50" s="1398"/>
      <c r="CE50" s="1398"/>
      <c r="CF50" s="1398"/>
      <c r="CG50" s="1398"/>
      <c r="CH50" s="1398"/>
      <c r="CI50" s="1398"/>
      <c r="CJ50" s="1398"/>
      <c r="CK50" s="1398"/>
      <c r="CL50" s="1398"/>
      <c r="CM50" s="1398"/>
      <c r="CN50" s="1398"/>
      <c r="CO50" s="1398"/>
      <c r="CP50" s="1398"/>
      <c r="CQ50" s="1398"/>
      <c r="CR50" s="1398"/>
      <c r="CS50" s="1398"/>
      <c r="CT50" s="1398"/>
      <c r="CU50" s="1398"/>
      <c r="CV50" s="1398"/>
      <c r="CW50" s="1398"/>
      <c r="CX50" s="1398"/>
      <c r="CY50" s="1398"/>
      <c r="CZ50" s="1398"/>
      <c r="DA50" s="1398"/>
      <c r="DB50" s="1398"/>
      <c r="DC50" s="1398"/>
      <c r="DD50" s="1398"/>
      <c r="DE50" s="1398"/>
      <c r="DF50" s="1398"/>
      <c r="DG50" s="1398"/>
      <c r="DH50" s="1398"/>
      <c r="DI50" s="1398"/>
      <c r="DJ50" s="1398"/>
      <c r="DK50" s="1398"/>
      <c r="DL50" s="1398"/>
      <c r="DM50" s="1398"/>
      <c r="DN50" s="1398"/>
      <c r="DO50" s="1398"/>
      <c r="DP50" s="1398"/>
      <c r="DQ50" s="1398"/>
      <c r="DR50" s="1398"/>
      <c r="DS50" s="1398"/>
      <c r="DT50" s="1398"/>
      <c r="DU50" s="1398"/>
      <c r="DV50" s="1398"/>
      <c r="DW50" s="1398"/>
      <c r="DX50" s="1398"/>
      <c r="DY50" s="1398"/>
      <c r="DZ50" s="1398"/>
      <c r="EA50" s="1398"/>
      <c r="EB50" s="1398"/>
      <c r="EC50" s="1398"/>
      <c r="ED50" s="1398"/>
      <c r="EE50" s="1398"/>
      <c r="EF50" s="1398"/>
      <c r="EG50" s="1398"/>
      <c r="EH50" s="1398"/>
      <c r="EI50" s="1398"/>
      <c r="EJ50" s="1398"/>
      <c r="EK50" s="1398"/>
      <c r="EL50" s="1398"/>
      <c r="EM50" s="1398"/>
      <c r="EN50" s="1398"/>
      <c r="EO50" s="1398"/>
      <c r="EP50" s="1398"/>
      <c r="EQ50" s="1398"/>
      <c r="ER50" s="1398"/>
      <c r="ES50" s="1398"/>
      <c r="ET50" s="1398"/>
      <c r="EU50" s="1398"/>
      <c r="EV50" s="1398"/>
      <c r="EW50" s="1398"/>
      <c r="EX50" s="1398"/>
      <c r="EY50" s="1398"/>
      <c r="EZ50" s="1398"/>
      <c r="FA50" s="1398"/>
      <c r="FB50" s="1398"/>
      <c r="FC50" s="1398"/>
      <c r="FD50" s="1398"/>
      <c r="FE50" s="1398"/>
      <c r="FF50" s="1398"/>
      <c r="FG50" s="1398"/>
      <c r="FH50" s="1398"/>
      <c r="FI50" s="1398"/>
      <c r="FJ50" s="1398"/>
      <c r="FK50" s="1398"/>
      <c r="FL50" s="1398"/>
      <c r="FM50" s="1398"/>
      <c r="FN50" s="1398"/>
      <c r="FO50" s="1398"/>
      <c r="FP50" s="1398"/>
      <c r="FQ50" s="1398"/>
      <c r="FR50" s="1398"/>
      <c r="FS50" s="1398"/>
      <c r="FT50" s="1398"/>
      <c r="FU50" s="1398"/>
      <c r="FV50" s="1398"/>
      <c r="FW50" s="1398"/>
      <c r="FX50" s="1398"/>
      <c r="FY50" s="1398"/>
      <c r="FZ50" s="1398"/>
      <c r="GA50" s="1398"/>
      <c r="GB50" s="1398"/>
      <c r="GC50" s="1398"/>
      <c r="GD50" s="1398"/>
      <c r="GE50" s="1398"/>
      <c r="GF50" s="1398"/>
      <c r="GG50" s="1398"/>
      <c r="GH50" s="1398"/>
      <c r="GI50" s="1398"/>
      <c r="GJ50" s="1398"/>
      <c r="GK50" s="1398"/>
      <c r="GL50" s="1398"/>
      <c r="GM50" s="1398"/>
      <c r="GN50" s="1398"/>
      <c r="GO50" s="1398"/>
      <c r="GP50" s="1398"/>
      <c r="GQ50" s="1398"/>
      <c r="GR50" s="1398"/>
      <c r="GS50" s="1398"/>
      <c r="GT50" s="1398"/>
      <c r="GU50" s="1398"/>
      <c r="GV50" s="1398"/>
      <c r="GW50" s="1398"/>
      <c r="GX50" s="1398"/>
      <c r="GY50" s="1398"/>
      <c r="GZ50" s="1398"/>
      <c r="HA50" s="1398"/>
      <c r="HB50" s="1398"/>
      <c r="HC50" s="1398"/>
      <c r="HD50" s="1398"/>
      <c r="HE50" s="1398"/>
      <c r="HF50" s="1398"/>
      <c r="HG50" s="1398"/>
      <c r="HH50" s="1398"/>
      <c r="HI50" s="1398"/>
      <c r="HJ50" s="1398"/>
      <c r="HK50" s="1398"/>
      <c r="HL50" s="1398"/>
      <c r="HM50" s="1398"/>
      <c r="HN50" s="1398"/>
      <c r="HO50" s="1398"/>
      <c r="HP50" s="1398"/>
      <c r="HQ50" s="1398"/>
      <c r="HR50" s="1398"/>
      <c r="HS50" s="1398"/>
      <c r="HT50" s="1398"/>
      <c r="HU50" s="1398"/>
      <c r="HV50" s="1398"/>
      <c r="HW50" s="1398"/>
      <c r="HX50" s="1398"/>
      <c r="HY50" s="1398"/>
      <c r="HZ50" s="1398"/>
      <c r="IA50" s="1398"/>
      <c r="IB50" s="1398"/>
      <c r="IC50" s="1398"/>
      <c r="ID50" s="1398"/>
      <c r="IE50" s="1398"/>
      <c r="IF50" s="1398"/>
      <c r="IG50" s="1398"/>
      <c r="IH50" s="1398"/>
      <c r="II50" s="1398"/>
      <c r="IJ50" s="1398"/>
      <c r="IK50" s="1398"/>
      <c r="IL50" s="1398"/>
      <c r="IM50" s="1398"/>
      <c r="IN50" s="1398"/>
      <c r="IO50" s="1398"/>
      <c r="IP50" s="1398"/>
      <c r="IQ50" s="1398"/>
      <c r="IR50" s="1398"/>
      <c r="IS50" s="1398"/>
      <c r="IT50" s="1398"/>
      <c r="IU50" s="1398"/>
      <c r="IV50" s="1398"/>
      <c r="IW50" s="1398"/>
      <c r="IX50" s="1398"/>
      <c r="IY50" s="1398"/>
      <c r="IZ50" s="1398"/>
      <c r="JA50" s="1398"/>
      <c r="JB50" s="1398"/>
      <c r="JC50" s="1398"/>
      <c r="JD50" s="1398"/>
      <c r="JE50" s="1398"/>
      <c r="JF50" s="1398"/>
      <c r="JG50" s="1398"/>
      <c r="JH50" s="1398"/>
      <c r="JI50" s="1398"/>
      <c r="JJ50" s="1398"/>
      <c r="JK50" s="1398"/>
      <c r="JL50" s="1398"/>
      <c r="JM50" s="1398"/>
      <c r="JN50" s="1398"/>
      <c r="JO50" s="1398"/>
      <c r="JP50" s="1398"/>
      <c r="JQ50" s="1398"/>
      <c r="JR50" s="1398"/>
      <c r="JS50" s="1398"/>
      <c r="JT50" s="1398"/>
      <c r="JU50" s="1398"/>
      <c r="JV50" s="1398"/>
      <c r="JW50" s="1398"/>
      <c r="JX50" s="1398"/>
      <c r="JY50" s="1398"/>
      <c r="JZ50" s="1398"/>
      <c r="KA50" s="1398"/>
      <c r="KB50" s="1398"/>
      <c r="KC50" s="1398"/>
      <c r="KD50" s="1398"/>
      <c r="KE50" s="1398"/>
      <c r="KF50" s="1398"/>
      <c r="KG50" s="1398"/>
      <c r="KH50" s="1398"/>
      <c r="KI50" s="1398"/>
      <c r="KJ50" s="1398"/>
      <c r="KK50" s="1398"/>
      <c r="KL50" s="1398"/>
      <c r="KM50" s="1398"/>
      <c r="KN50" s="1398"/>
      <c r="KO50" s="1398"/>
      <c r="KP50" s="1398"/>
      <c r="KQ50" s="1398"/>
      <c r="KR50" s="1398"/>
      <c r="KS50" s="1398"/>
      <c r="KT50" s="1398"/>
      <c r="KU50" s="1398"/>
      <c r="KV50" s="1398"/>
      <c r="KW50" s="1398"/>
      <c r="KX50" s="1398"/>
      <c r="KY50" s="1398"/>
      <c r="KZ50" s="1398"/>
      <c r="LA50" s="1398"/>
      <c r="LB50" s="1398"/>
      <c r="LC50" s="1398"/>
      <c r="LD50" s="1398"/>
      <c r="LE50" s="1398"/>
      <c r="LF50" s="1398"/>
      <c r="LG50" s="1398"/>
      <c r="LH50" s="1398"/>
      <c r="LI50" s="1398"/>
      <c r="LJ50" s="1398"/>
      <c r="LK50" s="1398"/>
      <c r="LL50" s="1398"/>
      <c r="LM50" s="1398"/>
      <c r="LN50" s="1398"/>
      <c r="LO50" s="1398"/>
      <c r="LP50" s="1398"/>
      <c r="LQ50" s="1398"/>
      <c r="LR50" s="1398"/>
      <c r="LS50" s="1398"/>
      <c r="LT50" s="1398"/>
      <c r="LU50" s="1398"/>
      <c r="LV50" s="1398"/>
      <c r="LW50" s="1398"/>
      <c r="LX50" s="1398"/>
      <c r="LY50" s="1398"/>
      <c r="LZ50" s="1398"/>
      <c r="MA50" s="1398"/>
      <c r="MB50" s="1398"/>
      <c r="MC50" s="1398"/>
      <c r="MD50" s="1398"/>
      <c r="ME50" s="1398"/>
      <c r="MF50" s="1398"/>
      <c r="MG50" s="1398"/>
      <c r="MH50" s="1398"/>
      <c r="MI50" s="1398"/>
      <c r="MJ50" s="1398"/>
      <c r="MK50" s="1398"/>
      <c r="ML50" s="1398"/>
      <c r="MM50" s="1398"/>
      <c r="MN50" s="1398"/>
      <c r="MO50" s="1398"/>
      <c r="MP50" s="1398"/>
      <c r="MQ50" s="1398"/>
      <c r="MR50" s="1398"/>
      <c r="MS50" s="1398"/>
      <c r="MT50" s="1398"/>
      <c r="MU50" s="1398"/>
      <c r="MV50" s="1398"/>
      <c r="MW50" s="1398"/>
      <c r="MX50" s="1398"/>
      <c r="MY50" s="1398"/>
      <c r="MZ50" s="1398"/>
      <c r="NA50" s="1398"/>
      <c r="NB50" s="1398"/>
      <c r="NC50" s="1398"/>
      <c r="ND50" s="1398"/>
      <c r="NE50" s="1398"/>
      <c r="NF50" s="1398"/>
      <c r="NG50" s="1398"/>
      <c r="NH50" s="1398"/>
      <c r="NI50" s="1398"/>
      <c r="NJ50" s="1398"/>
      <c r="NK50" s="1398"/>
      <c r="NL50" s="1398"/>
      <c r="NM50" s="1398"/>
      <c r="NN50" s="1398"/>
      <c r="NO50" s="1398"/>
      <c r="NP50" s="1398"/>
      <c r="NQ50" s="1398"/>
      <c r="NR50" s="1398"/>
      <c r="NS50" s="1398"/>
      <c r="NT50" s="1398"/>
      <c r="NU50" s="1398"/>
      <c r="NV50" s="1398"/>
      <c r="NW50" s="1398"/>
      <c r="NX50" s="1398"/>
      <c r="NY50" s="1398"/>
      <c r="NZ50" s="1398"/>
      <c r="OA50" s="1398"/>
      <c r="OB50" s="1398"/>
      <c r="OC50" s="1398"/>
      <c r="OD50" s="1398"/>
      <c r="OE50" s="1398"/>
      <c r="OF50" s="1398"/>
      <c r="OG50" s="1398"/>
      <c r="OH50" s="1398"/>
      <c r="OI50" s="1398"/>
      <c r="OJ50" s="1398"/>
      <c r="OK50" s="1398"/>
      <c r="OL50" s="1398"/>
      <c r="OM50" s="1398"/>
      <c r="ON50" s="1398"/>
      <c r="OO50" s="1398"/>
      <c r="OP50" s="1398"/>
      <c r="OQ50" s="1398"/>
      <c r="OR50" s="1398"/>
      <c r="OS50" s="1398"/>
      <c r="OT50" s="1398"/>
      <c r="OU50" s="1398"/>
      <c r="OV50" s="1398"/>
      <c r="OW50" s="1398"/>
      <c r="OX50" s="1398"/>
      <c r="OY50" s="1398"/>
      <c r="OZ50" s="1398"/>
      <c r="PA50" s="1398"/>
      <c r="PB50" s="1398"/>
      <c r="PC50" s="1398"/>
      <c r="PD50" s="1398"/>
      <c r="PE50" s="1398"/>
      <c r="PF50" s="1398"/>
      <c r="PG50" s="1398"/>
      <c r="PH50" s="1398"/>
      <c r="PI50" s="1398"/>
      <c r="PJ50" s="1398"/>
      <c r="PK50" s="1398"/>
      <c r="PL50" s="1398"/>
      <c r="PM50" s="1398"/>
      <c r="PN50" s="1398"/>
      <c r="PO50" s="1398"/>
      <c r="PP50" s="1398"/>
      <c r="PQ50" s="1398"/>
      <c r="PR50" s="1398"/>
      <c r="PS50" s="1398"/>
      <c r="PT50" s="1398"/>
      <c r="PU50" s="1398"/>
      <c r="PV50" s="1398"/>
      <c r="PW50" s="1398"/>
      <c r="PX50" s="1398"/>
      <c r="PY50" s="1398"/>
      <c r="PZ50" s="1398"/>
      <c r="QA50" s="1398"/>
      <c r="QB50" s="1398"/>
      <c r="QC50" s="1398"/>
      <c r="QD50" s="1398"/>
      <c r="QE50" s="1398"/>
      <c r="QF50" s="1398"/>
      <c r="QG50" s="1398"/>
      <c r="QH50" s="1398"/>
      <c r="QI50" s="1398"/>
      <c r="QJ50" s="1398"/>
      <c r="QK50" s="1398"/>
      <c r="QL50" s="1398"/>
      <c r="QM50" s="1398"/>
      <c r="QN50" s="1398"/>
      <c r="QO50" s="1398"/>
      <c r="QP50" s="1398"/>
      <c r="QQ50" s="1398"/>
      <c r="QR50" s="1398"/>
      <c r="QS50" s="1398"/>
      <c r="QT50" s="1398"/>
      <c r="QU50" s="1398"/>
      <c r="QV50" s="1398"/>
      <c r="QW50" s="1398"/>
      <c r="QX50" s="1398"/>
      <c r="QY50" s="1398"/>
      <c r="QZ50" s="1398"/>
      <c r="RA50" s="1398"/>
      <c r="RB50" s="1398"/>
      <c r="RC50" s="1398"/>
      <c r="RD50" s="1398"/>
      <c r="RE50" s="1398"/>
      <c r="RF50" s="1398"/>
      <c r="RG50" s="1398"/>
      <c r="RH50" s="1398"/>
      <c r="RI50" s="1398"/>
      <c r="RJ50" s="1398"/>
      <c r="RK50" s="1398"/>
      <c r="RL50" s="1398"/>
      <c r="RM50" s="1398"/>
      <c r="RN50" s="1398"/>
      <c r="RO50" s="1398"/>
      <c r="RP50" s="1398"/>
      <c r="RQ50" s="1398"/>
      <c r="RR50" s="1398"/>
      <c r="RS50" s="1398"/>
      <c r="RT50" s="1398"/>
      <c r="RU50" s="1398"/>
      <c r="RV50" s="1398"/>
      <c r="RW50" s="1398"/>
      <c r="RX50" s="1398"/>
      <c r="RY50" s="1398"/>
      <c r="RZ50" s="1398"/>
      <c r="SA50" s="1398"/>
      <c r="SB50" s="1398"/>
      <c r="SC50" s="1398"/>
      <c r="SD50" s="1398"/>
      <c r="SE50" s="1398"/>
      <c r="SF50" s="1398"/>
      <c r="SG50" s="1398"/>
      <c r="SH50" s="1398"/>
      <c r="SI50" s="1398"/>
      <c r="SJ50" s="1398"/>
      <c r="SK50" s="1398"/>
      <c r="SL50" s="1398"/>
      <c r="SM50" s="1398"/>
      <c r="SN50" s="1398"/>
      <c r="SO50" s="1398"/>
      <c r="SP50" s="1398"/>
      <c r="SQ50" s="1398"/>
      <c r="SR50" s="1398"/>
      <c r="SS50" s="1398"/>
      <c r="ST50" s="1398"/>
      <c r="SU50" s="1398"/>
      <c r="SV50" s="1398"/>
      <c r="SW50" s="1398"/>
      <c r="SX50" s="1398"/>
      <c r="SY50" s="1398"/>
      <c r="SZ50" s="1398"/>
      <c r="TA50" s="1398"/>
      <c r="TB50" s="1398"/>
      <c r="TC50" s="1398"/>
      <c r="TD50" s="1398"/>
      <c r="TE50" s="1398"/>
      <c r="TF50" s="1398"/>
      <c r="TG50" s="1398"/>
      <c r="TH50" s="1398"/>
      <c r="TI50" s="1398"/>
      <c r="TJ50" s="1398"/>
      <c r="TK50" s="1398"/>
      <c r="TL50" s="1398"/>
      <c r="TM50" s="1398"/>
      <c r="TN50" s="1398"/>
      <c r="TO50" s="1398"/>
      <c r="TP50" s="1398"/>
      <c r="TQ50" s="1398"/>
      <c r="TR50" s="1398"/>
      <c r="TS50" s="1398"/>
      <c r="TT50" s="1398"/>
      <c r="TU50" s="1398"/>
      <c r="TV50" s="1398"/>
      <c r="TW50" s="1398"/>
      <c r="TX50" s="1398"/>
      <c r="TY50" s="1398"/>
      <c r="TZ50" s="1398"/>
      <c r="UA50" s="1398"/>
      <c r="UB50" s="1398"/>
      <c r="UC50" s="1398"/>
      <c r="UD50" s="1398"/>
      <c r="UE50" s="1398"/>
      <c r="UF50" s="1398"/>
      <c r="UG50" s="1398"/>
      <c r="UH50" s="1398"/>
      <c r="UI50" s="1398"/>
      <c r="UJ50" s="1398"/>
      <c r="UK50" s="1398"/>
      <c r="UL50" s="1398"/>
      <c r="UM50" s="1398"/>
      <c r="UN50" s="1398"/>
      <c r="UO50" s="1398"/>
      <c r="UP50" s="1398"/>
      <c r="UQ50" s="1398"/>
      <c r="UR50" s="1398"/>
      <c r="US50" s="1398"/>
      <c r="UT50" s="1398"/>
      <c r="UU50" s="1398"/>
      <c r="UV50" s="1398"/>
      <c r="UW50" s="1398"/>
      <c r="UX50" s="1398"/>
      <c r="UY50" s="1398"/>
      <c r="UZ50" s="1398"/>
      <c r="VA50" s="1398"/>
      <c r="VB50" s="1398"/>
      <c r="VC50" s="1398"/>
      <c r="VD50" s="1398"/>
      <c r="VE50" s="1398"/>
      <c r="VF50" s="1398"/>
      <c r="VG50" s="1398"/>
      <c r="VH50" s="1398"/>
      <c r="VI50" s="1398"/>
      <c r="VJ50" s="1398"/>
      <c r="VK50" s="1398"/>
      <c r="VL50" s="1398"/>
      <c r="VM50" s="1398"/>
      <c r="VN50" s="1398"/>
      <c r="VO50" s="1398"/>
      <c r="VP50" s="1398"/>
      <c r="VQ50" s="1398"/>
      <c r="VR50" s="1398"/>
      <c r="VS50" s="1398"/>
      <c r="VT50" s="1398"/>
      <c r="VU50" s="1398"/>
      <c r="VV50" s="1398"/>
      <c r="VW50" s="1398"/>
      <c r="VX50" s="1398"/>
      <c r="VY50" s="1398"/>
      <c r="VZ50" s="1398"/>
      <c r="WA50" s="1398"/>
      <c r="WB50" s="1398"/>
      <c r="WC50" s="1398"/>
      <c r="WD50" s="1398"/>
      <c r="WE50" s="1398"/>
      <c r="WF50" s="1398"/>
      <c r="WG50" s="1398"/>
      <c r="WH50" s="1398"/>
      <c r="WI50" s="1398"/>
      <c r="WJ50" s="1398"/>
      <c r="WK50" s="1398"/>
      <c r="WL50" s="1398"/>
      <c r="WM50" s="1398"/>
      <c r="WN50" s="1398"/>
      <c r="WO50" s="1398"/>
      <c r="WP50" s="1398"/>
      <c r="WQ50" s="1398"/>
      <c r="WR50" s="1398"/>
      <c r="WS50" s="1398"/>
      <c r="WT50" s="1398"/>
      <c r="WU50" s="1398"/>
      <c r="WV50" s="1398"/>
      <c r="WW50" s="1398"/>
      <c r="WX50" s="1398"/>
      <c r="WY50" s="1398"/>
      <c r="WZ50" s="1398"/>
      <c r="XA50" s="1398"/>
      <c r="XB50" s="1398"/>
      <c r="XC50" s="1398"/>
      <c r="XD50" s="1398"/>
      <c r="XE50" s="1398"/>
      <c r="XF50" s="1398"/>
      <c r="XG50" s="1398"/>
      <c r="XH50" s="1398"/>
      <c r="XI50" s="1398"/>
      <c r="XJ50" s="1398"/>
      <c r="XK50" s="1398"/>
      <c r="XL50" s="1398"/>
      <c r="XM50" s="1398"/>
      <c r="XN50" s="1398"/>
      <c r="XO50" s="1398"/>
      <c r="XP50" s="1398"/>
      <c r="XQ50" s="1398"/>
      <c r="XR50" s="1398"/>
      <c r="XS50" s="1398"/>
      <c r="XT50" s="1398"/>
      <c r="XU50" s="1398"/>
      <c r="XV50" s="1398"/>
      <c r="XW50" s="1398"/>
      <c r="XX50" s="1398"/>
      <c r="XY50" s="1398"/>
      <c r="XZ50" s="1398"/>
      <c r="YA50" s="1398"/>
      <c r="YB50" s="1398"/>
      <c r="YC50" s="1398"/>
      <c r="YD50" s="1398"/>
      <c r="YE50" s="1398"/>
      <c r="YF50" s="1398"/>
      <c r="YG50" s="1398"/>
      <c r="YH50" s="1398"/>
      <c r="YI50" s="1398"/>
      <c r="YJ50" s="1398"/>
      <c r="YK50" s="1398"/>
      <c r="YL50" s="1398"/>
      <c r="YM50" s="1398"/>
      <c r="YN50" s="1398"/>
      <c r="YO50" s="1398"/>
      <c r="YP50" s="1398"/>
      <c r="YQ50" s="1398"/>
      <c r="YR50" s="1398"/>
      <c r="YS50" s="1398"/>
      <c r="YT50" s="1398"/>
      <c r="YU50" s="1398"/>
      <c r="YV50" s="1398"/>
      <c r="YW50" s="1398"/>
      <c r="YX50" s="1398"/>
      <c r="YY50" s="1398"/>
      <c r="YZ50" s="1398"/>
      <c r="ZA50" s="1398"/>
      <c r="ZB50" s="1398"/>
      <c r="ZC50" s="1398"/>
      <c r="ZD50" s="1398"/>
      <c r="ZE50" s="1398"/>
      <c r="ZF50" s="1398"/>
      <c r="ZG50" s="1398"/>
      <c r="ZH50" s="1398"/>
      <c r="ZI50" s="1398"/>
      <c r="ZJ50" s="1398"/>
      <c r="ZK50" s="1398"/>
      <c r="ZL50" s="1398"/>
      <c r="ZM50" s="1398"/>
      <c r="ZN50" s="1398"/>
      <c r="ZO50" s="1398"/>
      <c r="ZP50" s="1398"/>
      <c r="ZQ50" s="1398"/>
      <c r="ZR50" s="1398"/>
      <c r="ZS50" s="1398"/>
      <c r="ZT50" s="1398"/>
      <c r="ZU50" s="1398"/>
      <c r="ZV50" s="1398"/>
      <c r="ZW50" s="1398"/>
      <c r="ZX50" s="1398"/>
      <c r="ZY50" s="1398"/>
      <c r="ZZ50" s="1398"/>
      <c r="AAA50" s="1398"/>
      <c r="AAB50" s="1398"/>
      <c r="AAC50" s="1398"/>
      <c r="AAD50" s="1398"/>
      <c r="AAE50" s="1398"/>
      <c r="AAF50" s="1398"/>
      <c r="AAG50" s="1398"/>
      <c r="AAH50" s="1398"/>
      <c r="AAI50" s="1398"/>
      <c r="AAJ50" s="1398"/>
      <c r="AAK50" s="1398"/>
      <c r="AAL50" s="1398"/>
      <c r="AAM50" s="1398"/>
      <c r="AAN50" s="1398"/>
      <c r="AAO50" s="1398"/>
      <c r="AAP50" s="1398"/>
      <c r="AAQ50" s="1398"/>
      <c r="AAR50" s="1398"/>
      <c r="AAS50" s="1398"/>
      <c r="AAT50" s="1398"/>
      <c r="AAU50" s="1398"/>
      <c r="AAV50" s="1398"/>
      <c r="AAW50" s="1398"/>
      <c r="AAX50" s="1398"/>
      <c r="AAY50" s="1398"/>
      <c r="AAZ50" s="1398"/>
      <c r="ABA50" s="1398"/>
      <c r="ABB50" s="1398"/>
      <c r="ABC50" s="1398"/>
      <c r="ABD50" s="1398"/>
      <c r="ABE50" s="1398"/>
      <c r="ABF50" s="1398"/>
      <c r="ABG50" s="1398"/>
      <c r="ABH50" s="1398"/>
      <c r="ABI50" s="1398"/>
      <c r="ABJ50" s="1398"/>
      <c r="ABK50" s="1398"/>
      <c r="ABL50" s="1398"/>
      <c r="ABM50" s="1398"/>
      <c r="ABN50" s="1398"/>
      <c r="ABO50" s="1398"/>
      <c r="ABP50" s="1398"/>
      <c r="ABQ50" s="1398"/>
      <c r="ABR50" s="1398"/>
      <c r="ABS50" s="1398"/>
      <c r="ABT50" s="1398"/>
      <c r="ABU50" s="1398"/>
      <c r="ABV50" s="1398"/>
      <c r="ABW50" s="1398"/>
      <c r="ABX50" s="1398"/>
      <c r="ABY50" s="1398"/>
      <c r="ABZ50" s="1398"/>
      <c r="ACA50" s="1398"/>
      <c r="ACB50" s="1398"/>
      <c r="ACC50" s="1398"/>
      <c r="ACD50" s="1398"/>
      <c r="ACE50" s="1398"/>
      <c r="ACF50" s="1398"/>
      <c r="ACG50" s="1398"/>
      <c r="ACH50" s="1398"/>
      <c r="ACI50" s="1398"/>
      <c r="ACJ50" s="1398"/>
      <c r="ACK50" s="1398"/>
      <c r="ACL50" s="1398"/>
      <c r="ACM50" s="1398"/>
      <c r="ACN50" s="1398"/>
      <c r="ACO50" s="1398"/>
      <c r="ACP50" s="1398"/>
      <c r="ACQ50" s="1398"/>
      <c r="ACR50" s="1398"/>
      <c r="ACS50" s="1398"/>
      <c r="ACT50" s="1398"/>
      <c r="ACU50" s="1398"/>
      <c r="ACV50" s="1398"/>
      <c r="ACW50" s="1398"/>
      <c r="ACX50" s="1398"/>
      <c r="ACY50" s="1398"/>
      <c r="ACZ50" s="1398"/>
      <c r="ADA50" s="1398"/>
      <c r="ADB50" s="1398"/>
      <c r="ADC50" s="1398"/>
      <c r="ADD50" s="1398"/>
      <c r="ADE50" s="1398"/>
      <c r="ADF50" s="1398"/>
      <c r="ADG50" s="1398"/>
      <c r="ADH50" s="1398"/>
      <c r="ADI50" s="1398"/>
      <c r="ADJ50" s="1398"/>
      <c r="ADK50" s="1398"/>
      <c r="ADL50" s="1398"/>
      <c r="ADM50" s="1398"/>
      <c r="ADN50" s="1398"/>
      <c r="ADO50" s="1398"/>
      <c r="ADP50" s="1398"/>
      <c r="ADQ50" s="1398"/>
      <c r="ADR50" s="1398"/>
      <c r="ADS50" s="1398"/>
      <c r="ADT50" s="1398"/>
      <c r="ADU50" s="1398"/>
      <c r="ADV50" s="1398"/>
      <c r="ADW50" s="1398"/>
      <c r="ADX50" s="1398"/>
      <c r="ADY50" s="1398"/>
      <c r="ADZ50" s="1398"/>
      <c r="AEA50" s="1398"/>
      <c r="AEB50" s="1398"/>
      <c r="AEC50" s="1398"/>
      <c r="AED50" s="1398"/>
      <c r="AEE50" s="1398"/>
      <c r="AEF50" s="1398"/>
      <c r="AEG50" s="1398"/>
      <c r="AEH50" s="1398"/>
      <c r="AEI50" s="1398"/>
      <c r="AEJ50" s="1398"/>
      <c r="AEK50" s="1398"/>
      <c r="AEL50" s="1398"/>
      <c r="AEM50" s="1398"/>
      <c r="AEN50" s="1398"/>
      <c r="AEO50" s="1398"/>
      <c r="AEP50" s="1398"/>
      <c r="AEQ50" s="1398"/>
      <c r="AER50" s="1398"/>
      <c r="AES50" s="1398"/>
      <c r="AET50" s="1398"/>
      <c r="AEU50" s="1398"/>
      <c r="AEV50" s="1398"/>
      <c r="AEW50" s="1398"/>
      <c r="AEX50" s="1398"/>
      <c r="AEY50" s="1398"/>
      <c r="AEZ50" s="1398"/>
      <c r="AFA50" s="1398"/>
      <c r="AFB50" s="1398"/>
      <c r="AFC50" s="1398"/>
      <c r="AFD50" s="1398"/>
      <c r="AFE50" s="1398"/>
      <c r="AFF50" s="1398"/>
      <c r="AFG50" s="1398"/>
      <c r="AFH50" s="1398"/>
      <c r="AFI50" s="1398"/>
      <c r="AFJ50" s="1398"/>
      <c r="AFK50" s="1398"/>
      <c r="AFL50" s="1398"/>
      <c r="AFM50" s="1398"/>
      <c r="AFN50" s="1398"/>
      <c r="AFO50" s="1398"/>
      <c r="AFP50" s="1398"/>
      <c r="AFQ50" s="1398"/>
      <c r="AFR50" s="1398"/>
      <c r="AFS50" s="1398"/>
      <c r="AFT50" s="1398"/>
      <c r="AFU50" s="1398"/>
      <c r="AFV50" s="1398"/>
      <c r="AFW50" s="1398"/>
      <c r="AFX50" s="1398"/>
      <c r="AFY50" s="1398"/>
      <c r="AFZ50" s="1398"/>
      <c r="AGA50" s="1398"/>
      <c r="AGB50" s="1398"/>
      <c r="AGC50" s="1398"/>
      <c r="AGD50" s="1398"/>
      <c r="AGE50" s="1398"/>
      <c r="AGF50" s="1398"/>
      <c r="AGG50" s="1398"/>
      <c r="AGH50" s="1398"/>
      <c r="AGI50" s="1398"/>
      <c r="AGJ50" s="1398"/>
      <c r="AGK50" s="1398"/>
      <c r="AGL50" s="1398"/>
      <c r="AGM50" s="1398"/>
      <c r="AGN50" s="1398"/>
      <c r="AGO50" s="1398"/>
      <c r="AGP50" s="1398"/>
      <c r="AGQ50" s="1398"/>
      <c r="AGR50" s="1398"/>
      <c r="AGS50" s="1398"/>
      <c r="AGT50" s="1398"/>
      <c r="AGU50" s="1398"/>
      <c r="AGV50" s="1398"/>
      <c r="AGW50" s="1398"/>
      <c r="AGX50" s="1398"/>
      <c r="AGY50" s="1398"/>
      <c r="AGZ50" s="1398"/>
      <c r="AHA50" s="1398"/>
      <c r="AHB50" s="1398"/>
      <c r="AHC50" s="1398"/>
      <c r="AHD50" s="1398"/>
      <c r="AHE50" s="1398"/>
      <c r="AHF50" s="1398"/>
      <c r="AHG50" s="1398"/>
      <c r="AHH50" s="1398"/>
      <c r="AHI50" s="1398"/>
      <c r="AHJ50" s="1398"/>
      <c r="AHK50" s="1398"/>
      <c r="AHL50" s="1398"/>
      <c r="AHM50" s="1398"/>
      <c r="AHN50" s="1398"/>
      <c r="AHO50" s="1398"/>
      <c r="AHP50" s="1398"/>
      <c r="AHQ50" s="1398"/>
      <c r="AHR50" s="1398"/>
      <c r="AHS50" s="1398"/>
      <c r="AHT50" s="1398"/>
      <c r="AHU50" s="1398"/>
      <c r="AHV50" s="1398"/>
      <c r="AHW50" s="1398"/>
      <c r="AHX50" s="1398"/>
      <c r="AHY50" s="1398"/>
      <c r="AHZ50" s="1398"/>
      <c r="AIA50" s="1398"/>
      <c r="AIB50" s="1398"/>
      <c r="AIC50" s="1398"/>
      <c r="AID50" s="1398"/>
      <c r="AIE50" s="1398"/>
      <c r="AIF50" s="1398"/>
      <c r="AIG50" s="1398"/>
      <c r="AIH50" s="1398"/>
      <c r="AII50" s="1398"/>
      <c r="AIJ50" s="1398"/>
      <c r="AIK50" s="1398"/>
      <c r="AIL50" s="1398"/>
      <c r="AIM50" s="1398"/>
      <c r="AIN50" s="1398"/>
      <c r="AIO50" s="1398"/>
      <c r="AIP50" s="1398"/>
      <c r="AIQ50" s="1398"/>
      <c r="AIR50" s="1398"/>
      <c r="AIS50" s="1398"/>
      <c r="AIT50" s="1398"/>
      <c r="AIU50" s="1398"/>
      <c r="AIV50" s="1398"/>
      <c r="AIW50" s="1398"/>
      <c r="AIX50" s="1398"/>
      <c r="AIY50" s="1398"/>
      <c r="AIZ50" s="1398"/>
      <c r="AJA50" s="1398"/>
      <c r="AJB50" s="1398"/>
      <c r="AJC50" s="1398"/>
      <c r="AJD50" s="1398"/>
      <c r="AJE50" s="1398"/>
      <c r="AJF50" s="1398"/>
      <c r="AJG50" s="1398"/>
      <c r="AJH50" s="1398"/>
      <c r="AJI50" s="1398"/>
      <c r="AJJ50" s="1398"/>
      <c r="AJK50" s="1398"/>
      <c r="AJL50" s="1398"/>
      <c r="AJM50" s="1398"/>
      <c r="AJN50" s="1398"/>
      <c r="AJO50" s="1398"/>
      <c r="AJP50" s="1398"/>
      <c r="AJQ50" s="1398"/>
      <c r="AJR50" s="1398"/>
      <c r="AJS50" s="1398"/>
      <c r="AJT50" s="1398"/>
      <c r="AJU50" s="1398"/>
      <c r="AJV50" s="1398"/>
      <c r="AJW50" s="1398"/>
      <c r="AJX50" s="1398"/>
      <c r="AJY50" s="1398"/>
      <c r="AJZ50" s="1398"/>
      <c r="AKA50" s="1398"/>
      <c r="AKB50" s="1398"/>
      <c r="AKC50" s="1398"/>
      <c r="AKD50" s="1398"/>
      <c r="AKE50" s="1398"/>
      <c r="AKF50" s="1398"/>
      <c r="AKG50" s="1398"/>
      <c r="AKH50" s="1398"/>
      <c r="AKI50" s="1398"/>
      <c r="AKJ50" s="1398"/>
      <c r="AKK50" s="1398"/>
      <c r="AKL50" s="1398"/>
      <c r="AKM50" s="1398"/>
      <c r="AKN50" s="1398"/>
      <c r="AKO50" s="1398"/>
      <c r="AKP50" s="1398"/>
      <c r="AKQ50" s="1398"/>
      <c r="AKR50" s="1398"/>
      <c r="AKS50" s="1398"/>
      <c r="AKT50" s="1398"/>
      <c r="AKU50" s="1398"/>
      <c r="AKV50" s="1398"/>
      <c r="AKW50" s="1398"/>
      <c r="AKX50" s="1398"/>
      <c r="AKY50" s="1398"/>
      <c r="AKZ50" s="1398"/>
      <c r="ALA50" s="1398"/>
      <c r="ALB50" s="1398"/>
      <c r="ALC50" s="1398"/>
      <c r="ALD50" s="1398"/>
      <c r="ALE50" s="1398"/>
      <c r="ALF50" s="1398"/>
      <c r="ALG50" s="1398"/>
      <c r="ALH50" s="1398"/>
      <c r="ALI50" s="1398"/>
      <c r="ALJ50" s="1398"/>
      <c r="ALK50" s="1398"/>
      <c r="ALL50" s="1398"/>
      <c r="ALM50" s="1398"/>
      <c r="ALN50" s="1398"/>
      <c r="ALO50" s="1398"/>
      <c r="ALP50" s="1398"/>
      <c r="ALQ50" s="1398"/>
      <c r="ALR50" s="1398"/>
      <c r="ALS50" s="1398"/>
      <c r="ALT50" s="1398"/>
      <c r="ALU50" s="1398"/>
      <c r="ALV50" s="1398"/>
      <c r="ALW50" s="1398"/>
      <c r="ALX50" s="1398"/>
      <c r="ALY50" s="1398"/>
      <c r="ALZ50" s="1398"/>
      <c r="AMA50" s="1398"/>
      <c r="AMB50" s="1398"/>
      <c r="AMC50" s="1398"/>
      <c r="AMD50" s="1398"/>
      <c r="AME50" s="1398"/>
      <c r="AMF50" s="1398"/>
      <c r="AMG50" s="1398"/>
      <c r="AMH50" s="1398"/>
      <c r="AMI50" s="1398"/>
      <c r="AMJ50" s="1398"/>
      <c r="AMK50" s="1398"/>
      <c r="AML50" s="1398"/>
      <c r="AMM50" s="1398"/>
      <c r="AMN50" s="1398"/>
      <c r="AMO50" s="1398"/>
      <c r="AMP50" s="1398"/>
      <c r="AMQ50" s="1398"/>
      <c r="AMR50" s="1398"/>
      <c r="AMS50" s="1398"/>
      <c r="AMT50" s="1398"/>
      <c r="AMU50" s="1398"/>
      <c r="AMV50" s="1398"/>
      <c r="AMW50" s="1398"/>
      <c r="AMX50" s="1398"/>
      <c r="AMY50" s="1398"/>
      <c r="AMZ50" s="1398"/>
      <c r="ANA50" s="1398"/>
      <c r="ANB50" s="1398"/>
      <c r="ANC50" s="1398"/>
      <c r="AND50" s="1398"/>
      <c r="ANE50" s="1398"/>
      <c r="ANF50" s="1398"/>
      <c r="ANG50" s="1398"/>
      <c r="ANH50" s="1398"/>
      <c r="ANI50" s="1398"/>
      <c r="ANJ50" s="1398"/>
      <c r="ANK50" s="1398"/>
      <c r="ANL50" s="1398"/>
      <c r="ANM50" s="1398"/>
      <c r="ANN50" s="1398"/>
      <c r="ANO50" s="1398"/>
      <c r="ANP50" s="1398"/>
      <c r="ANQ50" s="1398"/>
      <c r="ANR50" s="1398"/>
      <c r="ANS50" s="1398"/>
      <c r="ANT50" s="1398"/>
      <c r="ANU50" s="1398"/>
      <c r="ANV50" s="1398"/>
      <c r="ANW50" s="1398"/>
      <c r="ANX50" s="1398"/>
      <c r="ANY50" s="1398"/>
      <c r="ANZ50" s="1398"/>
      <c r="AOA50" s="1398"/>
      <c r="AOB50" s="1398"/>
      <c r="AOC50" s="1398"/>
      <c r="AOD50" s="1398"/>
      <c r="AOE50" s="1398"/>
      <c r="AOF50" s="1398"/>
      <c r="AOG50" s="1398"/>
      <c r="AOH50" s="1398"/>
      <c r="AOI50" s="1398"/>
      <c r="AOJ50" s="1398"/>
      <c r="AOK50" s="1398"/>
      <c r="AOL50" s="1398"/>
      <c r="AOM50" s="1398"/>
      <c r="AON50" s="1398"/>
      <c r="AOO50" s="1398"/>
      <c r="AOP50" s="1398"/>
      <c r="AOQ50" s="1398"/>
      <c r="AOR50" s="1398"/>
      <c r="AOS50" s="1398"/>
      <c r="AOT50" s="1398"/>
      <c r="AOU50" s="1398"/>
      <c r="AOV50" s="1398"/>
      <c r="AOW50" s="1398"/>
      <c r="AOX50" s="1398"/>
      <c r="AOY50" s="1398"/>
      <c r="AOZ50" s="1398"/>
      <c r="APA50" s="1398"/>
      <c r="APB50" s="1398"/>
      <c r="APC50" s="1398"/>
      <c r="APD50" s="1398"/>
      <c r="APE50" s="1398"/>
      <c r="APF50" s="1398"/>
      <c r="APG50" s="1398"/>
      <c r="APH50" s="1398"/>
      <c r="API50" s="1398"/>
      <c r="APJ50" s="1398"/>
      <c r="APK50" s="1398"/>
      <c r="APL50" s="1398"/>
      <c r="APM50" s="1398"/>
      <c r="APN50" s="1398"/>
      <c r="APO50" s="1398"/>
      <c r="APP50" s="1398"/>
      <c r="APQ50" s="1398"/>
      <c r="APR50" s="1398"/>
      <c r="APS50" s="1398"/>
      <c r="APT50" s="1398"/>
      <c r="APU50" s="1398"/>
      <c r="APV50" s="1398"/>
      <c r="APW50" s="1398"/>
      <c r="APX50" s="1398"/>
      <c r="APY50" s="1398"/>
      <c r="APZ50" s="1398"/>
      <c r="AQA50" s="1398"/>
      <c r="AQB50" s="1398"/>
      <c r="AQC50" s="1398"/>
      <c r="AQD50" s="1398"/>
      <c r="AQE50" s="1398"/>
      <c r="AQF50" s="1398"/>
      <c r="AQG50" s="1398"/>
      <c r="AQH50" s="1398"/>
      <c r="AQI50" s="1398"/>
      <c r="AQJ50" s="1398"/>
      <c r="AQK50" s="1398"/>
      <c r="AQL50" s="1398"/>
      <c r="AQM50" s="1398"/>
      <c r="AQN50" s="1398"/>
      <c r="AQO50" s="1398"/>
      <c r="AQP50" s="1398"/>
      <c r="AQQ50" s="1398"/>
      <c r="AQR50" s="1398"/>
      <c r="AQS50" s="1398"/>
      <c r="AQT50" s="1398"/>
      <c r="AQU50" s="1398"/>
      <c r="AQV50" s="1398"/>
      <c r="AQW50" s="1398"/>
      <c r="AQX50" s="1398"/>
      <c r="AQY50" s="1398"/>
      <c r="AQZ50" s="1398"/>
      <c r="ARA50" s="1398"/>
      <c r="ARB50" s="1398"/>
      <c r="ARC50" s="1398"/>
      <c r="ARD50" s="1398"/>
      <c r="ARE50" s="1398"/>
      <c r="ARF50" s="1398"/>
      <c r="ARG50" s="1398"/>
      <c r="ARH50" s="1398"/>
      <c r="ARI50" s="1398"/>
      <c r="ARJ50" s="1398"/>
      <c r="ARK50" s="1398"/>
      <c r="ARL50" s="1398"/>
      <c r="ARM50" s="1398"/>
      <c r="ARN50" s="1398"/>
      <c r="ARO50" s="1398"/>
      <c r="ARP50" s="1398"/>
      <c r="ARQ50" s="1398"/>
      <c r="ARR50" s="1398"/>
      <c r="ARS50" s="1398"/>
      <c r="ART50" s="1398"/>
      <c r="ARU50" s="1398"/>
      <c r="ARV50" s="1398"/>
      <c r="ARW50" s="1398"/>
      <c r="ARX50" s="1398"/>
      <c r="ARY50" s="1398"/>
      <c r="ARZ50" s="1398"/>
      <c r="ASA50" s="1398"/>
      <c r="ASB50" s="1398"/>
      <c r="ASC50" s="1398"/>
      <c r="ASD50" s="1398"/>
      <c r="ASE50" s="1398"/>
      <c r="ASF50" s="1398"/>
      <c r="ASG50" s="1398"/>
      <c r="ASH50" s="1398"/>
      <c r="ASI50" s="1398"/>
      <c r="ASJ50" s="1398"/>
      <c r="ASK50" s="1398"/>
      <c r="ASL50" s="1398"/>
      <c r="ASM50" s="1398"/>
      <c r="ASN50" s="1398"/>
      <c r="ASO50" s="1398"/>
      <c r="ASP50" s="1398"/>
      <c r="ASQ50" s="1398"/>
      <c r="ASR50" s="1398"/>
      <c r="ASS50" s="1398"/>
      <c r="AST50" s="1398"/>
      <c r="ASU50" s="1398"/>
      <c r="ASV50" s="1398"/>
      <c r="ASW50" s="1398"/>
      <c r="ASX50" s="1398"/>
      <c r="ASY50" s="1398"/>
      <c r="ASZ50" s="1398"/>
      <c r="ATA50" s="1398"/>
      <c r="ATB50" s="1398"/>
      <c r="ATC50" s="1398"/>
      <c r="ATD50" s="1398"/>
      <c r="ATE50" s="1398"/>
      <c r="ATF50" s="1398"/>
      <c r="ATG50" s="1398"/>
      <c r="ATH50" s="1398"/>
      <c r="ATI50" s="1398"/>
      <c r="ATJ50" s="1398"/>
      <c r="ATK50" s="1398"/>
      <c r="ATL50" s="1398"/>
      <c r="ATM50" s="1398"/>
      <c r="ATN50" s="1398"/>
      <c r="ATO50" s="1398"/>
      <c r="ATP50" s="1398"/>
      <c r="ATQ50" s="1398"/>
      <c r="ATR50" s="1398"/>
      <c r="ATS50" s="1398"/>
      <c r="ATT50" s="1398"/>
      <c r="ATU50" s="1398"/>
      <c r="ATV50" s="1398"/>
      <c r="ATW50" s="1398"/>
      <c r="ATX50" s="1398"/>
      <c r="ATY50" s="1398"/>
      <c r="ATZ50" s="1398"/>
      <c r="AUA50" s="1398"/>
      <c r="AUB50" s="1398"/>
      <c r="AUC50" s="1398"/>
      <c r="AUD50" s="1398"/>
      <c r="AUE50" s="1398"/>
      <c r="AUF50" s="1398"/>
      <c r="AUG50" s="1398"/>
      <c r="AUH50" s="1398"/>
      <c r="AUI50" s="1398"/>
      <c r="AUJ50" s="1398"/>
      <c r="AUK50" s="1398"/>
      <c r="AUL50" s="1398"/>
      <c r="AUM50" s="1398"/>
      <c r="AUN50" s="1398"/>
      <c r="AUO50" s="1398"/>
      <c r="AUP50" s="1398"/>
      <c r="AUQ50" s="1398"/>
      <c r="AUR50" s="1398"/>
      <c r="AUS50" s="1398"/>
      <c r="AUT50" s="1398"/>
      <c r="AUU50" s="1398"/>
      <c r="AUV50" s="1398"/>
      <c r="AUW50" s="1398"/>
      <c r="AUX50" s="1398"/>
      <c r="AUY50" s="1398"/>
      <c r="AUZ50" s="1398"/>
      <c r="AVA50" s="1398"/>
      <c r="AVB50" s="1398"/>
      <c r="AVC50" s="1398"/>
      <c r="AVD50" s="1398"/>
      <c r="AVE50" s="1398"/>
      <c r="AVF50" s="1398"/>
      <c r="AVG50" s="1398"/>
      <c r="AVH50" s="1398"/>
      <c r="AVI50" s="1398"/>
      <c r="AVJ50" s="1398"/>
      <c r="AVK50" s="1398"/>
      <c r="AVL50" s="1398"/>
      <c r="AVM50" s="1398"/>
      <c r="AVN50" s="1398"/>
      <c r="AVO50" s="1398"/>
      <c r="AVP50" s="1398"/>
      <c r="AVQ50" s="1398"/>
      <c r="AVR50" s="1398"/>
      <c r="AVS50" s="1398"/>
      <c r="AVT50" s="1398"/>
      <c r="AVU50" s="1398"/>
      <c r="AVV50" s="1398"/>
      <c r="AVW50" s="1398"/>
      <c r="AVX50" s="1398"/>
      <c r="AVY50" s="1398"/>
      <c r="AVZ50" s="1398"/>
      <c r="AWA50" s="1398"/>
      <c r="AWB50" s="1398"/>
      <c r="AWC50" s="1398"/>
      <c r="AWD50" s="1398"/>
      <c r="AWE50" s="1398"/>
      <c r="AWF50" s="1398"/>
      <c r="AWG50" s="1398"/>
      <c r="AWH50" s="1398"/>
      <c r="AWI50" s="1398"/>
      <c r="AWJ50" s="1398"/>
      <c r="AWK50" s="1398"/>
      <c r="AWL50" s="1398"/>
      <c r="AWM50" s="1398"/>
      <c r="AWN50" s="1398"/>
      <c r="AWO50" s="1398"/>
      <c r="AWP50" s="1398"/>
      <c r="AWQ50" s="1398"/>
      <c r="AWR50" s="1398"/>
      <c r="AWS50" s="1398"/>
      <c r="AWT50" s="1398"/>
      <c r="AWU50" s="1398"/>
      <c r="AWV50" s="1398"/>
      <c r="AWW50" s="1398"/>
      <c r="AWX50" s="1398"/>
      <c r="AWY50" s="1398"/>
      <c r="AWZ50" s="1398"/>
      <c r="AXA50" s="1398"/>
      <c r="AXB50" s="1398"/>
      <c r="AXC50" s="1398"/>
      <c r="AXD50" s="1398"/>
      <c r="AXE50" s="1398"/>
      <c r="AXF50" s="1398"/>
      <c r="AXG50" s="1398"/>
      <c r="AXH50" s="1398"/>
      <c r="AXI50" s="1398"/>
      <c r="AXJ50" s="1398"/>
      <c r="AXK50" s="1398"/>
      <c r="AXL50" s="1398"/>
      <c r="AXM50" s="1398"/>
      <c r="AXN50" s="1398"/>
      <c r="AXO50" s="1398"/>
      <c r="AXP50" s="1398"/>
      <c r="AXQ50" s="1398"/>
      <c r="AXR50" s="1398"/>
      <c r="AXS50" s="1398"/>
      <c r="AXT50" s="1398"/>
      <c r="AXU50" s="1398"/>
      <c r="AXV50" s="1398"/>
      <c r="AXW50" s="1398"/>
      <c r="AXX50" s="1398"/>
      <c r="AXY50" s="1398"/>
      <c r="AXZ50" s="1398"/>
      <c r="AYA50" s="1398"/>
      <c r="AYB50" s="1398"/>
      <c r="AYC50" s="1398"/>
      <c r="AYD50" s="1398"/>
      <c r="AYE50" s="1398"/>
      <c r="AYF50" s="1398"/>
      <c r="AYG50" s="1398"/>
      <c r="AYH50" s="1398"/>
      <c r="AYI50" s="1398"/>
      <c r="AYJ50" s="1398"/>
      <c r="AYK50" s="1398"/>
      <c r="AYL50" s="1398"/>
      <c r="AYM50" s="1398"/>
      <c r="AYN50" s="1398"/>
      <c r="AYO50" s="1398"/>
      <c r="AYP50" s="1398"/>
      <c r="AYQ50" s="1398"/>
      <c r="AYR50" s="1398"/>
      <c r="AYS50" s="1398"/>
      <c r="AYT50" s="1398"/>
      <c r="AYU50" s="1398"/>
      <c r="AYV50" s="1398"/>
      <c r="AYW50" s="1398"/>
      <c r="AYX50" s="1398"/>
      <c r="AYY50" s="1398"/>
      <c r="AYZ50" s="1398"/>
      <c r="AZA50" s="1398"/>
      <c r="AZB50" s="1398"/>
      <c r="AZC50" s="1398"/>
      <c r="AZD50" s="1398"/>
      <c r="AZE50" s="1398"/>
      <c r="AZF50" s="1398"/>
      <c r="AZG50" s="1398"/>
      <c r="AZH50" s="1398"/>
      <c r="AZI50" s="1398"/>
      <c r="AZJ50" s="1398"/>
      <c r="AZK50" s="1398"/>
      <c r="AZL50" s="1398"/>
      <c r="AZM50" s="1398"/>
      <c r="AZN50" s="1398"/>
      <c r="AZO50" s="1398"/>
      <c r="AZP50" s="1398"/>
      <c r="AZQ50" s="1398"/>
      <c r="AZR50" s="1398"/>
      <c r="AZS50" s="1398"/>
      <c r="AZT50" s="1398"/>
      <c r="AZU50" s="1398"/>
      <c r="AZV50" s="1398"/>
      <c r="AZW50" s="1398"/>
      <c r="AZX50" s="1398"/>
      <c r="AZY50" s="1398"/>
      <c r="AZZ50" s="1398"/>
      <c r="BAA50" s="1398"/>
      <c r="BAB50" s="1398"/>
      <c r="BAC50" s="1398"/>
      <c r="BAD50" s="1398"/>
      <c r="BAE50" s="1398"/>
      <c r="BAF50" s="1398"/>
      <c r="BAG50" s="1398"/>
      <c r="BAH50" s="1398"/>
      <c r="BAI50" s="1398"/>
      <c r="BAJ50" s="1398"/>
      <c r="BAK50" s="1398"/>
      <c r="BAL50" s="1398"/>
      <c r="BAM50" s="1398"/>
      <c r="BAN50" s="1398"/>
      <c r="BAO50" s="1398"/>
      <c r="BAP50" s="1398"/>
      <c r="BAQ50" s="1398"/>
      <c r="BAR50" s="1398"/>
      <c r="BAS50" s="1398"/>
      <c r="BAT50" s="1398"/>
      <c r="BAU50" s="1398"/>
      <c r="BAV50" s="1398"/>
      <c r="BAW50" s="1398"/>
      <c r="BAX50" s="1398"/>
      <c r="BAY50" s="1398"/>
      <c r="BAZ50" s="1398"/>
      <c r="BBA50" s="1398"/>
      <c r="BBB50" s="1398"/>
      <c r="BBC50" s="1398"/>
      <c r="BBD50" s="1398"/>
      <c r="BBE50" s="1398"/>
      <c r="BBF50" s="1398"/>
      <c r="BBG50" s="1398"/>
      <c r="BBH50" s="1398"/>
      <c r="BBI50" s="1398"/>
      <c r="BBJ50" s="1398"/>
      <c r="BBK50" s="1398"/>
      <c r="BBL50" s="1398"/>
      <c r="BBM50" s="1398"/>
      <c r="BBN50" s="1398"/>
      <c r="BBO50" s="1398"/>
      <c r="BBP50" s="1398"/>
      <c r="BBQ50" s="1398"/>
      <c r="BBR50" s="1398"/>
      <c r="BBS50" s="1398"/>
      <c r="BBT50" s="1398"/>
      <c r="BBU50" s="1398"/>
      <c r="BBV50" s="1398"/>
      <c r="BBW50" s="1398"/>
      <c r="BBX50" s="1398"/>
      <c r="BBY50" s="1398"/>
      <c r="BBZ50" s="1398"/>
      <c r="BCA50" s="1398"/>
      <c r="BCB50" s="1398"/>
      <c r="BCC50" s="1398"/>
      <c r="BCD50" s="1398"/>
      <c r="BCE50" s="1398"/>
      <c r="BCF50" s="1398"/>
      <c r="BCG50" s="1398"/>
      <c r="BCH50" s="1398"/>
      <c r="BCI50" s="1398"/>
      <c r="BCJ50" s="1398"/>
      <c r="BCK50" s="1398"/>
      <c r="BCL50" s="1398"/>
      <c r="BCM50" s="1398"/>
      <c r="BCN50" s="1398"/>
      <c r="BCO50" s="1398"/>
      <c r="BCP50" s="1398"/>
      <c r="BCQ50" s="1398"/>
      <c r="BCR50" s="1398"/>
      <c r="BCS50" s="1398"/>
      <c r="BCT50" s="1398"/>
      <c r="BCU50" s="1398"/>
      <c r="BCV50" s="1398"/>
      <c r="BCW50" s="1398"/>
      <c r="BCX50" s="1398"/>
      <c r="BCY50" s="1398"/>
      <c r="BCZ50" s="1398"/>
      <c r="BDA50" s="1398"/>
      <c r="BDB50" s="1398"/>
      <c r="BDC50" s="1398"/>
      <c r="BDD50" s="1398"/>
      <c r="BDE50" s="1398"/>
      <c r="BDF50" s="1398"/>
      <c r="BDG50" s="1398"/>
      <c r="BDH50" s="1398"/>
      <c r="BDI50" s="1398"/>
      <c r="BDJ50" s="1398"/>
      <c r="BDK50" s="1398"/>
      <c r="BDL50" s="1398"/>
      <c r="BDM50" s="1398"/>
      <c r="BDN50" s="1398"/>
      <c r="BDO50" s="1398"/>
      <c r="BDP50" s="1398"/>
      <c r="BDQ50" s="1398"/>
      <c r="BDR50" s="1398"/>
      <c r="BDS50" s="1398"/>
      <c r="BDT50" s="1398"/>
      <c r="BDU50" s="1398"/>
      <c r="BDV50" s="1398"/>
      <c r="BDW50" s="1398"/>
      <c r="BDX50" s="1398"/>
      <c r="BDY50" s="1398"/>
      <c r="BDZ50" s="1398"/>
      <c r="BEA50" s="1398"/>
      <c r="BEB50" s="1398"/>
      <c r="BEC50" s="1398"/>
      <c r="BED50" s="1398"/>
      <c r="BEE50" s="1398"/>
      <c r="BEF50" s="1398"/>
      <c r="BEG50" s="1398"/>
      <c r="BEH50" s="1398"/>
      <c r="BEI50" s="1398"/>
      <c r="BEJ50" s="1398"/>
      <c r="BEK50" s="1398"/>
      <c r="BEL50" s="1398"/>
      <c r="BEM50" s="1398"/>
      <c r="BEN50" s="1398"/>
      <c r="BEO50" s="1398"/>
      <c r="BEP50" s="1398"/>
      <c r="BEQ50" s="1398"/>
      <c r="BER50" s="1398"/>
      <c r="BES50" s="1398"/>
      <c r="BET50" s="1398"/>
      <c r="BEU50" s="1398"/>
      <c r="BEV50" s="1398"/>
      <c r="BEW50" s="1398"/>
      <c r="BEX50" s="1398"/>
      <c r="BEY50" s="1398"/>
      <c r="BEZ50" s="1398"/>
      <c r="BFA50" s="1398"/>
      <c r="BFB50" s="1398"/>
      <c r="BFC50" s="1398"/>
      <c r="BFD50" s="1398"/>
      <c r="BFE50" s="1398"/>
      <c r="BFF50" s="1398"/>
      <c r="BFG50" s="1398"/>
      <c r="BFH50" s="1398"/>
      <c r="BFI50" s="1398"/>
      <c r="BFJ50" s="1398"/>
      <c r="BFK50" s="1398"/>
      <c r="BFL50" s="1398"/>
      <c r="BFM50" s="1398"/>
      <c r="BFN50" s="1398"/>
      <c r="BFO50" s="1398"/>
      <c r="BFP50" s="1398"/>
      <c r="BFQ50" s="1398"/>
      <c r="BFR50" s="1398"/>
      <c r="BFS50" s="1398"/>
      <c r="BFT50" s="1398"/>
      <c r="BFU50" s="1398"/>
      <c r="BFV50" s="1398"/>
      <c r="BFW50" s="1398"/>
      <c r="BFX50" s="1398"/>
      <c r="BFY50" s="1398"/>
      <c r="BFZ50" s="1398"/>
      <c r="BGA50" s="1398"/>
      <c r="BGB50" s="1398"/>
      <c r="BGC50" s="1398"/>
      <c r="BGD50" s="1398"/>
      <c r="BGE50" s="1398"/>
      <c r="BGF50" s="1398"/>
      <c r="BGG50" s="1398"/>
      <c r="BGH50" s="1398"/>
      <c r="BGI50" s="1398"/>
      <c r="BGJ50" s="1398"/>
      <c r="BGK50" s="1398"/>
      <c r="BGL50" s="1398"/>
      <c r="BGM50" s="1398"/>
      <c r="BGN50" s="1398"/>
      <c r="BGO50" s="1398"/>
      <c r="BGP50" s="1398"/>
      <c r="BGQ50" s="1398"/>
      <c r="BGR50" s="1398"/>
      <c r="BGS50" s="1398"/>
      <c r="BGT50" s="1398"/>
      <c r="BGU50" s="1398"/>
      <c r="BGV50" s="1398"/>
      <c r="BGW50" s="1398"/>
      <c r="BGX50" s="1398"/>
      <c r="BGY50" s="1398"/>
      <c r="BGZ50" s="1398"/>
      <c r="BHA50" s="1398"/>
      <c r="BHB50" s="1398"/>
      <c r="BHC50" s="1398"/>
      <c r="BHD50" s="1398"/>
      <c r="BHE50" s="1398"/>
      <c r="BHF50" s="1398"/>
      <c r="BHG50" s="1398"/>
      <c r="BHH50" s="1398"/>
      <c r="BHI50" s="1398"/>
      <c r="BHJ50" s="1398"/>
      <c r="BHK50" s="1398"/>
      <c r="BHL50" s="1398"/>
      <c r="BHM50" s="1398"/>
      <c r="BHN50" s="1398"/>
      <c r="BHO50" s="1398"/>
      <c r="BHP50" s="1398"/>
      <c r="BHQ50" s="1398"/>
      <c r="BHR50" s="1398"/>
      <c r="BHS50" s="1398"/>
      <c r="BHT50" s="1398"/>
      <c r="BHU50" s="1398"/>
      <c r="BHV50" s="1398"/>
      <c r="BHW50" s="1398"/>
      <c r="BHX50" s="1398"/>
      <c r="BHY50" s="1398"/>
      <c r="BHZ50" s="1398"/>
      <c r="BIA50" s="1398"/>
      <c r="BIB50" s="1398"/>
      <c r="BIC50" s="1398"/>
      <c r="BID50" s="1398"/>
      <c r="BIE50" s="1398"/>
      <c r="BIF50" s="1398"/>
      <c r="BIG50" s="1398"/>
      <c r="BIH50" s="1398"/>
      <c r="BII50" s="1398"/>
      <c r="BIJ50" s="1398"/>
      <c r="BIK50" s="1398"/>
      <c r="BIL50" s="1398"/>
      <c r="BIM50" s="1398"/>
      <c r="BIN50" s="1398"/>
      <c r="BIO50" s="1398"/>
      <c r="BIP50" s="1398"/>
      <c r="BIQ50" s="1398"/>
      <c r="BIR50" s="1398"/>
      <c r="BIS50" s="1398"/>
      <c r="BIT50" s="1398"/>
      <c r="BIU50" s="1398"/>
      <c r="BIV50" s="1398"/>
      <c r="BIW50" s="1398"/>
      <c r="BIX50" s="1398"/>
      <c r="BIY50" s="1398"/>
      <c r="BIZ50" s="1398"/>
      <c r="BJA50" s="1398"/>
      <c r="BJB50" s="1398"/>
      <c r="BJC50" s="1398"/>
      <c r="BJD50" s="1398"/>
      <c r="BJE50" s="1398"/>
      <c r="BJF50" s="1398"/>
      <c r="BJG50" s="1398"/>
      <c r="BJH50" s="1398"/>
      <c r="BJI50" s="1398"/>
      <c r="BJJ50" s="1398"/>
      <c r="BJK50" s="1398"/>
      <c r="BJL50" s="1398"/>
      <c r="BJM50" s="1398"/>
      <c r="BJN50" s="1398"/>
      <c r="BJO50" s="1398"/>
      <c r="BJP50" s="1398"/>
      <c r="BJQ50" s="1398"/>
      <c r="BJR50" s="1398"/>
      <c r="BJS50" s="1398"/>
      <c r="BJT50" s="1398"/>
      <c r="BJU50" s="1398"/>
      <c r="BJV50" s="1398"/>
      <c r="BJW50" s="1398"/>
      <c r="BJX50" s="1398"/>
      <c r="BJY50" s="1398"/>
      <c r="BJZ50" s="1398"/>
      <c r="BKA50" s="1398"/>
      <c r="BKB50" s="1398"/>
      <c r="BKC50" s="1398"/>
      <c r="BKD50" s="1398"/>
      <c r="BKE50" s="1398"/>
      <c r="BKF50" s="1398"/>
      <c r="BKG50" s="1398"/>
      <c r="BKH50" s="1398"/>
      <c r="BKI50" s="1398"/>
      <c r="BKJ50" s="1398"/>
      <c r="BKK50" s="1398"/>
      <c r="BKL50" s="1398"/>
      <c r="BKM50" s="1398"/>
      <c r="BKN50" s="1398"/>
      <c r="BKO50" s="1398"/>
      <c r="BKP50" s="1398"/>
      <c r="BKQ50" s="1398"/>
      <c r="BKR50" s="1398"/>
      <c r="BKS50" s="1398"/>
      <c r="BKT50" s="1398"/>
      <c r="BKU50" s="1398"/>
      <c r="BKV50" s="1398"/>
      <c r="BKW50" s="1398"/>
      <c r="BKX50" s="1398"/>
      <c r="BKY50" s="1398"/>
      <c r="BKZ50" s="1398"/>
      <c r="BLA50" s="1398"/>
      <c r="BLB50" s="1398"/>
      <c r="BLC50" s="1398"/>
      <c r="BLD50" s="1398"/>
      <c r="BLE50" s="1398"/>
      <c r="BLF50" s="1398"/>
      <c r="BLG50" s="1398"/>
      <c r="BLH50" s="1398"/>
      <c r="BLI50" s="1398"/>
      <c r="BLJ50" s="1398"/>
      <c r="BLK50" s="1398"/>
      <c r="BLL50" s="1398"/>
      <c r="BLM50" s="1398"/>
      <c r="BLN50" s="1398"/>
      <c r="BLO50" s="1398"/>
      <c r="BLP50" s="1398"/>
      <c r="BLQ50" s="1398"/>
      <c r="BLR50" s="1398"/>
      <c r="BLS50" s="1398"/>
      <c r="BLT50" s="1398"/>
      <c r="BLU50" s="1398"/>
      <c r="BLV50" s="1398"/>
      <c r="BLW50" s="1398"/>
      <c r="BLX50" s="1398"/>
      <c r="BLY50" s="1398"/>
      <c r="BLZ50" s="1398"/>
      <c r="BMA50" s="1398"/>
      <c r="BMB50" s="1398"/>
      <c r="BMC50" s="1398"/>
      <c r="BMD50" s="1398"/>
      <c r="BME50" s="1398"/>
      <c r="BMF50" s="1398"/>
      <c r="BMG50" s="1398"/>
      <c r="BMH50" s="1398"/>
      <c r="BMI50" s="1398"/>
      <c r="BMJ50" s="1398"/>
      <c r="BMK50" s="1398"/>
      <c r="BML50" s="1398"/>
      <c r="BMM50" s="1398"/>
      <c r="BMN50" s="1398"/>
      <c r="BMO50" s="1398"/>
      <c r="BMP50" s="1398"/>
      <c r="BMQ50" s="1398"/>
      <c r="BMR50" s="1398"/>
      <c r="BMS50" s="1398"/>
      <c r="BMT50" s="1398"/>
      <c r="BMU50" s="1398"/>
      <c r="BMV50" s="1398"/>
      <c r="BMW50" s="1398"/>
      <c r="BMX50" s="1398"/>
      <c r="BMY50" s="1398"/>
      <c r="BMZ50" s="1398"/>
      <c r="BNA50" s="1398"/>
      <c r="BNB50" s="1398"/>
      <c r="BNC50" s="1398"/>
      <c r="BND50" s="1398"/>
      <c r="BNE50" s="1398"/>
      <c r="BNF50" s="1398"/>
      <c r="BNG50" s="1398"/>
      <c r="BNH50" s="1398"/>
      <c r="BNI50" s="1398"/>
      <c r="BNJ50" s="1398"/>
      <c r="BNK50" s="1398"/>
      <c r="BNL50" s="1398"/>
      <c r="BNM50" s="1398"/>
      <c r="BNN50" s="1398"/>
      <c r="BNO50" s="1398"/>
      <c r="BNP50" s="1398"/>
      <c r="BNQ50" s="1398"/>
      <c r="BNR50" s="1398"/>
      <c r="BNS50" s="1398"/>
      <c r="BNT50" s="1398"/>
      <c r="BNU50" s="1398"/>
      <c r="BNV50" s="1398"/>
      <c r="BNW50" s="1398"/>
      <c r="BNX50" s="1398"/>
      <c r="BNY50" s="1398"/>
      <c r="BNZ50" s="1398"/>
      <c r="BOA50" s="1398"/>
      <c r="BOB50" s="1398"/>
      <c r="BOC50" s="1398"/>
      <c r="BOD50" s="1398"/>
      <c r="BOE50" s="1398"/>
      <c r="BOF50" s="1398"/>
      <c r="BOG50" s="1398"/>
      <c r="BOH50" s="1398"/>
      <c r="BOI50" s="1398"/>
      <c r="BOJ50" s="1398"/>
      <c r="BOK50" s="1398"/>
      <c r="BOL50" s="1398"/>
      <c r="BOM50" s="1398"/>
      <c r="BON50" s="1398"/>
      <c r="BOO50" s="1398"/>
      <c r="BOP50" s="1398"/>
      <c r="BOQ50" s="1398"/>
      <c r="BOR50" s="1398"/>
      <c r="BOS50" s="1398"/>
      <c r="BOT50" s="1398"/>
      <c r="BOU50" s="1398"/>
      <c r="BOV50" s="1398"/>
      <c r="BOW50" s="1398"/>
      <c r="BOX50" s="1398"/>
      <c r="BOY50" s="1398"/>
      <c r="BOZ50" s="1398"/>
      <c r="BPA50" s="1398"/>
      <c r="BPB50" s="1398"/>
      <c r="BPC50" s="1398"/>
      <c r="BPD50" s="1398"/>
      <c r="BPE50" s="1398"/>
      <c r="BPF50" s="1398"/>
      <c r="BPG50" s="1398"/>
      <c r="BPH50" s="1398"/>
      <c r="BPI50" s="1398"/>
      <c r="BPJ50" s="1398"/>
      <c r="BPK50" s="1398"/>
      <c r="BPL50" s="1398"/>
      <c r="BPM50" s="1398"/>
      <c r="BPN50" s="1398"/>
      <c r="BPO50" s="1398"/>
      <c r="BPP50" s="1398"/>
      <c r="BPQ50" s="1398"/>
      <c r="BPR50" s="1398"/>
      <c r="BPS50" s="1398"/>
      <c r="BPT50" s="1398"/>
      <c r="BPU50" s="1398"/>
      <c r="BPV50" s="1398"/>
      <c r="BPW50" s="1398"/>
      <c r="BPX50" s="1398"/>
      <c r="BPY50" s="1398"/>
      <c r="BPZ50" s="1398"/>
      <c r="BQA50" s="1398"/>
      <c r="BQB50" s="1398"/>
      <c r="BQC50" s="1398"/>
      <c r="BQD50" s="1398"/>
      <c r="BQE50" s="1398"/>
      <c r="BQF50" s="1398"/>
      <c r="BQG50" s="1398"/>
      <c r="BQH50" s="1398"/>
      <c r="BQI50" s="1398"/>
      <c r="BQJ50" s="1398"/>
      <c r="BQK50" s="1398"/>
      <c r="BQL50" s="1398"/>
      <c r="BQM50" s="1398"/>
      <c r="BQN50" s="1398"/>
      <c r="BQO50" s="1398"/>
      <c r="BQP50" s="1398"/>
      <c r="BQQ50" s="1398"/>
      <c r="BQR50" s="1398"/>
      <c r="BQS50" s="1398"/>
      <c r="BQT50" s="1398"/>
      <c r="BQU50" s="1398"/>
      <c r="BQV50" s="1398"/>
      <c r="BQW50" s="1398"/>
      <c r="BQX50" s="1398"/>
      <c r="BQY50" s="1398"/>
      <c r="BQZ50" s="1398"/>
      <c r="BRA50" s="1398"/>
      <c r="BRB50" s="1398"/>
      <c r="BRC50" s="1398"/>
      <c r="BRD50" s="1398"/>
      <c r="BRE50" s="1398"/>
      <c r="BRF50" s="1398"/>
      <c r="BRG50" s="1398"/>
      <c r="BRH50" s="1398"/>
      <c r="BRI50" s="1398"/>
      <c r="BRJ50" s="1398"/>
      <c r="BRK50" s="1398"/>
      <c r="BRL50" s="1398"/>
      <c r="BRM50" s="1398"/>
      <c r="BRN50" s="1398"/>
      <c r="BRO50" s="1398"/>
      <c r="BRP50" s="1398"/>
      <c r="BRQ50" s="1398"/>
      <c r="BRR50" s="1398"/>
      <c r="BRS50" s="1398"/>
      <c r="BRT50" s="1398"/>
      <c r="BRU50" s="1398"/>
      <c r="BRV50" s="1398"/>
      <c r="BRW50" s="1398"/>
      <c r="BRX50" s="1398"/>
      <c r="BRY50" s="1398"/>
      <c r="BRZ50" s="1398"/>
      <c r="BSA50" s="1398"/>
      <c r="BSB50" s="1398"/>
      <c r="BSC50" s="1398"/>
      <c r="BSD50" s="1398"/>
      <c r="BSE50" s="1398"/>
      <c r="BSF50" s="1398"/>
      <c r="BSG50" s="1398"/>
      <c r="BSH50" s="1398"/>
      <c r="BSI50" s="1398"/>
      <c r="BSJ50" s="1398"/>
      <c r="BSK50" s="1398"/>
      <c r="BSL50" s="1398"/>
      <c r="BSM50" s="1398"/>
      <c r="BSN50" s="1398"/>
      <c r="BSO50" s="1398"/>
      <c r="BSP50" s="1398"/>
      <c r="BSQ50" s="1398"/>
      <c r="BSR50" s="1398"/>
      <c r="BSS50" s="1398"/>
      <c r="BST50" s="1398"/>
      <c r="BSU50" s="1398"/>
      <c r="BSV50" s="1398"/>
      <c r="BSW50" s="1398"/>
      <c r="BSX50" s="1398"/>
      <c r="BSY50" s="1398"/>
      <c r="BSZ50" s="1398"/>
      <c r="BTA50" s="1398"/>
      <c r="BTB50" s="1398"/>
      <c r="BTC50" s="1398"/>
      <c r="BTD50" s="1398"/>
      <c r="BTE50" s="1398"/>
      <c r="BTF50" s="1398"/>
      <c r="BTG50" s="1398"/>
      <c r="BTH50" s="1398"/>
      <c r="BTI50" s="1398"/>
      <c r="BTJ50" s="1398"/>
      <c r="BTK50" s="1398"/>
      <c r="BTL50" s="1398"/>
      <c r="BTM50" s="1398"/>
      <c r="BTN50" s="1398"/>
      <c r="BTO50" s="1398"/>
      <c r="BTP50" s="1398"/>
      <c r="BTQ50" s="1398"/>
      <c r="BTR50" s="1398"/>
      <c r="BTS50" s="1398"/>
      <c r="BTT50" s="1398"/>
      <c r="BTU50" s="1398"/>
      <c r="BTV50" s="1398"/>
      <c r="BTW50" s="1398"/>
      <c r="BTX50" s="1398"/>
      <c r="BTY50" s="1398"/>
      <c r="BTZ50" s="1398"/>
      <c r="BUA50" s="1398"/>
      <c r="BUB50" s="1398"/>
      <c r="BUC50" s="1398"/>
      <c r="BUD50" s="1398"/>
      <c r="BUE50" s="1398"/>
      <c r="BUF50" s="1398"/>
      <c r="BUG50" s="1398"/>
      <c r="BUH50" s="1398"/>
      <c r="BUI50" s="1398"/>
      <c r="BUJ50" s="1398"/>
      <c r="BUK50" s="1398"/>
      <c r="BUL50" s="1398"/>
      <c r="BUM50" s="1398"/>
      <c r="BUN50" s="1398"/>
      <c r="BUO50" s="1398"/>
      <c r="BUP50" s="1398"/>
      <c r="BUQ50" s="1398"/>
      <c r="BUR50" s="1398"/>
      <c r="BUS50" s="1398"/>
      <c r="BUT50" s="1398"/>
      <c r="BUU50" s="1398"/>
      <c r="BUV50" s="1398"/>
      <c r="BUW50" s="1398"/>
      <c r="BUX50" s="1398"/>
      <c r="BUY50" s="1398"/>
      <c r="BUZ50" s="1398"/>
      <c r="BVA50" s="1398"/>
      <c r="BVB50" s="1398"/>
      <c r="BVC50" s="1398"/>
      <c r="BVD50" s="1398"/>
      <c r="BVE50" s="1398"/>
      <c r="BVF50" s="1398"/>
      <c r="BVG50" s="1398"/>
      <c r="BVH50" s="1398"/>
      <c r="BVI50" s="1398"/>
      <c r="BVJ50" s="1398"/>
      <c r="BVK50" s="1398"/>
      <c r="BVL50" s="1398"/>
      <c r="BVM50" s="1398"/>
      <c r="BVN50" s="1398"/>
      <c r="BVO50" s="1398"/>
      <c r="BVP50" s="1398"/>
      <c r="BVQ50" s="1398"/>
      <c r="BVR50" s="1398"/>
      <c r="BVS50" s="1398"/>
      <c r="BVT50" s="1398"/>
      <c r="BVU50" s="1398"/>
      <c r="BVV50" s="1398"/>
      <c r="BVW50" s="1398"/>
      <c r="BVX50" s="1398"/>
      <c r="BVY50" s="1398"/>
      <c r="BVZ50" s="1398"/>
      <c r="BWA50" s="1398"/>
      <c r="BWB50" s="1398"/>
      <c r="BWC50" s="1398"/>
      <c r="BWD50" s="1398"/>
      <c r="BWE50" s="1398"/>
      <c r="BWF50" s="1398"/>
      <c r="BWG50" s="1398"/>
      <c r="BWH50" s="1398"/>
      <c r="BWI50" s="1398"/>
      <c r="BWJ50" s="1398"/>
      <c r="BWK50" s="1398"/>
      <c r="BWL50" s="1398"/>
      <c r="BWM50" s="1398"/>
      <c r="BWN50" s="1398"/>
      <c r="BWO50" s="1398"/>
      <c r="BWP50" s="1398"/>
      <c r="BWQ50" s="1398"/>
      <c r="BWR50" s="1398"/>
      <c r="BWS50" s="1398"/>
      <c r="BWT50" s="1398"/>
      <c r="BWU50" s="1398"/>
      <c r="BWV50" s="1398"/>
      <c r="BWW50" s="1398"/>
      <c r="BWX50" s="1398"/>
      <c r="BWY50" s="1398"/>
      <c r="BWZ50" s="1398"/>
      <c r="BXA50" s="1398"/>
      <c r="BXB50" s="1398"/>
      <c r="BXC50" s="1398"/>
      <c r="BXD50" s="1398"/>
      <c r="BXE50" s="1398"/>
      <c r="BXF50" s="1398"/>
      <c r="BXG50" s="1398"/>
      <c r="BXH50" s="1398"/>
      <c r="BXI50" s="1398"/>
      <c r="BXJ50" s="1398"/>
      <c r="BXK50" s="1398"/>
      <c r="BXL50" s="1398"/>
      <c r="BXM50" s="1398"/>
      <c r="BXN50" s="1398"/>
      <c r="BXO50" s="1398"/>
      <c r="BXP50" s="1398"/>
      <c r="BXQ50" s="1398"/>
      <c r="BXR50" s="1398"/>
      <c r="BXS50" s="1398"/>
      <c r="BXT50" s="1398"/>
      <c r="BXU50" s="1398"/>
      <c r="BXV50" s="1398"/>
      <c r="BXW50" s="1398"/>
      <c r="BXX50" s="1398"/>
      <c r="BXY50" s="1398"/>
      <c r="BXZ50" s="1398"/>
      <c r="BYA50" s="1398"/>
      <c r="BYB50" s="1398"/>
      <c r="BYC50" s="1398"/>
      <c r="BYD50" s="1398"/>
      <c r="BYE50" s="1398"/>
      <c r="BYF50" s="1398"/>
      <c r="BYG50" s="1398"/>
      <c r="BYH50" s="1398"/>
      <c r="BYI50" s="1398"/>
      <c r="BYJ50" s="1398"/>
      <c r="BYK50" s="1398"/>
      <c r="BYL50" s="1398"/>
      <c r="BYM50" s="1398"/>
      <c r="BYN50" s="1398"/>
      <c r="BYO50" s="1398"/>
      <c r="BYP50" s="1398"/>
      <c r="BYQ50" s="1398"/>
      <c r="BYR50" s="1398"/>
      <c r="BYS50" s="1398"/>
      <c r="BYT50" s="1398"/>
      <c r="BYU50" s="1398"/>
      <c r="BYV50" s="1398"/>
      <c r="BYW50" s="1398"/>
      <c r="BYX50" s="1398"/>
      <c r="BYY50" s="1398"/>
      <c r="BYZ50" s="1398"/>
      <c r="BZA50" s="1398"/>
      <c r="BZB50" s="1398"/>
      <c r="BZC50" s="1398"/>
      <c r="BZD50" s="1398"/>
      <c r="BZE50" s="1398"/>
      <c r="BZF50" s="1398"/>
      <c r="BZG50" s="1398"/>
      <c r="BZH50" s="1398"/>
      <c r="BZI50" s="1398"/>
      <c r="BZJ50" s="1398"/>
      <c r="BZK50" s="1398"/>
      <c r="BZL50" s="1398"/>
      <c r="BZM50" s="1398"/>
      <c r="BZN50" s="1398"/>
      <c r="BZO50" s="1398"/>
      <c r="BZP50" s="1398"/>
      <c r="BZQ50" s="1398"/>
      <c r="BZR50" s="1398"/>
      <c r="BZS50" s="1398"/>
      <c r="BZT50" s="1398"/>
      <c r="BZU50" s="1398"/>
      <c r="BZV50" s="1398"/>
      <c r="BZW50" s="1398"/>
      <c r="BZX50" s="1398"/>
      <c r="BZY50" s="1398"/>
      <c r="BZZ50" s="1398"/>
      <c r="CAA50" s="1398"/>
      <c r="CAB50" s="1398"/>
      <c r="CAC50" s="1398"/>
      <c r="CAD50" s="1398"/>
      <c r="CAE50" s="1398"/>
      <c r="CAF50" s="1398"/>
      <c r="CAG50" s="1398"/>
      <c r="CAH50" s="1398"/>
      <c r="CAI50" s="1398"/>
      <c r="CAJ50" s="1398"/>
      <c r="CAK50" s="1398"/>
      <c r="CAL50" s="1398"/>
      <c r="CAM50" s="1398"/>
      <c r="CAN50" s="1398"/>
      <c r="CAO50" s="1398"/>
      <c r="CAP50" s="1398"/>
      <c r="CAQ50" s="1398"/>
      <c r="CAR50" s="1398"/>
      <c r="CAS50" s="1398"/>
      <c r="CAT50" s="1398"/>
      <c r="CAU50" s="1398"/>
      <c r="CAV50" s="1398"/>
      <c r="CAW50" s="1398"/>
      <c r="CAX50" s="1398"/>
      <c r="CAY50" s="1398"/>
      <c r="CAZ50" s="1398"/>
      <c r="CBA50" s="1398"/>
      <c r="CBB50" s="1398"/>
      <c r="CBC50" s="1398"/>
      <c r="CBD50" s="1398"/>
      <c r="CBE50" s="1398"/>
      <c r="CBF50" s="1398"/>
      <c r="CBG50" s="1398"/>
      <c r="CBH50" s="1398"/>
      <c r="CBI50" s="1398"/>
      <c r="CBJ50" s="1398"/>
      <c r="CBK50" s="1398"/>
      <c r="CBL50" s="1398"/>
      <c r="CBM50" s="1398"/>
      <c r="CBN50" s="1398"/>
      <c r="CBO50" s="1398"/>
      <c r="CBP50" s="1398"/>
      <c r="CBQ50" s="1398"/>
      <c r="CBR50" s="1398"/>
      <c r="CBS50" s="1398"/>
      <c r="CBT50" s="1398"/>
      <c r="CBU50" s="1398"/>
      <c r="CBV50" s="1398"/>
      <c r="CBW50" s="1398"/>
      <c r="CBX50" s="1398"/>
      <c r="CBY50" s="1398"/>
      <c r="CBZ50" s="1398"/>
      <c r="CCA50" s="1398"/>
      <c r="CCB50" s="1398"/>
      <c r="CCC50" s="1398"/>
      <c r="CCD50" s="1398"/>
      <c r="CCE50" s="1398"/>
      <c r="CCF50" s="1398"/>
      <c r="CCG50" s="1398"/>
      <c r="CCH50" s="1398"/>
      <c r="CCI50" s="1398"/>
      <c r="CCJ50" s="1398"/>
      <c r="CCK50" s="1398"/>
      <c r="CCL50" s="1398"/>
      <c r="CCM50" s="1398"/>
      <c r="CCN50" s="1398"/>
      <c r="CCO50" s="1398"/>
      <c r="CCP50" s="1398"/>
      <c r="CCQ50" s="1398"/>
      <c r="CCR50" s="1398"/>
      <c r="CCS50" s="1398"/>
      <c r="CCT50" s="1398"/>
      <c r="CCU50" s="1398"/>
      <c r="CCV50" s="1398"/>
      <c r="CCW50" s="1398"/>
      <c r="CCX50" s="1398"/>
      <c r="CCY50" s="1398"/>
      <c r="CCZ50" s="1398"/>
      <c r="CDA50" s="1398"/>
      <c r="CDB50" s="1398"/>
      <c r="CDC50" s="1398"/>
      <c r="CDD50" s="1398"/>
      <c r="CDE50" s="1398"/>
      <c r="CDF50" s="1398"/>
      <c r="CDG50" s="1398"/>
      <c r="CDH50" s="1398"/>
      <c r="CDI50" s="1398"/>
      <c r="CDJ50" s="1398"/>
      <c r="CDK50" s="1398"/>
      <c r="CDL50" s="1398"/>
      <c r="CDM50" s="1398"/>
      <c r="CDN50" s="1398"/>
      <c r="CDO50" s="1398"/>
      <c r="CDP50" s="1398"/>
      <c r="CDQ50" s="1398"/>
      <c r="CDR50" s="1398"/>
      <c r="CDS50" s="1398"/>
      <c r="CDT50" s="1398"/>
      <c r="CDU50" s="1398"/>
      <c r="CDV50" s="1398"/>
      <c r="CDW50" s="1398"/>
      <c r="CDX50" s="1398"/>
      <c r="CDY50" s="1398"/>
      <c r="CDZ50" s="1398"/>
      <c r="CEA50" s="1398"/>
      <c r="CEB50" s="1398"/>
      <c r="CEC50" s="1398"/>
      <c r="CED50" s="1398"/>
      <c r="CEE50" s="1398"/>
      <c r="CEF50" s="1398"/>
      <c r="CEG50" s="1398"/>
      <c r="CEH50" s="1398"/>
      <c r="CEI50" s="1398"/>
      <c r="CEJ50" s="1398"/>
      <c r="CEK50" s="1398"/>
      <c r="CEL50" s="1398"/>
      <c r="CEM50" s="1398"/>
      <c r="CEN50" s="1398"/>
      <c r="CEO50" s="1398"/>
      <c r="CEP50" s="1398"/>
      <c r="CEQ50" s="1398"/>
      <c r="CER50" s="1398"/>
      <c r="CES50" s="1398"/>
      <c r="CET50" s="1398"/>
      <c r="CEU50" s="1398"/>
      <c r="CEV50" s="1398"/>
      <c r="CEW50" s="1398"/>
      <c r="CEX50" s="1398"/>
      <c r="CEY50" s="1398"/>
      <c r="CEZ50" s="1398"/>
      <c r="CFA50" s="1398"/>
      <c r="CFB50" s="1398"/>
      <c r="CFC50" s="1398"/>
      <c r="CFD50" s="1398"/>
      <c r="CFE50" s="1398"/>
      <c r="CFF50" s="1398"/>
      <c r="CFG50" s="1398"/>
      <c r="CFH50" s="1398"/>
      <c r="CFI50" s="1398"/>
      <c r="CFJ50" s="1398"/>
      <c r="CFK50" s="1398"/>
      <c r="CFL50" s="1398"/>
      <c r="CFM50" s="1398"/>
      <c r="CFN50" s="1398"/>
      <c r="CFO50" s="1398"/>
      <c r="CFP50" s="1398"/>
      <c r="CFQ50" s="1398"/>
      <c r="CFR50" s="1398"/>
      <c r="CFS50" s="1398"/>
      <c r="CFT50" s="1398"/>
      <c r="CFU50" s="1398"/>
      <c r="CFV50" s="1398"/>
      <c r="CFW50" s="1398"/>
      <c r="CFX50" s="1398"/>
      <c r="CFY50" s="1398"/>
      <c r="CFZ50" s="1398"/>
      <c r="CGA50" s="1398"/>
      <c r="CGB50" s="1398"/>
      <c r="CGC50" s="1398"/>
      <c r="CGD50" s="1398"/>
      <c r="CGE50" s="1398"/>
      <c r="CGF50" s="1398"/>
      <c r="CGG50" s="1398"/>
      <c r="CGH50" s="1398"/>
      <c r="CGI50" s="1398"/>
      <c r="CGJ50" s="1398"/>
      <c r="CGK50" s="1398"/>
      <c r="CGL50" s="1398"/>
      <c r="CGM50" s="1398"/>
      <c r="CGN50" s="1398"/>
      <c r="CGO50" s="1398"/>
      <c r="CGP50" s="1398"/>
      <c r="CGQ50" s="1398"/>
      <c r="CGR50" s="1398"/>
      <c r="CGS50" s="1398"/>
      <c r="CGT50" s="1398"/>
      <c r="CGU50" s="1398"/>
      <c r="CGV50" s="1398"/>
      <c r="CGW50" s="1398"/>
      <c r="CGX50" s="1398"/>
      <c r="CGY50" s="1398"/>
      <c r="CGZ50" s="1398"/>
      <c r="CHA50" s="1398"/>
      <c r="CHB50" s="1398"/>
      <c r="CHC50" s="1398"/>
      <c r="CHD50" s="1398"/>
      <c r="CHE50" s="1398"/>
      <c r="CHF50" s="1398"/>
      <c r="CHG50" s="1398"/>
      <c r="CHH50" s="1398"/>
      <c r="CHI50" s="1398"/>
      <c r="CHJ50" s="1398"/>
      <c r="CHK50" s="1398"/>
      <c r="CHL50" s="1398"/>
      <c r="CHM50" s="1398"/>
      <c r="CHN50" s="1398"/>
      <c r="CHO50" s="1398"/>
      <c r="CHP50" s="1398"/>
      <c r="CHQ50" s="1398"/>
      <c r="CHR50" s="1398"/>
      <c r="CHS50" s="1398"/>
      <c r="CHT50" s="1398"/>
      <c r="CHU50" s="1398"/>
      <c r="CHV50" s="1398"/>
      <c r="CHW50" s="1398"/>
      <c r="CHX50" s="1398"/>
      <c r="CHY50" s="1398"/>
      <c r="CHZ50" s="1398"/>
      <c r="CIA50" s="1398"/>
      <c r="CIB50" s="1398"/>
      <c r="CIC50" s="1398"/>
      <c r="CID50" s="1398"/>
      <c r="CIE50" s="1398"/>
      <c r="CIF50" s="1398"/>
      <c r="CIG50" s="1398"/>
      <c r="CIH50" s="1398"/>
      <c r="CII50" s="1398"/>
      <c r="CIJ50" s="1398"/>
      <c r="CIK50" s="1398"/>
      <c r="CIL50" s="1398"/>
      <c r="CIM50" s="1398"/>
      <c r="CIN50" s="1398"/>
      <c r="CIO50" s="1398"/>
      <c r="CIP50" s="1398"/>
      <c r="CIQ50" s="1398"/>
      <c r="CIR50" s="1398"/>
      <c r="CIS50" s="1398"/>
      <c r="CIT50" s="1398"/>
      <c r="CIU50" s="1398"/>
      <c r="CIV50" s="1398"/>
      <c r="CIW50" s="1398"/>
      <c r="CIX50" s="1398"/>
      <c r="CIY50" s="1398"/>
      <c r="CIZ50" s="1398"/>
      <c r="CJA50" s="1398"/>
      <c r="CJB50" s="1398"/>
      <c r="CJC50" s="1398"/>
      <c r="CJD50" s="1398"/>
      <c r="CJE50" s="1398"/>
      <c r="CJF50" s="1398"/>
      <c r="CJG50" s="1398"/>
      <c r="CJH50" s="1398"/>
      <c r="CJI50" s="1398"/>
      <c r="CJJ50" s="1398"/>
      <c r="CJK50" s="1398"/>
      <c r="CJL50" s="1398"/>
      <c r="CJM50" s="1398"/>
      <c r="CJN50" s="1398"/>
      <c r="CJO50" s="1398"/>
      <c r="CJP50" s="1398"/>
      <c r="CJQ50" s="1398"/>
      <c r="CJR50" s="1398"/>
      <c r="CJS50" s="1398"/>
      <c r="CJT50" s="1398"/>
      <c r="CJU50" s="1398"/>
      <c r="CJV50" s="1398"/>
      <c r="CJW50" s="1398"/>
      <c r="CJX50" s="1398"/>
      <c r="CJY50" s="1398"/>
      <c r="CJZ50" s="1398"/>
      <c r="CKA50" s="1398"/>
      <c r="CKB50" s="1398"/>
      <c r="CKC50" s="1398"/>
      <c r="CKD50" s="1398"/>
      <c r="CKE50" s="1398"/>
      <c r="CKF50" s="1398"/>
      <c r="CKG50" s="1398"/>
      <c r="CKH50" s="1398"/>
      <c r="CKI50" s="1398"/>
      <c r="CKJ50" s="1398"/>
      <c r="CKK50" s="1398"/>
      <c r="CKL50" s="1398"/>
      <c r="CKM50" s="1398"/>
      <c r="CKN50" s="1398"/>
      <c r="CKO50" s="1398"/>
      <c r="CKP50" s="1398"/>
      <c r="CKQ50" s="1398"/>
      <c r="CKR50" s="1398"/>
      <c r="CKS50" s="1398"/>
      <c r="CKT50" s="1398"/>
      <c r="CKU50" s="1398"/>
      <c r="CKV50" s="1398"/>
      <c r="CKW50" s="1398"/>
      <c r="CKX50" s="1398"/>
      <c r="CKY50" s="1398"/>
      <c r="CKZ50" s="1398"/>
      <c r="CLA50" s="1398"/>
      <c r="CLB50" s="1398"/>
      <c r="CLC50" s="1398"/>
      <c r="CLD50" s="1398"/>
      <c r="CLE50" s="1398"/>
      <c r="CLF50" s="1398"/>
      <c r="CLG50" s="1398"/>
      <c r="CLH50" s="1398"/>
      <c r="CLI50" s="1398"/>
      <c r="CLJ50" s="1398"/>
      <c r="CLK50" s="1398"/>
      <c r="CLL50" s="1398"/>
      <c r="CLM50" s="1398"/>
      <c r="CLN50" s="1398"/>
      <c r="CLO50" s="1398"/>
      <c r="CLP50" s="1398"/>
      <c r="CLQ50" s="1398"/>
      <c r="CLR50" s="1398"/>
      <c r="CLS50" s="1398"/>
      <c r="CLT50" s="1398"/>
      <c r="CLU50" s="1398"/>
      <c r="CLV50" s="1398"/>
      <c r="CLW50" s="1398"/>
      <c r="CLX50" s="1398"/>
      <c r="CLY50" s="1398"/>
      <c r="CLZ50" s="1398"/>
      <c r="CMA50" s="1398"/>
      <c r="CMB50" s="1398"/>
      <c r="CMC50" s="1398"/>
      <c r="CMD50" s="1398"/>
      <c r="CME50" s="1398"/>
      <c r="CMF50" s="1398"/>
      <c r="CMG50" s="1398"/>
      <c r="CMH50" s="1398"/>
      <c r="CMI50" s="1398"/>
      <c r="CMJ50" s="1398"/>
      <c r="CMK50" s="1398"/>
      <c r="CML50" s="1398"/>
      <c r="CMM50" s="1398"/>
      <c r="CMN50" s="1398"/>
      <c r="CMO50" s="1398"/>
      <c r="CMP50" s="1398"/>
      <c r="CMQ50" s="1398"/>
      <c r="CMR50" s="1398"/>
      <c r="CMS50" s="1398"/>
      <c r="CMT50" s="1398"/>
      <c r="CMU50" s="1398"/>
      <c r="CMV50" s="1398"/>
      <c r="CMW50" s="1398"/>
      <c r="CMX50" s="1398"/>
      <c r="CMY50" s="1398"/>
      <c r="CMZ50" s="1398"/>
      <c r="CNA50" s="1398"/>
      <c r="CNB50" s="1398"/>
      <c r="CNC50" s="1398"/>
      <c r="CND50" s="1398"/>
      <c r="CNE50" s="1398"/>
      <c r="CNF50" s="1398"/>
      <c r="CNG50" s="1398"/>
      <c r="CNH50" s="1398"/>
      <c r="CNI50" s="1398"/>
      <c r="CNJ50" s="1398"/>
      <c r="CNK50" s="1398"/>
      <c r="CNL50" s="1398"/>
      <c r="CNM50" s="1398"/>
      <c r="CNN50" s="1398"/>
      <c r="CNO50" s="1398"/>
      <c r="CNP50" s="1398"/>
      <c r="CNQ50" s="1398"/>
      <c r="CNR50" s="1398"/>
      <c r="CNS50" s="1398"/>
      <c r="CNT50" s="1398"/>
      <c r="CNU50" s="1398"/>
      <c r="CNV50" s="1398"/>
      <c r="CNW50" s="1398"/>
      <c r="CNX50" s="1398"/>
      <c r="CNY50" s="1398"/>
      <c r="CNZ50" s="1398"/>
      <c r="COA50" s="1398"/>
      <c r="COB50" s="1398"/>
      <c r="COC50" s="1398"/>
      <c r="COD50" s="1398"/>
      <c r="COE50" s="1398"/>
      <c r="COF50" s="1398"/>
      <c r="COG50" s="1398"/>
      <c r="COH50" s="1398"/>
      <c r="COI50" s="1398"/>
      <c r="COJ50" s="1398"/>
      <c r="COK50" s="1398"/>
      <c r="COL50" s="1398"/>
      <c r="COM50" s="1398"/>
      <c r="CON50" s="1398"/>
      <c r="COO50" s="1398"/>
      <c r="COP50" s="1398"/>
      <c r="COQ50" s="1398"/>
      <c r="COR50" s="1398"/>
      <c r="COS50" s="1398"/>
      <c r="COT50" s="1398"/>
      <c r="COU50" s="1398"/>
      <c r="COV50" s="1398"/>
      <c r="COW50" s="1398"/>
      <c r="COX50" s="1398"/>
      <c r="COY50" s="1398"/>
      <c r="COZ50" s="1398"/>
      <c r="CPA50" s="1398"/>
      <c r="CPB50" s="1398"/>
      <c r="CPC50" s="1398"/>
      <c r="CPD50" s="1398"/>
      <c r="CPE50" s="1398"/>
      <c r="CPF50" s="1398"/>
      <c r="CPG50" s="1398"/>
      <c r="CPH50" s="1398"/>
      <c r="CPI50" s="1398"/>
      <c r="CPJ50" s="1398"/>
      <c r="CPK50" s="1398"/>
      <c r="CPL50" s="1398"/>
      <c r="CPM50" s="1398"/>
      <c r="CPN50" s="1398"/>
      <c r="CPO50" s="1398"/>
      <c r="CPP50" s="1398"/>
      <c r="CPQ50" s="1398"/>
      <c r="CPR50" s="1398"/>
      <c r="CPS50" s="1398"/>
      <c r="CPT50" s="1398"/>
      <c r="CPU50" s="1398"/>
      <c r="CPV50" s="1398"/>
      <c r="CPW50" s="1398"/>
      <c r="CPX50" s="1398"/>
      <c r="CPY50" s="1398"/>
      <c r="CPZ50" s="1398"/>
      <c r="CQA50" s="1398"/>
      <c r="CQB50" s="1398"/>
      <c r="CQC50" s="1398"/>
      <c r="CQD50" s="1398"/>
      <c r="CQE50" s="1398"/>
      <c r="CQF50" s="1398"/>
      <c r="CQG50" s="1398"/>
      <c r="CQH50" s="1398"/>
      <c r="CQI50" s="1398"/>
      <c r="CQJ50" s="1398"/>
      <c r="CQK50" s="1398"/>
      <c r="CQL50" s="1398"/>
      <c r="CQM50" s="1398"/>
      <c r="CQN50" s="1398"/>
      <c r="CQO50" s="1398"/>
      <c r="CQP50" s="1398"/>
      <c r="CQQ50" s="1398"/>
      <c r="CQR50" s="1398"/>
      <c r="CQS50" s="1398"/>
      <c r="CQT50" s="1398"/>
      <c r="CQU50" s="1398"/>
      <c r="CQV50" s="1398"/>
      <c r="CQW50" s="1398"/>
      <c r="CQX50" s="1398"/>
      <c r="CQY50" s="1398"/>
      <c r="CQZ50" s="1398"/>
      <c r="CRA50" s="1398"/>
      <c r="CRB50" s="1398"/>
      <c r="CRC50" s="1398"/>
      <c r="CRD50" s="1398"/>
      <c r="CRE50" s="1398"/>
      <c r="CRF50" s="1398"/>
      <c r="CRG50" s="1398"/>
      <c r="CRH50" s="1398"/>
      <c r="CRI50" s="1398"/>
      <c r="CRJ50" s="1398"/>
      <c r="CRK50" s="1398"/>
      <c r="CRL50" s="1398"/>
      <c r="CRM50" s="1398"/>
      <c r="CRN50" s="1398"/>
      <c r="CRO50" s="1398"/>
      <c r="CRP50" s="1398"/>
      <c r="CRQ50" s="1398"/>
      <c r="CRR50" s="1398"/>
      <c r="CRS50" s="1398"/>
      <c r="CRT50" s="1398"/>
      <c r="CRU50" s="1398"/>
      <c r="CRV50" s="1398"/>
      <c r="CRW50" s="1398"/>
      <c r="CRX50" s="1398"/>
      <c r="CRY50" s="1398"/>
      <c r="CRZ50" s="1398"/>
      <c r="CSA50" s="1398"/>
      <c r="CSB50" s="1398"/>
      <c r="CSC50" s="1398"/>
      <c r="CSD50" s="1398"/>
      <c r="CSE50" s="1398"/>
      <c r="CSF50" s="1398"/>
      <c r="CSG50" s="1398"/>
      <c r="CSH50" s="1398"/>
      <c r="CSI50" s="1398"/>
      <c r="CSJ50" s="1398"/>
      <c r="CSK50" s="1398"/>
      <c r="CSL50" s="1398"/>
      <c r="CSM50" s="1398"/>
      <c r="CSN50" s="1398"/>
      <c r="CSO50" s="1398"/>
      <c r="CSP50" s="1398"/>
      <c r="CSQ50" s="1398"/>
      <c r="CSR50" s="1398"/>
      <c r="CSS50" s="1398"/>
      <c r="CST50" s="1398"/>
      <c r="CSU50" s="1398"/>
      <c r="CSV50" s="1398"/>
      <c r="CSW50" s="1398"/>
      <c r="CSX50" s="1398"/>
      <c r="CSY50" s="1398"/>
      <c r="CSZ50" s="1398"/>
      <c r="CTA50" s="1398"/>
      <c r="CTB50" s="1398"/>
      <c r="CTC50" s="1398"/>
      <c r="CTD50" s="1398"/>
      <c r="CTE50" s="1398"/>
      <c r="CTF50" s="1398"/>
      <c r="CTG50" s="1398"/>
      <c r="CTH50" s="1398"/>
      <c r="CTI50" s="1398"/>
      <c r="CTJ50" s="1398"/>
      <c r="CTK50" s="1398"/>
      <c r="CTL50" s="1398"/>
      <c r="CTM50" s="1398"/>
      <c r="CTN50" s="1398"/>
      <c r="CTO50" s="1398"/>
      <c r="CTP50" s="1398"/>
      <c r="CTQ50" s="1398"/>
      <c r="CTR50" s="1398"/>
      <c r="CTS50" s="1398"/>
      <c r="CTT50" s="1398"/>
      <c r="CTU50" s="1398"/>
      <c r="CTV50" s="1398"/>
      <c r="CTW50" s="1398"/>
      <c r="CTX50" s="1398"/>
      <c r="CTY50" s="1398"/>
      <c r="CTZ50" s="1398"/>
      <c r="CUA50" s="1398"/>
      <c r="CUB50" s="1398"/>
      <c r="CUC50" s="1398"/>
      <c r="CUD50" s="1398"/>
      <c r="CUE50" s="1398"/>
      <c r="CUF50" s="1398"/>
      <c r="CUG50" s="1398"/>
      <c r="CUH50" s="1398"/>
      <c r="CUI50" s="1398"/>
      <c r="CUJ50" s="1398"/>
      <c r="CUK50" s="1398"/>
      <c r="CUL50" s="1398"/>
      <c r="CUM50" s="1398"/>
      <c r="CUN50" s="1398"/>
      <c r="CUO50" s="1398"/>
      <c r="CUP50" s="1398"/>
      <c r="CUQ50" s="1398"/>
      <c r="CUR50" s="1398"/>
      <c r="CUS50" s="1398"/>
      <c r="CUT50" s="1398"/>
      <c r="CUU50" s="1398"/>
      <c r="CUV50" s="1398"/>
      <c r="CUW50" s="1398"/>
      <c r="CUX50" s="1398"/>
      <c r="CUY50" s="1398"/>
      <c r="CUZ50" s="1398"/>
      <c r="CVA50" s="1398"/>
      <c r="CVB50" s="1398"/>
      <c r="CVC50" s="1398"/>
      <c r="CVD50" s="1398"/>
      <c r="CVE50" s="1398"/>
      <c r="CVF50" s="1398"/>
      <c r="CVG50" s="1398"/>
      <c r="CVH50" s="1398"/>
      <c r="CVI50" s="1398"/>
      <c r="CVJ50" s="1398"/>
      <c r="CVK50" s="1398"/>
      <c r="CVL50" s="1398"/>
      <c r="CVM50" s="1398"/>
      <c r="CVN50" s="1398"/>
      <c r="CVO50" s="1398"/>
      <c r="CVP50" s="1398"/>
      <c r="CVQ50" s="1398"/>
      <c r="CVR50" s="1398"/>
      <c r="CVS50" s="1398"/>
      <c r="CVT50" s="1398"/>
      <c r="CVU50" s="1398"/>
      <c r="CVV50" s="1398"/>
      <c r="CVW50" s="1398"/>
      <c r="CVX50" s="1398"/>
      <c r="CVY50" s="1398"/>
      <c r="CVZ50" s="1398"/>
      <c r="CWA50" s="1398"/>
      <c r="CWB50" s="1398"/>
      <c r="CWC50" s="1398"/>
      <c r="CWD50" s="1398"/>
      <c r="CWE50" s="1398"/>
      <c r="CWF50" s="1398"/>
      <c r="CWG50" s="1398"/>
      <c r="CWH50" s="1398"/>
      <c r="CWI50" s="1398"/>
      <c r="CWJ50" s="1398"/>
      <c r="CWK50" s="1398"/>
      <c r="CWL50" s="1398"/>
      <c r="CWM50" s="1398"/>
      <c r="CWN50" s="1398"/>
      <c r="CWO50" s="1398"/>
      <c r="CWP50" s="1398"/>
      <c r="CWQ50" s="1398"/>
      <c r="CWR50" s="1398"/>
      <c r="CWS50" s="1398"/>
      <c r="CWT50" s="1398"/>
      <c r="CWU50" s="1398"/>
      <c r="CWV50" s="1398"/>
      <c r="CWW50" s="1398"/>
      <c r="CWX50" s="1398"/>
      <c r="CWY50" s="1398"/>
      <c r="CWZ50" s="1398"/>
      <c r="CXA50" s="1398"/>
      <c r="CXB50" s="1398"/>
      <c r="CXC50" s="1398"/>
      <c r="CXD50" s="1398"/>
      <c r="CXE50" s="1398"/>
      <c r="CXF50" s="1398"/>
      <c r="CXG50" s="1398"/>
      <c r="CXH50" s="1398"/>
      <c r="CXI50" s="1398"/>
      <c r="CXJ50" s="1398"/>
      <c r="CXK50" s="1398"/>
      <c r="CXL50" s="1398"/>
      <c r="CXM50" s="1398"/>
      <c r="CXN50" s="1398"/>
      <c r="CXO50" s="1398"/>
      <c r="CXP50" s="1398"/>
      <c r="CXQ50" s="1398"/>
      <c r="CXR50" s="1398"/>
      <c r="CXS50" s="1398"/>
      <c r="CXT50" s="1398"/>
      <c r="CXU50" s="1398"/>
      <c r="CXV50" s="1398"/>
      <c r="CXW50" s="1398"/>
      <c r="CXX50" s="1398"/>
      <c r="CXY50" s="1398"/>
      <c r="CXZ50" s="1398"/>
      <c r="CYA50" s="1398"/>
      <c r="CYB50" s="1398"/>
      <c r="CYC50" s="1398"/>
      <c r="CYD50" s="1398"/>
      <c r="CYE50" s="1398"/>
      <c r="CYF50" s="1398"/>
      <c r="CYG50" s="1398"/>
      <c r="CYH50" s="1398"/>
      <c r="CYI50" s="1398"/>
      <c r="CYJ50" s="1398"/>
      <c r="CYK50" s="1398"/>
      <c r="CYL50" s="1398"/>
      <c r="CYM50" s="1398"/>
      <c r="CYN50" s="1398"/>
      <c r="CYO50" s="1398"/>
      <c r="CYP50" s="1398"/>
      <c r="CYQ50" s="1398"/>
      <c r="CYR50" s="1398"/>
      <c r="CYS50" s="1398"/>
      <c r="CYT50" s="1398"/>
      <c r="CYU50" s="1398"/>
      <c r="CYV50" s="1398"/>
      <c r="CYW50" s="1398"/>
      <c r="CYX50" s="1398"/>
      <c r="CYY50" s="1398"/>
      <c r="CYZ50" s="1398"/>
      <c r="CZA50" s="1398"/>
      <c r="CZB50" s="1398"/>
      <c r="CZC50" s="1398"/>
      <c r="CZD50" s="1398"/>
      <c r="CZE50" s="1398"/>
      <c r="CZF50" s="1398"/>
      <c r="CZG50" s="1398"/>
      <c r="CZH50" s="1398"/>
      <c r="CZI50" s="1398"/>
      <c r="CZJ50" s="1398"/>
      <c r="CZK50" s="1398"/>
      <c r="CZL50" s="1398"/>
      <c r="CZM50" s="1398"/>
      <c r="CZN50" s="1398"/>
      <c r="CZO50" s="1398"/>
      <c r="CZP50" s="1398"/>
      <c r="CZQ50" s="1398"/>
      <c r="CZR50" s="1398"/>
      <c r="CZS50" s="1398"/>
      <c r="CZT50" s="1398"/>
      <c r="CZU50" s="1398"/>
      <c r="CZV50" s="1398"/>
      <c r="CZW50" s="1398"/>
      <c r="CZX50" s="1398"/>
      <c r="CZY50" s="1398"/>
      <c r="CZZ50" s="1398"/>
      <c r="DAA50" s="1398"/>
      <c r="DAB50" s="1398"/>
      <c r="DAC50" s="1398"/>
      <c r="DAD50" s="1398"/>
      <c r="DAE50" s="1398"/>
      <c r="DAF50" s="1398"/>
      <c r="DAG50" s="1398"/>
      <c r="DAH50" s="1398"/>
      <c r="DAI50" s="1398"/>
      <c r="DAJ50" s="1398"/>
      <c r="DAK50" s="1398"/>
      <c r="DAL50" s="1398"/>
      <c r="DAM50" s="1398"/>
      <c r="DAN50" s="1398"/>
      <c r="DAO50" s="1398"/>
      <c r="DAP50" s="1398"/>
      <c r="DAQ50" s="1398"/>
      <c r="DAR50" s="1398"/>
      <c r="DAS50" s="1398"/>
      <c r="DAT50" s="1398"/>
      <c r="DAU50" s="1398"/>
      <c r="DAV50" s="1398"/>
      <c r="DAW50" s="1398"/>
      <c r="DAX50" s="1398"/>
      <c r="DAY50" s="1398"/>
      <c r="DAZ50" s="1398"/>
      <c r="DBA50" s="1398"/>
      <c r="DBB50" s="1398"/>
      <c r="DBC50" s="1398"/>
      <c r="DBD50" s="1398"/>
      <c r="DBE50" s="1398"/>
      <c r="DBF50" s="1398"/>
      <c r="DBG50" s="1398"/>
      <c r="DBH50" s="1398"/>
      <c r="DBI50" s="1398"/>
      <c r="DBJ50" s="1398"/>
      <c r="DBK50" s="1398"/>
      <c r="DBL50" s="1398"/>
      <c r="DBM50" s="1398"/>
      <c r="DBN50" s="1398"/>
      <c r="DBO50" s="1398"/>
      <c r="DBP50" s="1398"/>
      <c r="DBQ50" s="1398"/>
      <c r="DBR50" s="1398"/>
      <c r="DBS50" s="1398"/>
      <c r="DBT50" s="1398"/>
      <c r="DBU50" s="1398"/>
      <c r="DBV50" s="1398"/>
      <c r="DBW50" s="1398"/>
      <c r="DBX50" s="1398"/>
      <c r="DBY50" s="1398"/>
      <c r="DBZ50" s="1398"/>
      <c r="DCA50" s="1398"/>
      <c r="DCB50" s="1398"/>
      <c r="DCC50" s="1398"/>
      <c r="DCD50" s="1398"/>
      <c r="DCE50" s="1398"/>
      <c r="DCF50" s="1398"/>
      <c r="DCG50" s="1398"/>
      <c r="DCH50" s="1398"/>
      <c r="DCI50" s="1398"/>
      <c r="DCJ50" s="1398"/>
      <c r="DCK50" s="1398"/>
      <c r="DCL50" s="1398"/>
      <c r="DCM50" s="1398"/>
      <c r="DCN50" s="1398"/>
      <c r="DCO50" s="1398"/>
      <c r="DCP50" s="1398"/>
      <c r="DCQ50" s="1398"/>
      <c r="DCR50" s="1398"/>
      <c r="DCS50" s="1398"/>
      <c r="DCT50" s="1398"/>
      <c r="DCU50" s="1398"/>
      <c r="DCV50" s="1398"/>
      <c r="DCW50" s="1398"/>
      <c r="DCX50" s="1398"/>
      <c r="DCY50" s="1398"/>
      <c r="DCZ50" s="1398"/>
      <c r="DDA50" s="1398"/>
      <c r="DDB50" s="1398"/>
      <c r="DDC50" s="1398"/>
      <c r="DDD50" s="1398"/>
      <c r="DDE50" s="1398"/>
      <c r="DDF50" s="1398"/>
      <c r="DDG50" s="1398"/>
      <c r="DDH50" s="1398"/>
      <c r="DDI50" s="1398"/>
      <c r="DDJ50" s="1398"/>
      <c r="DDK50" s="1398"/>
      <c r="DDL50" s="1398"/>
      <c r="DDM50" s="1398"/>
      <c r="DDN50" s="1398"/>
      <c r="DDO50" s="1398"/>
      <c r="DDP50" s="1398"/>
      <c r="DDQ50" s="1398"/>
      <c r="DDR50" s="1398"/>
      <c r="DDS50" s="1398"/>
      <c r="DDT50" s="1398"/>
      <c r="DDU50" s="1398"/>
      <c r="DDV50" s="1398"/>
      <c r="DDW50" s="1398"/>
      <c r="DDX50" s="1398"/>
      <c r="DDY50" s="1398"/>
      <c r="DDZ50" s="1398"/>
      <c r="DEA50" s="1398"/>
      <c r="DEB50" s="1398"/>
      <c r="DEC50" s="1398"/>
      <c r="DED50" s="1398"/>
      <c r="DEE50" s="1398"/>
      <c r="DEF50" s="1398"/>
      <c r="DEG50" s="1398"/>
      <c r="DEH50" s="1398"/>
      <c r="DEI50" s="1398"/>
      <c r="DEJ50" s="1398"/>
      <c r="DEK50" s="1398"/>
      <c r="DEL50" s="1398"/>
      <c r="DEM50" s="1398"/>
      <c r="DEN50" s="1398"/>
      <c r="DEO50" s="1398"/>
      <c r="DEP50" s="1398"/>
      <c r="DEQ50" s="1398"/>
      <c r="DER50" s="1398"/>
      <c r="DES50" s="1398"/>
      <c r="DET50" s="1398"/>
      <c r="DEU50" s="1398"/>
      <c r="DEV50" s="1398"/>
      <c r="DEW50" s="1398"/>
      <c r="DEX50" s="1398"/>
      <c r="DEY50" s="1398"/>
      <c r="DEZ50" s="1398"/>
      <c r="DFA50" s="1398"/>
      <c r="DFB50" s="1398"/>
      <c r="DFC50" s="1398"/>
      <c r="DFD50" s="1398"/>
      <c r="DFE50" s="1398"/>
      <c r="DFF50" s="1398"/>
      <c r="DFG50" s="1398"/>
      <c r="DFH50" s="1398"/>
      <c r="DFI50" s="1398"/>
      <c r="DFJ50" s="1398"/>
      <c r="DFK50" s="1398"/>
      <c r="DFL50" s="1398"/>
      <c r="DFM50" s="1398"/>
      <c r="DFN50" s="1398"/>
      <c r="DFO50" s="1398"/>
      <c r="DFP50" s="1398"/>
      <c r="DFQ50" s="1398"/>
      <c r="DFR50" s="1398"/>
      <c r="DFS50" s="1398"/>
      <c r="DFT50" s="1398"/>
      <c r="DFU50" s="1398"/>
      <c r="DFV50" s="1398"/>
      <c r="DFW50" s="1398"/>
      <c r="DFX50" s="1398"/>
      <c r="DFY50" s="1398"/>
      <c r="DFZ50" s="1398"/>
      <c r="DGA50" s="1398"/>
      <c r="DGB50" s="1398"/>
      <c r="DGC50" s="1398"/>
      <c r="DGD50" s="1398"/>
      <c r="DGE50" s="1398"/>
      <c r="DGF50" s="1398"/>
      <c r="DGG50" s="1398"/>
      <c r="DGH50" s="1398"/>
      <c r="DGI50" s="1398"/>
      <c r="DGJ50" s="1398"/>
      <c r="DGK50" s="1398"/>
      <c r="DGL50" s="1398"/>
      <c r="DGM50" s="1398"/>
      <c r="DGN50" s="1398"/>
      <c r="DGO50" s="1398"/>
      <c r="DGP50" s="1398"/>
      <c r="DGQ50" s="1398"/>
      <c r="DGR50" s="1398"/>
      <c r="DGS50" s="1398"/>
      <c r="DGT50" s="1398"/>
      <c r="DGU50" s="1398"/>
      <c r="DGV50" s="1398"/>
      <c r="DGW50" s="1398"/>
      <c r="DGX50" s="1398"/>
      <c r="DGY50" s="1398"/>
      <c r="DGZ50" s="1398"/>
      <c r="DHA50" s="1398"/>
      <c r="DHB50" s="1398"/>
      <c r="DHC50" s="1398"/>
      <c r="DHD50" s="1398"/>
      <c r="DHE50" s="1398"/>
      <c r="DHF50" s="1398"/>
      <c r="DHG50" s="1398"/>
      <c r="DHH50" s="1398"/>
      <c r="DHI50" s="1398"/>
      <c r="DHJ50" s="1398"/>
      <c r="DHK50" s="1398"/>
      <c r="DHL50" s="1398"/>
      <c r="DHM50" s="1398"/>
      <c r="DHN50" s="1398"/>
      <c r="DHO50" s="1398"/>
      <c r="DHP50" s="1398"/>
      <c r="DHQ50" s="1398"/>
      <c r="DHR50" s="1398"/>
      <c r="DHS50" s="1398"/>
      <c r="DHT50" s="1398"/>
      <c r="DHU50" s="1398"/>
      <c r="DHV50" s="1398"/>
      <c r="DHW50" s="1398"/>
      <c r="DHX50" s="1398"/>
      <c r="DHY50" s="1398"/>
      <c r="DHZ50" s="1398"/>
      <c r="DIA50" s="1398"/>
      <c r="DIB50" s="1398"/>
      <c r="DIC50" s="1398"/>
      <c r="DID50" s="1398"/>
      <c r="DIE50" s="1398"/>
      <c r="DIF50" s="1398"/>
      <c r="DIG50" s="1398"/>
      <c r="DIH50" s="1398"/>
      <c r="DII50" s="1398"/>
      <c r="DIJ50" s="1398"/>
      <c r="DIK50" s="1398"/>
      <c r="DIL50" s="1398"/>
      <c r="DIM50" s="1398"/>
      <c r="DIN50" s="1398"/>
      <c r="DIO50" s="1398"/>
      <c r="DIP50" s="1398"/>
      <c r="DIQ50" s="1398"/>
      <c r="DIR50" s="1398"/>
      <c r="DIS50" s="1398"/>
      <c r="DIT50" s="1398"/>
      <c r="DIU50" s="1398"/>
      <c r="DIV50" s="1398"/>
      <c r="DIW50" s="1398"/>
      <c r="DIX50" s="1398"/>
      <c r="DIY50" s="1398"/>
      <c r="DIZ50" s="1398"/>
      <c r="DJA50" s="1398"/>
      <c r="DJB50" s="1398"/>
      <c r="DJC50" s="1398"/>
      <c r="DJD50" s="1398"/>
      <c r="DJE50" s="1398"/>
      <c r="DJF50" s="1398"/>
      <c r="DJG50" s="1398"/>
      <c r="DJH50" s="1398"/>
      <c r="DJI50" s="1398"/>
      <c r="DJJ50" s="1398"/>
      <c r="DJK50" s="1398"/>
      <c r="DJL50" s="1398"/>
      <c r="DJM50" s="1398"/>
      <c r="DJN50" s="1398"/>
      <c r="DJO50" s="1398"/>
      <c r="DJP50" s="1398"/>
      <c r="DJQ50" s="1398"/>
      <c r="DJR50" s="1398"/>
      <c r="DJS50" s="1398"/>
      <c r="DJT50" s="1398"/>
      <c r="DJU50" s="1398"/>
      <c r="DJV50" s="1398"/>
      <c r="DJW50" s="1398"/>
      <c r="DJX50" s="1398"/>
      <c r="DJY50" s="1398"/>
      <c r="DJZ50" s="1398"/>
      <c r="DKA50" s="1398"/>
      <c r="DKB50" s="1398"/>
      <c r="DKC50" s="1398"/>
      <c r="DKD50" s="1398"/>
      <c r="DKE50" s="1398"/>
      <c r="DKF50" s="1398"/>
      <c r="DKG50" s="1398"/>
      <c r="DKH50" s="1398"/>
      <c r="DKI50" s="1398"/>
      <c r="DKJ50" s="1398"/>
      <c r="DKK50" s="1398"/>
      <c r="DKL50" s="1398"/>
      <c r="DKM50" s="1398"/>
      <c r="DKN50" s="1398"/>
      <c r="DKO50" s="1398"/>
      <c r="DKP50" s="1398"/>
      <c r="DKQ50" s="1398"/>
      <c r="DKR50" s="1398"/>
      <c r="DKS50" s="1398"/>
      <c r="DKT50" s="1398"/>
      <c r="DKU50" s="1398"/>
      <c r="DKV50" s="1398"/>
      <c r="DKW50" s="1398"/>
      <c r="DKX50" s="1398"/>
      <c r="DKY50" s="1398"/>
      <c r="DKZ50" s="1398"/>
      <c r="DLA50" s="1398"/>
      <c r="DLB50" s="1398"/>
      <c r="DLC50" s="1398"/>
      <c r="DLD50" s="1398"/>
      <c r="DLE50" s="1398"/>
      <c r="DLF50" s="1398"/>
      <c r="DLG50" s="1398"/>
      <c r="DLH50" s="1398"/>
      <c r="DLI50" s="1398"/>
      <c r="DLJ50" s="1398"/>
      <c r="DLK50" s="1398"/>
      <c r="DLL50" s="1398"/>
      <c r="DLM50" s="1398"/>
      <c r="DLN50" s="1398"/>
      <c r="DLO50" s="1398"/>
      <c r="DLP50" s="1398"/>
      <c r="DLQ50" s="1398"/>
      <c r="DLR50" s="1398"/>
      <c r="DLS50" s="1398"/>
      <c r="DLT50" s="1398"/>
      <c r="DLU50" s="1398"/>
      <c r="DLV50" s="1398"/>
      <c r="DLW50" s="1398"/>
      <c r="DLX50" s="1398"/>
      <c r="DLY50" s="1398"/>
      <c r="DLZ50" s="1398"/>
      <c r="DMA50" s="1398"/>
      <c r="DMB50" s="1398"/>
      <c r="DMC50" s="1398"/>
      <c r="DMD50" s="1398"/>
      <c r="DME50" s="1398"/>
      <c r="DMF50" s="1398"/>
      <c r="DMG50" s="1398"/>
      <c r="DMH50" s="1398"/>
      <c r="DMI50" s="1398"/>
      <c r="DMJ50" s="1398"/>
      <c r="DMK50" s="1398"/>
      <c r="DML50" s="1398"/>
      <c r="DMM50" s="1398"/>
      <c r="DMN50" s="1398"/>
      <c r="DMO50" s="1398"/>
      <c r="DMP50" s="1398"/>
      <c r="DMQ50" s="1398"/>
      <c r="DMR50" s="1398"/>
      <c r="DMS50" s="1398"/>
      <c r="DMT50" s="1398"/>
      <c r="DMU50" s="1398"/>
      <c r="DMV50" s="1398"/>
      <c r="DMW50" s="1398"/>
      <c r="DMX50" s="1398"/>
      <c r="DMY50" s="1398"/>
      <c r="DMZ50" s="1398"/>
      <c r="DNA50" s="1398"/>
      <c r="DNB50" s="1398"/>
      <c r="DNC50" s="1398"/>
      <c r="DND50" s="1398"/>
      <c r="DNE50" s="1398"/>
      <c r="DNF50" s="1398"/>
      <c r="DNG50" s="1398"/>
      <c r="DNH50" s="1398"/>
      <c r="DNI50" s="1398"/>
      <c r="DNJ50" s="1398"/>
      <c r="DNK50" s="1398"/>
      <c r="DNL50" s="1398"/>
      <c r="DNM50" s="1398"/>
      <c r="DNN50" s="1398"/>
      <c r="DNO50" s="1398"/>
      <c r="DNP50" s="1398"/>
      <c r="DNQ50" s="1398"/>
      <c r="DNR50" s="1398"/>
      <c r="DNS50" s="1398"/>
      <c r="DNT50" s="1398"/>
      <c r="DNU50" s="1398"/>
      <c r="DNV50" s="1398"/>
      <c r="DNW50" s="1398"/>
      <c r="DNX50" s="1398"/>
      <c r="DNY50" s="1398"/>
      <c r="DNZ50" s="1398"/>
      <c r="DOA50" s="1398"/>
      <c r="DOB50" s="1398"/>
      <c r="DOC50" s="1398"/>
      <c r="DOD50" s="1398"/>
      <c r="DOE50" s="1398"/>
      <c r="DOF50" s="1398"/>
      <c r="DOG50" s="1398"/>
      <c r="DOH50" s="1398"/>
      <c r="DOI50" s="1398"/>
      <c r="DOJ50" s="1398"/>
      <c r="DOK50" s="1398"/>
      <c r="DOL50" s="1398"/>
      <c r="DOM50" s="1398"/>
      <c r="DON50" s="1398"/>
      <c r="DOO50" s="1398"/>
      <c r="DOP50" s="1398"/>
      <c r="DOQ50" s="1398"/>
      <c r="DOR50" s="1398"/>
      <c r="DOS50" s="1398"/>
      <c r="DOT50" s="1398"/>
      <c r="DOU50" s="1398"/>
      <c r="DOV50" s="1398"/>
      <c r="DOW50" s="1398"/>
      <c r="DOX50" s="1398"/>
      <c r="DOY50" s="1398"/>
      <c r="DOZ50" s="1398"/>
      <c r="DPA50" s="1398"/>
      <c r="DPB50" s="1398"/>
      <c r="DPC50" s="1398"/>
      <c r="DPD50" s="1398"/>
      <c r="DPE50" s="1398"/>
      <c r="DPF50" s="1398"/>
      <c r="DPG50" s="1398"/>
      <c r="DPH50" s="1398"/>
      <c r="DPI50" s="1398"/>
      <c r="DPJ50" s="1398"/>
      <c r="DPK50" s="1398"/>
      <c r="DPL50" s="1398"/>
      <c r="DPM50" s="1398"/>
      <c r="DPN50" s="1398"/>
      <c r="DPO50" s="1398"/>
      <c r="DPP50" s="1398"/>
      <c r="DPQ50" s="1398"/>
      <c r="DPR50" s="1398"/>
      <c r="DPS50" s="1398"/>
      <c r="DPT50" s="1398"/>
      <c r="DPU50" s="1398"/>
      <c r="DPV50" s="1398"/>
      <c r="DPW50" s="1398"/>
      <c r="DPX50" s="1398"/>
      <c r="DPY50" s="1398"/>
      <c r="DPZ50" s="1398"/>
      <c r="DQA50" s="1398"/>
      <c r="DQB50" s="1398"/>
      <c r="DQC50" s="1398"/>
      <c r="DQD50" s="1398"/>
      <c r="DQE50" s="1398"/>
      <c r="DQF50" s="1398"/>
      <c r="DQG50" s="1398"/>
      <c r="DQH50" s="1398"/>
      <c r="DQI50" s="1398"/>
      <c r="DQJ50" s="1398"/>
      <c r="DQK50" s="1398"/>
      <c r="DQL50" s="1398"/>
      <c r="DQM50" s="1398"/>
      <c r="DQN50" s="1398"/>
      <c r="DQO50" s="1398"/>
      <c r="DQP50" s="1398"/>
      <c r="DQQ50" s="1398"/>
      <c r="DQR50" s="1398"/>
      <c r="DQS50" s="1398"/>
      <c r="DQT50" s="1398"/>
      <c r="DQU50" s="1398"/>
      <c r="DQV50" s="1398"/>
      <c r="DQW50" s="1398"/>
      <c r="DQX50" s="1398"/>
      <c r="DQY50" s="1398"/>
      <c r="DQZ50" s="1398"/>
      <c r="DRA50" s="1398"/>
      <c r="DRB50" s="1398"/>
      <c r="DRC50" s="1398"/>
      <c r="DRD50" s="1398"/>
      <c r="DRE50" s="1398"/>
      <c r="DRF50" s="1398"/>
      <c r="DRG50" s="1398"/>
      <c r="DRH50" s="1398"/>
      <c r="DRI50" s="1398"/>
      <c r="DRJ50" s="1398"/>
      <c r="DRK50" s="1398"/>
      <c r="DRL50" s="1398"/>
      <c r="DRM50" s="1398"/>
      <c r="DRN50" s="1398"/>
      <c r="DRO50" s="1398"/>
      <c r="DRP50" s="1398"/>
      <c r="DRQ50" s="1398"/>
      <c r="DRR50" s="1398"/>
      <c r="DRS50" s="1398"/>
      <c r="DRT50" s="1398"/>
      <c r="DRU50" s="1398"/>
      <c r="DRV50" s="1398"/>
      <c r="DRW50" s="1398"/>
      <c r="DRX50" s="1398"/>
      <c r="DRY50" s="1398"/>
      <c r="DRZ50" s="1398"/>
      <c r="DSA50" s="1398"/>
      <c r="DSB50" s="1398"/>
      <c r="DSC50" s="1398"/>
      <c r="DSD50" s="1398"/>
      <c r="DSE50" s="1398"/>
      <c r="DSF50" s="1398"/>
      <c r="DSG50" s="1398"/>
      <c r="DSH50" s="1398"/>
      <c r="DSI50" s="1398"/>
      <c r="DSJ50" s="1398"/>
      <c r="DSK50" s="1398"/>
      <c r="DSL50" s="1398"/>
      <c r="DSM50" s="1398"/>
      <c r="DSN50" s="1398"/>
      <c r="DSO50" s="1398"/>
      <c r="DSP50" s="1398"/>
      <c r="DSQ50" s="1398"/>
      <c r="DSR50" s="1398"/>
      <c r="DSS50" s="1398"/>
      <c r="DST50" s="1398"/>
      <c r="DSU50" s="1398"/>
      <c r="DSV50" s="1398"/>
      <c r="DSW50" s="1398"/>
      <c r="DSX50" s="1398"/>
      <c r="DSY50" s="1398"/>
      <c r="DSZ50" s="1398"/>
      <c r="DTA50" s="1398"/>
      <c r="DTB50" s="1398"/>
      <c r="DTC50" s="1398"/>
      <c r="DTD50" s="1398"/>
      <c r="DTE50" s="1398"/>
      <c r="DTF50" s="1398"/>
      <c r="DTG50" s="1398"/>
      <c r="DTH50" s="1398"/>
      <c r="DTI50" s="1398"/>
      <c r="DTJ50" s="1398"/>
      <c r="DTK50" s="1398"/>
      <c r="DTL50" s="1398"/>
      <c r="DTM50" s="1398"/>
      <c r="DTN50" s="1398"/>
      <c r="DTO50" s="1398"/>
      <c r="DTP50" s="1398"/>
      <c r="DTQ50" s="1398"/>
      <c r="DTR50" s="1398"/>
      <c r="DTS50" s="1398"/>
      <c r="DTT50" s="1398"/>
      <c r="DTU50" s="1398"/>
      <c r="DTV50" s="1398"/>
      <c r="DTW50" s="1398"/>
      <c r="DTX50" s="1398"/>
      <c r="DTY50" s="1398"/>
      <c r="DTZ50" s="1398"/>
      <c r="DUA50" s="1398"/>
      <c r="DUB50" s="1398"/>
      <c r="DUC50" s="1398"/>
      <c r="DUD50" s="1398"/>
      <c r="DUE50" s="1398"/>
      <c r="DUF50" s="1398"/>
      <c r="DUG50" s="1398"/>
      <c r="DUH50" s="1398"/>
      <c r="DUI50" s="1398"/>
      <c r="DUJ50" s="1398"/>
      <c r="DUK50" s="1398"/>
      <c r="DUL50" s="1398"/>
      <c r="DUM50" s="1398"/>
      <c r="DUN50" s="1398"/>
      <c r="DUO50" s="1398"/>
      <c r="DUP50" s="1398"/>
      <c r="DUQ50" s="1398"/>
      <c r="DUR50" s="1398"/>
      <c r="DUS50" s="1398"/>
      <c r="DUT50" s="1398"/>
      <c r="DUU50" s="1398"/>
      <c r="DUV50" s="1398"/>
      <c r="DUW50" s="1398"/>
      <c r="DUX50" s="1398"/>
      <c r="DUY50" s="1398"/>
      <c r="DUZ50" s="1398"/>
      <c r="DVA50" s="1398"/>
      <c r="DVB50" s="1398"/>
      <c r="DVC50" s="1398"/>
      <c r="DVD50" s="1398"/>
      <c r="DVE50" s="1398"/>
      <c r="DVF50" s="1398"/>
      <c r="DVG50" s="1398"/>
      <c r="DVH50" s="1398"/>
      <c r="DVI50" s="1398"/>
      <c r="DVJ50" s="1398"/>
      <c r="DVK50" s="1398"/>
      <c r="DVL50" s="1398"/>
      <c r="DVM50" s="1398"/>
      <c r="DVN50" s="1398"/>
      <c r="DVO50" s="1398"/>
      <c r="DVP50" s="1398"/>
      <c r="DVQ50" s="1398"/>
      <c r="DVR50" s="1398"/>
      <c r="DVS50" s="1398"/>
      <c r="DVT50" s="1398"/>
      <c r="DVU50" s="1398"/>
      <c r="DVV50" s="1398"/>
      <c r="DVW50" s="1398"/>
      <c r="DVX50" s="1398"/>
      <c r="DVY50" s="1398"/>
      <c r="DVZ50" s="1398"/>
      <c r="DWA50" s="1398"/>
      <c r="DWB50" s="1398"/>
      <c r="DWC50" s="1398"/>
      <c r="DWD50" s="1398"/>
      <c r="DWE50" s="1398"/>
      <c r="DWF50" s="1398"/>
      <c r="DWG50" s="1398"/>
      <c r="DWH50" s="1398"/>
      <c r="DWI50" s="1398"/>
      <c r="DWJ50" s="1398"/>
      <c r="DWK50" s="1398"/>
      <c r="DWL50" s="1398"/>
      <c r="DWM50" s="1398"/>
      <c r="DWN50" s="1398"/>
      <c r="DWO50" s="1398"/>
      <c r="DWP50" s="1398"/>
      <c r="DWQ50" s="1398"/>
      <c r="DWR50" s="1398"/>
      <c r="DWS50" s="1398"/>
      <c r="DWT50" s="1398"/>
      <c r="DWU50" s="1398"/>
      <c r="DWV50" s="1398"/>
      <c r="DWW50" s="1398"/>
      <c r="DWX50" s="1398"/>
      <c r="DWY50" s="1398"/>
      <c r="DWZ50" s="1398"/>
      <c r="DXA50" s="1398"/>
      <c r="DXB50" s="1398"/>
      <c r="DXC50" s="1398"/>
      <c r="DXD50" s="1398"/>
      <c r="DXE50" s="1398"/>
      <c r="DXF50" s="1398"/>
      <c r="DXG50" s="1398"/>
      <c r="DXH50" s="1398"/>
      <c r="DXI50" s="1398"/>
      <c r="DXJ50" s="1398"/>
      <c r="DXK50" s="1398"/>
      <c r="DXL50" s="1398"/>
      <c r="DXM50" s="1398"/>
      <c r="DXN50" s="1398"/>
      <c r="DXO50" s="1398"/>
      <c r="DXP50" s="1398"/>
      <c r="DXQ50" s="1398"/>
      <c r="DXR50" s="1398"/>
      <c r="DXS50" s="1398"/>
      <c r="DXT50" s="1398"/>
      <c r="DXU50" s="1398"/>
      <c r="DXV50" s="1398"/>
      <c r="DXW50" s="1398"/>
      <c r="DXX50" s="1398"/>
      <c r="DXY50" s="1398"/>
      <c r="DXZ50" s="1398"/>
      <c r="DYA50" s="1398"/>
      <c r="DYB50" s="1398"/>
      <c r="DYC50" s="1398"/>
      <c r="DYD50" s="1398"/>
      <c r="DYE50" s="1398"/>
      <c r="DYF50" s="1398"/>
      <c r="DYG50" s="1398"/>
      <c r="DYH50" s="1398"/>
      <c r="DYI50" s="1398"/>
      <c r="DYJ50" s="1398"/>
      <c r="DYK50" s="1398"/>
      <c r="DYL50" s="1398"/>
      <c r="DYM50" s="1398"/>
      <c r="DYN50" s="1398"/>
      <c r="DYO50" s="1398"/>
      <c r="DYP50" s="1398"/>
      <c r="DYQ50" s="1398"/>
      <c r="DYR50" s="1398"/>
      <c r="DYS50" s="1398"/>
      <c r="DYT50" s="1398"/>
      <c r="DYU50" s="1398"/>
      <c r="DYV50" s="1398"/>
      <c r="DYW50" s="1398"/>
      <c r="DYX50" s="1398"/>
      <c r="DYY50" s="1398"/>
      <c r="DYZ50" s="1398"/>
      <c r="DZA50" s="1398"/>
      <c r="DZB50" s="1398"/>
      <c r="DZC50" s="1398"/>
      <c r="DZD50" s="1398"/>
      <c r="DZE50" s="1398"/>
      <c r="DZF50" s="1398"/>
      <c r="DZG50" s="1398"/>
      <c r="DZH50" s="1398"/>
      <c r="DZI50" s="1398"/>
      <c r="DZJ50" s="1398"/>
      <c r="DZK50" s="1398"/>
      <c r="DZL50" s="1398"/>
      <c r="DZM50" s="1398"/>
      <c r="DZN50" s="1398"/>
      <c r="DZO50" s="1398"/>
      <c r="DZP50" s="1398"/>
      <c r="DZQ50" s="1398"/>
      <c r="DZR50" s="1398"/>
      <c r="DZS50" s="1398"/>
      <c r="DZT50" s="1398"/>
      <c r="DZU50" s="1398"/>
      <c r="DZV50" s="1398"/>
      <c r="DZW50" s="1398"/>
      <c r="DZX50" s="1398"/>
      <c r="DZY50" s="1398"/>
      <c r="DZZ50" s="1398"/>
      <c r="EAA50" s="1398"/>
      <c r="EAB50" s="1398"/>
      <c r="EAC50" s="1398"/>
      <c r="EAD50" s="1398"/>
      <c r="EAE50" s="1398"/>
      <c r="EAF50" s="1398"/>
      <c r="EAG50" s="1398"/>
      <c r="EAH50" s="1398"/>
      <c r="EAI50" s="1398"/>
      <c r="EAJ50" s="1398"/>
      <c r="EAK50" s="1398"/>
      <c r="EAL50" s="1398"/>
      <c r="EAM50" s="1398"/>
      <c r="EAN50" s="1398"/>
      <c r="EAO50" s="1398"/>
      <c r="EAP50" s="1398"/>
      <c r="EAQ50" s="1398"/>
      <c r="EAR50" s="1398"/>
      <c r="EAS50" s="1398"/>
      <c r="EAT50" s="1398"/>
      <c r="EAU50" s="1398"/>
      <c r="EAV50" s="1398"/>
      <c r="EAW50" s="1398"/>
      <c r="EAX50" s="1398"/>
      <c r="EAY50" s="1398"/>
      <c r="EAZ50" s="1398"/>
      <c r="EBA50" s="1398"/>
      <c r="EBB50" s="1398"/>
      <c r="EBC50" s="1398"/>
      <c r="EBD50" s="1398"/>
      <c r="EBE50" s="1398"/>
      <c r="EBF50" s="1398"/>
      <c r="EBG50" s="1398"/>
      <c r="EBH50" s="1398"/>
      <c r="EBI50" s="1398"/>
      <c r="EBJ50" s="1398"/>
      <c r="EBK50" s="1398"/>
      <c r="EBL50" s="1398"/>
      <c r="EBM50" s="1398"/>
      <c r="EBN50" s="1398"/>
      <c r="EBO50" s="1398"/>
      <c r="EBP50" s="1398"/>
      <c r="EBQ50" s="1398"/>
      <c r="EBR50" s="1398"/>
      <c r="EBS50" s="1398"/>
      <c r="EBT50" s="1398"/>
      <c r="EBU50" s="1398"/>
      <c r="EBV50" s="1398"/>
      <c r="EBW50" s="1398"/>
      <c r="EBX50" s="1398"/>
      <c r="EBY50" s="1398"/>
      <c r="EBZ50" s="1398"/>
      <c r="ECA50" s="1398"/>
      <c r="ECB50" s="1398"/>
      <c r="ECC50" s="1398"/>
      <c r="ECD50" s="1398"/>
      <c r="ECE50" s="1398"/>
      <c r="ECF50" s="1398"/>
      <c r="ECG50" s="1398"/>
      <c r="ECH50" s="1398"/>
      <c r="ECI50" s="1398"/>
      <c r="ECJ50" s="1398"/>
      <c r="ECK50" s="1398"/>
      <c r="ECL50" s="1398"/>
      <c r="ECM50" s="1398"/>
      <c r="ECN50" s="1398"/>
      <c r="ECO50" s="1398"/>
      <c r="ECP50" s="1398"/>
      <c r="ECQ50" s="1398"/>
      <c r="ECR50" s="1398"/>
      <c r="ECS50" s="1398"/>
      <c r="ECT50" s="1398"/>
      <c r="ECU50" s="1398"/>
      <c r="ECV50" s="1398"/>
      <c r="ECW50" s="1398"/>
      <c r="ECX50" s="1398"/>
      <c r="ECY50" s="1398"/>
      <c r="ECZ50" s="1398"/>
      <c r="EDA50" s="1398"/>
      <c r="EDB50" s="1398"/>
      <c r="EDC50" s="1398"/>
      <c r="EDD50" s="1398"/>
      <c r="EDE50" s="1398"/>
      <c r="EDF50" s="1398"/>
      <c r="EDG50" s="1398"/>
      <c r="EDH50" s="1398"/>
      <c r="EDI50" s="1398"/>
      <c r="EDJ50" s="1398"/>
      <c r="EDK50" s="1398"/>
      <c r="EDL50" s="1398"/>
      <c r="EDM50" s="1398"/>
      <c r="EDN50" s="1398"/>
      <c r="EDO50" s="1398"/>
      <c r="EDP50" s="1398"/>
      <c r="EDQ50" s="1398"/>
      <c r="EDR50" s="1398"/>
      <c r="EDS50" s="1398"/>
      <c r="EDT50" s="1398"/>
      <c r="EDU50" s="1398"/>
      <c r="EDV50" s="1398"/>
      <c r="EDW50" s="1398"/>
      <c r="EDX50" s="1398"/>
      <c r="EDY50" s="1398"/>
      <c r="EDZ50" s="1398"/>
      <c r="EEA50" s="1398"/>
      <c r="EEB50" s="1398"/>
      <c r="EEC50" s="1398"/>
      <c r="EED50" s="1398"/>
      <c r="EEE50" s="1398"/>
      <c r="EEF50" s="1398"/>
      <c r="EEG50" s="1398"/>
      <c r="EEH50" s="1398"/>
      <c r="EEI50" s="1398"/>
      <c r="EEJ50" s="1398"/>
      <c r="EEK50" s="1398"/>
      <c r="EEL50" s="1398"/>
      <c r="EEM50" s="1398"/>
      <c r="EEN50" s="1398"/>
      <c r="EEO50" s="1398"/>
      <c r="EEP50" s="1398"/>
      <c r="EEQ50" s="1398"/>
      <c r="EER50" s="1398"/>
      <c r="EES50" s="1398"/>
      <c r="EET50" s="1398"/>
      <c r="EEU50" s="1398"/>
      <c r="EEV50" s="1398"/>
      <c r="EEW50" s="1398"/>
      <c r="EEX50" s="1398"/>
      <c r="EEY50" s="1398"/>
      <c r="EEZ50" s="1398"/>
      <c r="EFA50" s="1398"/>
      <c r="EFB50" s="1398"/>
      <c r="EFC50" s="1398"/>
      <c r="EFD50" s="1398"/>
      <c r="EFE50" s="1398"/>
      <c r="EFF50" s="1398"/>
      <c r="EFG50" s="1398"/>
      <c r="EFH50" s="1398"/>
      <c r="EFI50" s="1398"/>
      <c r="EFJ50" s="1398"/>
      <c r="EFK50" s="1398"/>
      <c r="EFL50" s="1398"/>
      <c r="EFM50" s="1398"/>
      <c r="EFN50" s="1398"/>
      <c r="EFO50" s="1398"/>
      <c r="EFP50" s="1398"/>
      <c r="EFQ50" s="1398"/>
      <c r="EFR50" s="1398"/>
      <c r="EFS50" s="1398"/>
      <c r="EFT50" s="1398"/>
      <c r="EFU50" s="1398"/>
      <c r="EFV50" s="1398"/>
      <c r="EFW50" s="1398"/>
      <c r="EFX50" s="1398"/>
      <c r="EFY50" s="1398"/>
      <c r="EFZ50" s="1398"/>
      <c r="EGA50" s="1398"/>
      <c r="EGB50" s="1398"/>
      <c r="EGC50" s="1398"/>
      <c r="EGD50" s="1398"/>
      <c r="EGE50" s="1398"/>
      <c r="EGF50" s="1398"/>
      <c r="EGG50" s="1398"/>
      <c r="EGH50" s="1398"/>
      <c r="EGI50" s="1398"/>
      <c r="EGJ50" s="1398"/>
      <c r="EGK50" s="1398"/>
      <c r="EGL50" s="1398"/>
      <c r="EGM50" s="1398"/>
      <c r="EGN50" s="1398"/>
      <c r="EGO50" s="1398"/>
      <c r="EGP50" s="1398"/>
      <c r="EGQ50" s="1398"/>
      <c r="EGR50" s="1398"/>
      <c r="EGS50" s="1398"/>
      <c r="EGT50" s="1398"/>
      <c r="EGU50" s="1398"/>
      <c r="EGV50" s="1398"/>
      <c r="EGW50" s="1398"/>
      <c r="EGX50" s="1398"/>
      <c r="EGY50" s="1398"/>
      <c r="EGZ50" s="1398"/>
      <c r="EHA50" s="1398"/>
      <c r="EHB50" s="1398"/>
      <c r="EHC50" s="1398"/>
      <c r="EHD50" s="1398"/>
      <c r="EHE50" s="1398"/>
      <c r="EHF50" s="1398"/>
      <c r="EHG50" s="1398"/>
      <c r="EHH50" s="1398"/>
      <c r="EHI50" s="1398"/>
      <c r="EHJ50" s="1398"/>
      <c r="EHK50" s="1398"/>
      <c r="EHL50" s="1398"/>
      <c r="EHM50" s="1398"/>
      <c r="EHN50" s="1398"/>
      <c r="EHO50" s="1398"/>
      <c r="EHP50" s="1398"/>
      <c r="EHQ50" s="1398"/>
      <c r="EHR50" s="1398"/>
      <c r="EHS50" s="1398"/>
      <c r="EHT50" s="1398"/>
      <c r="EHU50" s="1398"/>
      <c r="EHV50" s="1398"/>
      <c r="EHW50" s="1398"/>
      <c r="EHX50" s="1398"/>
      <c r="EHY50" s="1398"/>
      <c r="EHZ50" s="1398"/>
      <c r="EIA50" s="1398"/>
      <c r="EIB50" s="1398"/>
      <c r="EIC50" s="1398"/>
      <c r="EID50" s="1398"/>
      <c r="EIE50" s="1398"/>
      <c r="EIF50" s="1398"/>
      <c r="EIG50" s="1398"/>
      <c r="EIH50" s="1398"/>
      <c r="EII50" s="1398"/>
      <c r="EIJ50" s="1398"/>
      <c r="EIK50" s="1398"/>
      <c r="EIL50" s="1398"/>
      <c r="EIM50" s="1398"/>
      <c r="EIN50" s="1398"/>
      <c r="EIO50" s="1398"/>
      <c r="EIP50" s="1398"/>
      <c r="EIQ50" s="1398"/>
      <c r="EIR50" s="1398"/>
      <c r="EIS50" s="1398"/>
      <c r="EIT50" s="1398"/>
      <c r="EIU50" s="1398"/>
      <c r="EIV50" s="1398"/>
      <c r="EIW50" s="1398"/>
      <c r="EIX50" s="1398"/>
      <c r="EIY50" s="1398"/>
      <c r="EIZ50" s="1398"/>
      <c r="EJA50" s="1398"/>
      <c r="EJB50" s="1398"/>
      <c r="EJC50" s="1398"/>
      <c r="EJD50" s="1398"/>
      <c r="EJE50" s="1398"/>
      <c r="EJF50" s="1398"/>
      <c r="EJG50" s="1398"/>
      <c r="EJH50" s="1398"/>
      <c r="EJI50" s="1398"/>
      <c r="EJJ50" s="1398"/>
      <c r="EJK50" s="1398"/>
      <c r="EJL50" s="1398"/>
      <c r="EJM50" s="1398"/>
      <c r="EJN50" s="1398"/>
      <c r="EJO50" s="1398"/>
      <c r="EJP50" s="1398"/>
      <c r="EJQ50" s="1398"/>
      <c r="EJR50" s="1398"/>
      <c r="EJS50" s="1398"/>
      <c r="EJT50" s="1398"/>
      <c r="EJU50" s="1398"/>
      <c r="EJV50" s="1398"/>
      <c r="EJW50" s="1398"/>
      <c r="EJX50" s="1398"/>
      <c r="EJY50" s="1398"/>
      <c r="EJZ50" s="1398"/>
      <c r="EKA50" s="1398"/>
      <c r="EKB50" s="1398"/>
      <c r="EKC50" s="1398"/>
      <c r="EKD50" s="1398"/>
      <c r="EKE50" s="1398"/>
      <c r="EKF50" s="1398"/>
      <c r="EKG50" s="1398"/>
      <c r="EKH50" s="1398"/>
      <c r="EKI50" s="1398"/>
      <c r="EKJ50" s="1398"/>
      <c r="EKK50" s="1398"/>
      <c r="EKL50" s="1398"/>
      <c r="EKM50" s="1398"/>
      <c r="EKN50" s="1398"/>
      <c r="EKO50" s="1398"/>
      <c r="EKP50" s="1398"/>
      <c r="EKQ50" s="1398"/>
      <c r="EKR50" s="1398"/>
      <c r="EKS50" s="1398"/>
      <c r="EKT50" s="1398"/>
      <c r="EKU50" s="1398"/>
      <c r="EKV50" s="1398"/>
      <c r="EKW50" s="1398"/>
      <c r="EKX50" s="1398"/>
      <c r="EKY50" s="1398"/>
      <c r="EKZ50" s="1398"/>
      <c r="ELA50" s="1398"/>
      <c r="ELB50" s="1398"/>
      <c r="ELC50" s="1398"/>
      <c r="ELD50" s="1398"/>
      <c r="ELE50" s="1398"/>
      <c r="ELF50" s="1398"/>
      <c r="ELG50" s="1398"/>
      <c r="ELH50" s="1398"/>
      <c r="ELI50" s="1398"/>
      <c r="ELJ50" s="1398"/>
      <c r="ELK50" s="1398"/>
      <c r="ELL50" s="1398"/>
      <c r="ELM50" s="1398"/>
      <c r="ELN50" s="1398"/>
      <c r="ELO50" s="1398"/>
      <c r="ELP50" s="1398"/>
      <c r="ELQ50" s="1398"/>
      <c r="ELR50" s="1398"/>
      <c r="ELS50" s="1398"/>
      <c r="ELT50" s="1398"/>
      <c r="ELU50" s="1398"/>
      <c r="ELV50" s="1398"/>
      <c r="ELW50" s="1398"/>
      <c r="ELX50" s="1398"/>
      <c r="ELY50" s="1398"/>
      <c r="ELZ50" s="1398"/>
      <c r="EMA50" s="1398"/>
      <c r="EMB50" s="1398"/>
      <c r="EMC50" s="1398"/>
      <c r="EMD50" s="1398"/>
      <c r="EME50" s="1398"/>
      <c r="EMF50" s="1398"/>
      <c r="EMG50" s="1398"/>
      <c r="EMH50" s="1398"/>
      <c r="EMI50" s="1398"/>
      <c r="EMJ50" s="1398"/>
      <c r="EMK50" s="1398"/>
      <c r="EML50" s="1398"/>
      <c r="EMM50" s="1398"/>
      <c r="EMN50" s="1398"/>
      <c r="EMO50" s="1398"/>
      <c r="EMP50" s="1398"/>
      <c r="EMQ50" s="1398"/>
      <c r="EMR50" s="1398"/>
      <c r="EMS50" s="1398"/>
      <c r="EMT50" s="1398"/>
      <c r="EMU50" s="1398"/>
      <c r="EMV50" s="1398"/>
      <c r="EMW50" s="1398"/>
      <c r="EMX50" s="1398"/>
      <c r="EMY50" s="1398"/>
      <c r="EMZ50" s="1398"/>
      <c r="ENA50" s="1398"/>
      <c r="ENB50" s="1398"/>
      <c r="ENC50" s="1398"/>
      <c r="END50" s="1398"/>
      <c r="ENE50" s="1398"/>
      <c r="ENF50" s="1398"/>
      <c r="ENG50" s="1398"/>
      <c r="ENH50" s="1398"/>
      <c r="ENI50" s="1398"/>
      <c r="ENJ50" s="1398"/>
      <c r="ENK50" s="1398"/>
      <c r="ENL50" s="1398"/>
      <c r="ENM50" s="1398"/>
      <c r="ENN50" s="1398"/>
      <c r="ENO50" s="1398"/>
      <c r="ENP50" s="1398"/>
      <c r="ENQ50" s="1398"/>
      <c r="ENR50" s="1398"/>
      <c r="ENS50" s="1398"/>
      <c r="ENT50" s="1398"/>
      <c r="ENU50" s="1398"/>
      <c r="ENV50" s="1398"/>
      <c r="ENW50" s="1398"/>
      <c r="ENX50" s="1398"/>
      <c r="ENY50" s="1398"/>
      <c r="ENZ50" s="1398"/>
      <c r="EOA50" s="1398"/>
      <c r="EOB50" s="1398"/>
      <c r="EOC50" s="1398"/>
      <c r="EOD50" s="1398"/>
      <c r="EOE50" s="1398"/>
      <c r="EOF50" s="1398"/>
      <c r="EOG50" s="1398"/>
      <c r="EOH50" s="1398"/>
      <c r="EOI50" s="1398"/>
      <c r="EOJ50" s="1398"/>
      <c r="EOK50" s="1398"/>
      <c r="EOL50" s="1398"/>
      <c r="EOM50" s="1398"/>
      <c r="EON50" s="1398"/>
      <c r="EOO50" s="1398"/>
      <c r="EOP50" s="1398"/>
      <c r="EOQ50" s="1398"/>
      <c r="EOR50" s="1398"/>
      <c r="EOS50" s="1398"/>
      <c r="EOT50" s="1398"/>
      <c r="EOU50" s="1398"/>
      <c r="EOV50" s="1398"/>
      <c r="EOW50" s="1398"/>
      <c r="EOX50" s="1398"/>
      <c r="EOY50" s="1398"/>
      <c r="EOZ50" s="1398"/>
      <c r="EPA50" s="1398"/>
      <c r="EPB50" s="1398"/>
      <c r="EPC50" s="1398"/>
      <c r="EPD50" s="1398"/>
      <c r="EPE50" s="1398"/>
      <c r="EPF50" s="1398"/>
      <c r="EPG50" s="1398"/>
      <c r="EPH50" s="1398"/>
      <c r="EPI50" s="1398"/>
      <c r="EPJ50" s="1398"/>
      <c r="EPK50" s="1398"/>
      <c r="EPL50" s="1398"/>
      <c r="EPM50" s="1398"/>
      <c r="EPN50" s="1398"/>
      <c r="EPO50" s="1398"/>
      <c r="EPP50" s="1398"/>
      <c r="EPQ50" s="1398"/>
      <c r="EPR50" s="1398"/>
      <c r="EPS50" s="1398"/>
      <c r="EPT50" s="1398"/>
      <c r="EPU50" s="1398"/>
      <c r="EPV50" s="1398"/>
      <c r="EPW50" s="1398"/>
      <c r="EPX50" s="1398"/>
      <c r="EPY50" s="1398"/>
      <c r="EPZ50" s="1398"/>
      <c r="EQA50" s="1398"/>
      <c r="EQB50" s="1398"/>
      <c r="EQC50" s="1398"/>
      <c r="EQD50" s="1398"/>
      <c r="EQE50" s="1398"/>
      <c r="EQF50" s="1398"/>
      <c r="EQG50" s="1398"/>
      <c r="EQH50" s="1398"/>
      <c r="EQI50" s="1398"/>
      <c r="EQJ50" s="1398"/>
      <c r="EQK50" s="1398"/>
      <c r="EQL50" s="1398"/>
      <c r="EQM50" s="1398"/>
      <c r="EQN50" s="1398"/>
      <c r="EQO50" s="1398"/>
      <c r="EQP50" s="1398"/>
      <c r="EQQ50" s="1398"/>
      <c r="EQR50" s="1398"/>
      <c r="EQS50" s="1398"/>
      <c r="EQT50" s="1398"/>
      <c r="EQU50" s="1398"/>
      <c r="EQV50" s="1398"/>
      <c r="EQW50" s="1398"/>
      <c r="EQX50" s="1398"/>
      <c r="EQY50" s="1398"/>
      <c r="EQZ50" s="1398"/>
      <c r="ERA50" s="1398"/>
      <c r="ERB50" s="1398"/>
      <c r="ERC50" s="1398"/>
      <c r="ERD50" s="1398"/>
      <c r="ERE50" s="1398"/>
      <c r="ERF50" s="1398"/>
      <c r="ERG50" s="1398"/>
      <c r="ERH50" s="1398"/>
      <c r="ERI50" s="1398"/>
      <c r="ERJ50" s="1398"/>
      <c r="ERK50" s="1398"/>
      <c r="ERL50" s="1398"/>
      <c r="ERM50" s="1398"/>
      <c r="ERN50" s="1398"/>
      <c r="ERO50" s="1398"/>
      <c r="ERP50" s="1398"/>
      <c r="ERQ50" s="1398"/>
      <c r="ERR50" s="1398"/>
      <c r="ERS50" s="1398"/>
      <c r="ERT50" s="1398"/>
      <c r="ERU50" s="1398"/>
      <c r="ERV50" s="1398"/>
      <c r="ERW50" s="1398"/>
      <c r="ERX50" s="1398"/>
      <c r="ERY50" s="1398"/>
      <c r="ERZ50" s="1398"/>
      <c r="ESA50" s="1398"/>
      <c r="ESB50" s="1398"/>
      <c r="ESC50" s="1398"/>
      <c r="ESD50" s="1398"/>
      <c r="ESE50" s="1398"/>
      <c r="ESF50" s="1398"/>
      <c r="ESG50" s="1398"/>
      <c r="ESH50" s="1398"/>
      <c r="ESI50" s="1398"/>
      <c r="ESJ50" s="1398"/>
      <c r="ESK50" s="1398"/>
      <c r="ESL50" s="1398"/>
      <c r="ESM50" s="1398"/>
      <c r="ESN50" s="1398"/>
      <c r="ESO50" s="1398"/>
      <c r="ESP50" s="1398"/>
      <c r="ESQ50" s="1398"/>
      <c r="ESR50" s="1398"/>
      <c r="ESS50" s="1398"/>
      <c r="EST50" s="1398"/>
      <c r="ESU50" s="1398"/>
      <c r="ESV50" s="1398"/>
      <c r="ESW50" s="1398"/>
      <c r="ESX50" s="1398"/>
      <c r="ESY50" s="1398"/>
      <c r="ESZ50" s="1398"/>
      <c r="ETA50" s="1398"/>
      <c r="ETB50" s="1398"/>
      <c r="ETC50" s="1398"/>
      <c r="ETD50" s="1398"/>
      <c r="ETE50" s="1398"/>
      <c r="ETF50" s="1398"/>
      <c r="ETG50" s="1398"/>
      <c r="ETH50" s="1398"/>
      <c r="ETI50" s="1398"/>
      <c r="ETJ50" s="1398"/>
      <c r="ETK50" s="1398"/>
      <c r="ETL50" s="1398"/>
      <c r="ETM50" s="1398"/>
      <c r="ETN50" s="1398"/>
      <c r="ETO50" s="1398"/>
      <c r="ETP50" s="1398"/>
      <c r="ETQ50" s="1398"/>
      <c r="ETR50" s="1398"/>
      <c r="ETS50" s="1398"/>
      <c r="ETT50" s="1398"/>
      <c r="ETU50" s="1398"/>
      <c r="ETV50" s="1398"/>
      <c r="ETW50" s="1398"/>
      <c r="ETX50" s="1398"/>
      <c r="ETY50" s="1398"/>
      <c r="ETZ50" s="1398"/>
      <c r="EUA50" s="1398"/>
      <c r="EUB50" s="1398"/>
      <c r="EUC50" s="1398"/>
      <c r="EUD50" s="1398"/>
      <c r="EUE50" s="1398"/>
      <c r="EUF50" s="1398"/>
      <c r="EUG50" s="1398"/>
      <c r="EUH50" s="1398"/>
      <c r="EUI50" s="1398"/>
      <c r="EUJ50" s="1398"/>
      <c r="EUK50" s="1398"/>
      <c r="EUL50" s="1398"/>
      <c r="EUM50" s="1398"/>
      <c r="EUN50" s="1398"/>
      <c r="EUO50" s="1398"/>
      <c r="EUP50" s="1398"/>
      <c r="EUQ50" s="1398"/>
      <c r="EUR50" s="1398"/>
      <c r="EUS50" s="1398"/>
      <c r="EUT50" s="1398"/>
      <c r="EUU50" s="1398"/>
      <c r="EUV50" s="1398"/>
      <c r="EUW50" s="1398"/>
      <c r="EUX50" s="1398"/>
      <c r="EUY50" s="1398"/>
      <c r="EUZ50" s="1398"/>
      <c r="EVA50" s="1398"/>
      <c r="EVB50" s="1398"/>
      <c r="EVC50" s="1398"/>
      <c r="EVD50" s="1398"/>
      <c r="EVE50" s="1398"/>
      <c r="EVF50" s="1398"/>
      <c r="EVG50" s="1398"/>
      <c r="EVH50" s="1398"/>
      <c r="EVI50" s="1398"/>
      <c r="EVJ50" s="1398"/>
      <c r="EVK50" s="1398"/>
      <c r="EVL50" s="1398"/>
      <c r="EVM50" s="1398"/>
      <c r="EVN50" s="1398"/>
      <c r="EVO50" s="1398"/>
      <c r="EVP50" s="1398"/>
      <c r="EVQ50" s="1398"/>
      <c r="EVR50" s="1398"/>
      <c r="EVS50" s="1398"/>
      <c r="EVT50" s="1398"/>
      <c r="EVU50" s="1398"/>
      <c r="EVV50" s="1398"/>
      <c r="EVW50" s="1398"/>
      <c r="EVX50" s="1398"/>
      <c r="EVY50" s="1398"/>
      <c r="EVZ50" s="1398"/>
      <c r="EWA50" s="1398"/>
      <c r="EWB50" s="1398"/>
      <c r="EWC50" s="1398"/>
      <c r="EWD50" s="1398"/>
      <c r="EWE50" s="1398"/>
      <c r="EWF50" s="1398"/>
      <c r="EWG50" s="1398"/>
      <c r="EWH50" s="1398"/>
      <c r="EWI50" s="1398"/>
      <c r="EWJ50" s="1398"/>
      <c r="EWK50" s="1398"/>
      <c r="EWL50" s="1398"/>
      <c r="EWM50" s="1398"/>
      <c r="EWN50" s="1398"/>
      <c r="EWO50" s="1398"/>
      <c r="EWP50" s="1398"/>
      <c r="EWQ50" s="1398"/>
      <c r="EWR50" s="1398"/>
      <c r="EWS50" s="1398"/>
      <c r="EWT50" s="1398"/>
      <c r="EWU50" s="1398"/>
      <c r="EWV50" s="1398"/>
      <c r="EWW50" s="1398"/>
      <c r="EWX50" s="1398"/>
      <c r="EWY50" s="1398"/>
      <c r="EWZ50" s="1398"/>
      <c r="EXA50" s="1398"/>
      <c r="EXB50" s="1398"/>
      <c r="EXC50" s="1398"/>
      <c r="EXD50" s="1398"/>
      <c r="EXE50" s="1398"/>
      <c r="EXF50" s="1398"/>
      <c r="EXG50" s="1398"/>
      <c r="EXH50" s="1398"/>
      <c r="EXI50" s="1398"/>
      <c r="EXJ50" s="1398"/>
      <c r="EXK50" s="1398"/>
      <c r="EXL50" s="1398"/>
      <c r="EXM50" s="1398"/>
      <c r="EXN50" s="1398"/>
      <c r="EXO50" s="1398"/>
      <c r="EXP50" s="1398"/>
      <c r="EXQ50" s="1398"/>
      <c r="EXR50" s="1398"/>
      <c r="EXS50" s="1398"/>
      <c r="EXT50" s="1398"/>
      <c r="EXU50" s="1398"/>
      <c r="EXV50" s="1398"/>
      <c r="EXW50" s="1398"/>
      <c r="EXX50" s="1398"/>
      <c r="EXY50" s="1398"/>
      <c r="EXZ50" s="1398"/>
      <c r="EYA50" s="1398"/>
      <c r="EYB50" s="1398"/>
      <c r="EYC50" s="1398"/>
      <c r="EYD50" s="1398"/>
      <c r="EYE50" s="1398"/>
      <c r="EYF50" s="1398"/>
      <c r="EYG50" s="1398"/>
      <c r="EYH50" s="1398"/>
      <c r="EYI50" s="1398"/>
      <c r="EYJ50" s="1398"/>
      <c r="EYK50" s="1398"/>
      <c r="EYL50" s="1398"/>
      <c r="EYM50" s="1398"/>
      <c r="EYN50" s="1398"/>
      <c r="EYO50" s="1398"/>
      <c r="EYP50" s="1398"/>
      <c r="EYQ50" s="1398"/>
      <c r="EYR50" s="1398"/>
      <c r="EYS50" s="1398"/>
      <c r="EYT50" s="1398"/>
      <c r="EYU50" s="1398"/>
      <c r="EYV50" s="1398"/>
      <c r="EYW50" s="1398"/>
      <c r="EYX50" s="1398"/>
      <c r="EYY50" s="1398"/>
      <c r="EYZ50" s="1398"/>
      <c r="EZA50" s="1398"/>
      <c r="EZB50" s="1398"/>
      <c r="EZC50" s="1398"/>
      <c r="EZD50" s="1398"/>
      <c r="EZE50" s="1398"/>
      <c r="EZF50" s="1398"/>
      <c r="EZG50" s="1398"/>
      <c r="EZH50" s="1398"/>
      <c r="EZI50" s="1398"/>
      <c r="EZJ50" s="1398"/>
      <c r="EZK50" s="1398"/>
      <c r="EZL50" s="1398"/>
      <c r="EZM50" s="1398"/>
      <c r="EZN50" s="1398"/>
      <c r="EZO50" s="1398"/>
      <c r="EZP50" s="1398"/>
      <c r="EZQ50" s="1398"/>
      <c r="EZR50" s="1398"/>
      <c r="EZS50" s="1398"/>
      <c r="EZT50" s="1398"/>
      <c r="EZU50" s="1398"/>
      <c r="EZV50" s="1398"/>
      <c r="EZW50" s="1398"/>
      <c r="EZX50" s="1398"/>
      <c r="EZY50" s="1398"/>
      <c r="EZZ50" s="1398"/>
      <c r="FAA50" s="1398"/>
      <c r="FAB50" s="1398"/>
      <c r="FAC50" s="1398"/>
      <c r="FAD50" s="1398"/>
      <c r="FAE50" s="1398"/>
      <c r="FAF50" s="1398"/>
      <c r="FAG50" s="1398"/>
      <c r="FAH50" s="1398"/>
      <c r="FAI50" s="1398"/>
      <c r="FAJ50" s="1398"/>
      <c r="FAK50" s="1398"/>
      <c r="FAL50" s="1398"/>
      <c r="FAM50" s="1398"/>
      <c r="FAN50" s="1398"/>
      <c r="FAO50" s="1398"/>
      <c r="FAP50" s="1398"/>
      <c r="FAQ50" s="1398"/>
      <c r="FAR50" s="1398"/>
      <c r="FAS50" s="1398"/>
      <c r="FAT50" s="1398"/>
      <c r="FAU50" s="1398"/>
      <c r="FAV50" s="1398"/>
      <c r="FAW50" s="1398"/>
      <c r="FAX50" s="1398"/>
      <c r="FAY50" s="1398"/>
      <c r="FAZ50" s="1398"/>
      <c r="FBA50" s="1398"/>
      <c r="FBB50" s="1398"/>
      <c r="FBC50" s="1398"/>
      <c r="FBD50" s="1398"/>
      <c r="FBE50" s="1398"/>
      <c r="FBF50" s="1398"/>
      <c r="FBG50" s="1398"/>
      <c r="FBH50" s="1398"/>
      <c r="FBI50" s="1398"/>
      <c r="FBJ50" s="1398"/>
      <c r="FBK50" s="1398"/>
      <c r="FBL50" s="1398"/>
      <c r="FBM50" s="1398"/>
      <c r="FBN50" s="1398"/>
      <c r="FBO50" s="1398"/>
      <c r="FBP50" s="1398"/>
      <c r="FBQ50" s="1398"/>
      <c r="FBR50" s="1398"/>
      <c r="FBS50" s="1398"/>
      <c r="FBT50" s="1398"/>
      <c r="FBU50" s="1398"/>
      <c r="FBV50" s="1398"/>
      <c r="FBW50" s="1398"/>
      <c r="FBX50" s="1398"/>
      <c r="FBY50" s="1398"/>
      <c r="FBZ50" s="1398"/>
      <c r="FCA50" s="1398"/>
      <c r="FCB50" s="1398"/>
      <c r="FCC50" s="1398"/>
      <c r="FCD50" s="1398"/>
      <c r="FCE50" s="1398"/>
      <c r="FCF50" s="1398"/>
      <c r="FCG50" s="1398"/>
      <c r="FCH50" s="1398"/>
      <c r="FCI50" s="1398"/>
      <c r="FCJ50" s="1398"/>
      <c r="FCK50" s="1398"/>
      <c r="FCL50" s="1398"/>
      <c r="FCM50" s="1398"/>
      <c r="FCN50" s="1398"/>
      <c r="FCO50" s="1398"/>
      <c r="FCP50" s="1398"/>
      <c r="FCQ50" s="1398"/>
      <c r="FCR50" s="1398"/>
      <c r="FCS50" s="1398"/>
      <c r="FCT50" s="1398"/>
      <c r="FCU50" s="1398"/>
      <c r="FCV50" s="1398"/>
      <c r="FCW50" s="1398"/>
      <c r="FCX50" s="1398"/>
      <c r="FCY50" s="1398"/>
      <c r="FCZ50" s="1398"/>
      <c r="FDA50" s="1398"/>
      <c r="FDB50" s="1398"/>
      <c r="FDC50" s="1398"/>
      <c r="FDD50" s="1398"/>
      <c r="FDE50" s="1398"/>
      <c r="FDF50" s="1398"/>
      <c r="FDG50" s="1398"/>
      <c r="FDH50" s="1398"/>
      <c r="FDI50" s="1398"/>
      <c r="FDJ50" s="1398"/>
      <c r="FDK50" s="1398"/>
      <c r="FDL50" s="1398"/>
      <c r="FDM50" s="1398"/>
      <c r="FDN50" s="1398"/>
      <c r="FDO50" s="1398"/>
      <c r="FDP50" s="1398"/>
      <c r="FDQ50" s="1398"/>
      <c r="FDR50" s="1398"/>
      <c r="FDS50" s="1398"/>
      <c r="FDT50" s="1398"/>
      <c r="FDU50" s="1398"/>
      <c r="FDV50" s="1398"/>
      <c r="FDW50" s="1398"/>
      <c r="FDX50" s="1398"/>
      <c r="FDY50" s="1398"/>
      <c r="FDZ50" s="1398"/>
      <c r="FEA50" s="1398"/>
      <c r="FEB50" s="1398"/>
      <c r="FEC50" s="1398"/>
      <c r="FED50" s="1398"/>
      <c r="FEE50" s="1398"/>
      <c r="FEF50" s="1398"/>
      <c r="FEG50" s="1398"/>
      <c r="FEH50" s="1398"/>
      <c r="FEI50" s="1398"/>
      <c r="FEJ50" s="1398"/>
      <c r="FEK50" s="1398"/>
      <c r="FEL50" s="1398"/>
      <c r="FEM50" s="1398"/>
      <c r="FEN50" s="1398"/>
      <c r="FEO50" s="1398"/>
      <c r="FEP50" s="1398"/>
      <c r="FEQ50" s="1398"/>
      <c r="FER50" s="1398"/>
      <c r="FES50" s="1398"/>
      <c r="FET50" s="1398"/>
      <c r="FEU50" s="1398"/>
      <c r="FEV50" s="1398"/>
      <c r="FEW50" s="1398"/>
      <c r="FEX50" s="1398"/>
      <c r="FEY50" s="1398"/>
      <c r="FEZ50" s="1398"/>
      <c r="FFA50" s="1398"/>
      <c r="FFB50" s="1398"/>
      <c r="FFC50" s="1398"/>
      <c r="FFD50" s="1398"/>
      <c r="FFE50" s="1398"/>
      <c r="FFF50" s="1398"/>
      <c r="FFG50" s="1398"/>
      <c r="FFH50" s="1398"/>
      <c r="FFI50" s="1398"/>
      <c r="FFJ50" s="1398"/>
      <c r="FFK50" s="1398"/>
      <c r="FFL50" s="1398"/>
      <c r="FFM50" s="1398"/>
      <c r="FFN50" s="1398"/>
      <c r="FFO50" s="1398"/>
      <c r="FFP50" s="1398"/>
      <c r="FFQ50" s="1398"/>
      <c r="FFR50" s="1398"/>
      <c r="FFS50" s="1398"/>
      <c r="FFT50" s="1398"/>
      <c r="FFU50" s="1398"/>
      <c r="FFV50" s="1398"/>
      <c r="FFW50" s="1398"/>
      <c r="FFX50" s="1398"/>
      <c r="FFY50" s="1398"/>
      <c r="FFZ50" s="1398"/>
      <c r="FGA50" s="1398"/>
      <c r="FGB50" s="1398"/>
      <c r="FGC50" s="1398"/>
      <c r="FGD50" s="1398"/>
      <c r="FGE50" s="1398"/>
      <c r="FGF50" s="1398"/>
      <c r="FGG50" s="1398"/>
      <c r="FGH50" s="1398"/>
      <c r="FGI50" s="1398"/>
      <c r="FGJ50" s="1398"/>
      <c r="FGK50" s="1398"/>
      <c r="FGL50" s="1398"/>
      <c r="FGM50" s="1398"/>
      <c r="FGN50" s="1398"/>
      <c r="FGO50" s="1398"/>
      <c r="FGP50" s="1398"/>
      <c r="FGQ50" s="1398"/>
      <c r="FGR50" s="1398"/>
      <c r="FGS50" s="1398"/>
      <c r="FGT50" s="1398"/>
      <c r="FGU50" s="1398"/>
      <c r="FGV50" s="1398"/>
      <c r="FGW50" s="1398"/>
      <c r="FGX50" s="1398"/>
      <c r="FGY50" s="1398"/>
      <c r="FGZ50" s="1398"/>
      <c r="FHA50" s="1398"/>
      <c r="FHB50" s="1398"/>
      <c r="FHC50" s="1398"/>
      <c r="FHD50" s="1398"/>
      <c r="FHE50" s="1398"/>
      <c r="FHF50" s="1398"/>
      <c r="FHG50" s="1398"/>
      <c r="FHH50" s="1398"/>
      <c r="FHI50" s="1398"/>
      <c r="FHJ50" s="1398"/>
      <c r="FHK50" s="1398"/>
      <c r="FHL50" s="1398"/>
      <c r="FHM50" s="1398"/>
      <c r="FHN50" s="1398"/>
      <c r="FHO50" s="1398"/>
      <c r="FHP50" s="1398"/>
      <c r="FHQ50" s="1398"/>
      <c r="FHR50" s="1398"/>
      <c r="FHS50" s="1398"/>
      <c r="FHT50" s="1398"/>
      <c r="FHU50" s="1398"/>
      <c r="FHV50" s="1398"/>
      <c r="FHW50" s="1398"/>
      <c r="FHX50" s="1398"/>
      <c r="FHY50" s="1398"/>
      <c r="FHZ50" s="1398"/>
      <c r="FIA50" s="1398"/>
      <c r="FIB50" s="1398"/>
      <c r="FIC50" s="1398"/>
      <c r="FID50" s="1398"/>
      <c r="FIE50" s="1398"/>
      <c r="FIF50" s="1398"/>
      <c r="FIG50" s="1398"/>
      <c r="FIH50" s="1398"/>
      <c r="FII50" s="1398"/>
      <c r="FIJ50" s="1398"/>
      <c r="FIK50" s="1398"/>
      <c r="FIL50" s="1398"/>
      <c r="FIM50" s="1398"/>
      <c r="FIN50" s="1398"/>
      <c r="FIO50" s="1398"/>
      <c r="FIP50" s="1398"/>
      <c r="FIQ50" s="1398"/>
      <c r="FIR50" s="1398"/>
      <c r="FIS50" s="1398"/>
      <c r="FIT50" s="1398"/>
      <c r="FIU50" s="1398"/>
      <c r="FIV50" s="1398"/>
      <c r="FIW50" s="1398"/>
      <c r="FIX50" s="1398"/>
      <c r="FIY50" s="1398"/>
      <c r="FIZ50" s="1398"/>
      <c r="FJA50" s="1398"/>
      <c r="FJB50" s="1398"/>
      <c r="FJC50" s="1398"/>
      <c r="FJD50" s="1398"/>
      <c r="FJE50" s="1398"/>
      <c r="FJF50" s="1398"/>
      <c r="FJG50" s="1398"/>
      <c r="FJH50" s="1398"/>
      <c r="FJI50" s="1398"/>
      <c r="FJJ50" s="1398"/>
      <c r="FJK50" s="1398"/>
      <c r="FJL50" s="1398"/>
      <c r="FJM50" s="1398"/>
      <c r="FJN50" s="1398"/>
      <c r="FJO50" s="1398"/>
      <c r="FJP50" s="1398"/>
      <c r="FJQ50" s="1398"/>
      <c r="FJR50" s="1398"/>
      <c r="FJS50" s="1398"/>
      <c r="FJT50" s="1398"/>
      <c r="FJU50" s="1398"/>
      <c r="FJV50" s="1398"/>
      <c r="FJW50" s="1398"/>
      <c r="FJX50" s="1398"/>
      <c r="FJY50" s="1398"/>
      <c r="FJZ50" s="1398"/>
      <c r="FKA50" s="1398"/>
      <c r="FKB50" s="1398"/>
      <c r="FKC50" s="1398"/>
      <c r="FKD50" s="1398"/>
      <c r="FKE50" s="1398"/>
      <c r="FKF50" s="1398"/>
      <c r="FKG50" s="1398"/>
      <c r="FKH50" s="1398"/>
      <c r="FKI50" s="1398"/>
      <c r="FKJ50" s="1398"/>
      <c r="FKK50" s="1398"/>
      <c r="FKL50" s="1398"/>
      <c r="FKM50" s="1398"/>
      <c r="FKN50" s="1398"/>
      <c r="FKO50" s="1398"/>
      <c r="FKP50" s="1398"/>
      <c r="FKQ50" s="1398"/>
      <c r="FKR50" s="1398"/>
      <c r="FKS50" s="1398"/>
      <c r="FKT50" s="1398"/>
      <c r="FKU50" s="1398"/>
      <c r="FKV50" s="1398"/>
      <c r="FKW50" s="1398"/>
      <c r="FKX50" s="1398"/>
      <c r="FKY50" s="1398"/>
      <c r="FKZ50" s="1398"/>
      <c r="FLA50" s="1398"/>
      <c r="FLB50" s="1398"/>
      <c r="FLC50" s="1398"/>
      <c r="FLD50" s="1398"/>
      <c r="FLE50" s="1398"/>
      <c r="FLF50" s="1398"/>
      <c r="FLG50" s="1398"/>
      <c r="FLH50" s="1398"/>
      <c r="FLI50" s="1398"/>
      <c r="FLJ50" s="1398"/>
      <c r="FLK50" s="1398"/>
      <c r="FLL50" s="1398"/>
      <c r="FLM50" s="1398"/>
      <c r="FLN50" s="1398"/>
      <c r="FLO50" s="1398"/>
      <c r="FLP50" s="1398"/>
      <c r="FLQ50" s="1398"/>
      <c r="FLR50" s="1398"/>
      <c r="FLS50" s="1398"/>
      <c r="FLT50" s="1398"/>
      <c r="FLU50" s="1398"/>
      <c r="FLV50" s="1398"/>
      <c r="FLW50" s="1398"/>
      <c r="FLX50" s="1398"/>
      <c r="FLY50" s="1398"/>
      <c r="FLZ50" s="1398"/>
      <c r="FMA50" s="1398"/>
      <c r="FMB50" s="1398"/>
      <c r="FMC50" s="1398"/>
      <c r="FMD50" s="1398"/>
      <c r="FME50" s="1398"/>
      <c r="FMF50" s="1398"/>
      <c r="FMG50" s="1398"/>
      <c r="FMH50" s="1398"/>
      <c r="FMI50" s="1398"/>
      <c r="FMJ50" s="1398"/>
      <c r="FMK50" s="1398"/>
      <c r="FML50" s="1398"/>
      <c r="FMM50" s="1398"/>
      <c r="FMN50" s="1398"/>
      <c r="FMO50" s="1398"/>
      <c r="FMP50" s="1398"/>
      <c r="FMQ50" s="1398"/>
      <c r="FMR50" s="1398"/>
      <c r="FMS50" s="1398"/>
      <c r="FMT50" s="1398"/>
      <c r="FMU50" s="1398"/>
      <c r="FMV50" s="1398"/>
      <c r="FMW50" s="1398"/>
      <c r="FMX50" s="1398"/>
      <c r="FMY50" s="1398"/>
      <c r="FMZ50" s="1398"/>
      <c r="FNA50" s="1398"/>
      <c r="FNB50" s="1398"/>
      <c r="FNC50" s="1398"/>
      <c r="FND50" s="1398"/>
      <c r="FNE50" s="1398"/>
      <c r="FNF50" s="1398"/>
      <c r="FNG50" s="1398"/>
      <c r="FNH50" s="1398"/>
      <c r="FNI50" s="1398"/>
      <c r="FNJ50" s="1398"/>
      <c r="FNK50" s="1398"/>
      <c r="FNL50" s="1398"/>
      <c r="FNM50" s="1398"/>
      <c r="FNN50" s="1398"/>
      <c r="FNO50" s="1398"/>
      <c r="FNP50" s="1398"/>
      <c r="FNQ50" s="1398"/>
      <c r="FNR50" s="1398"/>
      <c r="FNS50" s="1398"/>
      <c r="FNT50" s="1398"/>
      <c r="FNU50" s="1398"/>
      <c r="FNV50" s="1398"/>
      <c r="FNW50" s="1398"/>
      <c r="FNX50" s="1398"/>
      <c r="FNY50" s="1398"/>
      <c r="FNZ50" s="1398"/>
      <c r="FOA50" s="1398"/>
      <c r="FOB50" s="1398"/>
      <c r="FOC50" s="1398"/>
      <c r="FOD50" s="1398"/>
      <c r="FOE50" s="1398"/>
      <c r="FOF50" s="1398"/>
      <c r="FOG50" s="1398"/>
      <c r="FOH50" s="1398"/>
      <c r="FOI50" s="1398"/>
      <c r="FOJ50" s="1398"/>
      <c r="FOK50" s="1398"/>
      <c r="FOL50" s="1398"/>
      <c r="FOM50" s="1398"/>
      <c r="FON50" s="1398"/>
      <c r="FOO50" s="1398"/>
      <c r="FOP50" s="1398"/>
      <c r="FOQ50" s="1398"/>
      <c r="FOR50" s="1398"/>
      <c r="FOS50" s="1398"/>
      <c r="FOT50" s="1398"/>
      <c r="FOU50" s="1398"/>
      <c r="FOV50" s="1398"/>
      <c r="FOW50" s="1398"/>
      <c r="FOX50" s="1398"/>
      <c r="FOY50" s="1398"/>
      <c r="FOZ50" s="1398"/>
      <c r="FPA50" s="1398"/>
      <c r="FPB50" s="1398"/>
      <c r="FPC50" s="1398"/>
      <c r="FPD50" s="1398"/>
      <c r="FPE50" s="1398"/>
      <c r="FPF50" s="1398"/>
      <c r="FPG50" s="1398"/>
      <c r="FPH50" s="1398"/>
      <c r="FPI50" s="1398"/>
      <c r="FPJ50" s="1398"/>
      <c r="FPK50" s="1398"/>
      <c r="FPL50" s="1398"/>
      <c r="FPM50" s="1398"/>
      <c r="FPN50" s="1398"/>
      <c r="FPO50" s="1398"/>
      <c r="FPP50" s="1398"/>
      <c r="FPQ50" s="1398"/>
      <c r="FPR50" s="1398"/>
      <c r="FPS50" s="1398"/>
      <c r="FPT50" s="1398"/>
      <c r="FPU50" s="1398"/>
      <c r="FPV50" s="1398"/>
      <c r="FPW50" s="1398"/>
      <c r="FPX50" s="1398"/>
      <c r="FPY50" s="1398"/>
      <c r="FPZ50" s="1398"/>
      <c r="FQA50" s="1398"/>
      <c r="FQB50" s="1398"/>
      <c r="FQC50" s="1398"/>
      <c r="FQD50" s="1398"/>
      <c r="FQE50" s="1398"/>
      <c r="FQF50" s="1398"/>
      <c r="FQG50" s="1398"/>
      <c r="FQH50" s="1398"/>
      <c r="FQI50" s="1398"/>
      <c r="FQJ50" s="1398"/>
      <c r="FQK50" s="1398"/>
      <c r="FQL50" s="1398"/>
      <c r="FQM50" s="1398"/>
      <c r="FQN50" s="1398"/>
      <c r="FQO50" s="1398"/>
      <c r="FQP50" s="1398"/>
      <c r="FQQ50" s="1398"/>
      <c r="FQR50" s="1398"/>
      <c r="FQS50" s="1398"/>
      <c r="FQT50" s="1398"/>
      <c r="FQU50" s="1398"/>
      <c r="FQV50" s="1398"/>
      <c r="FQW50" s="1398"/>
      <c r="FQX50" s="1398"/>
      <c r="FQY50" s="1398"/>
      <c r="FQZ50" s="1398"/>
      <c r="FRA50" s="1398"/>
      <c r="FRB50" s="1398"/>
      <c r="FRC50" s="1398"/>
      <c r="FRD50" s="1398"/>
      <c r="FRE50" s="1398"/>
      <c r="FRF50" s="1398"/>
      <c r="FRG50" s="1398"/>
      <c r="FRH50" s="1398"/>
      <c r="FRI50" s="1398"/>
      <c r="FRJ50" s="1398"/>
      <c r="FRK50" s="1398"/>
      <c r="FRL50" s="1398"/>
      <c r="FRM50" s="1398"/>
      <c r="FRN50" s="1398"/>
      <c r="FRO50" s="1398"/>
      <c r="FRP50" s="1398"/>
      <c r="FRQ50" s="1398"/>
      <c r="FRR50" s="1398"/>
      <c r="FRS50" s="1398"/>
      <c r="FRT50" s="1398"/>
      <c r="FRU50" s="1398"/>
      <c r="FRV50" s="1398"/>
      <c r="FRW50" s="1398"/>
      <c r="FRX50" s="1398"/>
      <c r="FRY50" s="1398"/>
      <c r="FRZ50" s="1398"/>
      <c r="FSA50" s="1398"/>
      <c r="FSB50" s="1398"/>
      <c r="FSC50" s="1398"/>
      <c r="FSD50" s="1398"/>
      <c r="FSE50" s="1398"/>
      <c r="FSF50" s="1398"/>
      <c r="FSG50" s="1398"/>
      <c r="FSH50" s="1398"/>
      <c r="FSI50" s="1398"/>
      <c r="FSJ50" s="1398"/>
      <c r="FSK50" s="1398"/>
      <c r="FSL50" s="1398"/>
      <c r="FSM50" s="1398"/>
      <c r="FSN50" s="1398"/>
      <c r="FSO50" s="1398"/>
      <c r="FSP50" s="1398"/>
      <c r="FSQ50" s="1398"/>
      <c r="FSR50" s="1398"/>
      <c r="FSS50" s="1398"/>
      <c r="FST50" s="1398"/>
      <c r="FSU50" s="1398"/>
      <c r="FSV50" s="1398"/>
      <c r="FSW50" s="1398"/>
      <c r="FSX50" s="1398"/>
      <c r="FSY50" s="1398"/>
      <c r="FSZ50" s="1398"/>
      <c r="FTA50" s="1398"/>
      <c r="FTB50" s="1398"/>
      <c r="FTC50" s="1398"/>
      <c r="FTD50" s="1398"/>
      <c r="FTE50" s="1398"/>
      <c r="FTF50" s="1398"/>
      <c r="FTG50" s="1398"/>
      <c r="FTH50" s="1398"/>
      <c r="FTI50" s="1398"/>
      <c r="FTJ50" s="1398"/>
      <c r="FTK50" s="1398"/>
      <c r="FTL50" s="1398"/>
      <c r="FTM50" s="1398"/>
      <c r="FTN50" s="1398"/>
      <c r="FTO50" s="1398"/>
      <c r="FTP50" s="1398"/>
      <c r="FTQ50" s="1398"/>
      <c r="FTR50" s="1398"/>
      <c r="FTS50" s="1398"/>
      <c r="FTT50" s="1398"/>
      <c r="FTU50" s="1398"/>
      <c r="FTV50" s="1398"/>
      <c r="FTW50" s="1398"/>
      <c r="FTX50" s="1398"/>
      <c r="FTY50" s="1398"/>
      <c r="FTZ50" s="1398"/>
      <c r="FUA50" s="1398"/>
      <c r="FUB50" s="1398"/>
      <c r="FUC50" s="1398"/>
      <c r="FUD50" s="1398"/>
      <c r="FUE50" s="1398"/>
      <c r="FUF50" s="1398"/>
      <c r="FUG50" s="1398"/>
      <c r="FUH50" s="1398"/>
      <c r="FUI50" s="1398"/>
      <c r="FUJ50" s="1398"/>
      <c r="FUK50" s="1398"/>
      <c r="FUL50" s="1398"/>
      <c r="FUM50" s="1398"/>
      <c r="FUN50" s="1398"/>
      <c r="FUO50" s="1398"/>
      <c r="FUP50" s="1398"/>
      <c r="FUQ50" s="1398"/>
      <c r="FUR50" s="1398"/>
      <c r="FUS50" s="1398"/>
      <c r="FUT50" s="1398"/>
      <c r="FUU50" s="1398"/>
      <c r="FUV50" s="1398"/>
      <c r="FUW50" s="1398"/>
      <c r="FUX50" s="1398"/>
      <c r="FUY50" s="1398"/>
      <c r="FUZ50" s="1398"/>
      <c r="FVA50" s="1398"/>
      <c r="FVB50" s="1398"/>
      <c r="FVC50" s="1398"/>
      <c r="FVD50" s="1398"/>
      <c r="FVE50" s="1398"/>
      <c r="FVF50" s="1398"/>
      <c r="FVG50" s="1398"/>
      <c r="FVH50" s="1398"/>
      <c r="FVI50" s="1398"/>
      <c r="FVJ50" s="1398"/>
      <c r="FVK50" s="1398"/>
      <c r="FVL50" s="1398"/>
      <c r="FVM50" s="1398"/>
      <c r="FVN50" s="1398"/>
      <c r="FVO50" s="1398"/>
      <c r="FVP50" s="1398"/>
      <c r="FVQ50" s="1398"/>
      <c r="FVR50" s="1398"/>
      <c r="FVS50" s="1398"/>
      <c r="FVT50" s="1398"/>
      <c r="FVU50" s="1398"/>
      <c r="FVV50" s="1398"/>
      <c r="FVW50" s="1398"/>
      <c r="FVX50" s="1398"/>
      <c r="FVY50" s="1398"/>
      <c r="FVZ50" s="1398"/>
      <c r="FWA50" s="1398"/>
      <c r="FWB50" s="1398"/>
      <c r="FWC50" s="1398"/>
      <c r="FWD50" s="1398"/>
      <c r="FWE50" s="1398"/>
      <c r="FWF50" s="1398"/>
      <c r="FWG50" s="1398"/>
      <c r="FWH50" s="1398"/>
      <c r="FWI50" s="1398"/>
      <c r="FWJ50" s="1398"/>
      <c r="FWK50" s="1398"/>
      <c r="FWL50" s="1398"/>
      <c r="FWM50" s="1398"/>
      <c r="FWN50" s="1398"/>
      <c r="FWO50" s="1398"/>
      <c r="FWP50" s="1398"/>
      <c r="FWQ50" s="1398"/>
      <c r="FWR50" s="1398"/>
      <c r="FWS50" s="1398"/>
      <c r="FWT50" s="1398"/>
      <c r="FWU50" s="1398"/>
      <c r="FWV50" s="1398"/>
      <c r="FWW50" s="1398"/>
      <c r="FWX50" s="1398"/>
      <c r="FWY50" s="1398"/>
      <c r="FWZ50" s="1398"/>
      <c r="FXA50" s="1398"/>
      <c r="FXB50" s="1398"/>
      <c r="FXC50" s="1398"/>
      <c r="FXD50" s="1398"/>
      <c r="FXE50" s="1398"/>
      <c r="FXF50" s="1398"/>
      <c r="FXG50" s="1398"/>
      <c r="FXH50" s="1398"/>
      <c r="FXI50" s="1398"/>
      <c r="FXJ50" s="1398"/>
      <c r="FXK50" s="1398"/>
      <c r="FXL50" s="1398"/>
      <c r="FXM50" s="1398"/>
      <c r="FXN50" s="1398"/>
      <c r="FXO50" s="1398"/>
      <c r="FXP50" s="1398"/>
      <c r="FXQ50" s="1398"/>
      <c r="FXR50" s="1398"/>
      <c r="FXS50" s="1398"/>
      <c r="FXT50" s="1398"/>
      <c r="FXU50" s="1398"/>
      <c r="FXV50" s="1398"/>
      <c r="FXW50" s="1398"/>
      <c r="FXX50" s="1398"/>
      <c r="FXY50" s="1398"/>
      <c r="FXZ50" s="1398"/>
      <c r="FYA50" s="1398"/>
      <c r="FYB50" s="1398"/>
      <c r="FYC50" s="1398"/>
      <c r="FYD50" s="1398"/>
      <c r="FYE50" s="1398"/>
      <c r="FYF50" s="1398"/>
      <c r="FYG50" s="1398"/>
      <c r="FYH50" s="1398"/>
      <c r="FYI50" s="1398"/>
      <c r="FYJ50" s="1398"/>
      <c r="FYK50" s="1398"/>
      <c r="FYL50" s="1398"/>
      <c r="FYM50" s="1398"/>
      <c r="FYN50" s="1398"/>
      <c r="FYO50" s="1398"/>
      <c r="FYP50" s="1398"/>
      <c r="FYQ50" s="1398"/>
      <c r="FYR50" s="1398"/>
      <c r="FYS50" s="1398"/>
      <c r="FYT50" s="1398"/>
      <c r="FYU50" s="1398"/>
      <c r="FYV50" s="1398"/>
      <c r="FYW50" s="1398"/>
      <c r="FYX50" s="1398"/>
      <c r="FYY50" s="1398"/>
      <c r="FYZ50" s="1398"/>
      <c r="FZA50" s="1398"/>
      <c r="FZB50" s="1398"/>
      <c r="FZC50" s="1398"/>
      <c r="FZD50" s="1398"/>
      <c r="FZE50" s="1398"/>
      <c r="FZF50" s="1398"/>
      <c r="FZG50" s="1398"/>
      <c r="FZH50" s="1398"/>
      <c r="FZI50" s="1398"/>
      <c r="FZJ50" s="1398"/>
      <c r="FZK50" s="1398"/>
      <c r="FZL50" s="1398"/>
      <c r="FZM50" s="1398"/>
      <c r="FZN50" s="1398"/>
      <c r="FZO50" s="1398"/>
      <c r="FZP50" s="1398"/>
      <c r="FZQ50" s="1398"/>
      <c r="FZR50" s="1398"/>
      <c r="FZS50" s="1398"/>
      <c r="FZT50" s="1398"/>
      <c r="FZU50" s="1398"/>
      <c r="FZV50" s="1398"/>
      <c r="FZW50" s="1398"/>
      <c r="FZX50" s="1398"/>
      <c r="FZY50" s="1398"/>
      <c r="FZZ50" s="1398"/>
      <c r="GAA50" s="1398"/>
      <c r="GAB50" s="1398"/>
      <c r="GAC50" s="1398"/>
      <c r="GAD50" s="1398"/>
      <c r="GAE50" s="1398"/>
      <c r="GAF50" s="1398"/>
      <c r="GAG50" s="1398"/>
      <c r="GAH50" s="1398"/>
      <c r="GAI50" s="1398"/>
      <c r="GAJ50" s="1398"/>
      <c r="GAK50" s="1398"/>
      <c r="GAL50" s="1398"/>
      <c r="GAM50" s="1398"/>
      <c r="GAN50" s="1398"/>
      <c r="GAO50" s="1398"/>
      <c r="GAP50" s="1398"/>
      <c r="GAQ50" s="1398"/>
      <c r="GAR50" s="1398"/>
      <c r="GAS50" s="1398"/>
      <c r="GAT50" s="1398"/>
      <c r="GAU50" s="1398"/>
      <c r="GAV50" s="1398"/>
      <c r="GAW50" s="1398"/>
      <c r="GAX50" s="1398"/>
      <c r="GAY50" s="1398"/>
      <c r="GAZ50" s="1398"/>
      <c r="GBA50" s="1398"/>
      <c r="GBB50" s="1398"/>
      <c r="GBC50" s="1398"/>
      <c r="GBD50" s="1398"/>
      <c r="GBE50" s="1398"/>
      <c r="GBF50" s="1398"/>
      <c r="GBG50" s="1398"/>
      <c r="GBH50" s="1398"/>
      <c r="GBI50" s="1398"/>
      <c r="GBJ50" s="1398"/>
      <c r="GBK50" s="1398"/>
      <c r="GBL50" s="1398"/>
      <c r="GBM50" s="1398"/>
      <c r="GBN50" s="1398"/>
      <c r="GBO50" s="1398"/>
      <c r="GBP50" s="1398"/>
      <c r="GBQ50" s="1398"/>
      <c r="GBR50" s="1398"/>
      <c r="GBS50" s="1398"/>
      <c r="GBT50" s="1398"/>
      <c r="GBU50" s="1398"/>
      <c r="GBV50" s="1398"/>
      <c r="GBW50" s="1398"/>
      <c r="GBX50" s="1398"/>
      <c r="GBY50" s="1398"/>
      <c r="GBZ50" s="1398"/>
      <c r="GCA50" s="1398"/>
      <c r="GCB50" s="1398"/>
      <c r="GCC50" s="1398"/>
      <c r="GCD50" s="1398"/>
      <c r="GCE50" s="1398"/>
      <c r="GCF50" s="1398"/>
      <c r="GCG50" s="1398"/>
      <c r="GCH50" s="1398"/>
      <c r="GCI50" s="1398"/>
      <c r="GCJ50" s="1398"/>
      <c r="GCK50" s="1398"/>
      <c r="GCL50" s="1398"/>
      <c r="GCM50" s="1398"/>
      <c r="GCN50" s="1398"/>
      <c r="GCO50" s="1398"/>
      <c r="GCP50" s="1398"/>
      <c r="GCQ50" s="1398"/>
      <c r="GCR50" s="1398"/>
      <c r="GCS50" s="1398"/>
      <c r="GCT50" s="1398"/>
      <c r="GCU50" s="1398"/>
      <c r="GCV50" s="1398"/>
      <c r="GCW50" s="1398"/>
      <c r="GCX50" s="1398"/>
      <c r="GCY50" s="1398"/>
      <c r="GCZ50" s="1398"/>
      <c r="GDA50" s="1398"/>
      <c r="GDB50" s="1398"/>
      <c r="GDC50" s="1398"/>
      <c r="GDD50" s="1398"/>
      <c r="GDE50" s="1398"/>
      <c r="GDF50" s="1398"/>
      <c r="GDG50" s="1398"/>
      <c r="GDH50" s="1398"/>
      <c r="GDI50" s="1398"/>
      <c r="GDJ50" s="1398"/>
      <c r="GDK50" s="1398"/>
      <c r="GDL50" s="1398"/>
      <c r="GDM50" s="1398"/>
      <c r="GDN50" s="1398"/>
      <c r="GDO50" s="1398"/>
      <c r="GDP50" s="1398"/>
      <c r="GDQ50" s="1398"/>
      <c r="GDR50" s="1398"/>
      <c r="GDS50" s="1398"/>
      <c r="GDT50" s="1398"/>
      <c r="GDU50" s="1398"/>
      <c r="GDV50" s="1398"/>
      <c r="GDW50" s="1398"/>
      <c r="GDX50" s="1398"/>
      <c r="GDY50" s="1398"/>
      <c r="GDZ50" s="1398"/>
      <c r="GEA50" s="1398"/>
      <c r="GEB50" s="1398"/>
      <c r="GEC50" s="1398"/>
      <c r="GED50" s="1398"/>
      <c r="GEE50" s="1398"/>
      <c r="GEF50" s="1398"/>
      <c r="GEG50" s="1398"/>
      <c r="GEH50" s="1398"/>
      <c r="GEI50" s="1398"/>
      <c r="GEJ50" s="1398"/>
      <c r="GEK50" s="1398"/>
      <c r="GEL50" s="1398"/>
      <c r="GEM50" s="1398"/>
      <c r="GEN50" s="1398"/>
      <c r="GEO50" s="1398"/>
      <c r="GEP50" s="1398"/>
      <c r="GEQ50" s="1398"/>
      <c r="GER50" s="1398"/>
      <c r="GES50" s="1398"/>
      <c r="GET50" s="1398"/>
      <c r="GEU50" s="1398"/>
      <c r="GEV50" s="1398"/>
      <c r="GEW50" s="1398"/>
      <c r="GEX50" s="1398"/>
      <c r="GEY50" s="1398"/>
      <c r="GEZ50" s="1398"/>
      <c r="GFA50" s="1398"/>
      <c r="GFB50" s="1398"/>
      <c r="GFC50" s="1398"/>
      <c r="GFD50" s="1398"/>
      <c r="GFE50" s="1398"/>
      <c r="GFF50" s="1398"/>
      <c r="GFG50" s="1398"/>
      <c r="GFH50" s="1398"/>
      <c r="GFI50" s="1398"/>
      <c r="GFJ50" s="1398"/>
      <c r="GFK50" s="1398"/>
      <c r="GFL50" s="1398"/>
      <c r="GFM50" s="1398"/>
      <c r="GFN50" s="1398"/>
      <c r="GFO50" s="1398"/>
      <c r="GFP50" s="1398"/>
      <c r="GFQ50" s="1398"/>
      <c r="GFR50" s="1398"/>
      <c r="GFS50" s="1398"/>
      <c r="GFT50" s="1398"/>
      <c r="GFU50" s="1398"/>
      <c r="GFV50" s="1398"/>
      <c r="GFW50" s="1398"/>
      <c r="GFX50" s="1398"/>
      <c r="GFY50" s="1398"/>
      <c r="GFZ50" s="1398"/>
      <c r="GGA50" s="1398"/>
      <c r="GGB50" s="1398"/>
      <c r="GGC50" s="1398"/>
      <c r="GGD50" s="1398"/>
      <c r="GGE50" s="1398"/>
      <c r="GGF50" s="1398"/>
      <c r="GGG50" s="1398"/>
      <c r="GGH50" s="1398"/>
      <c r="GGI50" s="1398"/>
      <c r="GGJ50" s="1398"/>
      <c r="GGK50" s="1398"/>
      <c r="GGL50" s="1398"/>
      <c r="GGM50" s="1398"/>
      <c r="GGN50" s="1398"/>
      <c r="GGO50" s="1398"/>
      <c r="GGP50" s="1398"/>
      <c r="GGQ50" s="1398"/>
      <c r="GGR50" s="1398"/>
      <c r="GGS50" s="1398"/>
      <c r="GGT50" s="1398"/>
      <c r="GGU50" s="1398"/>
      <c r="GGV50" s="1398"/>
      <c r="GGW50" s="1398"/>
      <c r="GGX50" s="1398"/>
      <c r="GGY50" s="1398"/>
      <c r="GGZ50" s="1398"/>
      <c r="GHA50" s="1398"/>
      <c r="GHB50" s="1398"/>
      <c r="GHC50" s="1398"/>
      <c r="GHD50" s="1398"/>
      <c r="GHE50" s="1398"/>
      <c r="GHF50" s="1398"/>
      <c r="GHG50" s="1398"/>
      <c r="GHH50" s="1398"/>
      <c r="GHI50" s="1398"/>
      <c r="GHJ50" s="1398"/>
      <c r="GHK50" s="1398"/>
      <c r="GHL50" s="1398"/>
      <c r="GHM50" s="1398"/>
      <c r="GHN50" s="1398"/>
      <c r="GHO50" s="1398"/>
      <c r="GHP50" s="1398"/>
      <c r="GHQ50" s="1398"/>
      <c r="GHR50" s="1398"/>
      <c r="GHS50" s="1398"/>
      <c r="GHT50" s="1398"/>
      <c r="GHU50" s="1398"/>
      <c r="GHV50" s="1398"/>
      <c r="GHW50" s="1398"/>
      <c r="GHX50" s="1398"/>
      <c r="GHY50" s="1398"/>
      <c r="GHZ50" s="1398"/>
      <c r="GIA50" s="1398"/>
      <c r="GIB50" s="1398"/>
      <c r="GIC50" s="1398"/>
      <c r="GID50" s="1398"/>
      <c r="GIE50" s="1398"/>
      <c r="GIF50" s="1398"/>
      <c r="GIG50" s="1398"/>
      <c r="GIH50" s="1398"/>
      <c r="GII50" s="1398"/>
      <c r="GIJ50" s="1398"/>
      <c r="GIK50" s="1398"/>
      <c r="GIL50" s="1398"/>
      <c r="GIM50" s="1398"/>
      <c r="GIN50" s="1398"/>
      <c r="GIO50" s="1398"/>
      <c r="GIP50" s="1398"/>
      <c r="GIQ50" s="1398"/>
      <c r="GIR50" s="1398"/>
      <c r="GIS50" s="1398"/>
      <c r="GIT50" s="1398"/>
      <c r="GIU50" s="1398"/>
      <c r="GIV50" s="1398"/>
      <c r="GIW50" s="1398"/>
      <c r="GIX50" s="1398"/>
      <c r="GIY50" s="1398"/>
      <c r="GIZ50" s="1398"/>
      <c r="GJA50" s="1398"/>
      <c r="GJB50" s="1398"/>
      <c r="GJC50" s="1398"/>
      <c r="GJD50" s="1398"/>
      <c r="GJE50" s="1398"/>
      <c r="GJF50" s="1398"/>
      <c r="GJG50" s="1398"/>
      <c r="GJH50" s="1398"/>
      <c r="GJI50" s="1398"/>
      <c r="GJJ50" s="1398"/>
      <c r="GJK50" s="1398"/>
      <c r="GJL50" s="1398"/>
      <c r="GJM50" s="1398"/>
      <c r="GJN50" s="1398"/>
      <c r="GJO50" s="1398"/>
      <c r="GJP50" s="1398"/>
      <c r="GJQ50" s="1398"/>
      <c r="GJR50" s="1398"/>
      <c r="GJS50" s="1398"/>
      <c r="GJT50" s="1398"/>
      <c r="GJU50" s="1398"/>
      <c r="GJV50" s="1398"/>
      <c r="GJW50" s="1398"/>
      <c r="GJX50" s="1398"/>
      <c r="GJY50" s="1398"/>
      <c r="GJZ50" s="1398"/>
      <c r="GKA50" s="1398"/>
      <c r="GKB50" s="1398"/>
      <c r="GKC50" s="1398"/>
      <c r="GKD50" s="1398"/>
      <c r="GKE50" s="1398"/>
      <c r="GKF50" s="1398"/>
      <c r="GKG50" s="1398"/>
      <c r="GKH50" s="1398"/>
      <c r="GKI50" s="1398"/>
      <c r="GKJ50" s="1398"/>
      <c r="GKK50" s="1398"/>
      <c r="GKL50" s="1398"/>
      <c r="GKM50" s="1398"/>
      <c r="GKN50" s="1398"/>
      <c r="GKO50" s="1398"/>
      <c r="GKP50" s="1398"/>
      <c r="GKQ50" s="1398"/>
      <c r="GKR50" s="1398"/>
      <c r="GKS50" s="1398"/>
      <c r="GKT50" s="1398"/>
      <c r="GKU50" s="1398"/>
      <c r="GKV50" s="1398"/>
      <c r="GKW50" s="1398"/>
      <c r="GKX50" s="1398"/>
      <c r="GKY50" s="1398"/>
      <c r="GKZ50" s="1398"/>
      <c r="GLA50" s="1398"/>
      <c r="GLB50" s="1398"/>
      <c r="GLC50" s="1398"/>
      <c r="GLD50" s="1398"/>
      <c r="GLE50" s="1398"/>
      <c r="GLF50" s="1398"/>
      <c r="GLG50" s="1398"/>
      <c r="GLH50" s="1398"/>
      <c r="GLI50" s="1398"/>
      <c r="GLJ50" s="1398"/>
      <c r="GLK50" s="1398"/>
      <c r="GLL50" s="1398"/>
      <c r="GLM50" s="1398"/>
      <c r="GLN50" s="1398"/>
      <c r="GLO50" s="1398"/>
      <c r="GLP50" s="1398"/>
      <c r="GLQ50" s="1398"/>
      <c r="GLR50" s="1398"/>
      <c r="GLS50" s="1398"/>
      <c r="GLT50" s="1398"/>
      <c r="GLU50" s="1398"/>
      <c r="GLV50" s="1398"/>
      <c r="GLW50" s="1398"/>
      <c r="GLX50" s="1398"/>
      <c r="GLY50" s="1398"/>
      <c r="GLZ50" s="1398"/>
      <c r="GMA50" s="1398"/>
      <c r="GMB50" s="1398"/>
      <c r="GMC50" s="1398"/>
      <c r="GMD50" s="1398"/>
      <c r="GME50" s="1398"/>
      <c r="GMF50" s="1398"/>
      <c r="GMG50" s="1398"/>
      <c r="GMH50" s="1398"/>
      <c r="GMI50" s="1398"/>
      <c r="GMJ50" s="1398"/>
      <c r="GMK50" s="1398"/>
      <c r="GML50" s="1398"/>
      <c r="GMM50" s="1398"/>
      <c r="GMN50" s="1398"/>
      <c r="GMO50" s="1398"/>
      <c r="GMP50" s="1398"/>
      <c r="GMQ50" s="1398"/>
      <c r="GMR50" s="1398"/>
      <c r="GMS50" s="1398"/>
      <c r="GMT50" s="1398"/>
      <c r="GMU50" s="1398"/>
      <c r="GMV50" s="1398"/>
      <c r="GMW50" s="1398"/>
      <c r="GMX50" s="1398"/>
      <c r="GMY50" s="1398"/>
      <c r="GMZ50" s="1398"/>
      <c r="GNA50" s="1398"/>
      <c r="GNB50" s="1398"/>
      <c r="GNC50" s="1398"/>
      <c r="GND50" s="1398"/>
      <c r="GNE50" s="1398"/>
      <c r="GNF50" s="1398"/>
      <c r="GNG50" s="1398"/>
      <c r="GNH50" s="1398"/>
      <c r="GNI50" s="1398"/>
      <c r="GNJ50" s="1398"/>
      <c r="GNK50" s="1398"/>
      <c r="GNL50" s="1398"/>
      <c r="GNM50" s="1398"/>
      <c r="GNN50" s="1398"/>
      <c r="GNO50" s="1398"/>
      <c r="GNP50" s="1398"/>
      <c r="GNQ50" s="1398"/>
      <c r="GNR50" s="1398"/>
      <c r="GNS50" s="1398"/>
      <c r="GNT50" s="1398"/>
      <c r="GNU50" s="1398"/>
      <c r="GNV50" s="1398"/>
      <c r="GNW50" s="1398"/>
      <c r="GNX50" s="1398"/>
      <c r="GNY50" s="1398"/>
      <c r="GNZ50" s="1398"/>
      <c r="GOA50" s="1398"/>
      <c r="GOB50" s="1398"/>
      <c r="GOC50" s="1398"/>
      <c r="GOD50" s="1398"/>
      <c r="GOE50" s="1398"/>
      <c r="GOF50" s="1398"/>
      <c r="GOG50" s="1398"/>
      <c r="GOH50" s="1398"/>
      <c r="GOI50" s="1398"/>
      <c r="GOJ50" s="1398"/>
      <c r="GOK50" s="1398"/>
      <c r="GOL50" s="1398"/>
      <c r="GOM50" s="1398"/>
      <c r="GON50" s="1398"/>
      <c r="GOO50" s="1398"/>
      <c r="GOP50" s="1398"/>
      <c r="GOQ50" s="1398"/>
      <c r="GOR50" s="1398"/>
      <c r="GOS50" s="1398"/>
      <c r="GOT50" s="1398"/>
      <c r="GOU50" s="1398"/>
      <c r="GOV50" s="1398"/>
      <c r="GOW50" s="1398"/>
      <c r="GOX50" s="1398"/>
      <c r="GOY50" s="1398"/>
      <c r="GOZ50" s="1398"/>
      <c r="GPA50" s="1398"/>
      <c r="GPB50" s="1398"/>
      <c r="GPC50" s="1398"/>
      <c r="GPD50" s="1398"/>
      <c r="GPE50" s="1398"/>
      <c r="GPF50" s="1398"/>
      <c r="GPG50" s="1398"/>
      <c r="GPH50" s="1398"/>
      <c r="GPI50" s="1398"/>
      <c r="GPJ50" s="1398"/>
      <c r="GPK50" s="1398"/>
      <c r="GPL50" s="1398"/>
      <c r="GPM50" s="1398"/>
      <c r="GPN50" s="1398"/>
      <c r="GPO50" s="1398"/>
      <c r="GPP50" s="1398"/>
      <c r="GPQ50" s="1398"/>
      <c r="GPR50" s="1398"/>
      <c r="GPS50" s="1398"/>
      <c r="GPT50" s="1398"/>
      <c r="GPU50" s="1398"/>
      <c r="GPV50" s="1398"/>
      <c r="GPW50" s="1398"/>
      <c r="GPX50" s="1398"/>
      <c r="GPY50" s="1398"/>
      <c r="GPZ50" s="1398"/>
      <c r="GQA50" s="1398"/>
      <c r="GQB50" s="1398"/>
      <c r="GQC50" s="1398"/>
      <c r="GQD50" s="1398"/>
      <c r="GQE50" s="1398"/>
      <c r="GQF50" s="1398"/>
      <c r="GQG50" s="1398"/>
      <c r="GQH50" s="1398"/>
      <c r="GQI50" s="1398"/>
      <c r="GQJ50" s="1398"/>
      <c r="GQK50" s="1398"/>
      <c r="GQL50" s="1398"/>
      <c r="GQM50" s="1398"/>
      <c r="GQN50" s="1398"/>
      <c r="GQO50" s="1398"/>
      <c r="GQP50" s="1398"/>
      <c r="GQQ50" s="1398"/>
      <c r="GQR50" s="1398"/>
      <c r="GQS50" s="1398"/>
      <c r="GQT50" s="1398"/>
      <c r="GQU50" s="1398"/>
      <c r="GQV50" s="1398"/>
      <c r="GQW50" s="1398"/>
      <c r="GQX50" s="1398"/>
      <c r="GQY50" s="1398"/>
      <c r="GQZ50" s="1398"/>
      <c r="GRA50" s="1398"/>
      <c r="GRB50" s="1398"/>
      <c r="GRC50" s="1398"/>
      <c r="GRD50" s="1398"/>
      <c r="GRE50" s="1398"/>
      <c r="GRF50" s="1398"/>
      <c r="GRG50" s="1398"/>
      <c r="GRH50" s="1398"/>
      <c r="GRI50" s="1398"/>
      <c r="GRJ50" s="1398"/>
      <c r="GRK50" s="1398"/>
      <c r="GRL50" s="1398"/>
      <c r="GRM50" s="1398"/>
      <c r="GRN50" s="1398"/>
      <c r="GRO50" s="1398"/>
      <c r="GRP50" s="1398"/>
      <c r="GRQ50" s="1398"/>
      <c r="GRR50" s="1398"/>
      <c r="GRS50" s="1398"/>
      <c r="GRT50" s="1398"/>
      <c r="GRU50" s="1398"/>
      <c r="GRV50" s="1398"/>
      <c r="GRW50" s="1398"/>
      <c r="GRX50" s="1398"/>
      <c r="GRY50" s="1398"/>
      <c r="GRZ50" s="1398"/>
      <c r="GSA50" s="1398"/>
      <c r="GSB50" s="1398"/>
      <c r="GSC50" s="1398"/>
      <c r="GSD50" s="1398"/>
      <c r="GSE50" s="1398"/>
      <c r="GSF50" s="1398"/>
      <c r="GSG50" s="1398"/>
      <c r="GSH50" s="1398"/>
      <c r="GSI50" s="1398"/>
      <c r="GSJ50" s="1398"/>
      <c r="GSK50" s="1398"/>
      <c r="GSL50" s="1398"/>
      <c r="GSM50" s="1398"/>
      <c r="GSN50" s="1398"/>
      <c r="GSO50" s="1398"/>
      <c r="GSP50" s="1398"/>
      <c r="GSQ50" s="1398"/>
      <c r="GSR50" s="1398"/>
      <c r="GSS50" s="1398"/>
      <c r="GST50" s="1398"/>
      <c r="GSU50" s="1398"/>
      <c r="GSV50" s="1398"/>
      <c r="GSW50" s="1398"/>
      <c r="GSX50" s="1398"/>
      <c r="GSY50" s="1398"/>
      <c r="GSZ50" s="1398"/>
      <c r="GTA50" s="1398"/>
      <c r="GTB50" s="1398"/>
      <c r="GTC50" s="1398"/>
      <c r="GTD50" s="1398"/>
      <c r="GTE50" s="1398"/>
      <c r="GTF50" s="1398"/>
      <c r="GTG50" s="1398"/>
      <c r="GTH50" s="1398"/>
      <c r="GTI50" s="1398"/>
      <c r="GTJ50" s="1398"/>
      <c r="GTK50" s="1398"/>
      <c r="GTL50" s="1398"/>
      <c r="GTM50" s="1398"/>
      <c r="GTN50" s="1398"/>
      <c r="GTO50" s="1398"/>
      <c r="GTP50" s="1398"/>
      <c r="GTQ50" s="1398"/>
      <c r="GTR50" s="1398"/>
      <c r="GTS50" s="1398"/>
      <c r="GTT50" s="1398"/>
      <c r="GTU50" s="1398"/>
      <c r="GTV50" s="1398"/>
      <c r="GTW50" s="1398"/>
      <c r="GTX50" s="1398"/>
      <c r="GTY50" s="1398"/>
      <c r="GTZ50" s="1398"/>
      <c r="GUA50" s="1398"/>
      <c r="GUB50" s="1398"/>
      <c r="GUC50" s="1398"/>
      <c r="GUD50" s="1398"/>
      <c r="GUE50" s="1398"/>
      <c r="GUF50" s="1398"/>
      <c r="GUG50" s="1398"/>
      <c r="GUH50" s="1398"/>
      <c r="GUI50" s="1398"/>
      <c r="GUJ50" s="1398"/>
      <c r="GUK50" s="1398"/>
      <c r="GUL50" s="1398"/>
      <c r="GUM50" s="1398"/>
      <c r="GUN50" s="1398"/>
      <c r="GUO50" s="1398"/>
      <c r="GUP50" s="1398"/>
      <c r="GUQ50" s="1398"/>
      <c r="GUR50" s="1398"/>
      <c r="GUS50" s="1398"/>
      <c r="GUT50" s="1398"/>
      <c r="GUU50" s="1398"/>
      <c r="GUV50" s="1398"/>
      <c r="GUW50" s="1398"/>
      <c r="GUX50" s="1398"/>
      <c r="GUY50" s="1398"/>
      <c r="GUZ50" s="1398"/>
      <c r="GVA50" s="1398"/>
      <c r="GVB50" s="1398"/>
      <c r="GVC50" s="1398"/>
      <c r="GVD50" s="1398"/>
      <c r="GVE50" s="1398"/>
      <c r="GVF50" s="1398"/>
      <c r="GVG50" s="1398"/>
      <c r="GVH50" s="1398"/>
      <c r="GVI50" s="1398"/>
      <c r="GVJ50" s="1398"/>
      <c r="GVK50" s="1398"/>
      <c r="GVL50" s="1398"/>
      <c r="GVM50" s="1398"/>
      <c r="GVN50" s="1398"/>
      <c r="GVO50" s="1398"/>
      <c r="GVP50" s="1398"/>
      <c r="GVQ50" s="1398"/>
      <c r="GVR50" s="1398"/>
      <c r="GVS50" s="1398"/>
      <c r="GVT50" s="1398"/>
      <c r="GVU50" s="1398"/>
      <c r="GVV50" s="1398"/>
      <c r="GVW50" s="1398"/>
      <c r="GVX50" s="1398"/>
      <c r="GVY50" s="1398"/>
      <c r="GVZ50" s="1398"/>
      <c r="GWA50" s="1398"/>
      <c r="GWB50" s="1398"/>
      <c r="GWC50" s="1398"/>
      <c r="GWD50" s="1398"/>
      <c r="GWE50" s="1398"/>
      <c r="GWF50" s="1398"/>
      <c r="GWG50" s="1398"/>
      <c r="GWH50" s="1398"/>
      <c r="GWI50" s="1398"/>
      <c r="GWJ50" s="1398"/>
      <c r="GWK50" s="1398"/>
      <c r="GWL50" s="1398"/>
      <c r="GWM50" s="1398"/>
      <c r="GWN50" s="1398"/>
      <c r="GWO50" s="1398"/>
      <c r="GWP50" s="1398"/>
      <c r="GWQ50" s="1398"/>
      <c r="GWR50" s="1398"/>
      <c r="GWS50" s="1398"/>
      <c r="GWT50" s="1398"/>
      <c r="GWU50" s="1398"/>
      <c r="GWV50" s="1398"/>
      <c r="GWW50" s="1398"/>
      <c r="GWX50" s="1398"/>
      <c r="GWY50" s="1398"/>
      <c r="GWZ50" s="1398"/>
      <c r="GXA50" s="1398"/>
      <c r="GXB50" s="1398"/>
      <c r="GXC50" s="1398"/>
      <c r="GXD50" s="1398"/>
      <c r="GXE50" s="1398"/>
      <c r="GXF50" s="1398"/>
      <c r="GXG50" s="1398"/>
      <c r="GXH50" s="1398"/>
      <c r="GXI50" s="1398"/>
      <c r="GXJ50" s="1398"/>
      <c r="GXK50" s="1398"/>
      <c r="GXL50" s="1398"/>
      <c r="GXM50" s="1398"/>
      <c r="GXN50" s="1398"/>
      <c r="GXO50" s="1398"/>
      <c r="GXP50" s="1398"/>
      <c r="GXQ50" s="1398"/>
      <c r="GXR50" s="1398"/>
      <c r="GXS50" s="1398"/>
      <c r="GXT50" s="1398"/>
      <c r="GXU50" s="1398"/>
      <c r="GXV50" s="1398"/>
      <c r="GXW50" s="1398"/>
      <c r="GXX50" s="1398"/>
      <c r="GXY50" s="1398"/>
      <c r="GXZ50" s="1398"/>
      <c r="GYA50" s="1398"/>
      <c r="GYB50" s="1398"/>
      <c r="GYC50" s="1398"/>
      <c r="GYD50" s="1398"/>
      <c r="GYE50" s="1398"/>
      <c r="GYF50" s="1398"/>
      <c r="GYG50" s="1398"/>
      <c r="GYH50" s="1398"/>
      <c r="GYI50" s="1398"/>
      <c r="GYJ50" s="1398"/>
      <c r="GYK50" s="1398"/>
      <c r="GYL50" s="1398"/>
      <c r="GYM50" s="1398"/>
      <c r="GYN50" s="1398"/>
      <c r="GYO50" s="1398"/>
      <c r="GYP50" s="1398"/>
      <c r="GYQ50" s="1398"/>
      <c r="GYR50" s="1398"/>
      <c r="GYS50" s="1398"/>
      <c r="GYT50" s="1398"/>
      <c r="GYU50" s="1398"/>
      <c r="GYV50" s="1398"/>
      <c r="GYW50" s="1398"/>
      <c r="GYX50" s="1398"/>
      <c r="GYY50" s="1398"/>
      <c r="GYZ50" s="1398"/>
      <c r="GZA50" s="1398"/>
      <c r="GZB50" s="1398"/>
      <c r="GZC50" s="1398"/>
      <c r="GZD50" s="1398"/>
      <c r="GZE50" s="1398"/>
      <c r="GZF50" s="1398"/>
      <c r="GZG50" s="1398"/>
      <c r="GZH50" s="1398"/>
      <c r="GZI50" s="1398"/>
      <c r="GZJ50" s="1398"/>
      <c r="GZK50" s="1398"/>
      <c r="GZL50" s="1398"/>
      <c r="GZM50" s="1398"/>
      <c r="GZN50" s="1398"/>
      <c r="GZO50" s="1398"/>
      <c r="GZP50" s="1398"/>
      <c r="GZQ50" s="1398"/>
      <c r="GZR50" s="1398"/>
      <c r="GZS50" s="1398"/>
      <c r="GZT50" s="1398"/>
      <c r="GZU50" s="1398"/>
      <c r="GZV50" s="1398"/>
      <c r="GZW50" s="1398"/>
      <c r="GZX50" s="1398"/>
      <c r="GZY50" s="1398"/>
      <c r="GZZ50" s="1398"/>
      <c r="HAA50" s="1398"/>
      <c r="HAB50" s="1398"/>
      <c r="HAC50" s="1398"/>
      <c r="HAD50" s="1398"/>
      <c r="HAE50" s="1398"/>
      <c r="HAF50" s="1398"/>
      <c r="HAG50" s="1398"/>
      <c r="HAH50" s="1398"/>
      <c r="HAI50" s="1398"/>
      <c r="HAJ50" s="1398"/>
      <c r="HAK50" s="1398"/>
      <c r="HAL50" s="1398"/>
      <c r="HAM50" s="1398"/>
      <c r="HAN50" s="1398"/>
      <c r="HAO50" s="1398"/>
      <c r="HAP50" s="1398"/>
      <c r="HAQ50" s="1398"/>
      <c r="HAR50" s="1398"/>
      <c r="HAS50" s="1398"/>
      <c r="HAT50" s="1398"/>
      <c r="HAU50" s="1398"/>
      <c r="HAV50" s="1398"/>
      <c r="HAW50" s="1398"/>
      <c r="HAX50" s="1398"/>
      <c r="HAY50" s="1398"/>
      <c r="HAZ50" s="1398"/>
      <c r="HBA50" s="1398"/>
      <c r="HBB50" s="1398"/>
      <c r="HBC50" s="1398"/>
      <c r="HBD50" s="1398"/>
      <c r="HBE50" s="1398"/>
      <c r="HBF50" s="1398"/>
      <c r="HBG50" s="1398"/>
      <c r="HBH50" s="1398"/>
      <c r="HBI50" s="1398"/>
      <c r="HBJ50" s="1398"/>
      <c r="HBK50" s="1398"/>
      <c r="HBL50" s="1398"/>
      <c r="HBM50" s="1398"/>
      <c r="HBN50" s="1398"/>
      <c r="HBO50" s="1398"/>
      <c r="HBP50" s="1398"/>
      <c r="HBQ50" s="1398"/>
      <c r="HBR50" s="1398"/>
      <c r="HBS50" s="1398"/>
      <c r="HBT50" s="1398"/>
      <c r="HBU50" s="1398"/>
      <c r="HBV50" s="1398"/>
      <c r="HBW50" s="1398"/>
      <c r="HBX50" s="1398"/>
      <c r="HBY50" s="1398"/>
      <c r="HBZ50" s="1398"/>
      <c r="HCA50" s="1398"/>
      <c r="HCB50" s="1398"/>
      <c r="HCC50" s="1398"/>
      <c r="HCD50" s="1398"/>
      <c r="HCE50" s="1398"/>
      <c r="HCF50" s="1398"/>
      <c r="HCG50" s="1398"/>
      <c r="HCH50" s="1398"/>
      <c r="HCI50" s="1398"/>
      <c r="HCJ50" s="1398"/>
      <c r="HCK50" s="1398"/>
      <c r="HCL50" s="1398"/>
      <c r="HCM50" s="1398"/>
      <c r="HCN50" s="1398"/>
      <c r="HCO50" s="1398"/>
      <c r="HCP50" s="1398"/>
      <c r="HCQ50" s="1398"/>
      <c r="HCR50" s="1398"/>
      <c r="HCS50" s="1398"/>
      <c r="HCT50" s="1398"/>
      <c r="HCU50" s="1398"/>
      <c r="HCV50" s="1398"/>
      <c r="HCW50" s="1398"/>
      <c r="HCX50" s="1398"/>
      <c r="HCY50" s="1398"/>
      <c r="HCZ50" s="1398"/>
      <c r="HDA50" s="1398"/>
      <c r="HDB50" s="1398"/>
      <c r="HDC50" s="1398"/>
      <c r="HDD50" s="1398"/>
      <c r="HDE50" s="1398"/>
      <c r="HDF50" s="1398"/>
      <c r="HDG50" s="1398"/>
      <c r="HDH50" s="1398"/>
      <c r="HDI50" s="1398"/>
      <c r="HDJ50" s="1398"/>
      <c r="HDK50" s="1398"/>
      <c r="HDL50" s="1398"/>
      <c r="HDM50" s="1398"/>
      <c r="HDN50" s="1398"/>
      <c r="HDO50" s="1398"/>
      <c r="HDP50" s="1398"/>
      <c r="HDQ50" s="1398"/>
      <c r="HDR50" s="1398"/>
      <c r="HDS50" s="1398"/>
      <c r="HDT50" s="1398"/>
      <c r="HDU50" s="1398"/>
      <c r="HDV50" s="1398"/>
      <c r="HDW50" s="1398"/>
      <c r="HDX50" s="1398"/>
      <c r="HDY50" s="1398"/>
      <c r="HDZ50" s="1398"/>
      <c r="HEA50" s="1398"/>
      <c r="HEB50" s="1398"/>
      <c r="HEC50" s="1398"/>
      <c r="HED50" s="1398"/>
      <c r="HEE50" s="1398"/>
      <c r="HEF50" s="1398"/>
      <c r="HEG50" s="1398"/>
      <c r="HEH50" s="1398"/>
      <c r="HEI50" s="1398"/>
      <c r="HEJ50" s="1398"/>
      <c r="HEK50" s="1398"/>
      <c r="HEL50" s="1398"/>
      <c r="HEM50" s="1398"/>
      <c r="HEN50" s="1398"/>
      <c r="HEO50" s="1398"/>
      <c r="HEP50" s="1398"/>
      <c r="HEQ50" s="1398"/>
      <c r="HER50" s="1398"/>
      <c r="HES50" s="1398"/>
      <c r="HET50" s="1398"/>
      <c r="HEU50" s="1398"/>
      <c r="HEV50" s="1398"/>
      <c r="HEW50" s="1398"/>
      <c r="HEX50" s="1398"/>
      <c r="HEY50" s="1398"/>
      <c r="HEZ50" s="1398"/>
      <c r="HFA50" s="1398"/>
      <c r="HFB50" s="1398"/>
      <c r="HFC50" s="1398"/>
      <c r="HFD50" s="1398"/>
      <c r="HFE50" s="1398"/>
      <c r="HFF50" s="1398"/>
      <c r="HFG50" s="1398"/>
      <c r="HFH50" s="1398"/>
      <c r="HFI50" s="1398"/>
      <c r="HFJ50" s="1398"/>
      <c r="HFK50" s="1398"/>
      <c r="HFL50" s="1398"/>
      <c r="HFM50" s="1398"/>
      <c r="HFN50" s="1398"/>
      <c r="HFO50" s="1398"/>
      <c r="HFP50" s="1398"/>
      <c r="HFQ50" s="1398"/>
      <c r="HFR50" s="1398"/>
      <c r="HFS50" s="1398"/>
      <c r="HFT50" s="1398"/>
      <c r="HFU50" s="1398"/>
      <c r="HFV50" s="1398"/>
      <c r="HFW50" s="1398"/>
      <c r="HFX50" s="1398"/>
      <c r="HFY50" s="1398"/>
      <c r="HFZ50" s="1398"/>
      <c r="HGA50" s="1398"/>
      <c r="HGB50" s="1398"/>
      <c r="HGC50" s="1398"/>
      <c r="HGD50" s="1398"/>
      <c r="HGE50" s="1398"/>
      <c r="HGF50" s="1398"/>
      <c r="HGG50" s="1398"/>
      <c r="HGH50" s="1398"/>
      <c r="HGI50" s="1398"/>
      <c r="HGJ50" s="1398"/>
      <c r="HGK50" s="1398"/>
      <c r="HGL50" s="1398"/>
      <c r="HGM50" s="1398"/>
      <c r="HGN50" s="1398"/>
      <c r="HGO50" s="1398"/>
      <c r="HGP50" s="1398"/>
      <c r="HGQ50" s="1398"/>
      <c r="HGR50" s="1398"/>
      <c r="HGS50" s="1398"/>
      <c r="HGT50" s="1398"/>
      <c r="HGU50" s="1398"/>
      <c r="HGV50" s="1398"/>
      <c r="HGW50" s="1398"/>
      <c r="HGX50" s="1398"/>
      <c r="HGY50" s="1398"/>
      <c r="HGZ50" s="1398"/>
      <c r="HHA50" s="1398"/>
      <c r="HHB50" s="1398"/>
      <c r="HHC50" s="1398"/>
      <c r="HHD50" s="1398"/>
      <c r="HHE50" s="1398"/>
      <c r="HHF50" s="1398"/>
      <c r="HHG50" s="1398"/>
      <c r="HHH50" s="1398"/>
      <c r="HHI50" s="1398"/>
      <c r="HHJ50" s="1398"/>
      <c r="HHK50" s="1398"/>
      <c r="HHL50" s="1398"/>
      <c r="HHM50" s="1398"/>
      <c r="HHN50" s="1398"/>
      <c r="HHO50" s="1398"/>
      <c r="HHP50" s="1398"/>
      <c r="HHQ50" s="1398"/>
      <c r="HHR50" s="1398"/>
      <c r="HHS50" s="1398"/>
      <c r="HHT50" s="1398"/>
      <c r="HHU50" s="1398"/>
      <c r="HHV50" s="1398"/>
      <c r="HHW50" s="1398"/>
      <c r="HHX50" s="1398"/>
      <c r="HHY50" s="1398"/>
      <c r="HHZ50" s="1398"/>
      <c r="HIA50" s="1398"/>
      <c r="HIB50" s="1398"/>
      <c r="HIC50" s="1398"/>
      <c r="HID50" s="1398"/>
      <c r="HIE50" s="1398"/>
      <c r="HIF50" s="1398"/>
      <c r="HIG50" s="1398"/>
      <c r="HIH50" s="1398"/>
      <c r="HII50" s="1398"/>
      <c r="HIJ50" s="1398"/>
      <c r="HIK50" s="1398"/>
      <c r="HIL50" s="1398"/>
      <c r="HIM50" s="1398"/>
      <c r="HIN50" s="1398"/>
      <c r="HIO50" s="1398"/>
      <c r="HIP50" s="1398"/>
      <c r="HIQ50" s="1398"/>
      <c r="HIR50" s="1398"/>
      <c r="HIS50" s="1398"/>
      <c r="HIT50" s="1398"/>
      <c r="HIU50" s="1398"/>
      <c r="HIV50" s="1398"/>
      <c r="HIW50" s="1398"/>
      <c r="HIX50" s="1398"/>
      <c r="HIY50" s="1398"/>
      <c r="HIZ50" s="1398"/>
      <c r="HJA50" s="1398"/>
      <c r="HJB50" s="1398"/>
      <c r="HJC50" s="1398"/>
      <c r="HJD50" s="1398"/>
      <c r="HJE50" s="1398"/>
      <c r="HJF50" s="1398"/>
      <c r="HJG50" s="1398"/>
      <c r="HJH50" s="1398"/>
      <c r="HJI50" s="1398"/>
      <c r="HJJ50" s="1398"/>
      <c r="HJK50" s="1398"/>
      <c r="HJL50" s="1398"/>
      <c r="HJM50" s="1398"/>
      <c r="HJN50" s="1398"/>
      <c r="HJO50" s="1398"/>
      <c r="HJP50" s="1398"/>
      <c r="HJQ50" s="1398"/>
      <c r="HJR50" s="1398"/>
      <c r="HJS50" s="1398"/>
      <c r="HJT50" s="1398"/>
      <c r="HJU50" s="1398"/>
      <c r="HJV50" s="1398"/>
      <c r="HJW50" s="1398"/>
      <c r="HJX50" s="1398"/>
      <c r="HJY50" s="1398"/>
      <c r="HJZ50" s="1398"/>
      <c r="HKA50" s="1398"/>
      <c r="HKB50" s="1398"/>
      <c r="HKC50" s="1398"/>
      <c r="HKD50" s="1398"/>
      <c r="HKE50" s="1398"/>
      <c r="HKF50" s="1398"/>
      <c r="HKG50" s="1398"/>
      <c r="HKH50" s="1398"/>
      <c r="HKI50" s="1398"/>
      <c r="HKJ50" s="1398"/>
      <c r="HKK50" s="1398"/>
      <c r="HKL50" s="1398"/>
      <c r="HKM50" s="1398"/>
      <c r="HKN50" s="1398"/>
      <c r="HKO50" s="1398"/>
      <c r="HKP50" s="1398"/>
      <c r="HKQ50" s="1398"/>
      <c r="HKR50" s="1398"/>
      <c r="HKS50" s="1398"/>
      <c r="HKT50" s="1398"/>
      <c r="HKU50" s="1398"/>
      <c r="HKV50" s="1398"/>
      <c r="HKW50" s="1398"/>
      <c r="HKX50" s="1398"/>
      <c r="HKY50" s="1398"/>
      <c r="HKZ50" s="1398"/>
      <c r="HLA50" s="1398"/>
      <c r="HLB50" s="1398"/>
      <c r="HLC50" s="1398"/>
      <c r="HLD50" s="1398"/>
      <c r="HLE50" s="1398"/>
      <c r="HLF50" s="1398"/>
      <c r="HLG50" s="1398"/>
      <c r="HLH50" s="1398"/>
      <c r="HLI50" s="1398"/>
      <c r="HLJ50" s="1398"/>
      <c r="HLK50" s="1398"/>
      <c r="HLL50" s="1398"/>
      <c r="HLM50" s="1398"/>
      <c r="HLN50" s="1398"/>
      <c r="HLO50" s="1398"/>
      <c r="HLP50" s="1398"/>
      <c r="HLQ50" s="1398"/>
      <c r="HLR50" s="1398"/>
      <c r="HLS50" s="1398"/>
      <c r="HLT50" s="1398"/>
      <c r="HLU50" s="1398"/>
      <c r="HLV50" s="1398"/>
      <c r="HLW50" s="1398"/>
      <c r="HLX50" s="1398"/>
      <c r="HLY50" s="1398"/>
      <c r="HLZ50" s="1398"/>
      <c r="HMA50" s="1398"/>
      <c r="HMB50" s="1398"/>
      <c r="HMC50" s="1398"/>
      <c r="HMD50" s="1398"/>
      <c r="HME50" s="1398"/>
      <c r="HMF50" s="1398"/>
      <c r="HMG50" s="1398"/>
      <c r="HMH50" s="1398"/>
      <c r="HMI50" s="1398"/>
      <c r="HMJ50" s="1398"/>
      <c r="HMK50" s="1398"/>
      <c r="HML50" s="1398"/>
      <c r="HMM50" s="1398"/>
      <c r="HMN50" s="1398"/>
      <c r="HMO50" s="1398"/>
      <c r="HMP50" s="1398"/>
      <c r="HMQ50" s="1398"/>
      <c r="HMR50" s="1398"/>
      <c r="HMS50" s="1398"/>
      <c r="HMT50" s="1398"/>
      <c r="HMU50" s="1398"/>
      <c r="HMV50" s="1398"/>
      <c r="HMW50" s="1398"/>
      <c r="HMX50" s="1398"/>
      <c r="HMY50" s="1398"/>
      <c r="HMZ50" s="1398"/>
      <c r="HNA50" s="1398"/>
      <c r="HNB50" s="1398"/>
      <c r="HNC50" s="1398"/>
      <c r="HND50" s="1398"/>
      <c r="HNE50" s="1398"/>
      <c r="HNF50" s="1398"/>
      <c r="HNG50" s="1398"/>
      <c r="HNH50" s="1398"/>
      <c r="HNI50" s="1398"/>
      <c r="HNJ50" s="1398"/>
      <c r="HNK50" s="1398"/>
      <c r="HNL50" s="1398"/>
      <c r="HNM50" s="1398"/>
      <c r="HNN50" s="1398"/>
      <c r="HNO50" s="1398"/>
      <c r="HNP50" s="1398"/>
      <c r="HNQ50" s="1398"/>
      <c r="HNR50" s="1398"/>
      <c r="HNS50" s="1398"/>
      <c r="HNT50" s="1398"/>
      <c r="HNU50" s="1398"/>
      <c r="HNV50" s="1398"/>
      <c r="HNW50" s="1398"/>
      <c r="HNX50" s="1398"/>
      <c r="HNY50" s="1398"/>
      <c r="HNZ50" s="1398"/>
      <c r="HOA50" s="1398"/>
      <c r="HOB50" s="1398"/>
      <c r="HOC50" s="1398"/>
      <c r="HOD50" s="1398"/>
      <c r="HOE50" s="1398"/>
      <c r="HOF50" s="1398"/>
      <c r="HOG50" s="1398"/>
      <c r="HOH50" s="1398"/>
      <c r="HOI50" s="1398"/>
      <c r="HOJ50" s="1398"/>
      <c r="HOK50" s="1398"/>
      <c r="HOL50" s="1398"/>
      <c r="HOM50" s="1398"/>
      <c r="HON50" s="1398"/>
      <c r="HOO50" s="1398"/>
      <c r="HOP50" s="1398"/>
      <c r="HOQ50" s="1398"/>
      <c r="HOR50" s="1398"/>
      <c r="HOS50" s="1398"/>
      <c r="HOT50" s="1398"/>
      <c r="HOU50" s="1398"/>
      <c r="HOV50" s="1398"/>
      <c r="HOW50" s="1398"/>
      <c r="HOX50" s="1398"/>
      <c r="HOY50" s="1398"/>
      <c r="HOZ50" s="1398"/>
      <c r="HPA50" s="1398"/>
      <c r="HPB50" s="1398"/>
      <c r="HPC50" s="1398"/>
      <c r="HPD50" s="1398"/>
      <c r="HPE50" s="1398"/>
      <c r="HPF50" s="1398"/>
      <c r="HPG50" s="1398"/>
      <c r="HPH50" s="1398"/>
      <c r="HPI50" s="1398"/>
      <c r="HPJ50" s="1398"/>
      <c r="HPK50" s="1398"/>
      <c r="HPL50" s="1398"/>
      <c r="HPM50" s="1398"/>
      <c r="HPN50" s="1398"/>
      <c r="HPO50" s="1398"/>
      <c r="HPP50" s="1398"/>
      <c r="HPQ50" s="1398"/>
      <c r="HPR50" s="1398"/>
      <c r="HPS50" s="1398"/>
      <c r="HPT50" s="1398"/>
      <c r="HPU50" s="1398"/>
      <c r="HPV50" s="1398"/>
      <c r="HPW50" s="1398"/>
      <c r="HPX50" s="1398"/>
      <c r="HPY50" s="1398"/>
      <c r="HPZ50" s="1398"/>
      <c r="HQA50" s="1398"/>
      <c r="HQB50" s="1398"/>
      <c r="HQC50" s="1398"/>
      <c r="HQD50" s="1398"/>
      <c r="HQE50" s="1398"/>
      <c r="HQF50" s="1398"/>
      <c r="HQG50" s="1398"/>
      <c r="HQH50" s="1398"/>
      <c r="HQI50" s="1398"/>
      <c r="HQJ50" s="1398"/>
      <c r="HQK50" s="1398"/>
      <c r="HQL50" s="1398"/>
      <c r="HQM50" s="1398"/>
      <c r="HQN50" s="1398"/>
      <c r="HQO50" s="1398"/>
      <c r="HQP50" s="1398"/>
      <c r="HQQ50" s="1398"/>
      <c r="HQR50" s="1398"/>
      <c r="HQS50" s="1398"/>
      <c r="HQT50" s="1398"/>
      <c r="HQU50" s="1398"/>
      <c r="HQV50" s="1398"/>
      <c r="HQW50" s="1398"/>
      <c r="HQX50" s="1398"/>
      <c r="HQY50" s="1398"/>
      <c r="HQZ50" s="1398"/>
      <c r="HRA50" s="1398"/>
      <c r="HRB50" s="1398"/>
      <c r="HRC50" s="1398"/>
      <c r="HRD50" s="1398"/>
      <c r="HRE50" s="1398"/>
      <c r="HRF50" s="1398"/>
      <c r="HRG50" s="1398"/>
      <c r="HRH50" s="1398"/>
      <c r="HRI50" s="1398"/>
      <c r="HRJ50" s="1398"/>
      <c r="HRK50" s="1398"/>
      <c r="HRL50" s="1398"/>
      <c r="HRM50" s="1398"/>
      <c r="HRN50" s="1398"/>
      <c r="HRO50" s="1398"/>
      <c r="HRP50" s="1398"/>
      <c r="HRQ50" s="1398"/>
      <c r="HRR50" s="1398"/>
      <c r="HRS50" s="1398"/>
      <c r="HRT50" s="1398"/>
      <c r="HRU50" s="1398"/>
      <c r="HRV50" s="1398"/>
      <c r="HRW50" s="1398"/>
      <c r="HRX50" s="1398"/>
      <c r="HRY50" s="1398"/>
      <c r="HRZ50" s="1398"/>
      <c r="HSA50" s="1398"/>
      <c r="HSB50" s="1398"/>
      <c r="HSC50" s="1398"/>
      <c r="HSD50" s="1398"/>
      <c r="HSE50" s="1398"/>
      <c r="HSF50" s="1398"/>
      <c r="HSG50" s="1398"/>
      <c r="HSH50" s="1398"/>
      <c r="HSI50" s="1398"/>
      <c r="HSJ50" s="1398"/>
      <c r="HSK50" s="1398"/>
      <c r="HSL50" s="1398"/>
      <c r="HSM50" s="1398"/>
      <c r="HSN50" s="1398"/>
      <c r="HSO50" s="1398"/>
      <c r="HSP50" s="1398"/>
      <c r="HSQ50" s="1398"/>
      <c r="HSR50" s="1398"/>
      <c r="HSS50" s="1398"/>
      <c r="HST50" s="1398"/>
      <c r="HSU50" s="1398"/>
      <c r="HSV50" s="1398"/>
      <c r="HSW50" s="1398"/>
      <c r="HSX50" s="1398"/>
      <c r="HSY50" s="1398"/>
      <c r="HSZ50" s="1398"/>
      <c r="HTA50" s="1398"/>
      <c r="HTB50" s="1398"/>
      <c r="HTC50" s="1398"/>
      <c r="HTD50" s="1398"/>
      <c r="HTE50" s="1398"/>
      <c r="HTF50" s="1398"/>
      <c r="HTG50" s="1398"/>
      <c r="HTH50" s="1398"/>
      <c r="HTI50" s="1398"/>
      <c r="HTJ50" s="1398"/>
      <c r="HTK50" s="1398"/>
      <c r="HTL50" s="1398"/>
      <c r="HTM50" s="1398"/>
      <c r="HTN50" s="1398"/>
      <c r="HTO50" s="1398"/>
      <c r="HTP50" s="1398"/>
      <c r="HTQ50" s="1398"/>
      <c r="HTR50" s="1398"/>
      <c r="HTS50" s="1398"/>
      <c r="HTT50" s="1398"/>
      <c r="HTU50" s="1398"/>
      <c r="HTV50" s="1398"/>
      <c r="HTW50" s="1398"/>
      <c r="HTX50" s="1398"/>
      <c r="HTY50" s="1398"/>
      <c r="HTZ50" s="1398"/>
      <c r="HUA50" s="1398"/>
      <c r="HUB50" s="1398"/>
      <c r="HUC50" s="1398"/>
      <c r="HUD50" s="1398"/>
      <c r="HUE50" s="1398"/>
      <c r="HUF50" s="1398"/>
      <c r="HUG50" s="1398"/>
      <c r="HUH50" s="1398"/>
      <c r="HUI50" s="1398"/>
      <c r="HUJ50" s="1398"/>
      <c r="HUK50" s="1398"/>
      <c r="HUL50" s="1398"/>
      <c r="HUM50" s="1398"/>
      <c r="HUN50" s="1398"/>
      <c r="HUO50" s="1398"/>
      <c r="HUP50" s="1398"/>
      <c r="HUQ50" s="1398"/>
      <c r="HUR50" s="1398"/>
      <c r="HUS50" s="1398"/>
      <c r="HUT50" s="1398"/>
      <c r="HUU50" s="1398"/>
      <c r="HUV50" s="1398"/>
      <c r="HUW50" s="1398"/>
      <c r="HUX50" s="1398"/>
      <c r="HUY50" s="1398"/>
      <c r="HUZ50" s="1398"/>
      <c r="HVA50" s="1398"/>
      <c r="HVB50" s="1398"/>
      <c r="HVC50" s="1398"/>
      <c r="HVD50" s="1398"/>
      <c r="HVE50" s="1398"/>
      <c r="HVF50" s="1398"/>
      <c r="HVG50" s="1398"/>
      <c r="HVH50" s="1398"/>
      <c r="HVI50" s="1398"/>
      <c r="HVJ50" s="1398"/>
      <c r="HVK50" s="1398"/>
      <c r="HVL50" s="1398"/>
      <c r="HVM50" s="1398"/>
      <c r="HVN50" s="1398"/>
      <c r="HVO50" s="1398"/>
      <c r="HVP50" s="1398"/>
      <c r="HVQ50" s="1398"/>
      <c r="HVR50" s="1398"/>
      <c r="HVS50" s="1398"/>
      <c r="HVT50" s="1398"/>
      <c r="HVU50" s="1398"/>
      <c r="HVV50" s="1398"/>
      <c r="HVW50" s="1398"/>
      <c r="HVX50" s="1398"/>
      <c r="HVY50" s="1398"/>
      <c r="HVZ50" s="1398"/>
      <c r="HWA50" s="1398"/>
      <c r="HWB50" s="1398"/>
      <c r="HWC50" s="1398"/>
      <c r="HWD50" s="1398"/>
      <c r="HWE50" s="1398"/>
      <c r="HWF50" s="1398"/>
      <c r="HWG50" s="1398"/>
      <c r="HWH50" s="1398"/>
      <c r="HWI50" s="1398"/>
      <c r="HWJ50" s="1398"/>
      <c r="HWK50" s="1398"/>
      <c r="HWL50" s="1398"/>
      <c r="HWM50" s="1398"/>
      <c r="HWN50" s="1398"/>
      <c r="HWO50" s="1398"/>
      <c r="HWP50" s="1398"/>
      <c r="HWQ50" s="1398"/>
      <c r="HWR50" s="1398"/>
      <c r="HWS50" s="1398"/>
      <c r="HWT50" s="1398"/>
      <c r="HWU50" s="1398"/>
      <c r="HWV50" s="1398"/>
      <c r="HWW50" s="1398"/>
      <c r="HWX50" s="1398"/>
      <c r="HWY50" s="1398"/>
      <c r="HWZ50" s="1398"/>
      <c r="HXA50" s="1398"/>
      <c r="HXB50" s="1398"/>
      <c r="HXC50" s="1398"/>
      <c r="HXD50" s="1398"/>
      <c r="HXE50" s="1398"/>
      <c r="HXF50" s="1398"/>
      <c r="HXG50" s="1398"/>
      <c r="HXH50" s="1398"/>
      <c r="HXI50" s="1398"/>
      <c r="HXJ50" s="1398"/>
      <c r="HXK50" s="1398"/>
      <c r="HXL50" s="1398"/>
      <c r="HXM50" s="1398"/>
      <c r="HXN50" s="1398"/>
      <c r="HXO50" s="1398"/>
      <c r="HXP50" s="1398"/>
      <c r="HXQ50" s="1398"/>
      <c r="HXR50" s="1398"/>
      <c r="HXS50" s="1398"/>
      <c r="HXT50" s="1398"/>
      <c r="HXU50" s="1398"/>
      <c r="HXV50" s="1398"/>
      <c r="HXW50" s="1398"/>
      <c r="HXX50" s="1398"/>
      <c r="HXY50" s="1398"/>
      <c r="HXZ50" s="1398"/>
      <c r="HYA50" s="1398"/>
      <c r="HYB50" s="1398"/>
      <c r="HYC50" s="1398"/>
      <c r="HYD50" s="1398"/>
      <c r="HYE50" s="1398"/>
      <c r="HYF50" s="1398"/>
      <c r="HYG50" s="1398"/>
      <c r="HYH50" s="1398"/>
      <c r="HYI50" s="1398"/>
      <c r="HYJ50" s="1398"/>
      <c r="HYK50" s="1398"/>
      <c r="HYL50" s="1398"/>
      <c r="HYM50" s="1398"/>
      <c r="HYN50" s="1398"/>
      <c r="HYO50" s="1398"/>
      <c r="HYP50" s="1398"/>
      <c r="HYQ50" s="1398"/>
      <c r="HYR50" s="1398"/>
      <c r="HYS50" s="1398"/>
      <c r="HYT50" s="1398"/>
      <c r="HYU50" s="1398"/>
      <c r="HYV50" s="1398"/>
      <c r="HYW50" s="1398"/>
      <c r="HYX50" s="1398"/>
      <c r="HYY50" s="1398"/>
      <c r="HYZ50" s="1398"/>
      <c r="HZA50" s="1398"/>
      <c r="HZB50" s="1398"/>
      <c r="HZC50" s="1398"/>
      <c r="HZD50" s="1398"/>
      <c r="HZE50" s="1398"/>
      <c r="HZF50" s="1398"/>
      <c r="HZG50" s="1398"/>
      <c r="HZH50" s="1398"/>
      <c r="HZI50" s="1398"/>
      <c r="HZJ50" s="1398"/>
      <c r="HZK50" s="1398"/>
      <c r="HZL50" s="1398"/>
      <c r="HZM50" s="1398"/>
      <c r="HZN50" s="1398"/>
      <c r="HZO50" s="1398"/>
      <c r="HZP50" s="1398"/>
      <c r="HZQ50" s="1398"/>
      <c r="HZR50" s="1398"/>
      <c r="HZS50" s="1398"/>
      <c r="HZT50" s="1398"/>
      <c r="HZU50" s="1398"/>
      <c r="HZV50" s="1398"/>
      <c r="HZW50" s="1398"/>
      <c r="HZX50" s="1398"/>
      <c r="HZY50" s="1398"/>
      <c r="HZZ50" s="1398"/>
      <c r="IAA50" s="1398"/>
      <c r="IAB50" s="1398"/>
      <c r="IAC50" s="1398"/>
      <c r="IAD50" s="1398"/>
      <c r="IAE50" s="1398"/>
      <c r="IAF50" s="1398"/>
      <c r="IAG50" s="1398"/>
      <c r="IAH50" s="1398"/>
      <c r="IAI50" s="1398"/>
      <c r="IAJ50" s="1398"/>
      <c r="IAK50" s="1398"/>
      <c r="IAL50" s="1398"/>
      <c r="IAM50" s="1398"/>
      <c r="IAN50" s="1398"/>
      <c r="IAO50" s="1398"/>
      <c r="IAP50" s="1398"/>
      <c r="IAQ50" s="1398"/>
      <c r="IAR50" s="1398"/>
      <c r="IAS50" s="1398"/>
      <c r="IAT50" s="1398"/>
      <c r="IAU50" s="1398"/>
      <c r="IAV50" s="1398"/>
      <c r="IAW50" s="1398"/>
      <c r="IAX50" s="1398"/>
      <c r="IAY50" s="1398"/>
      <c r="IAZ50" s="1398"/>
      <c r="IBA50" s="1398"/>
      <c r="IBB50" s="1398"/>
      <c r="IBC50" s="1398"/>
      <c r="IBD50" s="1398"/>
      <c r="IBE50" s="1398"/>
      <c r="IBF50" s="1398"/>
      <c r="IBG50" s="1398"/>
      <c r="IBH50" s="1398"/>
      <c r="IBI50" s="1398"/>
      <c r="IBJ50" s="1398"/>
      <c r="IBK50" s="1398"/>
      <c r="IBL50" s="1398"/>
      <c r="IBM50" s="1398"/>
      <c r="IBN50" s="1398"/>
      <c r="IBO50" s="1398"/>
      <c r="IBP50" s="1398"/>
      <c r="IBQ50" s="1398"/>
      <c r="IBR50" s="1398"/>
      <c r="IBS50" s="1398"/>
      <c r="IBT50" s="1398"/>
      <c r="IBU50" s="1398"/>
      <c r="IBV50" s="1398"/>
      <c r="IBW50" s="1398"/>
      <c r="IBX50" s="1398"/>
      <c r="IBY50" s="1398"/>
      <c r="IBZ50" s="1398"/>
      <c r="ICA50" s="1398"/>
      <c r="ICB50" s="1398"/>
      <c r="ICC50" s="1398"/>
      <c r="ICD50" s="1398"/>
      <c r="ICE50" s="1398"/>
      <c r="ICF50" s="1398"/>
      <c r="ICG50" s="1398"/>
      <c r="ICH50" s="1398"/>
      <c r="ICI50" s="1398"/>
      <c r="ICJ50" s="1398"/>
      <c r="ICK50" s="1398"/>
      <c r="ICL50" s="1398"/>
      <c r="ICM50" s="1398"/>
      <c r="ICN50" s="1398"/>
      <c r="ICO50" s="1398"/>
      <c r="ICP50" s="1398"/>
      <c r="ICQ50" s="1398"/>
      <c r="ICR50" s="1398"/>
      <c r="ICS50" s="1398"/>
      <c r="ICT50" s="1398"/>
      <c r="ICU50" s="1398"/>
      <c r="ICV50" s="1398"/>
      <c r="ICW50" s="1398"/>
      <c r="ICX50" s="1398"/>
      <c r="ICY50" s="1398"/>
      <c r="ICZ50" s="1398"/>
      <c r="IDA50" s="1398"/>
      <c r="IDB50" s="1398"/>
      <c r="IDC50" s="1398"/>
      <c r="IDD50" s="1398"/>
      <c r="IDE50" s="1398"/>
      <c r="IDF50" s="1398"/>
      <c r="IDG50" s="1398"/>
      <c r="IDH50" s="1398"/>
      <c r="IDI50" s="1398"/>
      <c r="IDJ50" s="1398"/>
      <c r="IDK50" s="1398"/>
      <c r="IDL50" s="1398"/>
      <c r="IDM50" s="1398"/>
      <c r="IDN50" s="1398"/>
      <c r="IDO50" s="1398"/>
      <c r="IDP50" s="1398"/>
      <c r="IDQ50" s="1398"/>
      <c r="IDR50" s="1398"/>
      <c r="IDS50" s="1398"/>
      <c r="IDT50" s="1398"/>
      <c r="IDU50" s="1398"/>
      <c r="IDV50" s="1398"/>
      <c r="IDW50" s="1398"/>
      <c r="IDX50" s="1398"/>
      <c r="IDY50" s="1398"/>
      <c r="IDZ50" s="1398"/>
      <c r="IEA50" s="1398"/>
      <c r="IEB50" s="1398"/>
      <c r="IEC50" s="1398"/>
      <c r="IED50" s="1398"/>
      <c r="IEE50" s="1398"/>
      <c r="IEF50" s="1398"/>
      <c r="IEG50" s="1398"/>
      <c r="IEH50" s="1398"/>
      <c r="IEI50" s="1398"/>
      <c r="IEJ50" s="1398"/>
      <c r="IEK50" s="1398"/>
      <c r="IEL50" s="1398"/>
      <c r="IEM50" s="1398"/>
      <c r="IEN50" s="1398"/>
      <c r="IEO50" s="1398"/>
      <c r="IEP50" s="1398"/>
      <c r="IEQ50" s="1398"/>
      <c r="IER50" s="1398"/>
      <c r="IES50" s="1398"/>
      <c r="IET50" s="1398"/>
      <c r="IEU50" s="1398"/>
      <c r="IEV50" s="1398"/>
      <c r="IEW50" s="1398"/>
      <c r="IEX50" s="1398"/>
      <c r="IEY50" s="1398"/>
      <c r="IEZ50" s="1398"/>
      <c r="IFA50" s="1398"/>
      <c r="IFB50" s="1398"/>
      <c r="IFC50" s="1398"/>
      <c r="IFD50" s="1398"/>
      <c r="IFE50" s="1398"/>
      <c r="IFF50" s="1398"/>
      <c r="IFG50" s="1398"/>
      <c r="IFH50" s="1398"/>
      <c r="IFI50" s="1398"/>
      <c r="IFJ50" s="1398"/>
      <c r="IFK50" s="1398"/>
      <c r="IFL50" s="1398"/>
      <c r="IFM50" s="1398"/>
      <c r="IFN50" s="1398"/>
      <c r="IFO50" s="1398"/>
      <c r="IFP50" s="1398"/>
      <c r="IFQ50" s="1398"/>
      <c r="IFR50" s="1398"/>
      <c r="IFS50" s="1398"/>
      <c r="IFT50" s="1398"/>
      <c r="IFU50" s="1398"/>
      <c r="IFV50" s="1398"/>
      <c r="IFW50" s="1398"/>
      <c r="IFX50" s="1398"/>
      <c r="IFY50" s="1398"/>
      <c r="IFZ50" s="1398"/>
      <c r="IGA50" s="1398"/>
      <c r="IGB50" s="1398"/>
      <c r="IGC50" s="1398"/>
      <c r="IGD50" s="1398"/>
      <c r="IGE50" s="1398"/>
      <c r="IGF50" s="1398"/>
      <c r="IGG50" s="1398"/>
      <c r="IGH50" s="1398"/>
      <c r="IGI50" s="1398"/>
      <c r="IGJ50" s="1398"/>
      <c r="IGK50" s="1398"/>
      <c r="IGL50" s="1398"/>
      <c r="IGM50" s="1398"/>
      <c r="IGN50" s="1398"/>
      <c r="IGO50" s="1398"/>
      <c r="IGP50" s="1398"/>
      <c r="IGQ50" s="1398"/>
      <c r="IGR50" s="1398"/>
      <c r="IGS50" s="1398"/>
      <c r="IGT50" s="1398"/>
      <c r="IGU50" s="1398"/>
      <c r="IGV50" s="1398"/>
      <c r="IGW50" s="1398"/>
      <c r="IGX50" s="1398"/>
      <c r="IGY50" s="1398"/>
      <c r="IGZ50" s="1398"/>
      <c r="IHA50" s="1398"/>
      <c r="IHB50" s="1398"/>
      <c r="IHC50" s="1398"/>
      <c r="IHD50" s="1398"/>
      <c r="IHE50" s="1398"/>
      <c r="IHF50" s="1398"/>
      <c r="IHG50" s="1398"/>
      <c r="IHH50" s="1398"/>
      <c r="IHI50" s="1398"/>
      <c r="IHJ50" s="1398"/>
      <c r="IHK50" s="1398"/>
      <c r="IHL50" s="1398"/>
      <c r="IHM50" s="1398"/>
      <c r="IHN50" s="1398"/>
      <c r="IHO50" s="1398"/>
      <c r="IHP50" s="1398"/>
      <c r="IHQ50" s="1398"/>
      <c r="IHR50" s="1398"/>
      <c r="IHS50" s="1398"/>
      <c r="IHT50" s="1398"/>
      <c r="IHU50" s="1398"/>
      <c r="IHV50" s="1398"/>
      <c r="IHW50" s="1398"/>
      <c r="IHX50" s="1398"/>
      <c r="IHY50" s="1398"/>
      <c r="IHZ50" s="1398"/>
      <c r="IIA50" s="1398"/>
      <c r="IIB50" s="1398"/>
      <c r="IIC50" s="1398"/>
      <c r="IID50" s="1398"/>
      <c r="IIE50" s="1398"/>
      <c r="IIF50" s="1398"/>
      <c r="IIG50" s="1398"/>
      <c r="IIH50" s="1398"/>
      <c r="III50" s="1398"/>
      <c r="IIJ50" s="1398"/>
      <c r="IIK50" s="1398"/>
      <c r="IIL50" s="1398"/>
      <c r="IIM50" s="1398"/>
      <c r="IIN50" s="1398"/>
      <c r="IIO50" s="1398"/>
      <c r="IIP50" s="1398"/>
      <c r="IIQ50" s="1398"/>
      <c r="IIR50" s="1398"/>
      <c r="IIS50" s="1398"/>
      <c r="IIT50" s="1398"/>
      <c r="IIU50" s="1398"/>
      <c r="IIV50" s="1398"/>
      <c r="IIW50" s="1398"/>
      <c r="IIX50" s="1398"/>
      <c r="IIY50" s="1398"/>
      <c r="IIZ50" s="1398"/>
      <c r="IJA50" s="1398"/>
      <c r="IJB50" s="1398"/>
      <c r="IJC50" s="1398"/>
      <c r="IJD50" s="1398"/>
      <c r="IJE50" s="1398"/>
      <c r="IJF50" s="1398"/>
      <c r="IJG50" s="1398"/>
      <c r="IJH50" s="1398"/>
      <c r="IJI50" s="1398"/>
      <c r="IJJ50" s="1398"/>
      <c r="IJK50" s="1398"/>
      <c r="IJL50" s="1398"/>
      <c r="IJM50" s="1398"/>
      <c r="IJN50" s="1398"/>
      <c r="IJO50" s="1398"/>
      <c r="IJP50" s="1398"/>
      <c r="IJQ50" s="1398"/>
      <c r="IJR50" s="1398"/>
      <c r="IJS50" s="1398"/>
      <c r="IJT50" s="1398"/>
      <c r="IJU50" s="1398"/>
      <c r="IJV50" s="1398"/>
      <c r="IJW50" s="1398"/>
      <c r="IJX50" s="1398"/>
      <c r="IJY50" s="1398"/>
      <c r="IJZ50" s="1398"/>
      <c r="IKA50" s="1398"/>
      <c r="IKB50" s="1398"/>
      <c r="IKC50" s="1398"/>
      <c r="IKD50" s="1398"/>
      <c r="IKE50" s="1398"/>
      <c r="IKF50" s="1398"/>
      <c r="IKG50" s="1398"/>
      <c r="IKH50" s="1398"/>
      <c r="IKI50" s="1398"/>
      <c r="IKJ50" s="1398"/>
      <c r="IKK50" s="1398"/>
      <c r="IKL50" s="1398"/>
      <c r="IKM50" s="1398"/>
      <c r="IKN50" s="1398"/>
      <c r="IKO50" s="1398"/>
      <c r="IKP50" s="1398"/>
      <c r="IKQ50" s="1398"/>
      <c r="IKR50" s="1398"/>
      <c r="IKS50" s="1398"/>
      <c r="IKT50" s="1398"/>
      <c r="IKU50" s="1398"/>
      <c r="IKV50" s="1398"/>
      <c r="IKW50" s="1398"/>
      <c r="IKX50" s="1398"/>
      <c r="IKY50" s="1398"/>
      <c r="IKZ50" s="1398"/>
      <c r="ILA50" s="1398"/>
      <c r="ILB50" s="1398"/>
      <c r="ILC50" s="1398"/>
      <c r="ILD50" s="1398"/>
      <c r="ILE50" s="1398"/>
      <c r="ILF50" s="1398"/>
      <c r="ILG50" s="1398"/>
      <c r="ILH50" s="1398"/>
      <c r="ILI50" s="1398"/>
      <c r="ILJ50" s="1398"/>
      <c r="ILK50" s="1398"/>
      <c r="ILL50" s="1398"/>
      <c r="ILM50" s="1398"/>
      <c r="ILN50" s="1398"/>
      <c r="ILO50" s="1398"/>
      <c r="ILP50" s="1398"/>
      <c r="ILQ50" s="1398"/>
      <c r="ILR50" s="1398"/>
      <c r="ILS50" s="1398"/>
      <c r="ILT50" s="1398"/>
      <c r="ILU50" s="1398"/>
      <c r="ILV50" s="1398"/>
      <c r="ILW50" s="1398"/>
      <c r="ILX50" s="1398"/>
      <c r="ILY50" s="1398"/>
      <c r="ILZ50" s="1398"/>
      <c r="IMA50" s="1398"/>
      <c r="IMB50" s="1398"/>
      <c r="IMC50" s="1398"/>
      <c r="IMD50" s="1398"/>
      <c r="IME50" s="1398"/>
      <c r="IMF50" s="1398"/>
      <c r="IMG50" s="1398"/>
      <c r="IMH50" s="1398"/>
      <c r="IMI50" s="1398"/>
      <c r="IMJ50" s="1398"/>
      <c r="IMK50" s="1398"/>
      <c r="IML50" s="1398"/>
      <c r="IMM50" s="1398"/>
      <c r="IMN50" s="1398"/>
      <c r="IMO50" s="1398"/>
      <c r="IMP50" s="1398"/>
      <c r="IMQ50" s="1398"/>
      <c r="IMR50" s="1398"/>
      <c r="IMS50" s="1398"/>
      <c r="IMT50" s="1398"/>
      <c r="IMU50" s="1398"/>
      <c r="IMV50" s="1398"/>
      <c r="IMW50" s="1398"/>
      <c r="IMX50" s="1398"/>
      <c r="IMY50" s="1398"/>
      <c r="IMZ50" s="1398"/>
      <c r="INA50" s="1398"/>
      <c r="INB50" s="1398"/>
      <c r="INC50" s="1398"/>
      <c r="IND50" s="1398"/>
      <c r="INE50" s="1398"/>
      <c r="INF50" s="1398"/>
      <c r="ING50" s="1398"/>
      <c r="INH50" s="1398"/>
      <c r="INI50" s="1398"/>
      <c r="INJ50" s="1398"/>
      <c r="INK50" s="1398"/>
      <c r="INL50" s="1398"/>
      <c r="INM50" s="1398"/>
      <c r="INN50" s="1398"/>
      <c r="INO50" s="1398"/>
      <c r="INP50" s="1398"/>
      <c r="INQ50" s="1398"/>
      <c r="INR50" s="1398"/>
      <c r="INS50" s="1398"/>
      <c r="INT50" s="1398"/>
      <c r="INU50" s="1398"/>
      <c r="INV50" s="1398"/>
      <c r="INW50" s="1398"/>
      <c r="INX50" s="1398"/>
      <c r="INY50" s="1398"/>
      <c r="INZ50" s="1398"/>
      <c r="IOA50" s="1398"/>
      <c r="IOB50" s="1398"/>
      <c r="IOC50" s="1398"/>
      <c r="IOD50" s="1398"/>
      <c r="IOE50" s="1398"/>
      <c r="IOF50" s="1398"/>
      <c r="IOG50" s="1398"/>
      <c r="IOH50" s="1398"/>
      <c r="IOI50" s="1398"/>
      <c r="IOJ50" s="1398"/>
      <c r="IOK50" s="1398"/>
      <c r="IOL50" s="1398"/>
      <c r="IOM50" s="1398"/>
      <c r="ION50" s="1398"/>
      <c r="IOO50" s="1398"/>
      <c r="IOP50" s="1398"/>
      <c r="IOQ50" s="1398"/>
      <c r="IOR50" s="1398"/>
      <c r="IOS50" s="1398"/>
      <c r="IOT50" s="1398"/>
      <c r="IOU50" s="1398"/>
      <c r="IOV50" s="1398"/>
      <c r="IOW50" s="1398"/>
      <c r="IOX50" s="1398"/>
      <c r="IOY50" s="1398"/>
      <c r="IOZ50" s="1398"/>
      <c r="IPA50" s="1398"/>
      <c r="IPB50" s="1398"/>
      <c r="IPC50" s="1398"/>
      <c r="IPD50" s="1398"/>
      <c r="IPE50" s="1398"/>
      <c r="IPF50" s="1398"/>
      <c r="IPG50" s="1398"/>
      <c r="IPH50" s="1398"/>
      <c r="IPI50" s="1398"/>
      <c r="IPJ50" s="1398"/>
      <c r="IPK50" s="1398"/>
      <c r="IPL50" s="1398"/>
      <c r="IPM50" s="1398"/>
      <c r="IPN50" s="1398"/>
      <c r="IPO50" s="1398"/>
      <c r="IPP50" s="1398"/>
      <c r="IPQ50" s="1398"/>
      <c r="IPR50" s="1398"/>
      <c r="IPS50" s="1398"/>
      <c r="IPT50" s="1398"/>
      <c r="IPU50" s="1398"/>
      <c r="IPV50" s="1398"/>
      <c r="IPW50" s="1398"/>
      <c r="IPX50" s="1398"/>
      <c r="IPY50" s="1398"/>
      <c r="IPZ50" s="1398"/>
      <c r="IQA50" s="1398"/>
      <c r="IQB50" s="1398"/>
      <c r="IQC50" s="1398"/>
      <c r="IQD50" s="1398"/>
      <c r="IQE50" s="1398"/>
      <c r="IQF50" s="1398"/>
      <c r="IQG50" s="1398"/>
      <c r="IQH50" s="1398"/>
      <c r="IQI50" s="1398"/>
      <c r="IQJ50" s="1398"/>
      <c r="IQK50" s="1398"/>
      <c r="IQL50" s="1398"/>
      <c r="IQM50" s="1398"/>
      <c r="IQN50" s="1398"/>
      <c r="IQO50" s="1398"/>
      <c r="IQP50" s="1398"/>
      <c r="IQQ50" s="1398"/>
      <c r="IQR50" s="1398"/>
      <c r="IQS50" s="1398"/>
      <c r="IQT50" s="1398"/>
      <c r="IQU50" s="1398"/>
      <c r="IQV50" s="1398"/>
      <c r="IQW50" s="1398"/>
      <c r="IQX50" s="1398"/>
      <c r="IQY50" s="1398"/>
      <c r="IQZ50" s="1398"/>
      <c r="IRA50" s="1398"/>
      <c r="IRB50" s="1398"/>
      <c r="IRC50" s="1398"/>
      <c r="IRD50" s="1398"/>
      <c r="IRE50" s="1398"/>
      <c r="IRF50" s="1398"/>
      <c r="IRG50" s="1398"/>
      <c r="IRH50" s="1398"/>
      <c r="IRI50" s="1398"/>
      <c r="IRJ50" s="1398"/>
      <c r="IRK50" s="1398"/>
      <c r="IRL50" s="1398"/>
      <c r="IRM50" s="1398"/>
      <c r="IRN50" s="1398"/>
      <c r="IRO50" s="1398"/>
      <c r="IRP50" s="1398"/>
      <c r="IRQ50" s="1398"/>
      <c r="IRR50" s="1398"/>
      <c r="IRS50" s="1398"/>
      <c r="IRT50" s="1398"/>
      <c r="IRU50" s="1398"/>
      <c r="IRV50" s="1398"/>
      <c r="IRW50" s="1398"/>
      <c r="IRX50" s="1398"/>
      <c r="IRY50" s="1398"/>
      <c r="IRZ50" s="1398"/>
      <c r="ISA50" s="1398"/>
      <c r="ISB50" s="1398"/>
      <c r="ISC50" s="1398"/>
      <c r="ISD50" s="1398"/>
      <c r="ISE50" s="1398"/>
      <c r="ISF50" s="1398"/>
      <c r="ISG50" s="1398"/>
      <c r="ISH50" s="1398"/>
      <c r="ISI50" s="1398"/>
      <c r="ISJ50" s="1398"/>
      <c r="ISK50" s="1398"/>
      <c r="ISL50" s="1398"/>
      <c r="ISM50" s="1398"/>
      <c r="ISN50" s="1398"/>
      <c r="ISO50" s="1398"/>
      <c r="ISP50" s="1398"/>
      <c r="ISQ50" s="1398"/>
      <c r="ISR50" s="1398"/>
      <c r="ISS50" s="1398"/>
      <c r="IST50" s="1398"/>
      <c r="ISU50" s="1398"/>
      <c r="ISV50" s="1398"/>
      <c r="ISW50" s="1398"/>
      <c r="ISX50" s="1398"/>
      <c r="ISY50" s="1398"/>
      <c r="ISZ50" s="1398"/>
      <c r="ITA50" s="1398"/>
      <c r="ITB50" s="1398"/>
      <c r="ITC50" s="1398"/>
      <c r="ITD50" s="1398"/>
      <c r="ITE50" s="1398"/>
      <c r="ITF50" s="1398"/>
      <c r="ITG50" s="1398"/>
      <c r="ITH50" s="1398"/>
      <c r="ITI50" s="1398"/>
      <c r="ITJ50" s="1398"/>
      <c r="ITK50" s="1398"/>
      <c r="ITL50" s="1398"/>
      <c r="ITM50" s="1398"/>
      <c r="ITN50" s="1398"/>
      <c r="ITO50" s="1398"/>
      <c r="ITP50" s="1398"/>
      <c r="ITQ50" s="1398"/>
      <c r="ITR50" s="1398"/>
      <c r="ITS50" s="1398"/>
      <c r="ITT50" s="1398"/>
      <c r="ITU50" s="1398"/>
      <c r="ITV50" s="1398"/>
      <c r="ITW50" s="1398"/>
      <c r="ITX50" s="1398"/>
      <c r="ITY50" s="1398"/>
      <c r="ITZ50" s="1398"/>
      <c r="IUA50" s="1398"/>
      <c r="IUB50" s="1398"/>
      <c r="IUC50" s="1398"/>
      <c r="IUD50" s="1398"/>
      <c r="IUE50" s="1398"/>
      <c r="IUF50" s="1398"/>
      <c r="IUG50" s="1398"/>
      <c r="IUH50" s="1398"/>
      <c r="IUI50" s="1398"/>
      <c r="IUJ50" s="1398"/>
      <c r="IUK50" s="1398"/>
      <c r="IUL50" s="1398"/>
      <c r="IUM50" s="1398"/>
      <c r="IUN50" s="1398"/>
      <c r="IUO50" s="1398"/>
      <c r="IUP50" s="1398"/>
      <c r="IUQ50" s="1398"/>
      <c r="IUR50" s="1398"/>
      <c r="IUS50" s="1398"/>
      <c r="IUT50" s="1398"/>
      <c r="IUU50" s="1398"/>
      <c r="IUV50" s="1398"/>
      <c r="IUW50" s="1398"/>
      <c r="IUX50" s="1398"/>
      <c r="IUY50" s="1398"/>
      <c r="IUZ50" s="1398"/>
      <c r="IVA50" s="1398"/>
      <c r="IVB50" s="1398"/>
      <c r="IVC50" s="1398"/>
      <c r="IVD50" s="1398"/>
      <c r="IVE50" s="1398"/>
      <c r="IVF50" s="1398"/>
      <c r="IVG50" s="1398"/>
      <c r="IVH50" s="1398"/>
      <c r="IVI50" s="1398"/>
      <c r="IVJ50" s="1398"/>
      <c r="IVK50" s="1398"/>
      <c r="IVL50" s="1398"/>
      <c r="IVM50" s="1398"/>
      <c r="IVN50" s="1398"/>
      <c r="IVO50" s="1398"/>
      <c r="IVP50" s="1398"/>
      <c r="IVQ50" s="1398"/>
      <c r="IVR50" s="1398"/>
      <c r="IVS50" s="1398"/>
      <c r="IVT50" s="1398"/>
      <c r="IVU50" s="1398"/>
      <c r="IVV50" s="1398"/>
      <c r="IVW50" s="1398"/>
      <c r="IVX50" s="1398"/>
      <c r="IVY50" s="1398"/>
      <c r="IVZ50" s="1398"/>
      <c r="IWA50" s="1398"/>
      <c r="IWB50" s="1398"/>
      <c r="IWC50" s="1398"/>
      <c r="IWD50" s="1398"/>
      <c r="IWE50" s="1398"/>
      <c r="IWF50" s="1398"/>
      <c r="IWG50" s="1398"/>
      <c r="IWH50" s="1398"/>
      <c r="IWI50" s="1398"/>
      <c r="IWJ50" s="1398"/>
      <c r="IWK50" s="1398"/>
      <c r="IWL50" s="1398"/>
      <c r="IWM50" s="1398"/>
      <c r="IWN50" s="1398"/>
      <c r="IWO50" s="1398"/>
      <c r="IWP50" s="1398"/>
      <c r="IWQ50" s="1398"/>
      <c r="IWR50" s="1398"/>
      <c r="IWS50" s="1398"/>
      <c r="IWT50" s="1398"/>
      <c r="IWU50" s="1398"/>
      <c r="IWV50" s="1398"/>
      <c r="IWW50" s="1398"/>
      <c r="IWX50" s="1398"/>
      <c r="IWY50" s="1398"/>
      <c r="IWZ50" s="1398"/>
      <c r="IXA50" s="1398"/>
      <c r="IXB50" s="1398"/>
      <c r="IXC50" s="1398"/>
      <c r="IXD50" s="1398"/>
      <c r="IXE50" s="1398"/>
      <c r="IXF50" s="1398"/>
      <c r="IXG50" s="1398"/>
      <c r="IXH50" s="1398"/>
      <c r="IXI50" s="1398"/>
      <c r="IXJ50" s="1398"/>
      <c r="IXK50" s="1398"/>
      <c r="IXL50" s="1398"/>
      <c r="IXM50" s="1398"/>
      <c r="IXN50" s="1398"/>
      <c r="IXO50" s="1398"/>
      <c r="IXP50" s="1398"/>
      <c r="IXQ50" s="1398"/>
      <c r="IXR50" s="1398"/>
      <c r="IXS50" s="1398"/>
      <c r="IXT50" s="1398"/>
      <c r="IXU50" s="1398"/>
      <c r="IXV50" s="1398"/>
      <c r="IXW50" s="1398"/>
      <c r="IXX50" s="1398"/>
      <c r="IXY50" s="1398"/>
      <c r="IXZ50" s="1398"/>
      <c r="IYA50" s="1398"/>
      <c r="IYB50" s="1398"/>
      <c r="IYC50" s="1398"/>
      <c r="IYD50" s="1398"/>
      <c r="IYE50" s="1398"/>
      <c r="IYF50" s="1398"/>
      <c r="IYG50" s="1398"/>
      <c r="IYH50" s="1398"/>
      <c r="IYI50" s="1398"/>
      <c r="IYJ50" s="1398"/>
      <c r="IYK50" s="1398"/>
      <c r="IYL50" s="1398"/>
      <c r="IYM50" s="1398"/>
      <c r="IYN50" s="1398"/>
      <c r="IYO50" s="1398"/>
      <c r="IYP50" s="1398"/>
      <c r="IYQ50" s="1398"/>
      <c r="IYR50" s="1398"/>
      <c r="IYS50" s="1398"/>
      <c r="IYT50" s="1398"/>
      <c r="IYU50" s="1398"/>
      <c r="IYV50" s="1398"/>
      <c r="IYW50" s="1398"/>
      <c r="IYX50" s="1398"/>
      <c r="IYY50" s="1398"/>
      <c r="IYZ50" s="1398"/>
      <c r="IZA50" s="1398"/>
      <c r="IZB50" s="1398"/>
      <c r="IZC50" s="1398"/>
      <c r="IZD50" s="1398"/>
      <c r="IZE50" s="1398"/>
      <c r="IZF50" s="1398"/>
      <c r="IZG50" s="1398"/>
      <c r="IZH50" s="1398"/>
      <c r="IZI50" s="1398"/>
      <c r="IZJ50" s="1398"/>
      <c r="IZK50" s="1398"/>
      <c r="IZL50" s="1398"/>
      <c r="IZM50" s="1398"/>
      <c r="IZN50" s="1398"/>
      <c r="IZO50" s="1398"/>
      <c r="IZP50" s="1398"/>
      <c r="IZQ50" s="1398"/>
      <c r="IZR50" s="1398"/>
      <c r="IZS50" s="1398"/>
      <c r="IZT50" s="1398"/>
      <c r="IZU50" s="1398"/>
      <c r="IZV50" s="1398"/>
      <c r="IZW50" s="1398"/>
      <c r="IZX50" s="1398"/>
      <c r="IZY50" s="1398"/>
      <c r="IZZ50" s="1398"/>
      <c r="JAA50" s="1398"/>
      <c r="JAB50" s="1398"/>
      <c r="JAC50" s="1398"/>
      <c r="JAD50" s="1398"/>
      <c r="JAE50" s="1398"/>
      <c r="JAF50" s="1398"/>
      <c r="JAG50" s="1398"/>
      <c r="JAH50" s="1398"/>
      <c r="JAI50" s="1398"/>
      <c r="JAJ50" s="1398"/>
      <c r="JAK50" s="1398"/>
      <c r="JAL50" s="1398"/>
      <c r="JAM50" s="1398"/>
      <c r="JAN50" s="1398"/>
      <c r="JAO50" s="1398"/>
      <c r="JAP50" s="1398"/>
      <c r="JAQ50" s="1398"/>
      <c r="JAR50" s="1398"/>
      <c r="JAS50" s="1398"/>
      <c r="JAT50" s="1398"/>
      <c r="JAU50" s="1398"/>
      <c r="JAV50" s="1398"/>
      <c r="JAW50" s="1398"/>
      <c r="JAX50" s="1398"/>
      <c r="JAY50" s="1398"/>
      <c r="JAZ50" s="1398"/>
      <c r="JBA50" s="1398"/>
      <c r="JBB50" s="1398"/>
      <c r="JBC50" s="1398"/>
      <c r="JBD50" s="1398"/>
      <c r="JBE50" s="1398"/>
      <c r="JBF50" s="1398"/>
      <c r="JBG50" s="1398"/>
      <c r="JBH50" s="1398"/>
      <c r="JBI50" s="1398"/>
      <c r="JBJ50" s="1398"/>
      <c r="JBK50" s="1398"/>
      <c r="JBL50" s="1398"/>
      <c r="JBM50" s="1398"/>
      <c r="JBN50" s="1398"/>
      <c r="JBO50" s="1398"/>
      <c r="JBP50" s="1398"/>
      <c r="JBQ50" s="1398"/>
      <c r="JBR50" s="1398"/>
      <c r="JBS50" s="1398"/>
      <c r="JBT50" s="1398"/>
      <c r="JBU50" s="1398"/>
      <c r="JBV50" s="1398"/>
      <c r="JBW50" s="1398"/>
      <c r="JBX50" s="1398"/>
      <c r="JBY50" s="1398"/>
      <c r="JBZ50" s="1398"/>
      <c r="JCA50" s="1398"/>
      <c r="JCB50" s="1398"/>
      <c r="JCC50" s="1398"/>
      <c r="JCD50" s="1398"/>
      <c r="JCE50" s="1398"/>
      <c r="JCF50" s="1398"/>
      <c r="JCG50" s="1398"/>
      <c r="JCH50" s="1398"/>
      <c r="JCI50" s="1398"/>
      <c r="JCJ50" s="1398"/>
      <c r="JCK50" s="1398"/>
      <c r="JCL50" s="1398"/>
      <c r="JCM50" s="1398"/>
      <c r="JCN50" s="1398"/>
      <c r="JCO50" s="1398"/>
      <c r="JCP50" s="1398"/>
      <c r="JCQ50" s="1398"/>
      <c r="JCR50" s="1398"/>
      <c r="JCS50" s="1398"/>
      <c r="JCT50" s="1398"/>
      <c r="JCU50" s="1398"/>
      <c r="JCV50" s="1398"/>
      <c r="JCW50" s="1398"/>
      <c r="JCX50" s="1398"/>
      <c r="JCY50" s="1398"/>
      <c r="JCZ50" s="1398"/>
      <c r="JDA50" s="1398"/>
      <c r="JDB50" s="1398"/>
      <c r="JDC50" s="1398"/>
      <c r="JDD50" s="1398"/>
      <c r="JDE50" s="1398"/>
      <c r="JDF50" s="1398"/>
      <c r="JDG50" s="1398"/>
      <c r="JDH50" s="1398"/>
      <c r="JDI50" s="1398"/>
      <c r="JDJ50" s="1398"/>
      <c r="JDK50" s="1398"/>
      <c r="JDL50" s="1398"/>
      <c r="JDM50" s="1398"/>
      <c r="JDN50" s="1398"/>
      <c r="JDO50" s="1398"/>
      <c r="JDP50" s="1398"/>
      <c r="JDQ50" s="1398"/>
      <c r="JDR50" s="1398"/>
      <c r="JDS50" s="1398"/>
      <c r="JDT50" s="1398"/>
      <c r="JDU50" s="1398"/>
      <c r="JDV50" s="1398"/>
      <c r="JDW50" s="1398"/>
      <c r="JDX50" s="1398"/>
      <c r="JDY50" s="1398"/>
      <c r="JDZ50" s="1398"/>
      <c r="JEA50" s="1398"/>
      <c r="JEB50" s="1398"/>
      <c r="JEC50" s="1398"/>
      <c r="JED50" s="1398"/>
      <c r="JEE50" s="1398"/>
      <c r="JEF50" s="1398"/>
      <c r="JEG50" s="1398"/>
      <c r="JEH50" s="1398"/>
      <c r="JEI50" s="1398"/>
      <c r="JEJ50" s="1398"/>
      <c r="JEK50" s="1398"/>
      <c r="JEL50" s="1398"/>
      <c r="JEM50" s="1398"/>
      <c r="JEN50" s="1398"/>
      <c r="JEO50" s="1398"/>
      <c r="JEP50" s="1398"/>
      <c r="JEQ50" s="1398"/>
      <c r="JER50" s="1398"/>
      <c r="JES50" s="1398"/>
      <c r="JET50" s="1398"/>
      <c r="JEU50" s="1398"/>
      <c r="JEV50" s="1398"/>
      <c r="JEW50" s="1398"/>
      <c r="JEX50" s="1398"/>
      <c r="JEY50" s="1398"/>
      <c r="JEZ50" s="1398"/>
      <c r="JFA50" s="1398"/>
      <c r="JFB50" s="1398"/>
      <c r="JFC50" s="1398"/>
      <c r="JFD50" s="1398"/>
      <c r="JFE50" s="1398"/>
      <c r="JFF50" s="1398"/>
      <c r="JFG50" s="1398"/>
      <c r="JFH50" s="1398"/>
      <c r="JFI50" s="1398"/>
      <c r="JFJ50" s="1398"/>
      <c r="JFK50" s="1398"/>
      <c r="JFL50" s="1398"/>
      <c r="JFM50" s="1398"/>
      <c r="JFN50" s="1398"/>
      <c r="JFO50" s="1398"/>
      <c r="JFP50" s="1398"/>
      <c r="JFQ50" s="1398"/>
      <c r="JFR50" s="1398"/>
      <c r="JFS50" s="1398"/>
      <c r="JFT50" s="1398"/>
      <c r="JFU50" s="1398"/>
      <c r="JFV50" s="1398"/>
      <c r="JFW50" s="1398"/>
      <c r="JFX50" s="1398"/>
      <c r="JFY50" s="1398"/>
      <c r="JFZ50" s="1398"/>
      <c r="JGA50" s="1398"/>
      <c r="JGB50" s="1398"/>
      <c r="JGC50" s="1398"/>
      <c r="JGD50" s="1398"/>
      <c r="JGE50" s="1398"/>
      <c r="JGF50" s="1398"/>
      <c r="JGG50" s="1398"/>
      <c r="JGH50" s="1398"/>
      <c r="JGI50" s="1398"/>
      <c r="JGJ50" s="1398"/>
      <c r="JGK50" s="1398"/>
      <c r="JGL50" s="1398"/>
      <c r="JGM50" s="1398"/>
      <c r="JGN50" s="1398"/>
      <c r="JGO50" s="1398"/>
      <c r="JGP50" s="1398"/>
      <c r="JGQ50" s="1398"/>
      <c r="JGR50" s="1398"/>
      <c r="JGS50" s="1398"/>
      <c r="JGT50" s="1398"/>
      <c r="JGU50" s="1398"/>
      <c r="JGV50" s="1398"/>
      <c r="JGW50" s="1398"/>
      <c r="JGX50" s="1398"/>
      <c r="JGY50" s="1398"/>
      <c r="JGZ50" s="1398"/>
      <c r="JHA50" s="1398"/>
      <c r="JHB50" s="1398"/>
      <c r="JHC50" s="1398"/>
      <c r="JHD50" s="1398"/>
      <c r="JHE50" s="1398"/>
      <c r="JHF50" s="1398"/>
      <c r="JHG50" s="1398"/>
      <c r="JHH50" s="1398"/>
      <c r="JHI50" s="1398"/>
      <c r="JHJ50" s="1398"/>
      <c r="JHK50" s="1398"/>
      <c r="JHL50" s="1398"/>
      <c r="JHM50" s="1398"/>
      <c r="JHN50" s="1398"/>
      <c r="JHO50" s="1398"/>
      <c r="JHP50" s="1398"/>
      <c r="JHQ50" s="1398"/>
      <c r="JHR50" s="1398"/>
      <c r="JHS50" s="1398"/>
      <c r="JHT50" s="1398"/>
      <c r="JHU50" s="1398"/>
      <c r="JHV50" s="1398"/>
      <c r="JHW50" s="1398"/>
      <c r="JHX50" s="1398"/>
      <c r="JHY50" s="1398"/>
      <c r="JHZ50" s="1398"/>
      <c r="JIA50" s="1398"/>
      <c r="JIB50" s="1398"/>
      <c r="JIC50" s="1398"/>
      <c r="JID50" s="1398"/>
      <c r="JIE50" s="1398"/>
      <c r="JIF50" s="1398"/>
      <c r="JIG50" s="1398"/>
      <c r="JIH50" s="1398"/>
      <c r="JII50" s="1398"/>
      <c r="JIJ50" s="1398"/>
      <c r="JIK50" s="1398"/>
      <c r="JIL50" s="1398"/>
      <c r="JIM50" s="1398"/>
      <c r="JIN50" s="1398"/>
      <c r="JIO50" s="1398"/>
      <c r="JIP50" s="1398"/>
      <c r="JIQ50" s="1398"/>
      <c r="JIR50" s="1398"/>
      <c r="JIS50" s="1398"/>
      <c r="JIT50" s="1398"/>
      <c r="JIU50" s="1398"/>
      <c r="JIV50" s="1398"/>
      <c r="JIW50" s="1398"/>
      <c r="JIX50" s="1398"/>
      <c r="JIY50" s="1398"/>
      <c r="JIZ50" s="1398"/>
      <c r="JJA50" s="1398"/>
      <c r="JJB50" s="1398"/>
      <c r="JJC50" s="1398"/>
      <c r="JJD50" s="1398"/>
      <c r="JJE50" s="1398"/>
      <c r="JJF50" s="1398"/>
      <c r="JJG50" s="1398"/>
      <c r="JJH50" s="1398"/>
      <c r="JJI50" s="1398"/>
      <c r="JJJ50" s="1398"/>
      <c r="JJK50" s="1398"/>
      <c r="JJL50" s="1398"/>
      <c r="JJM50" s="1398"/>
      <c r="JJN50" s="1398"/>
      <c r="JJO50" s="1398"/>
      <c r="JJP50" s="1398"/>
      <c r="JJQ50" s="1398"/>
      <c r="JJR50" s="1398"/>
      <c r="JJS50" s="1398"/>
      <c r="JJT50" s="1398"/>
      <c r="JJU50" s="1398"/>
      <c r="JJV50" s="1398"/>
      <c r="JJW50" s="1398"/>
      <c r="JJX50" s="1398"/>
      <c r="JJY50" s="1398"/>
      <c r="JJZ50" s="1398"/>
      <c r="JKA50" s="1398"/>
      <c r="JKB50" s="1398"/>
      <c r="JKC50" s="1398"/>
      <c r="JKD50" s="1398"/>
      <c r="JKE50" s="1398"/>
      <c r="JKF50" s="1398"/>
      <c r="JKG50" s="1398"/>
      <c r="JKH50" s="1398"/>
      <c r="JKI50" s="1398"/>
      <c r="JKJ50" s="1398"/>
      <c r="JKK50" s="1398"/>
      <c r="JKL50" s="1398"/>
      <c r="JKM50" s="1398"/>
      <c r="JKN50" s="1398"/>
      <c r="JKO50" s="1398"/>
      <c r="JKP50" s="1398"/>
      <c r="JKQ50" s="1398"/>
      <c r="JKR50" s="1398"/>
      <c r="JKS50" s="1398"/>
      <c r="JKT50" s="1398"/>
      <c r="JKU50" s="1398"/>
      <c r="JKV50" s="1398"/>
      <c r="JKW50" s="1398"/>
      <c r="JKX50" s="1398"/>
      <c r="JKY50" s="1398"/>
      <c r="JKZ50" s="1398"/>
      <c r="JLA50" s="1398"/>
      <c r="JLB50" s="1398"/>
      <c r="JLC50" s="1398"/>
      <c r="JLD50" s="1398"/>
      <c r="JLE50" s="1398"/>
      <c r="JLF50" s="1398"/>
      <c r="JLG50" s="1398"/>
      <c r="JLH50" s="1398"/>
      <c r="JLI50" s="1398"/>
      <c r="JLJ50" s="1398"/>
      <c r="JLK50" s="1398"/>
      <c r="JLL50" s="1398"/>
      <c r="JLM50" s="1398"/>
      <c r="JLN50" s="1398"/>
      <c r="JLO50" s="1398"/>
      <c r="JLP50" s="1398"/>
      <c r="JLQ50" s="1398"/>
      <c r="JLR50" s="1398"/>
      <c r="JLS50" s="1398"/>
      <c r="JLT50" s="1398"/>
      <c r="JLU50" s="1398"/>
      <c r="JLV50" s="1398"/>
      <c r="JLW50" s="1398"/>
      <c r="JLX50" s="1398"/>
      <c r="JLY50" s="1398"/>
      <c r="JLZ50" s="1398"/>
      <c r="JMA50" s="1398"/>
      <c r="JMB50" s="1398"/>
      <c r="JMC50" s="1398"/>
      <c r="JMD50" s="1398"/>
      <c r="JME50" s="1398"/>
      <c r="JMF50" s="1398"/>
      <c r="JMG50" s="1398"/>
      <c r="JMH50" s="1398"/>
      <c r="JMI50" s="1398"/>
      <c r="JMJ50" s="1398"/>
      <c r="JMK50" s="1398"/>
      <c r="JML50" s="1398"/>
      <c r="JMM50" s="1398"/>
      <c r="JMN50" s="1398"/>
      <c r="JMO50" s="1398"/>
      <c r="JMP50" s="1398"/>
      <c r="JMQ50" s="1398"/>
      <c r="JMR50" s="1398"/>
      <c r="JMS50" s="1398"/>
      <c r="JMT50" s="1398"/>
      <c r="JMU50" s="1398"/>
      <c r="JMV50" s="1398"/>
      <c r="JMW50" s="1398"/>
      <c r="JMX50" s="1398"/>
      <c r="JMY50" s="1398"/>
      <c r="JMZ50" s="1398"/>
      <c r="JNA50" s="1398"/>
      <c r="JNB50" s="1398"/>
      <c r="JNC50" s="1398"/>
      <c r="JND50" s="1398"/>
      <c r="JNE50" s="1398"/>
      <c r="JNF50" s="1398"/>
      <c r="JNG50" s="1398"/>
      <c r="JNH50" s="1398"/>
      <c r="JNI50" s="1398"/>
      <c r="JNJ50" s="1398"/>
      <c r="JNK50" s="1398"/>
      <c r="JNL50" s="1398"/>
      <c r="JNM50" s="1398"/>
      <c r="JNN50" s="1398"/>
      <c r="JNO50" s="1398"/>
      <c r="JNP50" s="1398"/>
      <c r="JNQ50" s="1398"/>
      <c r="JNR50" s="1398"/>
      <c r="JNS50" s="1398"/>
      <c r="JNT50" s="1398"/>
      <c r="JNU50" s="1398"/>
      <c r="JNV50" s="1398"/>
      <c r="JNW50" s="1398"/>
      <c r="JNX50" s="1398"/>
      <c r="JNY50" s="1398"/>
      <c r="JNZ50" s="1398"/>
      <c r="JOA50" s="1398"/>
      <c r="JOB50" s="1398"/>
      <c r="JOC50" s="1398"/>
      <c r="JOD50" s="1398"/>
      <c r="JOE50" s="1398"/>
      <c r="JOF50" s="1398"/>
      <c r="JOG50" s="1398"/>
      <c r="JOH50" s="1398"/>
      <c r="JOI50" s="1398"/>
      <c r="JOJ50" s="1398"/>
      <c r="JOK50" s="1398"/>
      <c r="JOL50" s="1398"/>
      <c r="JOM50" s="1398"/>
      <c r="JON50" s="1398"/>
      <c r="JOO50" s="1398"/>
      <c r="JOP50" s="1398"/>
      <c r="JOQ50" s="1398"/>
      <c r="JOR50" s="1398"/>
      <c r="JOS50" s="1398"/>
      <c r="JOT50" s="1398"/>
      <c r="JOU50" s="1398"/>
      <c r="JOV50" s="1398"/>
      <c r="JOW50" s="1398"/>
      <c r="JOX50" s="1398"/>
      <c r="JOY50" s="1398"/>
      <c r="JOZ50" s="1398"/>
      <c r="JPA50" s="1398"/>
      <c r="JPB50" s="1398"/>
      <c r="JPC50" s="1398"/>
      <c r="JPD50" s="1398"/>
      <c r="JPE50" s="1398"/>
      <c r="JPF50" s="1398"/>
      <c r="JPG50" s="1398"/>
      <c r="JPH50" s="1398"/>
      <c r="JPI50" s="1398"/>
      <c r="JPJ50" s="1398"/>
      <c r="JPK50" s="1398"/>
      <c r="JPL50" s="1398"/>
      <c r="JPM50" s="1398"/>
      <c r="JPN50" s="1398"/>
      <c r="JPO50" s="1398"/>
      <c r="JPP50" s="1398"/>
      <c r="JPQ50" s="1398"/>
      <c r="JPR50" s="1398"/>
      <c r="JPS50" s="1398"/>
      <c r="JPT50" s="1398"/>
      <c r="JPU50" s="1398"/>
      <c r="JPV50" s="1398"/>
      <c r="JPW50" s="1398"/>
      <c r="JPX50" s="1398"/>
      <c r="JPY50" s="1398"/>
      <c r="JPZ50" s="1398"/>
      <c r="JQA50" s="1398"/>
      <c r="JQB50" s="1398"/>
      <c r="JQC50" s="1398"/>
      <c r="JQD50" s="1398"/>
      <c r="JQE50" s="1398"/>
      <c r="JQF50" s="1398"/>
      <c r="JQG50" s="1398"/>
      <c r="JQH50" s="1398"/>
      <c r="JQI50" s="1398"/>
      <c r="JQJ50" s="1398"/>
      <c r="JQK50" s="1398"/>
      <c r="JQL50" s="1398"/>
      <c r="JQM50" s="1398"/>
      <c r="JQN50" s="1398"/>
      <c r="JQO50" s="1398"/>
      <c r="JQP50" s="1398"/>
      <c r="JQQ50" s="1398"/>
      <c r="JQR50" s="1398"/>
      <c r="JQS50" s="1398"/>
      <c r="JQT50" s="1398"/>
      <c r="JQU50" s="1398"/>
      <c r="JQV50" s="1398"/>
      <c r="JQW50" s="1398"/>
      <c r="JQX50" s="1398"/>
      <c r="JQY50" s="1398"/>
      <c r="JQZ50" s="1398"/>
      <c r="JRA50" s="1398"/>
      <c r="JRB50" s="1398"/>
      <c r="JRC50" s="1398"/>
      <c r="JRD50" s="1398"/>
      <c r="JRE50" s="1398"/>
      <c r="JRF50" s="1398"/>
      <c r="JRG50" s="1398"/>
      <c r="JRH50" s="1398"/>
      <c r="JRI50" s="1398"/>
      <c r="JRJ50" s="1398"/>
      <c r="JRK50" s="1398"/>
      <c r="JRL50" s="1398"/>
      <c r="JRM50" s="1398"/>
      <c r="JRN50" s="1398"/>
      <c r="JRO50" s="1398"/>
      <c r="JRP50" s="1398"/>
      <c r="JRQ50" s="1398"/>
      <c r="JRR50" s="1398"/>
      <c r="JRS50" s="1398"/>
      <c r="JRT50" s="1398"/>
      <c r="JRU50" s="1398"/>
      <c r="JRV50" s="1398"/>
      <c r="JRW50" s="1398"/>
      <c r="JRX50" s="1398"/>
      <c r="JRY50" s="1398"/>
      <c r="JRZ50" s="1398"/>
      <c r="JSA50" s="1398"/>
      <c r="JSB50" s="1398"/>
      <c r="JSC50" s="1398"/>
      <c r="JSD50" s="1398"/>
      <c r="JSE50" s="1398"/>
      <c r="JSF50" s="1398"/>
      <c r="JSG50" s="1398"/>
      <c r="JSH50" s="1398"/>
      <c r="JSI50" s="1398"/>
      <c r="JSJ50" s="1398"/>
      <c r="JSK50" s="1398"/>
      <c r="JSL50" s="1398"/>
      <c r="JSM50" s="1398"/>
      <c r="JSN50" s="1398"/>
      <c r="JSO50" s="1398"/>
      <c r="JSP50" s="1398"/>
      <c r="JSQ50" s="1398"/>
      <c r="JSR50" s="1398"/>
      <c r="JSS50" s="1398"/>
      <c r="JST50" s="1398"/>
      <c r="JSU50" s="1398"/>
      <c r="JSV50" s="1398"/>
      <c r="JSW50" s="1398"/>
      <c r="JSX50" s="1398"/>
      <c r="JSY50" s="1398"/>
      <c r="JSZ50" s="1398"/>
      <c r="JTA50" s="1398"/>
      <c r="JTB50" s="1398"/>
      <c r="JTC50" s="1398"/>
      <c r="JTD50" s="1398"/>
      <c r="JTE50" s="1398"/>
      <c r="JTF50" s="1398"/>
      <c r="JTG50" s="1398"/>
      <c r="JTH50" s="1398"/>
      <c r="JTI50" s="1398"/>
      <c r="JTJ50" s="1398"/>
      <c r="JTK50" s="1398"/>
      <c r="JTL50" s="1398"/>
      <c r="JTM50" s="1398"/>
      <c r="JTN50" s="1398"/>
      <c r="JTO50" s="1398"/>
      <c r="JTP50" s="1398"/>
      <c r="JTQ50" s="1398"/>
      <c r="JTR50" s="1398"/>
      <c r="JTS50" s="1398"/>
      <c r="JTT50" s="1398"/>
      <c r="JTU50" s="1398"/>
      <c r="JTV50" s="1398"/>
      <c r="JTW50" s="1398"/>
      <c r="JTX50" s="1398"/>
      <c r="JTY50" s="1398"/>
      <c r="JTZ50" s="1398"/>
      <c r="JUA50" s="1398"/>
      <c r="JUB50" s="1398"/>
      <c r="JUC50" s="1398"/>
      <c r="JUD50" s="1398"/>
      <c r="JUE50" s="1398"/>
      <c r="JUF50" s="1398"/>
      <c r="JUG50" s="1398"/>
      <c r="JUH50" s="1398"/>
      <c r="JUI50" s="1398"/>
      <c r="JUJ50" s="1398"/>
      <c r="JUK50" s="1398"/>
      <c r="JUL50" s="1398"/>
      <c r="JUM50" s="1398"/>
      <c r="JUN50" s="1398"/>
      <c r="JUO50" s="1398"/>
      <c r="JUP50" s="1398"/>
      <c r="JUQ50" s="1398"/>
      <c r="JUR50" s="1398"/>
      <c r="JUS50" s="1398"/>
      <c r="JUT50" s="1398"/>
      <c r="JUU50" s="1398"/>
      <c r="JUV50" s="1398"/>
      <c r="JUW50" s="1398"/>
      <c r="JUX50" s="1398"/>
      <c r="JUY50" s="1398"/>
      <c r="JUZ50" s="1398"/>
      <c r="JVA50" s="1398"/>
      <c r="JVB50" s="1398"/>
      <c r="JVC50" s="1398"/>
      <c r="JVD50" s="1398"/>
      <c r="JVE50" s="1398"/>
      <c r="JVF50" s="1398"/>
      <c r="JVG50" s="1398"/>
      <c r="JVH50" s="1398"/>
      <c r="JVI50" s="1398"/>
      <c r="JVJ50" s="1398"/>
      <c r="JVK50" s="1398"/>
      <c r="JVL50" s="1398"/>
      <c r="JVM50" s="1398"/>
      <c r="JVN50" s="1398"/>
      <c r="JVO50" s="1398"/>
      <c r="JVP50" s="1398"/>
      <c r="JVQ50" s="1398"/>
      <c r="JVR50" s="1398"/>
      <c r="JVS50" s="1398"/>
      <c r="JVT50" s="1398"/>
      <c r="JVU50" s="1398"/>
      <c r="JVV50" s="1398"/>
      <c r="JVW50" s="1398"/>
      <c r="JVX50" s="1398"/>
      <c r="JVY50" s="1398"/>
      <c r="JVZ50" s="1398"/>
      <c r="JWA50" s="1398"/>
      <c r="JWB50" s="1398"/>
      <c r="JWC50" s="1398"/>
      <c r="JWD50" s="1398"/>
      <c r="JWE50" s="1398"/>
      <c r="JWF50" s="1398"/>
      <c r="JWG50" s="1398"/>
      <c r="JWH50" s="1398"/>
      <c r="JWI50" s="1398"/>
      <c r="JWJ50" s="1398"/>
      <c r="JWK50" s="1398"/>
      <c r="JWL50" s="1398"/>
      <c r="JWM50" s="1398"/>
      <c r="JWN50" s="1398"/>
      <c r="JWO50" s="1398"/>
      <c r="JWP50" s="1398"/>
      <c r="JWQ50" s="1398"/>
      <c r="JWR50" s="1398"/>
      <c r="JWS50" s="1398"/>
      <c r="JWT50" s="1398"/>
      <c r="JWU50" s="1398"/>
      <c r="JWV50" s="1398"/>
      <c r="JWW50" s="1398"/>
      <c r="JWX50" s="1398"/>
      <c r="JWY50" s="1398"/>
      <c r="JWZ50" s="1398"/>
      <c r="JXA50" s="1398"/>
      <c r="JXB50" s="1398"/>
      <c r="JXC50" s="1398"/>
      <c r="JXD50" s="1398"/>
      <c r="JXE50" s="1398"/>
      <c r="JXF50" s="1398"/>
      <c r="JXG50" s="1398"/>
      <c r="JXH50" s="1398"/>
      <c r="JXI50" s="1398"/>
      <c r="JXJ50" s="1398"/>
      <c r="JXK50" s="1398"/>
      <c r="JXL50" s="1398"/>
      <c r="JXM50" s="1398"/>
      <c r="JXN50" s="1398"/>
      <c r="JXO50" s="1398"/>
      <c r="JXP50" s="1398"/>
      <c r="JXQ50" s="1398"/>
      <c r="JXR50" s="1398"/>
      <c r="JXS50" s="1398"/>
      <c r="JXT50" s="1398"/>
      <c r="JXU50" s="1398"/>
      <c r="JXV50" s="1398"/>
      <c r="JXW50" s="1398"/>
      <c r="JXX50" s="1398"/>
      <c r="JXY50" s="1398"/>
      <c r="JXZ50" s="1398"/>
      <c r="JYA50" s="1398"/>
      <c r="JYB50" s="1398"/>
      <c r="JYC50" s="1398"/>
      <c r="JYD50" s="1398"/>
      <c r="JYE50" s="1398"/>
      <c r="JYF50" s="1398"/>
      <c r="JYG50" s="1398"/>
      <c r="JYH50" s="1398"/>
      <c r="JYI50" s="1398"/>
      <c r="JYJ50" s="1398"/>
      <c r="JYK50" s="1398"/>
      <c r="JYL50" s="1398"/>
      <c r="JYM50" s="1398"/>
      <c r="JYN50" s="1398"/>
      <c r="JYO50" s="1398"/>
      <c r="JYP50" s="1398"/>
      <c r="JYQ50" s="1398"/>
      <c r="JYR50" s="1398"/>
      <c r="JYS50" s="1398"/>
      <c r="JYT50" s="1398"/>
      <c r="JYU50" s="1398"/>
      <c r="JYV50" s="1398"/>
      <c r="JYW50" s="1398"/>
      <c r="JYX50" s="1398"/>
      <c r="JYY50" s="1398"/>
      <c r="JYZ50" s="1398"/>
      <c r="JZA50" s="1398"/>
      <c r="JZB50" s="1398"/>
      <c r="JZC50" s="1398"/>
      <c r="JZD50" s="1398"/>
      <c r="JZE50" s="1398"/>
      <c r="JZF50" s="1398"/>
      <c r="JZG50" s="1398"/>
      <c r="JZH50" s="1398"/>
      <c r="JZI50" s="1398"/>
      <c r="JZJ50" s="1398"/>
      <c r="JZK50" s="1398"/>
      <c r="JZL50" s="1398"/>
      <c r="JZM50" s="1398"/>
      <c r="JZN50" s="1398"/>
      <c r="JZO50" s="1398"/>
      <c r="JZP50" s="1398"/>
      <c r="JZQ50" s="1398"/>
      <c r="JZR50" s="1398"/>
      <c r="JZS50" s="1398"/>
      <c r="JZT50" s="1398"/>
      <c r="JZU50" s="1398"/>
      <c r="JZV50" s="1398"/>
      <c r="JZW50" s="1398"/>
      <c r="JZX50" s="1398"/>
      <c r="JZY50" s="1398"/>
      <c r="JZZ50" s="1398"/>
      <c r="KAA50" s="1398"/>
      <c r="KAB50" s="1398"/>
      <c r="KAC50" s="1398"/>
      <c r="KAD50" s="1398"/>
      <c r="KAE50" s="1398"/>
      <c r="KAF50" s="1398"/>
      <c r="KAG50" s="1398"/>
      <c r="KAH50" s="1398"/>
      <c r="KAI50" s="1398"/>
      <c r="KAJ50" s="1398"/>
      <c r="KAK50" s="1398"/>
      <c r="KAL50" s="1398"/>
      <c r="KAM50" s="1398"/>
      <c r="KAN50" s="1398"/>
      <c r="KAO50" s="1398"/>
      <c r="KAP50" s="1398"/>
      <c r="KAQ50" s="1398"/>
      <c r="KAR50" s="1398"/>
      <c r="KAS50" s="1398"/>
      <c r="KAT50" s="1398"/>
      <c r="KAU50" s="1398"/>
      <c r="KAV50" s="1398"/>
      <c r="KAW50" s="1398"/>
      <c r="KAX50" s="1398"/>
      <c r="KAY50" s="1398"/>
      <c r="KAZ50" s="1398"/>
      <c r="KBA50" s="1398"/>
      <c r="KBB50" s="1398"/>
      <c r="KBC50" s="1398"/>
      <c r="KBD50" s="1398"/>
      <c r="KBE50" s="1398"/>
      <c r="KBF50" s="1398"/>
      <c r="KBG50" s="1398"/>
      <c r="KBH50" s="1398"/>
      <c r="KBI50" s="1398"/>
      <c r="KBJ50" s="1398"/>
      <c r="KBK50" s="1398"/>
      <c r="KBL50" s="1398"/>
      <c r="KBM50" s="1398"/>
      <c r="KBN50" s="1398"/>
      <c r="KBO50" s="1398"/>
      <c r="KBP50" s="1398"/>
      <c r="KBQ50" s="1398"/>
      <c r="KBR50" s="1398"/>
      <c r="KBS50" s="1398"/>
      <c r="KBT50" s="1398"/>
      <c r="KBU50" s="1398"/>
      <c r="KBV50" s="1398"/>
      <c r="KBW50" s="1398"/>
      <c r="KBX50" s="1398"/>
      <c r="KBY50" s="1398"/>
      <c r="KBZ50" s="1398"/>
      <c r="KCA50" s="1398"/>
      <c r="KCB50" s="1398"/>
      <c r="KCC50" s="1398"/>
      <c r="KCD50" s="1398"/>
      <c r="KCE50" s="1398"/>
      <c r="KCF50" s="1398"/>
      <c r="KCG50" s="1398"/>
      <c r="KCH50" s="1398"/>
      <c r="KCI50" s="1398"/>
      <c r="KCJ50" s="1398"/>
      <c r="KCK50" s="1398"/>
      <c r="KCL50" s="1398"/>
      <c r="KCM50" s="1398"/>
      <c r="KCN50" s="1398"/>
      <c r="KCO50" s="1398"/>
      <c r="KCP50" s="1398"/>
      <c r="KCQ50" s="1398"/>
      <c r="KCR50" s="1398"/>
      <c r="KCS50" s="1398"/>
      <c r="KCT50" s="1398"/>
      <c r="KCU50" s="1398"/>
      <c r="KCV50" s="1398"/>
      <c r="KCW50" s="1398"/>
      <c r="KCX50" s="1398"/>
      <c r="KCY50" s="1398"/>
      <c r="KCZ50" s="1398"/>
      <c r="KDA50" s="1398"/>
      <c r="KDB50" s="1398"/>
      <c r="KDC50" s="1398"/>
      <c r="KDD50" s="1398"/>
      <c r="KDE50" s="1398"/>
      <c r="KDF50" s="1398"/>
      <c r="KDG50" s="1398"/>
      <c r="KDH50" s="1398"/>
      <c r="KDI50" s="1398"/>
      <c r="KDJ50" s="1398"/>
      <c r="KDK50" s="1398"/>
      <c r="KDL50" s="1398"/>
      <c r="KDM50" s="1398"/>
      <c r="KDN50" s="1398"/>
      <c r="KDO50" s="1398"/>
      <c r="KDP50" s="1398"/>
      <c r="KDQ50" s="1398"/>
      <c r="KDR50" s="1398"/>
      <c r="KDS50" s="1398"/>
      <c r="KDT50" s="1398"/>
      <c r="KDU50" s="1398"/>
      <c r="KDV50" s="1398"/>
      <c r="KDW50" s="1398"/>
      <c r="KDX50" s="1398"/>
      <c r="KDY50" s="1398"/>
      <c r="KDZ50" s="1398"/>
      <c r="KEA50" s="1398"/>
      <c r="KEB50" s="1398"/>
      <c r="KEC50" s="1398"/>
      <c r="KED50" s="1398"/>
      <c r="KEE50" s="1398"/>
      <c r="KEF50" s="1398"/>
      <c r="KEG50" s="1398"/>
      <c r="KEH50" s="1398"/>
      <c r="KEI50" s="1398"/>
      <c r="KEJ50" s="1398"/>
      <c r="KEK50" s="1398"/>
      <c r="KEL50" s="1398"/>
      <c r="KEM50" s="1398"/>
      <c r="KEN50" s="1398"/>
      <c r="KEO50" s="1398"/>
      <c r="KEP50" s="1398"/>
      <c r="KEQ50" s="1398"/>
      <c r="KER50" s="1398"/>
      <c r="KES50" s="1398"/>
      <c r="KET50" s="1398"/>
      <c r="KEU50" s="1398"/>
      <c r="KEV50" s="1398"/>
      <c r="KEW50" s="1398"/>
      <c r="KEX50" s="1398"/>
      <c r="KEY50" s="1398"/>
      <c r="KEZ50" s="1398"/>
      <c r="KFA50" s="1398"/>
      <c r="KFB50" s="1398"/>
      <c r="KFC50" s="1398"/>
      <c r="KFD50" s="1398"/>
      <c r="KFE50" s="1398"/>
      <c r="KFF50" s="1398"/>
      <c r="KFG50" s="1398"/>
      <c r="KFH50" s="1398"/>
      <c r="KFI50" s="1398"/>
      <c r="KFJ50" s="1398"/>
      <c r="KFK50" s="1398"/>
      <c r="KFL50" s="1398"/>
      <c r="KFM50" s="1398"/>
      <c r="KFN50" s="1398"/>
      <c r="KFO50" s="1398"/>
      <c r="KFP50" s="1398"/>
      <c r="KFQ50" s="1398"/>
      <c r="KFR50" s="1398"/>
      <c r="KFS50" s="1398"/>
      <c r="KFT50" s="1398"/>
      <c r="KFU50" s="1398"/>
      <c r="KFV50" s="1398"/>
      <c r="KFW50" s="1398"/>
      <c r="KFX50" s="1398"/>
      <c r="KFY50" s="1398"/>
      <c r="KFZ50" s="1398"/>
      <c r="KGA50" s="1398"/>
      <c r="KGB50" s="1398"/>
      <c r="KGC50" s="1398"/>
      <c r="KGD50" s="1398"/>
      <c r="KGE50" s="1398"/>
      <c r="KGF50" s="1398"/>
      <c r="KGG50" s="1398"/>
      <c r="KGH50" s="1398"/>
      <c r="KGI50" s="1398"/>
      <c r="KGJ50" s="1398"/>
      <c r="KGK50" s="1398"/>
      <c r="KGL50" s="1398"/>
      <c r="KGM50" s="1398"/>
      <c r="KGN50" s="1398"/>
      <c r="KGO50" s="1398"/>
      <c r="KGP50" s="1398"/>
      <c r="KGQ50" s="1398"/>
      <c r="KGR50" s="1398"/>
      <c r="KGS50" s="1398"/>
      <c r="KGT50" s="1398"/>
      <c r="KGU50" s="1398"/>
      <c r="KGV50" s="1398"/>
      <c r="KGW50" s="1398"/>
      <c r="KGX50" s="1398"/>
      <c r="KGY50" s="1398"/>
      <c r="KGZ50" s="1398"/>
      <c r="KHA50" s="1398"/>
      <c r="KHB50" s="1398"/>
      <c r="KHC50" s="1398"/>
      <c r="KHD50" s="1398"/>
      <c r="KHE50" s="1398"/>
      <c r="KHF50" s="1398"/>
      <c r="KHG50" s="1398"/>
      <c r="KHH50" s="1398"/>
      <c r="KHI50" s="1398"/>
      <c r="KHJ50" s="1398"/>
      <c r="KHK50" s="1398"/>
      <c r="KHL50" s="1398"/>
      <c r="KHM50" s="1398"/>
      <c r="KHN50" s="1398"/>
      <c r="KHO50" s="1398"/>
      <c r="KHP50" s="1398"/>
      <c r="KHQ50" s="1398"/>
      <c r="KHR50" s="1398"/>
      <c r="KHS50" s="1398"/>
      <c r="KHT50" s="1398"/>
      <c r="KHU50" s="1398"/>
      <c r="KHV50" s="1398"/>
      <c r="KHW50" s="1398"/>
      <c r="KHX50" s="1398"/>
      <c r="KHY50" s="1398"/>
      <c r="KHZ50" s="1398"/>
      <c r="KIA50" s="1398"/>
      <c r="KIB50" s="1398"/>
      <c r="KIC50" s="1398"/>
      <c r="KID50" s="1398"/>
      <c r="KIE50" s="1398"/>
      <c r="KIF50" s="1398"/>
      <c r="KIG50" s="1398"/>
      <c r="KIH50" s="1398"/>
      <c r="KII50" s="1398"/>
      <c r="KIJ50" s="1398"/>
      <c r="KIK50" s="1398"/>
      <c r="KIL50" s="1398"/>
      <c r="KIM50" s="1398"/>
      <c r="KIN50" s="1398"/>
      <c r="KIO50" s="1398"/>
      <c r="KIP50" s="1398"/>
      <c r="KIQ50" s="1398"/>
      <c r="KIR50" s="1398"/>
      <c r="KIS50" s="1398"/>
      <c r="KIT50" s="1398"/>
      <c r="KIU50" s="1398"/>
      <c r="KIV50" s="1398"/>
      <c r="KIW50" s="1398"/>
      <c r="KIX50" s="1398"/>
      <c r="KIY50" s="1398"/>
      <c r="KIZ50" s="1398"/>
      <c r="KJA50" s="1398"/>
      <c r="KJB50" s="1398"/>
      <c r="KJC50" s="1398"/>
      <c r="KJD50" s="1398"/>
      <c r="KJE50" s="1398"/>
      <c r="KJF50" s="1398"/>
      <c r="KJG50" s="1398"/>
      <c r="KJH50" s="1398"/>
      <c r="KJI50" s="1398"/>
      <c r="KJJ50" s="1398"/>
      <c r="KJK50" s="1398"/>
      <c r="KJL50" s="1398"/>
      <c r="KJM50" s="1398"/>
      <c r="KJN50" s="1398"/>
      <c r="KJO50" s="1398"/>
      <c r="KJP50" s="1398"/>
      <c r="KJQ50" s="1398"/>
      <c r="KJR50" s="1398"/>
      <c r="KJS50" s="1398"/>
      <c r="KJT50" s="1398"/>
      <c r="KJU50" s="1398"/>
      <c r="KJV50" s="1398"/>
      <c r="KJW50" s="1398"/>
      <c r="KJX50" s="1398"/>
      <c r="KJY50" s="1398"/>
      <c r="KJZ50" s="1398"/>
      <c r="KKA50" s="1398"/>
      <c r="KKB50" s="1398"/>
      <c r="KKC50" s="1398"/>
      <c r="KKD50" s="1398"/>
      <c r="KKE50" s="1398"/>
      <c r="KKF50" s="1398"/>
      <c r="KKG50" s="1398"/>
      <c r="KKH50" s="1398"/>
      <c r="KKI50" s="1398"/>
      <c r="KKJ50" s="1398"/>
      <c r="KKK50" s="1398"/>
      <c r="KKL50" s="1398"/>
      <c r="KKM50" s="1398"/>
      <c r="KKN50" s="1398"/>
      <c r="KKO50" s="1398"/>
      <c r="KKP50" s="1398"/>
      <c r="KKQ50" s="1398"/>
      <c r="KKR50" s="1398"/>
      <c r="KKS50" s="1398"/>
      <c r="KKT50" s="1398"/>
      <c r="KKU50" s="1398"/>
      <c r="KKV50" s="1398"/>
      <c r="KKW50" s="1398"/>
      <c r="KKX50" s="1398"/>
      <c r="KKY50" s="1398"/>
      <c r="KKZ50" s="1398"/>
      <c r="KLA50" s="1398"/>
      <c r="KLB50" s="1398"/>
      <c r="KLC50" s="1398"/>
      <c r="KLD50" s="1398"/>
      <c r="KLE50" s="1398"/>
      <c r="KLF50" s="1398"/>
      <c r="KLG50" s="1398"/>
      <c r="KLH50" s="1398"/>
      <c r="KLI50" s="1398"/>
      <c r="KLJ50" s="1398"/>
      <c r="KLK50" s="1398"/>
      <c r="KLL50" s="1398"/>
      <c r="KLM50" s="1398"/>
      <c r="KLN50" s="1398"/>
      <c r="KLO50" s="1398"/>
      <c r="KLP50" s="1398"/>
      <c r="KLQ50" s="1398"/>
      <c r="KLR50" s="1398"/>
      <c r="KLS50" s="1398"/>
      <c r="KLT50" s="1398"/>
      <c r="KLU50" s="1398"/>
      <c r="KLV50" s="1398"/>
      <c r="KLW50" s="1398"/>
      <c r="KLX50" s="1398"/>
      <c r="KLY50" s="1398"/>
      <c r="KLZ50" s="1398"/>
      <c r="KMA50" s="1398"/>
      <c r="KMB50" s="1398"/>
      <c r="KMC50" s="1398"/>
      <c r="KMD50" s="1398"/>
      <c r="KME50" s="1398"/>
      <c r="KMF50" s="1398"/>
      <c r="KMG50" s="1398"/>
      <c r="KMH50" s="1398"/>
      <c r="KMI50" s="1398"/>
      <c r="KMJ50" s="1398"/>
      <c r="KMK50" s="1398"/>
      <c r="KML50" s="1398"/>
      <c r="KMM50" s="1398"/>
      <c r="KMN50" s="1398"/>
      <c r="KMO50" s="1398"/>
      <c r="KMP50" s="1398"/>
      <c r="KMQ50" s="1398"/>
      <c r="KMR50" s="1398"/>
      <c r="KMS50" s="1398"/>
      <c r="KMT50" s="1398"/>
      <c r="KMU50" s="1398"/>
      <c r="KMV50" s="1398"/>
      <c r="KMW50" s="1398"/>
      <c r="KMX50" s="1398"/>
      <c r="KMY50" s="1398"/>
      <c r="KMZ50" s="1398"/>
      <c r="KNA50" s="1398"/>
      <c r="KNB50" s="1398"/>
      <c r="KNC50" s="1398"/>
      <c r="KND50" s="1398"/>
      <c r="KNE50" s="1398"/>
      <c r="KNF50" s="1398"/>
      <c r="KNG50" s="1398"/>
      <c r="KNH50" s="1398"/>
      <c r="KNI50" s="1398"/>
      <c r="KNJ50" s="1398"/>
      <c r="KNK50" s="1398"/>
      <c r="KNL50" s="1398"/>
      <c r="KNM50" s="1398"/>
      <c r="KNN50" s="1398"/>
      <c r="KNO50" s="1398"/>
      <c r="KNP50" s="1398"/>
      <c r="KNQ50" s="1398"/>
      <c r="KNR50" s="1398"/>
      <c r="KNS50" s="1398"/>
      <c r="KNT50" s="1398"/>
      <c r="KNU50" s="1398"/>
      <c r="KNV50" s="1398"/>
      <c r="KNW50" s="1398"/>
      <c r="KNX50" s="1398"/>
      <c r="KNY50" s="1398"/>
      <c r="KNZ50" s="1398"/>
      <c r="KOA50" s="1398"/>
      <c r="KOB50" s="1398"/>
      <c r="KOC50" s="1398"/>
      <c r="KOD50" s="1398"/>
      <c r="KOE50" s="1398"/>
      <c r="KOF50" s="1398"/>
      <c r="KOG50" s="1398"/>
      <c r="KOH50" s="1398"/>
      <c r="KOI50" s="1398"/>
      <c r="KOJ50" s="1398"/>
      <c r="KOK50" s="1398"/>
      <c r="KOL50" s="1398"/>
      <c r="KOM50" s="1398"/>
      <c r="KON50" s="1398"/>
      <c r="KOO50" s="1398"/>
      <c r="KOP50" s="1398"/>
      <c r="KOQ50" s="1398"/>
      <c r="KOR50" s="1398"/>
      <c r="KOS50" s="1398"/>
      <c r="KOT50" s="1398"/>
      <c r="KOU50" s="1398"/>
      <c r="KOV50" s="1398"/>
      <c r="KOW50" s="1398"/>
      <c r="KOX50" s="1398"/>
      <c r="KOY50" s="1398"/>
      <c r="KOZ50" s="1398"/>
      <c r="KPA50" s="1398"/>
      <c r="KPB50" s="1398"/>
      <c r="KPC50" s="1398"/>
      <c r="KPD50" s="1398"/>
      <c r="KPE50" s="1398"/>
      <c r="KPF50" s="1398"/>
      <c r="KPG50" s="1398"/>
      <c r="KPH50" s="1398"/>
      <c r="KPI50" s="1398"/>
      <c r="KPJ50" s="1398"/>
      <c r="KPK50" s="1398"/>
      <c r="KPL50" s="1398"/>
      <c r="KPM50" s="1398"/>
      <c r="KPN50" s="1398"/>
      <c r="KPO50" s="1398"/>
      <c r="KPP50" s="1398"/>
      <c r="KPQ50" s="1398"/>
      <c r="KPR50" s="1398"/>
      <c r="KPS50" s="1398"/>
      <c r="KPT50" s="1398"/>
      <c r="KPU50" s="1398"/>
      <c r="KPV50" s="1398"/>
      <c r="KPW50" s="1398"/>
      <c r="KPX50" s="1398"/>
      <c r="KPY50" s="1398"/>
      <c r="KPZ50" s="1398"/>
      <c r="KQA50" s="1398"/>
      <c r="KQB50" s="1398"/>
      <c r="KQC50" s="1398"/>
      <c r="KQD50" s="1398"/>
      <c r="KQE50" s="1398"/>
      <c r="KQF50" s="1398"/>
      <c r="KQG50" s="1398"/>
      <c r="KQH50" s="1398"/>
      <c r="KQI50" s="1398"/>
      <c r="KQJ50" s="1398"/>
      <c r="KQK50" s="1398"/>
      <c r="KQL50" s="1398"/>
      <c r="KQM50" s="1398"/>
      <c r="KQN50" s="1398"/>
      <c r="KQO50" s="1398"/>
      <c r="KQP50" s="1398"/>
      <c r="KQQ50" s="1398"/>
      <c r="KQR50" s="1398"/>
      <c r="KQS50" s="1398"/>
      <c r="KQT50" s="1398"/>
      <c r="KQU50" s="1398"/>
      <c r="KQV50" s="1398"/>
      <c r="KQW50" s="1398"/>
      <c r="KQX50" s="1398"/>
      <c r="KQY50" s="1398"/>
      <c r="KQZ50" s="1398"/>
      <c r="KRA50" s="1398"/>
      <c r="KRB50" s="1398"/>
      <c r="KRC50" s="1398"/>
      <c r="KRD50" s="1398"/>
      <c r="KRE50" s="1398"/>
      <c r="KRF50" s="1398"/>
      <c r="KRG50" s="1398"/>
      <c r="KRH50" s="1398"/>
      <c r="KRI50" s="1398"/>
      <c r="KRJ50" s="1398"/>
      <c r="KRK50" s="1398"/>
      <c r="KRL50" s="1398"/>
      <c r="KRM50" s="1398"/>
      <c r="KRN50" s="1398"/>
      <c r="KRO50" s="1398"/>
      <c r="KRP50" s="1398"/>
      <c r="KRQ50" s="1398"/>
      <c r="KRR50" s="1398"/>
      <c r="KRS50" s="1398"/>
      <c r="KRT50" s="1398"/>
      <c r="KRU50" s="1398"/>
      <c r="KRV50" s="1398"/>
      <c r="KRW50" s="1398"/>
      <c r="KRX50" s="1398"/>
      <c r="KRY50" s="1398"/>
      <c r="KRZ50" s="1398"/>
      <c r="KSA50" s="1398"/>
      <c r="KSB50" s="1398"/>
      <c r="KSC50" s="1398"/>
      <c r="KSD50" s="1398"/>
      <c r="KSE50" s="1398"/>
      <c r="KSF50" s="1398"/>
      <c r="KSG50" s="1398"/>
      <c r="KSH50" s="1398"/>
      <c r="KSI50" s="1398"/>
      <c r="KSJ50" s="1398"/>
      <c r="KSK50" s="1398"/>
      <c r="KSL50" s="1398"/>
      <c r="KSM50" s="1398"/>
      <c r="KSN50" s="1398"/>
      <c r="KSO50" s="1398"/>
      <c r="KSP50" s="1398"/>
      <c r="KSQ50" s="1398"/>
      <c r="KSR50" s="1398"/>
      <c r="KSS50" s="1398"/>
      <c r="KST50" s="1398"/>
      <c r="KSU50" s="1398"/>
      <c r="KSV50" s="1398"/>
      <c r="KSW50" s="1398"/>
      <c r="KSX50" s="1398"/>
      <c r="KSY50" s="1398"/>
      <c r="KSZ50" s="1398"/>
      <c r="KTA50" s="1398"/>
      <c r="KTB50" s="1398"/>
      <c r="KTC50" s="1398"/>
      <c r="KTD50" s="1398"/>
      <c r="KTE50" s="1398"/>
      <c r="KTF50" s="1398"/>
      <c r="KTG50" s="1398"/>
      <c r="KTH50" s="1398"/>
      <c r="KTI50" s="1398"/>
      <c r="KTJ50" s="1398"/>
      <c r="KTK50" s="1398"/>
      <c r="KTL50" s="1398"/>
      <c r="KTM50" s="1398"/>
      <c r="KTN50" s="1398"/>
      <c r="KTO50" s="1398"/>
      <c r="KTP50" s="1398"/>
      <c r="KTQ50" s="1398"/>
      <c r="KTR50" s="1398"/>
      <c r="KTS50" s="1398"/>
      <c r="KTT50" s="1398"/>
      <c r="KTU50" s="1398"/>
      <c r="KTV50" s="1398"/>
      <c r="KTW50" s="1398"/>
      <c r="KTX50" s="1398"/>
      <c r="KTY50" s="1398"/>
      <c r="KTZ50" s="1398"/>
      <c r="KUA50" s="1398"/>
      <c r="KUB50" s="1398"/>
      <c r="KUC50" s="1398"/>
      <c r="KUD50" s="1398"/>
      <c r="KUE50" s="1398"/>
      <c r="KUF50" s="1398"/>
      <c r="KUG50" s="1398"/>
      <c r="KUH50" s="1398"/>
      <c r="KUI50" s="1398"/>
      <c r="KUJ50" s="1398"/>
      <c r="KUK50" s="1398"/>
      <c r="KUL50" s="1398"/>
      <c r="KUM50" s="1398"/>
      <c r="KUN50" s="1398"/>
      <c r="KUO50" s="1398"/>
      <c r="KUP50" s="1398"/>
      <c r="KUQ50" s="1398"/>
      <c r="KUR50" s="1398"/>
      <c r="KUS50" s="1398"/>
      <c r="KUT50" s="1398"/>
      <c r="KUU50" s="1398"/>
      <c r="KUV50" s="1398"/>
      <c r="KUW50" s="1398"/>
      <c r="KUX50" s="1398"/>
      <c r="KUY50" s="1398"/>
      <c r="KUZ50" s="1398"/>
      <c r="KVA50" s="1398"/>
      <c r="KVB50" s="1398"/>
      <c r="KVC50" s="1398"/>
      <c r="KVD50" s="1398"/>
      <c r="KVE50" s="1398"/>
      <c r="KVF50" s="1398"/>
      <c r="KVG50" s="1398"/>
      <c r="KVH50" s="1398"/>
      <c r="KVI50" s="1398"/>
      <c r="KVJ50" s="1398"/>
      <c r="KVK50" s="1398"/>
      <c r="KVL50" s="1398"/>
      <c r="KVM50" s="1398"/>
      <c r="KVN50" s="1398"/>
      <c r="KVO50" s="1398"/>
      <c r="KVP50" s="1398"/>
      <c r="KVQ50" s="1398"/>
      <c r="KVR50" s="1398"/>
      <c r="KVS50" s="1398"/>
      <c r="KVT50" s="1398"/>
      <c r="KVU50" s="1398"/>
      <c r="KVV50" s="1398"/>
      <c r="KVW50" s="1398"/>
      <c r="KVX50" s="1398"/>
      <c r="KVY50" s="1398"/>
      <c r="KVZ50" s="1398"/>
      <c r="KWA50" s="1398"/>
      <c r="KWB50" s="1398"/>
      <c r="KWC50" s="1398"/>
      <c r="KWD50" s="1398"/>
      <c r="KWE50" s="1398"/>
      <c r="KWF50" s="1398"/>
      <c r="KWG50" s="1398"/>
      <c r="KWH50" s="1398"/>
      <c r="KWI50" s="1398"/>
      <c r="KWJ50" s="1398"/>
      <c r="KWK50" s="1398"/>
      <c r="KWL50" s="1398"/>
      <c r="KWM50" s="1398"/>
      <c r="KWN50" s="1398"/>
      <c r="KWO50" s="1398"/>
      <c r="KWP50" s="1398"/>
      <c r="KWQ50" s="1398"/>
      <c r="KWR50" s="1398"/>
      <c r="KWS50" s="1398"/>
      <c r="KWT50" s="1398"/>
      <c r="KWU50" s="1398"/>
      <c r="KWV50" s="1398"/>
      <c r="KWW50" s="1398"/>
      <c r="KWX50" s="1398"/>
      <c r="KWY50" s="1398"/>
      <c r="KWZ50" s="1398"/>
      <c r="KXA50" s="1398"/>
      <c r="KXB50" s="1398"/>
      <c r="KXC50" s="1398"/>
      <c r="KXD50" s="1398"/>
      <c r="KXE50" s="1398"/>
      <c r="KXF50" s="1398"/>
      <c r="KXG50" s="1398"/>
      <c r="KXH50" s="1398"/>
      <c r="KXI50" s="1398"/>
      <c r="KXJ50" s="1398"/>
      <c r="KXK50" s="1398"/>
      <c r="KXL50" s="1398"/>
      <c r="KXM50" s="1398"/>
      <c r="KXN50" s="1398"/>
      <c r="KXO50" s="1398"/>
      <c r="KXP50" s="1398"/>
      <c r="KXQ50" s="1398"/>
      <c r="KXR50" s="1398"/>
      <c r="KXS50" s="1398"/>
      <c r="KXT50" s="1398"/>
      <c r="KXU50" s="1398"/>
      <c r="KXV50" s="1398"/>
      <c r="KXW50" s="1398"/>
      <c r="KXX50" s="1398"/>
      <c r="KXY50" s="1398"/>
      <c r="KXZ50" s="1398"/>
      <c r="KYA50" s="1398"/>
      <c r="KYB50" s="1398"/>
      <c r="KYC50" s="1398"/>
      <c r="KYD50" s="1398"/>
      <c r="KYE50" s="1398"/>
      <c r="KYF50" s="1398"/>
      <c r="KYG50" s="1398"/>
      <c r="KYH50" s="1398"/>
      <c r="KYI50" s="1398"/>
      <c r="KYJ50" s="1398"/>
      <c r="KYK50" s="1398"/>
      <c r="KYL50" s="1398"/>
      <c r="KYM50" s="1398"/>
      <c r="KYN50" s="1398"/>
      <c r="KYO50" s="1398"/>
      <c r="KYP50" s="1398"/>
      <c r="KYQ50" s="1398"/>
      <c r="KYR50" s="1398"/>
      <c r="KYS50" s="1398"/>
      <c r="KYT50" s="1398"/>
      <c r="KYU50" s="1398"/>
      <c r="KYV50" s="1398"/>
      <c r="KYW50" s="1398"/>
      <c r="KYX50" s="1398"/>
      <c r="KYY50" s="1398"/>
      <c r="KYZ50" s="1398"/>
      <c r="KZA50" s="1398"/>
      <c r="KZB50" s="1398"/>
      <c r="KZC50" s="1398"/>
      <c r="KZD50" s="1398"/>
      <c r="KZE50" s="1398"/>
      <c r="KZF50" s="1398"/>
      <c r="KZG50" s="1398"/>
      <c r="KZH50" s="1398"/>
      <c r="KZI50" s="1398"/>
      <c r="KZJ50" s="1398"/>
      <c r="KZK50" s="1398"/>
      <c r="KZL50" s="1398"/>
      <c r="KZM50" s="1398"/>
      <c r="KZN50" s="1398"/>
      <c r="KZO50" s="1398"/>
      <c r="KZP50" s="1398"/>
      <c r="KZQ50" s="1398"/>
      <c r="KZR50" s="1398"/>
      <c r="KZS50" s="1398"/>
      <c r="KZT50" s="1398"/>
      <c r="KZU50" s="1398"/>
      <c r="KZV50" s="1398"/>
      <c r="KZW50" s="1398"/>
      <c r="KZX50" s="1398"/>
      <c r="KZY50" s="1398"/>
      <c r="KZZ50" s="1398"/>
      <c r="LAA50" s="1398"/>
      <c r="LAB50" s="1398"/>
      <c r="LAC50" s="1398"/>
      <c r="LAD50" s="1398"/>
      <c r="LAE50" s="1398"/>
      <c r="LAF50" s="1398"/>
      <c r="LAG50" s="1398"/>
      <c r="LAH50" s="1398"/>
      <c r="LAI50" s="1398"/>
      <c r="LAJ50" s="1398"/>
      <c r="LAK50" s="1398"/>
      <c r="LAL50" s="1398"/>
      <c r="LAM50" s="1398"/>
      <c r="LAN50" s="1398"/>
      <c r="LAO50" s="1398"/>
      <c r="LAP50" s="1398"/>
      <c r="LAQ50" s="1398"/>
      <c r="LAR50" s="1398"/>
      <c r="LAS50" s="1398"/>
      <c r="LAT50" s="1398"/>
      <c r="LAU50" s="1398"/>
      <c r="LAV50" s="1398"/>
      <c r="LAW50" s="1398"/>
      <c r="LAX50" s="1398"/>
      <c r="LAY50" s="1398"/>
      <c r="LAZ50" s="1398"/>
      <c r="LBA50" s="1398"/>
      <c r="LBB50" s="1398"/>
      <c r="LBC50" s="1398"/>
      <c r="LBD50" s="1398"/>
      <c r="LBE50" s="1398"/>
      <c r="LBF50" s="1398"/>
      <c r="LBG50" s="1398"/>
      <c r="LBH50" s="1398"/>
      <c r="LBI50" s="1398"/>
      <c r="LBJ50" s="1398"/>
      <c r="LBK50" s="1398"/>
      <c r="LBL50" s="1398"/>
      <c r="LBM50" s="1398"/>
      <c r="LBN50" s="1398"/>
      <c r="LBO50" s="1398"/>
      <c r="LBP50" s="1398"/>
      <c r="LBQ50" s="1398"/>
      <c r="LBR50" s="1398"/>
      <c r="LBS50" s="1398"/>
      <c r="LBT50" s="1398"/>
      <c r="LBU50" s="1398"/>
      <c r="LBV50" s="1398"/>
      <c r="LBW50" s="1398"/>
      <c r="LBX50" s="1398"/>
      <c r="LBY50" s="1398"/>
      <c r="LBZ50" s="1398"/>
      <c r="LCA50" s="1398"/>
      <c r="LCB50" s="1398"/>
      <c r="LCC50" s="1398"/>
      <c r="LCD50" s="1398"/>
      <c r="LCE50" s="1398"/>
      <c r="LCF50" s="1398"/>
      <c r="LCG50" s="1398"/>
      <c r="LCH50" s="1398"/>
      <c r="LCI50" s="1398"/>
      <c r="LCJ50" s="1398"/>
      <c r="LCK50" s="1398"/>
      <c r="LCL50" s="1398"/>
      <c r="LCM50" s="1398"/>
      <c r="LCN50" s="1398"/>
      <c r="LCO50" s="1398"/>
      <c r="LCP50" s="1398"/>
      <c r="LCQ50" s="1398"/>
      <c r="LCR50" s="1398"/>
      <c r="LCS50" s="1398"/>
      <c r="LCT50" s="1398"/>
      <c r="LCU50" s="1398"/>
      <c r="LCV50" s="1398"/>
      <c r="LCW50" s="1398"/>
      <c r="LCX50" s="1398"/>
      <c r="LCY50" s="1398"/>
      <c r="LCZ50" s="1398"/>
      <c r="LDA50" s="1398"/>
      <c r="LDB50" s="1398"/>
      <c r="LDC50" s="1398"/>
      <c r="LDD50" s="1398"/>
      <c r="LDE50" s="1398"/>
      <c r="LDF50" s="1398"/>
      <c r="LDG50" s="1398"/>
      <c r="LDH50" s="1398"/>
      <c r="LDI50" s="1398"/>
      <c r="LDJ50" s="1398"/>
      <c r="LDK50" s="1398"/>
      <c r="LDL50" s="1398"/>
      <c r="LDM50" s="1398"/>
      <c r="LDN50" s="1398"/>
      <c r="LDO50" s="1398"/>
      <c r="LDP50" s="1398"/>
      <c r="LDQ50" s="1398"/>
      <c r="LDR50" s="1398"/>
      <c r="LDS50" s="1398"/>
      <c r="LDT50" s="1398"/>
      <c r="LDU50" s="1398"/>
      <c r="LDV50" s="1398"/>
      <c r="LDW50" s="1398"/>
      <c r="LDX50" s="1398"/>
      <c r="LDY50" s="1398"/>
      <c r="LDZ50" s="1398"/>
      <c r="LEA50" s="1398"/>
      <c r="LEB50" s="1398"/>
      <c r="LEC50" s="1398"/>
      <c r="LED50" s="1398"/>
      <c r="LEE50" s="1398"/>
      <c r="LEF50" s="1398"/>
      <c r="LEG50" s="1398"/>
      <c r="LEH50" s="1398"/>
      <c r="LEI50" s="1398"/>
      <c r="LEJ50" s="1398"/>
      <c r="LEK50" s="1398"/>
      <c r="LEL50" s="1398"/>
      <c r="LEM50" s="1398"/>
      <c r="LEN50" s="1398"/>
      <c r="LEO50" s="1398"/>
      <c r="LEP50" s="1398"/>
      <c r="LEQ50" s="1398"/>
      <c r="LER50" s="1398"/>
      <c r="LES50" s="1398"/>
      <c r="LET50" s="1398"/>
      <c r="LEU50" s="1398"/>
      <c r="LEV50" s="1398"/>
      <c r="LEW50" s="1398"/>
      <c r="LEX50" s="1398"/>
      <c r="LEY50" s="1398"/>
      <c r="LEZ50" s="1398"/>
      <c r="LFA50" s="1398"/>
      <c r="LFB50" s="1398"/>
      <c r="LFC50" s="1398"/>
      <c r="LFD50" s="1398"/>
      <c r="LFE50" s="1398"/>
      <c r="LFF50" s="1398"/>
      <c r="LFG50" s="1398"/>
      <c r="LFH50" s="1398"/>
      <c r="LFI50" s="1398"/>
      <c r="LFJ50" s="1398"/>
      <c r="LFK50" s="1398"/>
      <c r="LFL50" s="1398"/>
      <c r="LFM50" s="1398"/>
      <c r="LFN50" s="1398"/>
      <c r="LFO50" s="1398"/>
      <c r="LFP50" s="1398"/>
      <c r="LFQ50" s="1398"/>
      <c r="LFR50" s="1398"/>
      <c r="LFS50" s="1398"/>
      <c r="LFT50" s="1398"/>
      <c r="LFU50" s="1398"/>
      <c r="LFV50" s="1398"/>
      <c r="LFW50" s="1398"/>
      <c r="LFX50" s="1398"/>
      <c r="LFY50" s="1398"/>
      <c r="LFZ50" s="1398"/>
      <c r="LGA50" s="1398"/>
      <c r="LGB50" s="1398"/>
      <c r="LGC50" s="1398"/>
      <c r="LGD50" s="1398"/>
      <c r="LGE50" s="1398"/>
      <c r="LGF50" s="1398"/>
      <c r="LGG50" s="1398"/>
      <c r="LGH50" s="1398"/>
      <c r="LGI50" s="1398"/>
      <c r="LGJ50" s="1398"/>
      <c r="LGK50" s="1398"/>
      <c r="LGL50" s="1398"/>
      <c r="LGM50" s="1398"/>
      <c r="LGN50" s="1398"/>
      <c r="LGO50" s="1398"/>
      <c r="LGP50" s="1398"/>
      <c r="LGQ50" s="1398"/>
      <c r="LGR50" s="1398"/>
      <c r="LGS50" s="1398"/>
      <c r="LGT50" s="1398"/>
      <c r="LGU50" s="1398"/>
      <c r="LGV50" s="1398"/>
      <c r="LGW50" s="1398"/>
      <c r="LGX50" s="1398"/>
      <c r="LGY50" s="1398"/>
      <c r="LGZ50" s="1398"/>
      <c r="LHA50" s="1398"/>
      <c r="LHB50" s="1398"/>
      <c r="LHC50" s="1398"/>
      <c r="LHD50" s="1398"/>
      <c r="LHE50" s="1398"/>
      <c r="LHF50" s="1398"/>
      <c r="LHG50" s="1398"/>
      <c r="LHH50" s="1398"/>
      <c r="LHI50" s="1398"/>
      <c r="LHJ50" s="1398"/>
      <c r="LHK50" s="1398"/>
      <c r="LHL50" s="1398"/>
      <c r="LHM50" s="1398"/>
      <c r="LHN50" s="1398"/>
      <c r="LHO50" s="1398"/>
      <c r="LHP50" s="1398"/>
      <c r="LHQ50" s="1398"/>
      <c r="LHR50" s="1398"/>
      <c r="LHS50" s="1398"/>
      <c r="LHT50" s="1398"/>
      <c r="LHU50" s="1398"/>
      <c r="LHV50" s="1398"/>
      <c r="LHW50" s="1398"/>
      <c r="LHX50" s="1398"/>
      <c r="LHY50" s="1398"/>
      <c r="LHZ50" s="1398"/>
      <c r="LIA50" s="1398"/>
      <c r="LIB50" s="1398"/>
      <c r="LIC50" s="1398"/>
      <c r="LID50" s="1398"/>
      <c r="LIE50" s="1398"/>
      <c r="LIF50" s="1398"/>
      <c r="LIG50" s="1398"/>
      <c r="LIH50" s="1398"/>
      <c r="LII50" s="1398"/>
      <c r="LIJ50" s="1398"/>
      <c r="LIK50" s="1398"/>
      <c r="LIL50" s="1398"/>
      <c r="LIM50" s="1398"/>
      <c r="LIN50" s="1398"/>
      <c r="LIO50" s="1398"/>
      <c r="LIP50" s="1398"/>
      <c r="LIQ50" s="1398"/>
      <c r="LIR50" s="1398"/>
      <c r="LIS50" s="1398"/>
      <c r="LIT50" s="1398"/>
      <c r="LIU50" s="1398"/>
      <c r="LIV50" s="1398"/>
      <c r="LIW50" s="1398"/>
      <c r="LIX50" s="1398"/>
      <c r="LIY50" s="1398"/>
      <c r="LIZ50" s="1398"/>
      <c r="LJA50" s="1398"/>
      <c r="LJB50" s="1398"/>
      <c r="LJC50" s="1398"/>
      <c r="LJD50" s="1398"/>
      <c r="LJE50" s="1398"/>
      <c r="LJF50" s="1398"/>
      <c r="LJG50" s="1398"/>
      <c r="LJH50" s="1398"/>
      <c r="LJI50" s="1398"/>
      <c r="LJJ50" s="1398"/>
      <c r="LJK50" s="1398"/>
      <c r="LJL50" s="1398"/>
      <c r="LJM50" s="1398"/>
      <c r="LJN50" s="1398"/>
      <c r="LJO50" s="1398"/>
      <c r="LJP50" s="1398"/>
      <c r="LJQ50" s="1398"/>
      <c r="LJR50" s="1398"/>
      <c r="LJS50" s="1398"/>
      <c r="LJT50" s="1398"/>
      <c r="LJU50" s="1398"/>
      <c r="LJV50" s="1398"/>
      <c r="LJW50" s="1398"/>
      <c r="LJX50" s="1398"/>
      <c r="LJY50" s="1398"/>
      <c r="LJZ50" s="1398"/>
      <c r="LKA50" s="1398"/>
      <c r="LKB50" s="1398"/>
      <c r="LKC50" s="1398"/>
      <c r="LKD50" s="1398"/>
      <c r="LKE50" s="1398"/>
      <c r="LKF50" s="1398"/>
      <c r="LKG50" s="1398"/>
      <c r="LKH50" s="1398"/>
      <c r="LKI50" s="1398"/>
      <c r="LKJ50" s="1398"/>
      <c r="LKK50" s="1398"/>
      <c r="LKL50" s="1398"/>
      <c r="LKM50" s="1398"/>
      <c r="LKN50" s="1398"/>
      <c r="LKO50" s="1398"/>
      <c r="LKP50" s="1398"/>
      <c r="LKQ50" s="1398"/>
      <c r="LKR50" s="1398"/>
      <c r="LKS50" s="1398"/>
      <c r="LKT50" s="1398"/>
      <c r="LKU50" s="1398"/>
      <c r="LKV50" s="1398"/>
      <c r="LKW50" s="1398"/>
      <c r="LKX50" s="1398"/>
      <c r="LKY50" s="1398"/>
      <c r="LKZ50" s="1398"/>
      <c r="LLA50" s="1398"/>
      <c r="LLB50" s="1398"/>
      <c r="LLC50" s="1398"/>
      <c r="LLD50" s="1398"/>
      <c r="LLE50" s="1398"/>
      <c r="LLF50" s="1398"/>
      <c r="LLG50" s="1398"/>
      <c r="LLH50" s="1398"/>
      <c r="LLI50" s="1398"/>
      <c r="LLJ50" s="1398"/>
      <c r="LLK50" s="1398"/>
      <c r="LLL50" s="1398"/>
      <c r="LLM50" s="1398"/>
      <c r="LLN50" s="1398"/>
      <c r="LLO50" s="1398"/>
      <c r="LLP50" s="1398"/>
      <c r="LLQ50" s="1398"/>
      <c r="LLR50" s="1398"/>
      <c r="LLS50" s="1398"/>
      <c r="LLT50" s="1398"/>
      <c r="LLU50" s="1398"/>
      <c r="LLV50" s="1398"/>
      <c r="LLW50" s="1398"/>
      <c r="LLX50" s="1398"/>
      <c r="LLY50" s="1398"/>
      <c r="LLZ50" s="1398"/>
      <c r="LMA50" s="1398"/>
      <c r="LMB50" s="1398"/>
      <c r="LMC50" s="1398"/>
      <c r="LMD50" s="1398"/>
      <c r="LME50" s="1398"/>
      <c r="LMF50" s="1398"/>
      <c r="LMG50" s="1398"/>
      <c r="LMH50" s="1398"/>
      <c r="LMI50" s="1398"/>
      <c r="LMJ50" s="1398"/>
      <c r="LMK50" s="1398"/>
      <c r="LML50" s="1398"/>
      <c r="LMM50" s="1398"/>
      <c r="LMN50" s="1398"/>
      <c r="LMO50" s="1398"/>
      <c r="LMP50" s="1398"/>
      <c r="LMQ50" s="1398"/>
      <c r="LMR50" s="1398"/>
      <c r="LMS50" s="1398"/>
      <c r="LMT50" s="1398"/>
      <c r="LMU50" s="1398"/>
      <c r="LMV50" s="1398"/>
      <c r="LMW50" s="1398"/>
      <c r="LMX50" s="1398"/>
      <c r="LMY50" s="1398"/>
      <c r="LMZ50" s="1398"/>
      <c r="LNA50" s="1398"/>
      <c r="LNB50" s="1398"/>
      <c r="LNC50" s="1398"/>
      <c r="LND50" s="1398"/>
      <c r="LNE50" s="1398"/>
      <c r="LNF50" s="1398"/>
      <c r="LNG50" s="1398"/>
      <c r="LNH50" s="1398"/>
      <c r="LNI50" s="1398"/>
      <c r="LNJ50" s="1398"/>
      <c r="LNK50" s="1398"/>
      <c r="LNL50" s="1398"/>
      <c r="LNM50" s="1398"/>
      <c r="LNN50" s="1398"/>
      <c r="LNO50" s="1398"/>
      <c r="LNP50" s="1398"/>
      <c r="LNQ50" s="1398"/>
      <c r="LNR50" s="1398"/>
      <c r="LNS50" s="1398"/>
      <c r="LNT50" s="1398"/>
      <c r="LNU50" s="1398"/>
      <c r="LNV50" s="1398"/>
      <c r="LNW50" s="1398"/>
      <c r="LNX50" s="1398"/>
      <c r="LNY50" s="1398"/>
      <c r="LNZ50" s="1398"/>
      <c r="LOA50" s="1398"/>
      <c r="LOB50" s="1398"/>
      <c r="LOC50" s="1398"/>
      <c r="LOD50" s="1398"/>
      <c r="LOE50" s="1398"/>
      <c r="LOF50" s="1398"/>
      <c r="LOG50" s="1398"/>
      <c r="LOH50" s="1398"/>
      <c r="LOI50" s="1398"/>
      <c r="LOJ50" s="1398"/>
      <c r="LOK50" s="1398"/>
      <c r="LOL50" s="1398"/>
      <c r="LOM50" s="1398"/>
      <c r="LON50" s="1398"/>
      <c r="LOO50" s="1398"/>
      <c r="LOP50" s="1398"/>
      <c r="LOQ50" s="1398"/>
      <c r="LOR50" s="1398"/>
      <c r="LOS50" s="1398"/>
      <c r="LOT50" s="1398"/>
      <c r="LOU50" s="1398"/>
      <c r="LOV50" s="1398"/>
      <c r="LOW50" s="1398"/>
      <c r="LOX50" s="1398"/>
      <c r="LOY50" s="1398"/>
      <c r="LOZ50" s="1398"/>
      <c r="LPA50" s="1398"/>
      <c r="LPB50" s="1398"/>
      <c r="LPC50" s="1398"/>
      <c r="LPD50" s="1398"/>
      <c r="LPE50" s="1398"/>
      <c r="LPF50" s="1398"/>
      <c r="LPG50" s="1398"/>
      <c r="LPH50" s="1398"/>
      <c r="LPI50" s="1398"/>
      <c r="LPJ50" s="1398"/>
      <c r="LPK50" s="1398"/>
      <c r="LPL50" s="1398"/>
      <c r="LPM50" s="1398"/>
      <c r="LPN50" s="1398"/>
      <c r="LPO50" s="1398"/>
      <c r="LPP50" s="1398"/>
      <c r="LPQ50" s="1398"/>
      <c r="LPR50" s="1398"/>
      <c r="LPS50" s="1398"/>
      <c r="LPT50" s="1398"/>
      <c r="LPU50" s="1398"/>
      <c r="LPV50" s="1398"/>
      <c r="LPW50" s="1398"/>
      <c r="LPX50" s="1398"/>
      <c r="LPY50" s="1398"/>
      <c r="LPZ50" s="1398"/>
      <c r="LQA50" s="1398"/>
      <c r="LQB50" s="1398"/>
      <c r="LQC50" s="1398"/>
      <c r="LQD50" s="1398"/>
      <c r="LQE50" s="1398"/>
      <c r="LQF50" s="1398"/>
      <c r="LQG50" s="1398"/>
      <c r="LQH50" s="1398"/>
      <c r="LQI50" s="1398"/>
      <c r="LQJ50" s="1398"/>
      <c r="LQK50" s="1398"/>
      <c r="LQL50" s="1398"/>
      <c r="LQM50" s="1398"/>
      <c r="LQN50" s="1398"/>
      <c r="LQO50" s="1398"/>
      <c r="LQP50" s="1398"/>
      <c r="LQQ50" s="1398"/>
      <c r="LQR50" s="1398"/>
      <c r="LQS50" s="1398"/>
      <c r="LQT50" s="1398"/>
      <c r="LQU50" s="1398"/>
      <c r="LQV50" s="1398"/>
      <c r="LQW50" s="1398"/>
      <c r="LQX50" s="1398"/>
      <c r="LQY50" s="1398"/>
      <c r="LQZ50" s="1398"/>
      <c r="LRA50" s="1398"/>
      <c r="LRB50" s="1398"/>
      <c r="LRC50" s="1398"/>
      <c r="LRD50" s="1398"/>
      <c r="LRE50" s="1398"/>
      <c r="LRF50" s="1398"/>
      <c r="LRG50" s="1398"/>
      <c r="LRH50" s="1398"/>
      <c r="LRI50" s="1398"/>
      <c r="LRJ50" s="1398"/>
      <c r="LRK50" s="1398"/>
      <c r="LRL50" s="1398"/>
      <c r="LRM50" s="1398"/>
      <c r="LRN50" s="1398"/>
      <c r="LRO50" s="1398"/>
      <c r="LRP50" s="1398"/>
      <c r="LRQ50" s="1398"/>
      <c r="LRR50" s="1398"/>
      <c r="LRS50" s="1398"/>
      <c r="LRT50" s="1398"/>
      <c r="LRU50" s="1398"/>
      <c r="LRV50" s="1398"/>
      <c r="LRW50" s="1398"/>
      <c r="LRX50" s="1398"/>
      <c r="LRY50" s="1398"/>
      <c r="LRZ50" s="1398"/>
      <c r="LSA50" s="1398"/>
      <c r="LSB50" s="1398"/>
      <c r="LSC50" s="1398"/>
      <c r="LSD50" s="1398"/>
      <c r="LSE50" s="1398"/>
      <c r="LSF50" s="1398"/>
      <c r="LSG50" s="1398"/>
      <c r="LSH50" s="1398"/>
      <c r="LSI50" s="1398"/>
      <c r="LSJ50" s="1398"/>
      <c r="LSK50" s="1398"/>
      <c r="LSL50" s="1398"/>
      <c r="LSM50" s="1398"/>
      <c r="LSN50" s="1398"/>
      <c r="LSO50" s="1398"/>
      <c r="LSP50" s="1398"/>
      <c r="LSQ50" s="1398"/>
      <c r="LSR50" s="1398"/>
      <c r="LSS50" s="1398"/>
      <c r="LST50" s="1398"/>
      <c r="LSU50" s="1398"/>
      <c r="LSV50" s="1398"/>
      <c r="LSW50" s="1398"/>
      <c r="LSX50" s="1398"/>
      <c r="LSY50" s="1398"/>
      <c r="LSZ50" s="1398"/>
      <c r="LTA50" s="1398"/>
      <c r="LTB50" s="1398"/>
      <c r="LTC50" s="1398"/>
      <c r="LTD50" s="1398"/>
      <c r="LTE50" s="1398"/>
      <c r="LTF50" s="1398"/>
      <c r="LTG50" s="1398"/>
      <c r="LTH50" s="1398"/>
      <c r="LTI50" s="1398"/>
      <c r="LTJ50" s="1398"/>
      <c r="LTK50" s="1398"/>
      <c r="LTL50" s="1398"/>
      <c r="LTM50" s="1398"/>
      <c r="LTN50" s="1398"/>
      <c r="LTO50" s="1398"/>
      <c r="LTP50" s="1398"/>
      <c r="LTQ50" s="1398"/>
      <c r="LTR50" s="1398"/>
      <c r="LTS50" s="1398"/>
      <c r="LTT50" s="1398"/>
      <c r="LTU50" s="1398"/>
      <c r="LTV50" s="1398"/>
      <c r="LTW50" s="1398"/>
      <c r="LTX50" s="1398"/>
      <c r="LTY50" s="1398"/>
      <c r="LTZ50" s="1398"/>
      <c r="LUA50" s="1398"/>
      <c r="LUB50" s="1398"/>
      <c r="LUC50" s="1398"/>
      <c r="LUD50" s="1398"/>
      <c r="LUE50" s="1398"/>
      <c r="LUF50" s="1398"/>
      <c r="LUG50" s="1398"/>
      <c r="LUH50" s="1398"/>
      <c r="LUI50" s="1398"/>
      <c r="LUJ50" s="1398"/>
      <c r="LUK50" s="1398"/>
      <c r="LUL50" s="1398"/>
      <c r="LUM50" s="1398"/>
      <c r="LUN50" s="1398"/>
      <c r="LUO50" s="1398"/>
      <c r="LUP50" s="1398"/>
      <c r="LUQ50" s="1398"/>
      <c r="LUR50" s="1398"/>
      <c r="LUS50" s="1398"/>
      <c r="LUT50" s="1398"/>
      <c r="LUU50" s="1398"/>
      <c r="LUV50" s="1398"/>
      <c r="LUW50" s="1398"/>
      <c r="LUX50" s="1398"/>
      <c r="LUY50" s="1398"/>
      <c r="LUZ50" s="1398"/>
      <c r="LVA50" s="1398"/>
      <c r="LVB50" s="1398"/>
      <c r="LVC50" s="1398"/>
      <c r="LVD50" s="1398"/>
      <c r="LVE50" s="1398"/>
      <c r="LVF50" s="1398"/>
      <c r="LVG50" s="1398"/>
      <c r="LVH50" s="1398"/>
      <c r="LVI50" s="1398"/>
      <c r="LVJ50" s="1398"/>
      <c r="LVK50" s="1398"/>
      <c r="LVL50" s="1398"/>
      <c r="LVM50" s="1398"/>
      <c r="LVN50" s="1398"/>
      <c r="LVO50" s="1398"/>
      <c r="LVP50" s="1398"/>
      <c r="LVQ50" s="1398"/>
      <c r="LVR50" s="1398"/>
      <c r="LVS50" s="1398"/>
      <c r="LVT50" s="1398"/>
      <c r="LVU50" s="1398"/>
      <c r="LVV50" s="1398"/>
      <c r="LVW50" s="1398"/>
      <c r="LVX50" s="1398"/>
      <c r="LVY50" s="1398"/>
      <c r="LVZ50" s="1398"/>
      <c r="LWA50" s="1398"/>
      <c r="LWB50" s="1398"/>
      <c r="LWC50" s="1398"/>
      <c r="LWD50" s="1398"/>
      <c r="LWE50" s="1398"/>
      <c r="LWF50" s="1398"/>
      <c r="LWG50" s="1398"/>
      <c r="LWH50" s="1398"/>
      <c r="LWI50" s="1398"/>
      <c r="LWJ50" s="1398"/>
      <c r="LWK50" s="1398"/>
      <c r="LWL50" s="1398"/>
      <c r="LWM50" s="1398"/>
      <c r="LWN50" s="1398"/>
      <c r="LWO50" s="1398"/>
      <c r="LWP50" s="1398"/>
      <c r="LWQ50" s="1398"/>
      <c r="LWR50" s="1398"/>
      <c r="LWS50" s="1398"/>
      <c r="LWT50" s="1398"/>
      <c r="LWU50" s="1398"/>
      <c r="LWV50" s="1398"/>
      <c r="LWW50" s="1398"/>
      <c r="LWX50" s="1398"/>
      <c r="LWY50" s="1398"/>
      <c r="LWZ50" s="1398"/>
      <c r="LXA50" s="1398"/>
      <c r="LXB50" s="1398"/>
      <c r="LXC50" s="1398"/>
      <c r="LXD50" s="1398"/>
      <c r="LXE50" s="1398"/>
      <c r="LXF50" s="1398"/>
      <c r="LXG50" s="1398"/>
      <c r="LXH50" s="1398"/>
      <c r="LXI50" s="1398"/>
      <c r="LXJ50" s="1398"/>
      <c r="LXK50" s="1398"/>
      <c r="LXL50" s="1398"/>
      <c r="LXM50" s="1398"/>
      <c r="LXN50" s="1398"/>
      <c r="LXO50" s="1398"/>
      <c r="LXP50" s="1398"/>
      <c r="LXQ50" s="1398"/>
      <c r="LXR50" s="1398"/>
      <c r="LXS50" s="1398"/>
      <c r="LXT50" s="1398"/>
      <c r="LXU50" s="1398"/>
      <c r="LXV50" s="1398"/>
      <c r="LXW50" s="1398"/>
      <c r="LXX50" s="1398"/>
      <c r="LXY50" s="1398"/>
      <c r="LXZ50" s="1398"/>
      <c r="LYA50" s="1398"/>
      <c r="LYB50" s="1398"/>
      <c r="LYC50" s="1398"/>
      <c r="LYD50" s="1398"/>
      <c r="LYE50" s="1398"/>
      <c r="LYF50" s="1398"/>
      <c r="LYG50" s="1398"/>
      <c r="LYH50" s="1398"/>
      <c r="LYI50" s="1398"/>
      <c r="LYJ50" s="1398"/>
      <c r="LYK50" s="1398"/>
      <c r="LYL50" s="1398"/>
      <c r="LYM50" s="1398"/>
      <c r="LYN50" s="1398"/>
      <c r="LYO50" s="1398"/>
      <c r="LYP50" s="1398"/>
      <c r="LYQ50" s="1398"/>
      <c r="LYR50" s="1398"/>
      <c r="LYS50" s="1398"/>
      <c r="LYT50" s="1398"/>
      <c r="LYU50" s="1398"/>
      <c r="LYV50" s="1398"/>
      <c r="LYW50" s="1398"/>
      <c r="LYX50" s="1398"/>
      <c r="LYY50" s="1398"/>
      <c r="LYZ50" s="1398"/>
      <c r="LZA50" s="1398"/>
      <c r="LZB50" s="1398"/>
      <c r="LZC50" s="1398"/>
      <c r="LZD50" s="1398"/>
      <c r="LZE50" s="1398"/>
      <c r="LZF50" s="1398"/>
      <c r="LZG50" s="1398"/>
      <c r="LZH50" s="1398"/>
      <c r="LZI50" s="1398"/>
      <c r="LZJ50" s="1398"/>
      <c r="LZK50" s="1398"/>
      <c r="LZL50" s="1398"/>
      <c r="LZM50" s="1398"/>
      <c r="LZN50" s="1398"/>
      <c r="LZO50" s="1398"/>
      <c r="LZP50" s="1398"/>
      <c r="LZQ50" s="1398"/>
      <c r="LZR50" s="1398"/>
      <c r="LZS50" s="1398"/>
      <c r="LZT50" s="1398"/>
      <c r="LZU50" s="1398"/>
      <c r="LZV50" s="1398"/>
      <c r="LZW50" s="1398"/>
      <c r="LZX50" s="1398"/>
      <c r="LZY50" s="1398"/>
      <c r="LZZ50" s="1398"/>
      <c r="MAA50" s="1398"/>
      <c r="MAB50" s="1398"/>
      <c r="MAC50" s="1398"/>
      <c r="MAD50" s="1398"/>
      <c r="MAE50" s="1398"/>
      <c r="MAF50" s="1398"/>
      <c r="MAG50" s="1398"/>
      <c r="MAH50" s="1398"/>
      <c r="MAI50" s="1398"/>
      <c r="MAJ50" s="1398"/>
      <c r="MAK50" s="1398"/>
      <c r="MAL50" s="1398"/>
      <c r="MAM50" s="1398"/>
      <c r="MAN50" s="1398"/>
      <c r="MAO50" s="1398"/>
      <c r="MAP50" s="1398"/>
      <c r="MAQ50" s="1398"/>
      <c r="MAR50" s="1398"/>
      <c r="MAS50" s="1398"/>
      <c r="MAT50" s="1398"/>
      <c r="MAU50" s="1398"/>
      <c r="MAV50" s="1398"/>
      <c r="MAW50" s="1398"/>
      <c r="MAX50" s="1398"/>
      <c r="MAY50" s="1398"/>
      <c r="MAZ50" s="1398"/>
      <c r="MBA50" s="1398"/>
      <c r="MBB50" s="1398"/>
      <c r="MBC50" s="1398"/>
      <c r="MBD50" s="1398"/>
      <c r="MBE50" s="1398"/>
      <c r="MBF50" s="1398"/>
      <c r="MBG50" s="1398"/>
      <c r="MBH50" s="1398"/>
      <c r="MBI50" s="1398"/>
      <c r="MBJ50" s="1398"/>
      <c r="MBK50" s="1398"/>
      <c r="MBL50" s="1398"/>
      <c r="MBM50" s="1398"/>
      <c r="MBN50" s="1398"/>
      <c r="MBO50" s="1398"/>
      <c r="MBP50" s="1398"/>
      <c r="MBQ50" s="1398"/>
      <c r="MBR50" s="1398"/>
      <c r="MBS50" s="1398"/>
      <c r="MBT50" s="1398"/>
      <c r="MBU50" s="1398"/>
      <c r="MBV50" s="1398"/>
      <c r="MBW50" s="1398"/>
      <c r="MBX50" s="1398"/>
      <c r="MBY50" s="1398"/>
      <c r="MBZ50" s="1398"/>
      <c r="MCA50" s="1398"/>
      <c r="MCB50" s="1398"/>
      <c r="MCC50" s="1398"/>
      <c r="MCD50" s="1398"/>
      <c r="MCE50" s="1398"/>
      <c r="MCF50" s="1398"/>
      <c r="MCG50" s="1398"/>
      <c r="MCH50" s="1398"/>
      <c r="MCI50" s="1398"/>
      <c r="MCJ50" s="1398"/>
      <c r="MCK50" s="1398"/>
      <c r="MCL50" s="1398"/>
      <c r="MCM50" s="1398"/>
      <c r="MCN50" s="1398"/>
      <c r="MCO50" s="1398"/>
      <c r="MCP50" s="1398"/>
      <c r="MCQ50" s="1398"/>
      <c r="MCR50" s="1398"/>
      <c r="MCS50" s="1398"/>
      <c r="MCT50" s="1398"/>
      <c r="MCU50" s="1398"/>
      <c r="MCV50" s="1398"/>
      <c r="MCW50" s="1398"/>
      <c r="MCX50" s="1398"/>
      <c r="MCY50" s="1398"/>
      <c r="MCZ50" s="1398"/>
      <c r="MDA50" s="1398"/>
      <c r="MDB50" s="1398"/>
      <c r="MDC50" s="1398"/>
      <c r="MDD50" s="1398"/>
      <c r="MDE50" s="1398"/>
      <c r="MDF50" s="1398"/>
      <c r="MDG50" s="1398"/>
      <c r="MDH50" s="1398"/>
      <c r="MDI50" s="1398"/>
      <c r="MDJ50" s="1398"/>
      <c r="MDK50" s="1398"/>
      <c r="MDL50" s="1398"/>
      <c r="MDM50" s="1398"/>
      <c r="MDN50" s="1398"/>
      <c r="MDO50" s="1398"/>
      <c r="MDP50" s="1398"/>
      <c r="MDQ50" s="1398"/>
      <c r="MDR50" s="1398"/>
      <c r="MDS50" s="1398"/>
      <c r="MDT50" s="1398"/>
      <c r="MDU50" s="1398"/>
      <c r="MDV50" s="1398"/>
      <c r="MDW50" s="1398"/>
      <c r="MDX50" s="1398"/>
      <c r="MDY50" s="1398"/>
      <c r="MDZ50" s="1398"/>
      <c r="MEA50" s="1398"/>
      <c r="MEB50" s="1398"/>
      <c r="MEC50" s="1398"/>
      <c r="MED50" s="1398"/>
      <c r="MEE50" s="1398"/>
      <c r="MEF50" s="1398"/>
      <c r="MEG50" s="1398"/>
      <c r="MEH50" s="1398"/>
      <c r="MEI50" s="1398"/>
      <c r="MEJ50" s="1398"/>
      <c r="MEK50" s="1398"/>
      <c r="MEL50" s="1398"/>
      <c r="MEM50" s="1398"/>
      <c r="MEN50" s="1398"/>
      <c r="MEO50" s="1398"/>
      <c r="MEP50" s="1398"/>
      <c r="MEQ50" s="1398"/>
      <c r="MER50" s="1398"/>
      <c r="MES50" s="1398"/>
      <c r="MET50" s="1398"/>
      <c r="MEU50" s="1398"/>
      <c r="MEV50" s="1398"/>
      <c r="MEW50" s="1398"/>
      <c r="MEX50" s="1398"/>
      <c r="MEY50" s="1398"/>
      <c r="MEZ50" s="1398"/>
      <c r="MFA50" s="1398"/>
      <c r="MFB50" s="1398"/>
      <c r="MFC50" s="1398"/>
      <c r="MFD50" s="1398"/>
      <c r="MFE50" s="1398"/>
      <c r="MFF50" s="1398"/>
      <c r="MFG50" s="1398"/>
      <c r="MFH50" s="1398"/>
      <c r="MFI50" s="1398"/>
      <c r="MFJ50" s="1398"/>
      <c r="MFK50" s="1398"/>
      <c r="MFL50" s="1398"/>
      <c r="MFM50" s="1398"/>
      <c r="MFN50" s="1398"/>
      <c r="MFO50" s="1398"/>
      <c r="MFP50" s="1398"/>
      <c r="MFQ50" s="1398"/>
      <c r="MFR50" s="1398"/>
      <c r="MFS50" s="1398"/>
      <c r="MFT50" s="1398"/>
      <c r="MFU50" s="1398"/>
      <c r="MFV50" s="1398"/>
      <c r="MFW50" s="1398"/>
      <c r="MFX50" s="1398"/>
      <c r="MFY50" s="1398"/>
      <c r="MFZ50" s="1398"/>
      <c r="MGA50" s="1398"/>
      <c r="MGB50" s="1398"/>
      <c r="MGC50" s="1398"/>
      <c r="MGD50" s="1398"/>
      <c r="MGE50" s="1398"/>
      <c r="MGF50" s="1398"/>
      <c r="MGG50" s="1398"/>
      <c r="MGH50" s="1398"/>
      <c r="MGI50" s="1398"/>
      <c r="MGJ50" s="1398"/>
      <c r="MGK50" s="1398"/>
      <c r="MGL50" s="1398"/>
      <c r="MGM50" s="1398"/>
      <c r="MGN50" s="1398"/>
      <c r="MGO50" s="1398"/>
      <c r="MGP50" s="1398"/>
      <c r="MGQ50" s="1398"/>
      <c r="MGR50" s="1398"/>
      <c r="MGS50" s="1398"/>
      <c r="MGT50" s="1398"/>
      <c r="MGU50" s="1398"/>
      <c r="MGV50" s="1398"/>
      <c r="MGW50" s="1398"/>
      <c r="MGX50" s="1398"/>
      <c r="MGY50" s="1398"/>
      <c r="MGZ50" s="1398"/>
      <c r="MHA50" s="1398"/>
      <c r="MHB50" s="1398"/>
      <c r="MHC50" s="1398"/>
      <c r="MHD50" s="1398"/>
      <c r="MHE50" s="1398"/>
      <c r="MHF50" s="1398"/>
      <c r="MHG50" s="1398"/>
      <c r="MHH50" s="1398"/>
      <c r="MHI50" s="1398"/>
      <c r="MHJ50" s="1398"/>
      <c r="MHK50" s="1398"/>
      <c r="MHL50" s="1398"/>
      <c r="MHM50" s="1398"/>
      <c r="MHN50" s="1398"/>
      <c r="MHO50" s="1398"/>
      <c r="MHP50" s="1398"/>
      <c r="MHQ50" s="1398"/>
      <c r="MHR50" s="1398"/>
      <c r="MHS50" s="1398"/>
      <c r="MHT50" s="1398"/>
      <c r="MHU50" s="1398"/>
      <c r="MHV50" s="1398"/>
      <c r="MHW50" s="1398"/>
      <c r="MHX50" s="1398"/>
      <c r="MHY50" s="1398"/>
      <c r="MHZ50" s="1398"/>
      <c r="MIA50" s="1398"/>
      <c r="MIB50" s="1398"/>
      <c r="MIC50" s="1398"/>
      <c r="MID50" s="1398"/>
      <c r="MIE50" s="1398"/>
      <c r="MIF50" s="1398"/>
      <c r="MIG50" s="1398"/>
      <c r="MIH50" s="1398"/>
      <c r="MII50" s="1398"/>
      <c r="MIJ50" s="1398"/>
      <c r="MIK50" s="1398"/>
      <c r="MIL50" s="1398"/>
      <c r="MIM50" s="1398"/>
      <c r="MIN50" s="1398"/>
      <c r="MIO50" s="1398"/>
      <c r="MIP50" s="1398"/>
      <c r="MIQ50" s="1398"/>
      <c r="MIR50" s="1398"/>
      <c r="MIS50" s="1398"/>
      <c r="MIT50" s="1398"/>
      <c r="MIU50" s="1398"/>
      <c r="MIV50" s="1398"/>
      <c r="MIW50" s="1398"/>
      <c r="MIX50" s="1398"/>
      <c r="MIY50" s="1398"/>
      <c r="MIZ50" s="1398"/>
      <c r="MJA50" s="1398"/>
      <c r="MJB50" s="1398"/>
      <c r="MJC50" s="1398"/>
      <c r="MJD50" s="1398"/>
      <c r="MJE50" s="1398"/>
      <c r="MJF50" s="1398"/>
      <c r="MJG50" s="1398"/>
      <c r="MJH50" s="1398"/>
      <c r="MJI50" s="1398"/>
      <c r="MJJ50" s="1398"/>
      <c r="MJK50" s="1398"/>
      <c r="MJL50" s="1398"/>
      <c r="MJM50" s="1398"/>
      <c r="MJN50" s="1398"/>
      <c r="MJO50" s="1398"/>
      <c r="MJP50" s="1398"/>
      <c r="MJQ50" s="1398"/>
      <c r="MJR50" s="1398"/>
      <c r="MJS50" s="1398"/>
      <c r="MJT50" s="1398"/>
      <c r="MJU50" s="1398"/>
      <c r="MJV50" s="1398"/>
      <c r="MJW50" s="1398"/>
      <c r="MJX50" s="1398"/>
      <c r="MJY50" s="1398"/>
      <c r="MJZ50" s="1398"/>
      <c r="MKA50" s="1398"/>
      <c r="MKB50" s="1398"/>
      <c r="MKC50" s="1398"/>
      <c r="MKD50" s="1398"/>
      <c r="MKE50" s="1398"/>
      <c r="MKF50" s="1398"/>
      <c r="MKG50" s="1398"/>
      <c r="MKH50" s="1398"/>
      <c r="MKI50" s="1398"/>
      <c r="MKJ50" s="1398"/>
      <c r="MKK50" s="1398"/>
      <c r="MKL50" s="1398"/>
      <c r="MKM50" s="1398"/>
      <c r="MKN50" s="1398"/>
      <c r="MKO50" s="1398"/>
      <c r="MKP50" s="1398"/>
      <c r="MKQ50" s="1398"/>
      <c r="MKR50" s="1398"/>
      <c r="MKS50" s="1398"/>
      <c r="MKT50" s="1398"/>
      <c r="MKU50" s="1398"/>
      <c r="MKV50" s="1398"/>
      <c r="MKW50" s="1398"/>
      <c r="MKX50" s="1398"/>
      <c r="MKY50" s="1398"/>
      <c r="MKZ50" s="1398"/>
      <c r="MLA50" s="1398"/>
      <c r="MLB50" s="1398"/>
      <c r="MLC50" s="1398"/>
      <c r="MLD50" s="1398"/>
      <c r="MLE50" s="1398"/>
      <c r="MLF50" s="1398"/>
      <c r="MLG50" s="1398"/>
      <c r="MLH50" s="1398"/>
      <c r="MLI50" s="1398"/>
      <c r="MLJ50" s="1398"/>
      <c r="MLK50" s="1398"/>
      <c r="MLL50" s="1398"/>
      <c r="MLM50" s="1398"/>
      <c r="MLN50" s="1398"/>
      <c r="MLO50" s="1398"/>
      <c r="MLP50" s="1398"/>
      <c r="MLQ50" s="1398"/>
      <c r="MLR50" s="1398"/>
      <c r="MLS50" s="1398"/>
      <c r="MLT50" s="1398"/>
      <c r="MLU50" s="1398"/>
      <c r="MLV50" s="1398"/>
      <c r="MLW50" s="1398"/>
      <c r="MLX50" s="1398"/>
      <c r="MLY50" s="1398"/>
      <c r="MLZ50" s="1398"/>
      <c r="MMA50" s="1398"/>
      <c r="MMB50" s="1398"/>
      <c r="MMC50" s="1398"/>
      <c r="MMD50" s="1398"/>
      <c r="MME50" s="1398"/>
      <c r="MMF50" s="1398"/>
      <c r="MMG50" s="1398"/>
      <c r="MMH50" s="1398"/>
      <c r="MMI50" s="1398"/>
      <c r="MMJ50" s="1398"/>
      <c r="MMK50" s="1398"/>
      <c r="MML50" s="1398"/>
      <c r="MMM50" s="1398"/>
      <c r="MMN50" s="1398"/>
      <c r="MMO50" s="1398"/>
      <c r="MMP50" s="1398"/>
      <c r="MMQ50" s="1398"/>
      <c r="MMR50" s="1398"/>
      <c r="MMS50" s="1398"/>
      <c r="MMT50" s="1398"/>
      <c r="MMU50" s="1398"/>
      <c r="MMV50" s="1398"/>
      <c r="MMW50" s="1398"/>
      <c r="MMX50" s="1398"/>
      <c r="MMY50" s="1398"/>
      <c r="MMZ50" s="1398"/>
      <c r="MNA50" s="1398"/>
      <c r="MNB50" s="1398"/>
      <c r="MNC50" s="1398"/>
      <c r="MND50" s="1398"/>
      <c r="MNE50" s="1398"/>
      <c r="MNF50" s="1398"/>
      <c r="MNG50" s="1398"/>
      <c r="MNH50" s="1398"/>
      <c r="MNI50" s="1398"/>
      <c r="MNJ50" s="1398"/>
      <c r="MNK50" s="1398"/>
      <c r="MNL50" s="1398"/>
      <c r="MNM50" s="1398"/>
      <c r="MNN50" s="1398"/>
      <c r="MNO50" s="1398"/>
      <c r="MNP50" s="1398"/>
      <c r="MNQ50" s="1398"/>
      <c r="MNR50" s="1398"/>
      <c r="MNS50" s="1398"/>
      <c r="MNT50" s="1398"/>
      <c r="MNU50" s="1398"/>
      <c r="MNV50" s="1398"/>
      <c r="MNW50" s="1398"/>
      <c r="MNX50" s="1398"/>
      <c r="MNY50" s="1398"/>
      <c r="MNZ50" s="1398"/>
      <c r="MOA50" s="1398"/>
      <c r="MOB50" s="1398"/>
      <c r="MOC50" s="1398"/>
      <c r="MOD50" s="1398"/>
      <c r="MOE50" s="1398"/>
      <c r="MOF50" s="1398"/>
      <c r="MOG50" s="1398"/>
      <c r="MOH50" s="1398"/>
      <c r="MOI50" s="1398"/>
      <c r="MOJ50" s="1398"/>
      <c r="MOK50" s="1398"/>
      <c r="MOL50" s="1398"/>
      <c r="MOM50" s="1398"/>
      <c r="MON50" s="1398"/>
      <c r="MOO50" s="1398"/>
      <c r="MOP50" s="1398"/>
      <c r="MOQ50" s="1398"/>
      <c r="MOR50" s="1398"/>
      <c r="MOS50" s="1398"/>
      <c r="MOT50" s="1398"/>
      <c r="MOU50" s="1398"/>
      <c r="MOV50" s="1398"/>
      <c r="MOW50" s="1398"/>
      <c r="MOX50" s="1398"/>
      <c r="MOY50" s="1398"/>
      <c r="MOZ50" s="1398"/>
      <c r="MPA50" s="1398"/>
      <c r="MPB50" s="1398"/>
      <c r="MPC50" s="1398"/>
      <c r="MPD50" s="1398"/>
      <c r="MPE50" s="1398"/>
      <c r="MPF50" s="1398"/>
      <c r="MPG50" s="1398"/>
      <c r="MPH50" s="1398"/>
      <c r="MPI50" s="1398"/>
      <c r="MPJ50" s="1398"/>
      <c r="MPK50" s="1398"/>
      <c r="MPL50" s="1398"/>
      <c r="MPM50" s="1398"/>
      <c r="MPN50" s="1398"/>
      <c r="MPO50" s="1398"/>
      <c r="MPP50" s="1398"/>
      <c r="MPQ50" s="1398"/>
      <c r="MPR50" s="1398"/>
      <c r="MPS50" s="1398"/>
      <c r="MPT50" s="1398"/>
      <c r="MPU50" s="1398"/>
      <c r="MPV50" s="1398"/>
      <c r="MPW50" s="1398"/>
      <c r="MPX50" s="1398"/>
      <c r="MPY50" s="1398"/>
      <c r="MPZ50" s="1398"/>
      <c r="MQA50" s="1398"/>
      <c r="MQB50" s="1398"/>
      <c r="MQC50" s="1398"/>
      <c r="MQD50" s="1398"/>
      <c r="MQE50" s="1398"/>
      <c r="MQF50" s="1398"/>
      <c r="MQG50" s="1398"/>
      <c r="MQH50" s="1398"/>
      <c r="MQI50" s="1398"/>
      <c r="MQJ50" s="1398"/>
      <c r="MQK50" s="1398"/>
      <c r="MQL50" s="1398"/>
      <c r="MQM50" s="1398"/>
      <c r="MQN50" s="1398"/>
      <c r="MQO50" s="1398"/>
      <c r="MQP50" s="1398"/>
      <c r="MQQ50" s="1398"/>
      <c r="MQR50" s="1398"/>
      <c r="MQS50" s="1398"/>
      <c r="MQT50" s="1398"/>
      <c r="MQU50" s="1398"/>
      <c r="MQV50" s="1398"/>
      <c r="MQW50" s="1398"/>
      <c r="MQX50" s="1398"/>
      <c r="MQY50" s="1398"/>
      <c r="MQZ50" s="1398"/>
      <c r="MRA50" s="1398"/>
      <c r="MRB50" s="1398"/>
      <c r="MRC50" s="1398"/>
      <c r="MRD50" s="1398"/>
      <c r="MRE50" s="1398"/>
      <c r="MRF50" s="1398"/>
      <c r="MRG50" s="1398"/>
      <c r="MRH50" s="1398"/>
      <c r="MRI50" s="1398"/>
      <c r="MRJ50" s="1398"/>
      <c r="MRK50" s="1398"/>
      <c r="MRL50" s="1398"/>
      <c r="MRM50" s="1398"/>
      <c r="MRN50" s="1398"/>
      <c r="MRO50" s="1398"/>
      <c r="MRP50" s="1398"/>
      <c r="MRQ50" s="1398"/>
      <c r="MRR50" s="1398"/>
      <c r="MRS50" s="1398"/>
      <c r="MRT50" s="1398"/>
      <c r="MRU50" s="1398"/>
      <c r="MRV50" s="1398"/>
      <c r="MRW50" s="1398"/>
      <c r="MRX50" s="1398"/>
      <c r="MRY50" s="1398"/>
      <c r="MRZ50" s="1398"/>
      <c r="MSA50" s="1398"/>
      <c r="MSB50" s="1398"/>
      <c r="MSC50" s="1398"/>
      <c r="MSD50" s="1398"/>
      <c r="MSE50" s="1398"/>
      <c r="MSF50" s="1398"/>
      <c r="MSG50" s="1398"/>
      <c r="MSH50" s="1398"/>
      <c r="MSI50" s="1398"/>
      <c r="MSJ50" s="1398"/>
      <c r="MSK50" s="1398"/>
      <c r="MSL50" s="1398"/>
      <c r="MSM50" s="1398"/>
      <c r="MSN50" s="1398"/>
      <c r="MSO50" s="1398"/>
      <c r="MSP50" s="1398"/>
      <c r="MSQ50" s="1398"/>
      <c r="MSR50" s="1398"/>
      <c r="MSS50" s="1398"/>
      <c r="MST50" s="1398"/>
      <c r="MSU50" s="1398"/>
      <c r="MSV50" s="1398"/>
      <c r="MSW50" s="1398"/>
      <c r="MSX50" s="1398"/>
      <c r="MSY50" s="1398"/>
      <c r="MSZ50" s="1398"/>
      <c r="MTA50" s="1398"/>
      <c r="MTB50" s="1398"/>
      <c r="MTC50" s="1398"/>
      <c r="MTD50" s="1398"/>
      <c r="MTE50" s="1398"/>
      <c r="MTF50" s="1398"/>
      <c r="MTG50" s="1398"/>
      <c r="MTH50" s="1398"/>
      <c r="MTI50" s="1398"/>
      <c r="MTJ50" s="1398"/>
      <c r="MTK50" s="1398"/>
      <c r="MTL50" s="1398"/>
      <c r="MTM50" s="1398"/>
      <c r="MTN50" s="1398"/>
      <c r="MTO50" s="1398"/>
      <c r="MTP50" s="1398"/>
      <c r="MTQ50" s="1398"/>
      <c r="MTR50" s="1398"/>
      <c r="MTS50" s="1398"/>
      <c r="MTT50" s="1398"/>
      <c r="MTU50" s="1398"/>
      <c r="MTV50" s="1398"/>
      <c r="MTW50" s="1398"/>
      <c r="MTX50" s="1398"/>
      <c r="MTY50" s="1398"/>
      <c r="MTZ50" s="1398"/>
      <c r="MUA50" s="1398"/>
      <c r="MUB50" s="1398"/>
      <c r="MUC50" s="1398"/>
      <c r="MUD50" s="1398"/>
      <c r="MUE50" s="1398"/>
      <c r="MUF50" s="1398"/>
      <c r="MUG50" s="1398"/>
      <c r="MUH50" s="1398"/>
      <c r="MUI50" s="1398"/>
      <c r="MUJ50" s="1398"/>
      <c r="MUK50" s="1398"/>
      <c r="MUL50" s="1398"/>
      <c r="MUM50" s="1398"/>
      <c r="MUN50" s="1398"/>
      <c r="MUO50" s="1398"/>
      <c r="MUP50" s="1398"/>
      <c r="MUQ50" s="1398"/>
      <c r="MUR50" s="1398"/>
      <c r="MUS50" s="1398"/>
      <c r="MUT50" s="1398"/>
      <c r="MUU50" s="1398"/>
      <c r="MUV50" s="1398"/>
      <c r="MUW50" s="1398"/>
      <c r="MUX50" s="1398"/>
      <c r="MUY50" s="1398"/>
      <c r="MUZ50" s="1398"/>
      <c r="MVA50" s="1398"/>
      <c r="MVB50" s="1398"/>
      <c r="MVC50" s="1398"/>
      <c r="MVD50" s="1398"/>
      <c r="MVE50" s="1398"/>
      <c r="MVF50" s="1398"/>
      <c r="MVG50" s="1398"/>
      <c r="MVH50" s="1398"/>
      <c r="MVI50" s="1398"/>
      <c r="MVJ50" s="1398"/>
      <c r="MVK50" s="1398"/>
      <c r="MVL50" s="1398"/>
      <c r="MVM50" s="1398"/>
      <c r="MVN50" s="1398"/>
      <c r="MVO50" s="1398"/>
      <c r="MVP50" s="1398"/>
      <c r="MVQ50" s="1398"/>
      <c r="MVR50" s="1398"/>
      <c r="MVS50" s="1398"/>
      <c r="MVT50" s="1398"/>
      <c r="MVU50" s="1398"/>
      <c r="MVV50" s="1398"/>
      <c r="MVW50" s="1398"/>
      <c r="MVX50" s="1398"/>
      <c r="MVY50" s="1398"/>
      <c r="MVZ50" s="1398"/>
      <c r="MWA50" s="1398"/>
      <c r="MWB50" s="1398"/>
      <c r="MWC50" s="1398"/>
      <c r="MWD50" s="1398"/>
      <c r="MWE50" s="1398"/>
      <c r="MWF50" s="1398"/>
      <c r="MWG50" s="1398"/>
      <c r="MWH50" s="1398"/>
      <c r="MWI50" s="1398"/>
      <c r="MWJ50" s="1398"/>
      <c r="MWK50" s="1398"/>
      <c r="MWL50" s="1398"/>
      <c r="MWM50" s="1398"/>
      <c r="MWN50" s="1398"/>
      <c r="MWO50" s="1398"/>
      <c r="MWP50" s="1398"/>
      <c r="MWQ50" s="1398"/>
      <c r="MWR50" s="1398"/>
      <c r="MWS50" s="1398"/>
      <c r="MWT50" s="1398"/>
      <c r="MWU50" s="1398"/>
      <c r="MWV50" s="1398"/>
      <c r="MWW50" s="1398"/>
      <c r="MWX50" s="1398"/>
      <c r="MWY50" s="1398"/>
      <c r="MWZ50" s="1398"/>
      <c r="MXA50" s="1398"/>
      <c r="MXB50" s="1398"/>
      <c r="MXC50" s="1398"/>
      <c r="MXD50" s="1398"/>
      <c r="MXE50" s="1398"/>
      <c r="MXF50" s="1398"/>
      <c r="MXG50" s="1398"/>
      <c r="MXH50" s="1398"/>
      <c r="MXI50" s="1398"/>
      <c r="MXJ50" s="1398"/>
      <c r="MXK50" s="1398"/>
      <c r="MXL50" s="1398"/>
      <c r="MXM50" s="1398"/>
      <c r="MXN50" s="1398"/>
      <c r="MXO50" s="1398"/>
      <c r="MXP50" s="1398"/>
      <c r="MXQ50" s="1398"/>
      <c r="MXR50" s="1398"/>
      <c r="MXS50" s="1398"/>
      <c r="MXT50" s="1398"/>
      <c r="MXU50" s="1398"/>
      <c r="MXV50" s="1398"/>
      <c r="MXW50" s="1398"/>
      <c r="MXX50" s="1398"/>
      <c r="MXY50" s="1398"/>
      <c r="MXZ50" s="1398"/>
      <c r="MYA50" s="1398"/>
      <c r="MYB50" s="1398"/>
      <c r="MYC50" s="1398"/>
      <c r="MYD50" s="1398"/>
      <c r="MYE50" s="1398"/>
      <c r="MYF50" s="1398"/>
      <c r="MYG50" s="1398"/>
      <c r="MYH50" s="1398"/>
      <c r="MYI50" s="1398"/>
      <c r="MYJ50" s="1398"/>
      <c r="MYK50" s="1398"/>
      <c r="MYL50" s="1398"/>
      <c r="MYM50" s="1398"/>
      <c r="MYN50" s="1398"/>
      <c r="MYO50" s="1398"/>
      <c r="MYP50" s="1398"/>
      <c r="MYQ50" s="1398"/>
      <c r="MYR50" s="1398"/>
      <c r="MYS50" s="1398"/>
      <c r="MYT50" s="1398"/>
      <c r="MYU50" s="1398"/>
      <c r="MYV50" s="1398"/>
      <c r="MYW50" s="1398"/>
      <c r="MYX50" s="1398"/>
      <c r="MYY50" s="1398"/>
      <c r="MYZ50" s="1398"/>
      <c r="MZA50" s="1398"/>
      <c r="MZB50" s="1398"/>
      <c r="MZC50" s="1398"/>
      <c r="MZD50" s="1398"/>
      <c r="MZE50" s="1398"/>
      <c r="MZF50" s="1398"/>
      <c r="MZG50" s="1398"/>
      <c r="MZH50" s="1398"/>
      <c r="MZI50" s="1398"/>
      <c r="MZJ50" s="1398"/>
      <c r="MZK50" s="1398"/>
      <c r="MZL50" s="1398"/>
      <c r="MZM50" s="1398"/>
      <c r="MZN50" s="1398"/>
      <c r="MZO50" s="1398"/>
      <c r="MZP50" s="1398"/>
      <c r="MZQ50" s="1398"/>
      <c r="MZR50" s="1398"/>
      <c r="MZS50" s="1398"/>
      <c r="MZT50" s="1398"/>
      <c r="MZU50" s="1398"/>
      <c r="MZV50" s="1398"/>
      <c r="MZW50" s="1398"/>
      <c r="MZX50" s="1398"/>
      <c r="MZY50" s="1398"/>
      <c r="MZZ50" s="1398"/>
      <c r="NAA50" s="1398"/>
      <c r="NAB50" s="1398"/>
      <c r="NAC50" s="1398"/>
      <c r="NAD50" s="1398"/>
      <c r="NAE50" s="1398"/>
      <c r="NAF50" s="1398"/>
      <c r="NAG50" s="1398"/>
      <c r="NAH50" s="1398"/>
      <c r="NAI50" s="1398"/>
      <c r="NAJ50" s="1398"/>
      <c r="NAK50" s="1398"/>
      <c r="NAL50" s="1398"/>
      <c r="NAM50" s="1398"/>
      <c r="NAN50" s="1398"/>
      <c r="NAO50" s="1398"/>
      <c r="NAP50" s="1398"/>
      <c r="NAQ50" s="1398"/>
      <c r="NAR50" s="1398"/>
      <c r="NAS50" s="1398"/>
      <c r="NAT50" s="1398"/>
      <c r="NAU50" s="1398"/>
      <c r="NAV50" s="1398"/>
      <c r="NAW50" s="1398"/>
      <c r="NAX50" s="1398"/>
      <c r="NAY50" s="1398"/>
      <c r="NAZ50" s="1398"/>
      <c r="NBA50" s="1398"/>
      <c r="NBB50" s="1398"/>
      <c r="NBC50" s="1398"/>
      <c r="NBD50" s="1398"/>
      <c r="NBE50" s="1398"/>
      <c r="NBF50" s="1398"/>
      <c r="NBG50" s="1398"/>
      <c r="NBH50" s="1398"/>
      <c r="NBI50" s="1398"/>
      <c r="NBJ50" s="1398"/>
      <c r="NBK50" s="1398"/>
      <c r="NBL50" s="1398"/>
      <c r="NBM50" s="1398"/>
      <c r="NBN50" s="1398"/>
      <c r="NBO50" s="1398"/>
      <c r="NBP50" s="1398"/>
      <c r="NBQ50" s="1398"/>
      <c r="NBR50" s="1398"/>
      <c r="NBS50" s="1398"/>
      <c r="NBT50" s="1398"/>
      <c r="NBU50" s="1398"/>
      <c r="NBV50" s="1398"/>
      <c r="NBW50" s="1398"/>
      <c r="NBX50" s="1398"/>
      <c r="NBY50" s="1398"/>
      <c r="NBZ50" s="1398"/>
      <c r="NCA50" s="1398"/>
      <c r="NCB50" s="1398"/>
      <c r="NCC50" s="1398"/>
      <c r="NCD50" s="1398"/>
      <c r="NCE50" s="1398"/>
      <c r="NCF50" s="1398"/>
      <c r="NCG50" s="1398"/>
      <c r="NCH50" s="1398"/>
      <c r="NCI50" s="1398"/>
      <c r="NCJ50" s="1398"/>
      <c r="NCK50" s="1398"/>
      <c r="NCL50" s="1398"/>
      <c r="NCM50" s="1398"/>
      <c r="NCN50" s="1398"/>
      <c r="NCO50" s="1398"/>
      <c r="NCP50" s="1398"/>
      <c r="NCQ50" s="1398"/>
      <c r="NCR50" s="1398"/>
      <c r="NCS50" s="1398"/>
      <c r="NCT50" s="1398"/>
      <c r="NCU50" s="1398"/>
      <c r="NCV50" s="1398"/>
      <c r="NCW50" s="1398"/>
      <c r="NCX50" s="1398"/>
      <c r="NCY50" s="1398"/>
      <c r="NCZ50" s="1398"/>
      <c r="NDA50" s="1398"/>
      <c r="NDB50" s="1398"/>
      <c r="NDC50" s="1398"/>
      <c r="NDD50" s="1398"/>
      <c r="NDE50" s="1398"/>
      <c r="NDF50" s="1398"/>
      <c r="NDG50" s="1398"/>
      <c r="NDH50" s="1398"/>
      <c r="NDI50" s="1398"/>
      <c r="NDJ50" s="1398"/>
      <c r="NDK50" s="1398"/>
      <c r="NDL50" s="1398"/>
      <c r="NDM50" s="1398"/>
      <c r="NDN50" s="1398"/>
      <c r="NDO50" s="1398"/>
      <c r="NDP50" s="1398"/>
      <c r="NDQ50" s="1398"/>
      <c r="NDR50" s="1398"/>
      <c r="NDS50" s="1398"/>
      <c r="NDT50" s="1398"/>
      <c r="NDU50" s="1398"/>
      <c r="NDV50" s="1398"/>
      <c r="NDW50" s="1398"/>
      <c r="NDX50" s="1398"/>
      <c r="NDY50" s="1398"/>
      <c r="NDZ50" s="1398"/>
      <c r="NEA50" s="1398"/>
      <c r="NEB50" s="1398"/>
      <c r="NEC50" s="1398"/>
      <c r="NED50" s="1398"/>
      <c r="NEE50" s="1398"/>
      <c r="NEF50" s="1398"/>
      <c r="NEG50" s="1398"/>
      <c r="NEH50" s="1398"/>
      <c r="NEI50" s="1398"/>
      <c r="NEJ50" s="1398"/>
      <c r="NEK50" s="1398"/>
      <c r="NEL50" s="1398"/>
      <c r="NEM50" s="1398"/>
      <c r="NEN50" s="1398"/>
      <c r="NEO50" s="1398"/>
      <c r="NEP50" s="1398"/>
      <c r="NEQ50" s="1398"/>
      <c r="NER50" s="1398"/>
      <c r="NES50" s="1398"/>
      <c r="NET50" s="1398"/>
      <c r="NEU50" s="1398"/>
      <c r="NEV50" s="1398"/>
      <c r="NEW50" s="1398"/>
      <c r="NEX50" s="1398"/>
      <c r="NEY50" s="1398"/>
      <c r="NEZ50" s="1398"/>
      <c r="NFA50" s="1398"/>
      <c r="NFB50" s="1398"/>
      <c r="NFC50" s="1398"/>
      <c r="NFD50" s="1398"/>
      <c r="NFE50" s="1398"/>
      <c r="NFF50" s="1398"/>
      <c r="NFG50" s="1398"/>
      <c r="NFH50" s="1398"/>
      <c r="NFI50" s="1398"/>
      <c r="NFJ50" s="1398"/>
      <c r="NFK50" s="1398"/>
      <c r="NFL50" s="1398"/>
      <c r="NFM50" s="1398"/>
      <c r="NFN50" s="1398"/>
      <c r="NFO50" s="1398"/>
      <c r="NFP50" s="1398"/>
      <c r="NFQ50" s="1398"/>
      <c r="NFR50" s="1398"/>
      <c r="NFS50" s="1398"/>
      <c r="NFT50" s="1398"/>
      <c r="NFU50" s="1398"/>
      <c r="NFV50" s="1398"/>
      <c r="NFW50" s="1398"/>
      <c r="NFX50" s="1398"/>
      <c r="NFY50" s="1398"/>
      <c r="NFZ50" s="1398"/>
      <c r="NGA50" s="1398"/>
      <c r="NGB50" s="1398"/>
      <c r="NGC50" s="1398"/>
      <c r="NGD50" s="1398"/>
      <c r="NGE50" s="1398"/>
      <c r="NGF50" s="1398"/>
      <c r="NGG50" s="1398"/>
      <c r="NGH50" s="1398"/>
      <c r="NGI50" s="1398"/>
      <c r="NGJ50" s="1398"/>
      <c r="NGK50" s="1398"/>
      <c r="NGL50" s="1398"/>
      <c r="NGM50" s="1398"/>
      <c r="NGN50" s="1398"/>
      <c r="NGO50" s="1398"/>
      <c r="NGP50" s="1398"/>
      <c r="NGQ50" s="1398"/>
      <c r="NGR50" s="1398"/>
      <c r="NGS50" s="1398"/>
      <c r="NGT50" s="1398"/>
      <c r="NGU50" s="1398"/>
      <c r="NGV50" s="1398"/>
      <c r="NGW50" s="1398"/>
      <c r="NGX50" s="1398"/>
      <c r="NGY50" s="1398"/>
      <c r="NGZ50" s="1398"/>
      <c r="NHA50" s="1398"/>
      <c r="NHB50" s="1398"/>
      <c r="NHC50" s="1398"/>
      <c r="NHD50" s="1398"/>
      <c r="NHE50" s="1398"/>
      <c r="NHF50" s="1398"/>
      <c r="NHG50" s="1398"/>
      <c r="NHH50" s="1398"/>
      <c r="NHI50" s="1398"/>
      <c r="NHJ50" s="1398"/>
      <c r="NHK50" s="1398"/>
      <c r="NHL50" s="1398"/>
      <c r="NHM50" s="1398"/>
      <c r="NHN50" s="1398"/>
      <c r="NHO50" s="1398"/>
      <c r="NHP50" s="1398"/>
      <c r="NHQ50" s="1398"/>
      <c r="NHR50" s="1398"/>
      <c r="NHS50" s="1398"/>
      <c r="NHT50" s="1398"/>
      <c r="NHU50" s="1398"/>
      <c r="NHV50" s="1398"/>
      <c r="NHW50" s="1398"/>
      <c r="NHX50" s="1398"/>
      <c r="NHY50" s="1398"/>
      <c r="NHZ50" s="1398"/>
      <c r="NIA50" s="1398"/>
      <c r="NIB50" s="1398"/>
      <c r="NIC50" s="1398"/>
      <c r="NID50" s="1398"/>
      <c r="NIE50" s="1398"/>
      <c r="NIF50" s="1398"/>
      <c r="NIG50" s="1398"/>
      <c r="NIH50" s="1398"/>
      <c r="NII50" s="1398"/>
      <c r="NIJ50" s="1398"/>
      <c r="NIK50" s="1398"/>
      <c r="NIL50" s="1398"/>
      <c r="NIM50" s="1398"/>
      <c r="NIN50" s="1398"/>
      <c r="NIO50" s="1398"/>
      <c r="NIP50" s="1398"/>
      <c r="NIQ50" s="1398"/>
      <c r="NIR50" s="1398"/>
      <c r="NIS50" s="1398"/>
      <c r="NIT50" s="1398"/>
      <c r="NIU50" s="1398"/>
      <c r="NIV50" s="1398"/>
      <c r="NIW50" s="1398"/>
      <c r="NIX50" s="1398"/>
      <c r="NIY50" s="1398"/>
      <c r="NIZ50" s="1398"/>
      <c r="NJA50" s="1398"/>
      <c r="NJB50" s="1398"/>
      <c r="NJC50" s="1398"/>
      <c r="NJD50" s="1398"/>
      <c r="NJE50" s="1398"/>
      <c r="NJF50" s="1398"/>
      <c r="NJG50" s="1398"/>
      <c r="NJH50" s="1398"/>
      <c r="NJI50" s="1398"/>
      <c r="NJJ50" s="1398"/>
      <c r="NJK50" s="1398"/>
      <c r="NJL50" s="1398"/>
      <c r="NJM50" s="1398"/>
      <c r="NJN50" s="1398"/>
      <c r="NJO50" s="1398"/>
      <c r="NJP50" s="1398"/>
      <c r="NJQ50" s="1398"/>
      <c r="NJR50" s="1398"/>
      <c r="NJS50" s="1398"/>
      <c r="NJT50" s="1398"/>
      <c r="NJU50" s="1398"/>
      <c r="NJV50" s="1398"/>
      <c r="NJW50" s="1398"/>
      <c r="NJX50" s="1398"/>
      <c r="NJY50" s="1398"/>
      <c r="NJZ50" s="1398"/>
      <c r="NKA50" s="1398"/>
      <c r="NKB50" s="1398"/>
      <c r="NKC50" s="1398"/>
      <c r="NKD50" s="1398"/>
      <c r="NKE50" s="1398"/>
      <c r="NKF50" s="1398"/>
      <c r="NKG50" s="1398"/>
      <c r="NKH50" s="1398"/>
      <c r="NKI50" s="1398"/>
      <c r="NKJ50" s="1398"/>
      <c r="NKK50" s="1398"/>
      <c r="NKL50" s="1398"/>
      <c r="NKM50" s="1398"/>
      <c r="NKN50" s="1398"/>
      <c r="NKO50" s="1398"/>
      <c r="NKP50" s="1398"/>
      <c r="NKQ50" s="1398"/>
      <c r="NKR50" s="1398"/>
      <c r="NKS50" s="1398"/>
      <c r="NKT50" s="1398"/>
      <c r="NKU50" s="1398"/>
      <c r="NKV50" s="1398"/>
      <c r="NKW50" s="1398"/>
      <c r="NKX50" s="1398"/>
      <c r="NKY50" s="1398"/>
      <c r="NKZ50" s="1398"/>
      <c r="NLA50" s="1398"/>
      <c r="NLB50" s="1398"/>
      <c r="NLC50" s="1398"/>
      <c r="NLD50" s="1398"/>
      <c r="NLE50" s="1398"/>
      <c r="NLF50" s="1398"/>
      <c r="NLG50" s="1398"/>
      <c r="NLH50" s="1398"/>
      <c r="NLI50" s="1398"/>
      <c r="NLJ50" s="1398"/>
      <c r="NLK50" s="1398"/>
      <c r="NLL50" s="1398"/>
      <c r="NLM50" s="1398"/>
      <c r="NLN50" s="1398"/>
      <c r="NLO50" s="1398"/>
      <c r="NLP50" s="1398"/>
      <c r="NLQ50" s="1398"/>
      <c r="NLR50" s="1398"/>
      <c r="NLS50" s="1398"/>
      <c r="NLT50" s="1398"/>
      <c r="NLU50" s="1398"/>
      <c r="NLV50" s="1398"/>
      <c r="NLW50" s="1398"/>
      <c r="NLX50" s="1398"/>
      <c r="NLY50" s="1398"/>
      <c r="NLZ50" s="1398"/>
      <c r="NMA50" s="1398"/>
      <c r="NMB50" s="1398"/>
      <c r="NMC50" s="1398"/>
      <c r="NMD50" s="1398"/>
      <c r="NME50" s="1398"/>
      <c r="NMF50" s="1398"/>
      <c r="NMG50" s="1398"/>
      <c r="NMH50" s="1398"/>
      <c r="NMI50" s="1398"/>
      <c r="NMJ50" s="1398"/>
      <c r="NMK50" s="1398"/>
      <c r="NML50" s="1398"/>
      <c r="NMM50" s="1398"/>
      <c r="NMN50" s="1398"/>
      <c r="NMO50" s="1398"/>
      <c r="NMP50" s="1398"/>
      <c r="NMQ50" s="1398"/>
      <c r="NMR50" s="1398"/>
      <c r="NMS50" s="1398"/>
      <c r="NMT50" s="1398"/>
      <c r="NMU50" s="1398"/>
      <c r="NMV50" s="1398"/>
      <c r="NMW50" s="1398"/>
      <c r="NMX50" s="1398"/>
      <c r="NMY50" s="1398"/>
      <c r="NMZ50" s="1398"/>
      <c r="NNA50" s="1398"/>
      <c r="NNB50" s="1398"/>
      <c r="NNC50" s="1398"/>
      <c r="NND50" s="1398"/>
      <c r="NNE50" s="1398"/>
      <c r="NNF50" s="1398"/>
      <c r="NNG50" s="1398"/>
      <c r="NNH50" s="1398"/>
      <c r="NNI50" s="1398"/>
      <c r="NNJ50" s="1398"/>
      <c r="NNK50" s="1398"/>
      <c r="NNL50" s="1398"/>
      <c r="NNM50" s="1398"/>
      <c r="NNN50" s="1398"/>
      <c r="NNO50" s="1398"/>
      <c r="NNP50" s="1398"/>
      <c r="NNQ50" s="1398"/>
      <c r="NNR50" s="1398"/>
      <c r="NNS50" s="1398"/>
      <c r="NNT50" s="1398"/>
      <c r="NNU50" s="1398"/>
      <c r="NNV50" s="1398"/>
      <c r="NNW50" s="1398"/>
      <c r="NNX50" s="1398"/>
      <c r="NNY50" s="1398"/>
      <c r="NNZ50" s="1398"/>
      <c r="NOA50" s="1398"/>
      <c r="NOB50" s="1398"/>
      <c r="NOC50" s="1398"/>
      <c r="NOD50" s="1398"/>
      <c r="NOE50" s="1398"/>
      <c r="NOF50" s="1398"/>
      <c r="NOG50" s="1398"/>
      <c r="NOH50" s="1398"/>
      <c r="NOI50" s="1398"/>
      <c r="NOJ50" s="1398"/>
      <c r="NOK50" s="1398"/>
      <c r="NOL50" s="1398"/>
      <c r="NOM50" s="1398"/>
      <c r="NON50" s="1398"/>
      <c r="NOO50" s="1398"/>
      <c r="NOP50" s="1398"/>
      <c r="NOQ50" s="1398"/>
      <c r="NOR50" s="1398"/>
      <c r="NOS50" s="1398"/>
      <c r="NOT50" s="1398"/>
      <c r="NOU50" s="1398"/>
      <c r="NOV50" s="1398"/>
      <c r="NOW50" s="1398"/>
      <c r="NOX50" s="1398"/>
      <c r="NOY50" s="1398"/>
      <c r="NOZ50" s="1398"/>
      <c r="NPA50" s="1398"/>
      <c r="NPB50" s="1398"/>
      <c r="NPC50" s="1398"/>
      <c r="NPD50" s="1398"/>
      <c r="NPE50" s="1398"/>
      <c r="NPF50" s="1398"/>
      <c r="NPG50" s="1398"/>
      <c r="NPH50" s="1398"/>
      <c r="NPI50" s="1398"/>
      <c r="NPJ50" s="1398"/>
      <c r="NPK50" s="1398"/>
      <c r="NPL50" s="1398"/>
      <c r="NPM50" s="1398"/>
      <c r="NPN50" s="1398"/>
      <c r="NPO50" s="1398"/>
      <c r="NPP50" s="1398"/>
      <c r="NPQ50" s="1398"/>
      <c r="NPR50" s="1398"/>
      <c r="NPS50" s="1398"/>
      <c r="NPT50" s="1398"/>
      <c r="NPU50" s="1398"/>
      <c r="NPV50" s="1398"/>
      <c r="NPW50" s="1398"/>
      <c r="NPX50" s="1398"/>
      <c r="NPY50" s="1398"/>
      <c r="NPZ50" s="1398"/>
      <c r="NQA50" s="1398"/>
      <c r="NQB50" s="1398"/>
      <c r="NQC50" s="1398"/>
      <c r="NQD50" s="1398"/>
      <c r="NQE50" s="1398"/>
      <c r="NQF50" s="1398"/>
      <c r="NQG50" s="1398"/>
      <c r="NQH50" s="1398"/>
      <c r="NQI50" s="1398"/>
      <c r="NQJ50" s="1398"/>
      <c r="NQK50" s="1398"/>
      <c r="NQL50" s="1398"/>
      <c r="NQM50" s="1398"/>
      <c r="NQN50" s="1398"/>
      <c r="NQO50" s="1398"/>
      <c r="NQP50" s="1398"/>
      <c r="NQQ50" s="1398"/>
      <c r="NQR50" s="1398"/>
      <c r="NQS50" s="1398"/>
      <c r="NQT50" s="1398"/>
      <c r="NQU50" s="1398"/>
      <c r="NQV50" s="1398"/>
      <c r="NQW50" s="1398"/>
      <c r="NQX50" s="1398"/>
      <c r="NQY50" s="1398"/>
      <c r="NQZ50" s="1398"/>
      <c r="NRA50" s="1398"/>
      <c r="NRB50" s="1398"/>
      <c r="NRC50" s="1398"/>
      <c r="NRD50" s="1398"/>
      <c r="NRE50" s="1398"/>
      <c r="NRF50" s="1398"/>
      <c r="NRG50" s="1398"/>
      <c r="NRH50" s="1398"/>
      <c r="NRI50" s="1398"/>
      <c r="NRJ50" s="1398"/>
      <c r="NRK50" s="1398"/>
      <c r="NRL50" s="1398"/>
      <c r="NRM50" s="1398"/>
      <c r="NRN50" s="1398"/>
      <c r="NRO50" s="1398"/>
      <c r="NRP50" s="1398"/>
      <c r="NRQ50" s="1398"/>
      <c r="NRR50" s="1398"/>
      <c r="NRS50" s="1398"/>
      <c r="NRT50" s="1398"/>
      <c r="NRU50" s="1398"/>
      <c r="NRV50" s="1398"/>
      <c r="NRW50" s="1398"/>
      <c r="NRX50" s="1398"/>
      <c r="NRY50" s="1398"/>
      <c r="NRZ50" s="1398"/>
      <c r="NSA50" s="1398"/>
      <c r="NSB50" s="1398"/>
      <c r="NSC50" s="1398"/>
      <c r="NSD50" s="1398"/>
      <c r="NSE50" s="1398"/>
      <c r="NSF50" s="1398"/>
      <c r="NSG50" s="1398"/>
      <c r="NSH50" s="1398"/>
      <c r="NSI50" s="1398"/>
      <c r="NSJ50" s="1398"/>
      <c r="NSK50" s="1398"/>
      <c r="NSL50" s="1398"/>
      <c r="NSM50" s="1398"/>
      <c r="NSN50" s="1398"/>
      <c r="NSO50" s="1398"/>
      <c r="NSP50" s="1398"/>
      <c r="NSQ50" s="1398"/>
      <c r="NSR50" s="1398"/>
      <c r="NSS50" s="1398"/>
      <c r="NST50" s="1398"/>
      <c r="NSU50" s="1398"/>
      <c r="NSV50" s="1398"/>
      <c r="NSW50" s="1398"/>
      <c r="NSX50" s="1398"/>
      <c r="NSY50" s="1398"/>
      <c r="NSZ50" s="1398"/>
      <c r="NTA50" s="1398"/>
      <c r="NTB50" s="1398"/>
      <c r="NTC50" s="1398"/>
      <c r="NTD50" s="1398"/>
      <c r="NTE50" s="1398"/>
      <c r="NTF50" s="1398"/>
      <c r="NTG50" s="1398"/>
      <c r="NTH50" s="1398"/>
      <c r="NTI50" s="1398"/>
      <c r="NTJ50" s="1398"/>
      <c r="NTK50" s="1398"/>
      <c r="NTL50" s="1398"/>
      <c r="NTM50" s="1398"/>
      <c r="NTN50" s="1398"/>
      <c r="NTO50" s="1398"/>
      <c r="NTP50" s="1398"/>
      <c r="NTQ50" s="1398"/>
      <c r="NTR50" s="1398"/>
      <c r="NTS50" s="1398"/>
      <c r="NTT50" s="1398"/>
      <c r="NTU50" s="1398"/>
      <c r="NTV50" s="1398"/>
      <c r="NTW50" s="1398"/>
      <c r="NTX50" s="1398"/>
      <c r="NTY50" s="1398"/>
      <c r="NTZ50" s="1398"/>
      <c r="NUA50" s="1398"/>
      <c r="NUB50" s="1398"/>
      <c r="NUC50" s="1398"/>
      <c r="NUD50" s="1398"/>
      <c r="NUE50" s="1398"/>
      <c r="NUF50" s="1398"/>
      <c r="NUG50" s="1398"/>
      <c r="NUH50" s="1398"/>
      <c r="NUI50" s="1398"/>
      <c r="NUJ50" s="1398"/>
      <c r="NUK50" s="1398"/>
      <c r="NUL50" s="1398"/>
      <c r="NUM50" s="1398"/>
      <c r="NUN50" s="1398"/>
      <c r="NUO50" s="1398"/>
      <c r="NUP50" s="1398"/>
      <c r="NUQ50" s="1398"/>
      <c r="NUR50" s="1398"/>
      <c r="NUS50" s="1398"/>
      <c r="NUT50" s="1398"/>
      <c r="NUU50" s="1398"/>
      <c r="NUV50" s="1398"/>
      <c r="NUW50" s="1398"/>
      <c r="NUX50" s="1398"/>
      <c r="NUY50" s="1398"/>
      <c r="NUZ50" s="1398"/>
      <c r="NVA50" s="1398"/>
      <c r="NVB50" s="1398"/>
      <c r="NVC50" s="1398"/>
      <c r="NVD50" s="1398"/>
      <c r="NVE50" s="1398"/>
      <c r="NVF50" s="1398"/>
      <c r="NVG50" s="1398"/>
      <c r="NVH50" s="1398"/>
      <c r="NVI50" s="1398"/>
      <c r="NVJ50" s="1398"/>
      <c r="NVK50" s="1398"/>
      <c r="NVL50" s="1398"/>
      <c r="NVM50" s="1398"/>
      <c r="NVN50" s="1398"/>
      <c r="NVO50" s="1398"/>
      <c r="NVP50" s="1398"/>
      <c r="NVQ50" s="1398"/>
      <c r="NVR50" s="1398"/>
      <c r="NVS50" s="1398"/>
      <c r="NVT50" s="1398"/>
      <c r="NVU50" s="1398"/>
      <c r="NVV50" s="1398"/>
      <c r="NVW50" s="1398"/>
      <c r="NVX50" s="1398"/>
      <c r="NVY50" s="1398"/>
      <c r="NVZ50" s="1398"/>
      <c r="NWA50" s="1398"/>
      <c r="NWB50" s="1398"/>
      <c r="NWC50" s="1398"/>
      <c r="NWD50" s="1398"/>
      <c r="NWE50" s="1398"/>
      <c r="NWF50" s="1398"/>
      <c r="NWG50" s="1398"/>
      <c r="NWH50" s="1398"/>
      <c r="NWI50" s="1398"/>
      <c r="NWJ50" s="1398"/>
      <c r="NWK50" s="1398"/>
      <c r="NWL50" s="1398"/>
      <c r="NWM50" s="1398"/>
      <c r="NWN50" s="1398"/>
      <c r="NWO50" s="1398"/>
      <c r="NWP50" s="1398"/>
      <c r="NWQ50" s="1398"/>
      <c r="NWR50" s="1398"/>
      <c r="NWS50" s="1398"/>
      <c r="NWT50" s="1398"/>
      <c r="NWU50" s="1398"/>
      <c r="NWV50" s="1398"/>
      <c r="NWW50" s="1398"/>
      <c r="NWX50" s="1398"/>
      <c r="NWY50" s="1398"/>
      <c r="NWZ50" s="1398"/>
      <c r="NXA50" s="1398"/>
      <c r="NXB50" s="1398"/>
      <c r="NXC50" s="1398"/>
      <c r="NXD50" s="1398"/>
      <c r="NXE50" s="1398"/>
      <c r="NXF50" s="1398"/>
      <c r="NXG50" s="1398"/>
      <c r="NXH50" s="1398"/>
      <c r="NXI50" s="1398"/>
      <c r="NXJ50" s="1398"/>
      <c r="NXK50" s="1398"/>
      <c r="NXL50" s="1398"/>
      <c r="NXM50" s="1398"/>
      <c r="NXN50" s="1398"/>
      <c r="NXO50" s="1398"/>
      <c r="NXP50" s="1398"/>
      <c r="NXQ50" s="1398"/>
      <c r="NXR50" s="1398"/>
      <c r="NXS50" s="1398"/>
      <c r="NXT50" s="1398"/>
      <c r="NXU50" s="1398"/>
      <c r="NXV50" s="1398"/>
      <c r="NXW50" s="1398"/>
      <c r="NXX50" s="1398"/>
      <c r="NXY50" s="1398"/>
      <c r="NXZ50" s="1398"/>
      <c r="NYA50" s="1398"/>
      <c r="NYB50" s="1398"/>
      <c r="NYC50" s="1398"/>
      <c r="NYD50" s="1398"/>
      <c r="NYE50" s="1398"/>
      <c r="NYF50" s="1398"/>
      <c r="NYG50" s="1398"/>
      <c r="NYH50" s="1398"/>
      <c r="NYI50" s="1398"/>
      <c r="NYJ50" s="1398"/>
      <c r="NYK50" s="1398"/>
      <c r="NYL50" s="1398"/>
      <c r="NYM50" s="1398"/>
      <c r="NYN50" s="1398"/>
      <c r="NYO50" s="1398"/>
      <c r="NYP50" s="1398"/>
      <c r="NYQ50" s="1398"/>
      <c r="NYR50" s="1398"/>
      <c r="NYS50" s="1398"/>
      <c r="NYT50" s="1398"/>
      <c r="NYU50" s="1398"/>
      <c r="NYV50" s="1398"/>
      <c r="NYW50" s="1398"/>
      <c r="NYX50" s="1398"/>
      <c r="NYY50" s="1398"/>
      <c r="NYZ50" s="1398"/>
      <c r="NZA50" s="1398"/>
      <c r="NZB50" s="1398"/>
      <c r="NZC50" s="1398"/>
      <c r="NZD50" s="1398"/>
      <c r="NZE50" s="1398"/>
      <c r="NZF50" s="1398"/>
      <c r="NZG50" s="1398"/>
      <c r="NZH50" s="1398"/>
      <c r="NZI50" s="1398"/>
      <c r="NZJ50" s="1398"/>
      <c r="NZK50" s="1398"/>
      <c r="NZL50" s="1398"/>
      <c r="NZM50" s="1398"/>
      <c r="NZN50" s="1398"/>
      <c r="NZO50" s="1398"/>
      <c r="NZP50" s="1398"/>
      <c r="NZQ50" s="1398"/>
      <c r="NZR50" s="1398"/>
      <c r="NZS50" s="1398"/>
      <c r="NZT50" s="1398"/>
      <c r="NZU50" s="1398"/>
      <c r="NZV50" s="1398"/>
      <c r="NZW50" s="1398"/>
      <c r="NZX50" s="1398"/>
      <c r="NZY50" s="1398"/>
      <c r="NZZ50" s="1398"/>
      <c r="OAA50" s="1398"/>
      <c r="OAB50" s="1398"/>
      <c r="OAC50" s="1398"/>
      <c r="OAD50" s="1398"/>
      <c r="OAE50" s="1398"/>
      <c r="OAF50" s="1398"/>
      <c r="OAG50" s="1398"/>
      <c r="OAH50" s="1398"/>
      <c r="OAI50" s="1398"/>
      <c r="OAJ50" s="1398"/>
      <c r="OAK50" s="1398"/>
      <c r="OAL50" s="1398"/>
      <c r="OAM50" s="1398"/>
      <c r="OAN50" s="1398"/>
      <c r="OAO50" s="1398"/>
      <c r="OAP50" s="1398"/>
      <c r="OAQ50" s="1398"/>
      <c r="OAR50" s="1398"/>
      <c r="OAS50" s="1398"/>
      <c r="OAT50" s="1398"/>
      <c r="OAU50" s="1398"/>
      <c r="OAV50" s="1398"/>
      <c r="OAW50" s="1398"/>
      <c r="OAX50" s="1398"/>
      <c r="OAY50" s="1398"/>
      <c r="OAZ50" s="1398"/>
      <c r="OBA50" s="1398"/>
      <c r="OBB50" s="1398"/>
      <c r="OBC50" s="1398"/>
      <c r="OBD50" s="1398"/>
      <c r="OBE50" s="1398"/>
      <c r="OBF50" s="1398"/>
      <c r="OBG50" s="1398"/>
      <c r="OBH50" s="1398"/>
      <c r="OBI50" s="1398"/>
      <c r="OBJ50" s="1398"/>
      <c r="OBK50" s="1398"/>
      <c r="OBL50" s="1398"/>
      <c r="OBM50" s="1398"/>
      <c r="OBN50" s="1398"/>
      <c r="OBO50" s="1398"/>
      <c r="OBP50" s="1398"/>
      <c r="OBQ50" s="1398"/>
      <c r="OBR50" s="1398"/>
      <c r="OBS50" s="1398"/>
      <c r="OBT50" s="1398"/>
      <c r="OBU50" s="1398"/>
      <c r="OBV50" s="1398"/>
      <c r="OBW50" s="1398"/>
      <c r="OBX50" s="1398"/>
      <c r="OBY50" s="1398"/>
      <c r="OBZ50" s="1398"/>
      <c r="OCA50" s="1398"/>
      <c r="OCB50" s="1398"/>
      <c r="OCC50" s="1398"/>
      <c r="OCD50" s="1398"/>
      <c r="OCE50" s="1398"/>
      <c r="OCF50" s="1398"/>
      <c r="OCG50" s="1398"/>
      <c r="OCH50" s="1398"/>
      <c r="OCI50" s="1398"/>
      <c r="OCJ50" s="1398"/>
      <c r="OCK50" s="1398"/>
      <c r="OCL50" s="1398"/>
      <c r="OCM50" s="1398"/>
      <c r="OCN50" s="1398"/>
      <c r="OCO50" s="1398"/>
      <c r="OCP50" s="1398"/>
      <c r="OCQ50" s="1398"/>
      <c r="OCR50" s="1398"/>
      <c r="OCS50" s="1398"/>
      <c r="OCT50" s="1398"/>
      <c r="OCU50" s="1398"/>
      <c r="OCV50" s="1398"/>
      <c r="OCW50" s="1398"/>
      <c r="OCX50" s="1398"/>
      <c r="OCY50" s="1398"/>
      <c r="OCZ50" s="1398"/>
      <c r="ODA50" s="1398"/>
      <c r="ODB50" s="1398"/>
      <c r="ODC50" s="1398"/>
      <c r="ODD50" s="1398"/>
      <c r="ODE50" s="1398"/>
      <c r="ODF50" s="1398"/>
      <c r="ODG50" s="1398"/>
      <c r="ODH50" s="1398"/>
      <c r="ODI50" s="1398"/>
      <c r="ODJ50" s="1398"/>
      <c r="ODK50" s="1398"/>
      <c r="ODL50" s="1398"/>
      <c r="ODM50" s="1398"/>
      <c r="ODN50" s="1398"/>
      <c r="ODO50" s="1398"/>
      <c r="ODP50" s="1398"/>
      <c r="ODQ50" s="1398"/>
      <c r="ODR50" s="1398"/>
      <c r="ODS50" s="1398"/>
      <c r="ODT50" s="1398"/>
      <c r="ODU50" s="1398"/>
      <c r="ODV50" s="1398"/>
      <c r="ODW50" s="1398"/>
      <c r="ODX50" s="1398"/>
      <c r="ODY50" s="1398"/>
      <c r="ODZ50" s="1398"/>
      <c r="OEA50" s="1398"/>
      <c r="OEB50" s="1398"/>
      <c r="OEC50" s="1398"/>
      <c r="OED50" s="1398"/>
      <c r="OEE50" s="1398"/>
      <c r="OEF50" s="1398"/>
      <c r="OEG50" s="1398"/>
      <c r="OEH50" s="1398"/>
      <c r="OEI50" s="1398"/>
      <c r="OEJ50" s="1398"/>
      <c r="OEK50" s="1398"/>
      <c r="OEL50" s="1398"/>
      <c r="OEM50" s="1398"/>
      <c r="OEN50" s="1398"/>
      <c r="OEO50" s="1398"/>
      <c r="OEP50" s="1398"/>
      <c r="OEQ50" s="1398"/>
      <c r="OER50" s="1398"/>
      <c r="OES50" s="1398"/>
      <c r="OET50" s="1398"/>
      <c r="OEU50" s="1398"/>
      <c r="OEV50" s="1398"/>
      <c r="OEW50" s="1398"/>
      <c r="OEX50" s="1398"/>
      <c r="OEY50" s="1398"/>
      <c r="OEZ50" s="1398"/>
      <c r="OFA50" s="1398"/>
      <c r="OFB50" s="1398"/>
      <c r="OFC50" s="1398"/>
      <c r="OFD50" s="1398"/>
      <c r="OFE50" s="1398"/>
      <c r="OFF50" s="1398"/>
      <c r="OFG50" s="1398"/>
      <c r="OFH50" s="1398"/>
      <c r="OFI50" s="1398"/>
      <c r="OFJ50" s="1398"/>
      <c r="OFK50" s="1398"/>
      <c r="OFL50" s="1398"/>
      <c r="OFM50" s="1398"/>
      <c r="OFN50" s="1398"/>
      <c r="OFO50" s="1398"/>
      <c r="OFP50" s="1398"/>
      <c r="OFQ50" s="1398"/>
      <c r="OFR50" s="1398"/>
      <c r="OFS50" s="1398"/>
      <c r="OFT50" s="1398"/>
      <c r="OFU50" s="1398"/>
      <c r="OFV50" s="1398"/>
      <c r="OFW50" s="1398"/>
      <c r="OFX50" s="1398"/>
      <c r="OFY50" s="1398"/>
      <c r="OFZ50" s="1398"/>
      <c r="OGA50" s="1398"/>
      <c r="OGB50" s="1398"/>
      <c r="OGC50" s="1398"/>
      <c r="OGD50" s="1398"/>
      <c r="OGE50" s="1398"/>
      <c r="OGF50" s="1398"/>
      <c r="OGG50" s="1398"/>
      <c r="OGH50" s="1398"/>
      <c r="OGI50" s="1398"/>
      <c r="OGJ50" s="1398"/>
      <c r="OGK50" s="1398"/>
      <c r="OGL50" s="1398"/>
      <c r="OGM50" s="1398"/>
      <c r="OGN50" s="1398"/>
      <c r="OGO50" s="1398"/>
      <c r="OGP50" s="1398"/>
      <c r="OGQ50" s="1398"/>
      <c r="OGR50" s="1398"/>
      <c r="OGS50" s="1398"/>
      <c r="OGT50" s="1398"/>
      <c r="OGU50" s="1398"/>
      <c r="OGV50" s="1398"/>
      <c r="OGW50" s="1398"/>
      <c r="OGX50" s="1398"/>
      <c r="OGY50" s="1398"/>
      <c r="OGZ50" s="1398"/>
      <c r="OHA50" s="1398"/>
      <c r="OHB50" s="1398"/>
      <c r="OHC50" s="1398"/>
      <c r="OHD50" s="1398"/>
      <c r="OHE50" s="1398"/>
      <c r="OHF50" s="1398"/>
      <c r="OHG50" s="1398"/>
      <c r="OHH50" s="1398"/>
      <c r="OHI50" s="1398"/>
      <c r="OHJ50" s="1398"/>
      <c r="OHK50" s="1398"/>
      <c r="OHL50" s="1398"/>
      <c r="OHM50" s="1398"/>
      <c r="OHN50" s="1398"/>
      <c r="OHO50" s="1398"/>
      <c r="OHP50" s="1398"/>
      <c r="OHQ50" s="1398"/>
      <c r="OHR50" s="1398"/>
      <c r="OHS50" s="1398"/>
      <c r="OHT50" s="1398"/>
      <c r="OHU50" s="1398"/>
      <c r="OHV50" s="1398"/>
      <c r="OHW50" s="1398"/>
      <c r="OHX50" s="1398"/>
      <c r="OHY50" s="1398"/>
      <c r="OHZ50" s="1398"/>
      <c r="OIA50" s="1398"/>
      <c r="OIB50" s="1398"/>
      <c r="OIC50" s="1398"/>
      <c r="OID50" s="1398"/>
      <c r="OIE50" s="1398"/>
      <c r="OIF50" s="1398"/>
      <c r="OIG50" s="1398"/>
      <c r="OIH50" s="1398"/>
      <c r="OII50" s="1398"/>
      <c r="OIJ50" s="1398"/>
      <c r="OIK50" s="1398"/>
      <c r="OIL50" s="1398"/>
      <c r="OIM50" s="1398"/>
      <c r="OIN50" s="1398"/>
      <c r="OIO50" s="1398"/>
      <c r="OIP50" s="1398"/>
      <c r="OIQ50" s="1398"/>
      <c r="OIR50" s="1398"/>
      <c r="OIS50" s="1398"/>
      <c r="OIT50" s="1398"/>
      <c r="OIU50" s="1398"/>
      <c r="OIV50" s="1398"/>
      <c r="OIW50" s="1398"/>
      <c r="OIX50" s="1398"/>
      <c r="OIY50" s="1398"/>
      <c r="OIZ50" s="1398"/>
      <c r="OJA50" s="1398"/>
      <c r="OJB50" s="1398"/>
      <c r="OJC50" s="1398"/>
      <c r="OJD50" s="1398"/>
      <c r="OJE50" s="1398"/>
      <c r="OJF50" s="1398"/>
      <c r="OJG50" s="1398"/>
      <c r="OJH50" s="1398"/>
      <c r="OJI50" s="1398"/>
      <c r="OJJ50" s="1398"/>
      <c r="OJK50" s="1398"/>
      <c r="OJL50" s="1398"/>
      <c r="OJM50" s="1398"/>
      <c r="OJN50" s="1398"/>
      <c r="OJO50" s="1398"/>
      <c r="OJP50" s="1398"/>
      <c r="OJQ50" s="1398"/>
      <c r="OJR50" s="1398"/>
      <c r="OJS50" s="1398"/>
      <c r="OJT50" s="1398"/>
      <c r="OJU50" s="1398"/>
      <c r="OJV50" s="1398"/>
      <c r="OJW50" s="1398"/>
      <c r="OJX50" s="1398"/>
      <c r="OJY50" s="1398"/>
      <c r="OJZ50" s="1398"/>
      <c r="OKA50" s="1398"/>
      <c r="OKB50" s="1398"/>
      <c r="OKC50" s="1398"/>
      <c r="OKD50" s="1398"/>
      <c r="OKE50" s="1398"/>
      <c r="OKF50" s="1398"/>
      <c r="OKG50" s="1398"/>
      <c r="OKH50" s="1398"/>
      <c r="OKI50" s="1398"/>
      <c r="OKJ50" s="1398"/>
      <c r="OKK50" s="1398"/>
      <c r="OKL50" s="1398"/>
      <c r="OKM50" s="1398"/>
      <c r="OKN50" s="1398"/>
      <c r="OKO50" s="1398"/>
      <c r="OKP50" s="1398"/>
      <c r="OKQ50" s="1398"/>
      <c r="OKR50" s="1398"/>
      <c r="OKS50" s="1398"/>
      <c r="OKT50" s="1398"/>
      <c r="OKU50" s="1398"/>
      <c r="OKV50" s="1398"/>
      <c r="OKW50" s="1398"/>
      <c r="OKX50" s="1398"/>
      <c r="OKY50" s="1398"/>
      <c r="OKZ50" s="1398"/>
      <c r="OLA50" s="1398"/>
      <c r="OLB50" s="1398"/>
      <c r="OLC50" s="1398"/>
      <c r="OLD50" s="1398"/>
      <c r="OLE50" s="1398"/>
      <c r="OLF50" s="1398"/>
      <c r="OLG50" s="1398"/>
      <c r="OLH50" s="1398"/>
      <c r="OLI50" s="1398"/>
      <c r="OLJ50" s="1398"/>
      <c r="OLK50" s="1398"/>
      <c r="OLL50" s="1398"/>
      <c r="OLM50" s="1398"/>
      <c r="OLN50" s="1398"/>
      <c r="OLO50" s="1398"/>
      <c r="OLP50" s="1398"/>
      <c r="OLQ50" s="1398"/>
      <c r="OLR50" s="1398"/>
      <c r="OLS50" s="1398"/>
      <c r="OLT50" s="1398"/>
      <c r="OLU50" s="1398"/>
      <c r="OLV50" s="1398"/>
      <c r="OLW50" s="1398"/>
      <c r="OLX50" s="1398"/>
      <c r="OLY50" s="1398"/>
      <c r="OLZ50" s="1398"/>
      <c r="OMA50" s="1398"/>
      <c r="OMB50" s="1398"/>
      <c r="OMC50" s="1398"/>
      <c r="OMD50" s="1398"/>
      <c r="OME50" s="1398"/>
      <c r="OMF50" s="1398"/>
      <c r="OMG50" s="1398"/>
      <c r="OMH50" s="1398"/>
      <c r="OMI50" s="1398"/>
      <c r="OMJ50" s="1398"/>
      <c r="OMK50" s="1398"/>
      <c r="OML50" s="1398"/>
      <c r="OMM50" s="1398"/>
      <c r="OMN50" s="1398"/>
      <c r="OMO50" s="1398"/>
      <c r="OMP50" s="1398"/>
      <c r="OMQ50" s="1398"/>
      <c r="OMR50" s="1398"/>
      <c r="OMS50" s="1398"/>
      <c r="OMT50" s="1398"/>
      <c r="OMU50" s="1398"/>
      <c r="OMV50" s="1398"/>
      <c r="OMW50" s="1398"/>
      <c r="OMX50" s="1398"/>
      <c r="OMY50" s="1398"/>
      <c r="OMZ50" s="1398"/>
      <c r="ONA50" s="1398"/>
      <c r="ONB50" s="1398"/>
      <c r="ONC50" s="1398"/>
      <c r="OND50" s="1398"/>
      <c r="ONE50" s="1398"/>
      <c r="ONF50" s="1398"/>
      <c r="ONG50" s="1398"/>
      <c r="ONH50" s="1398"/>
      <c r="ONI50" s="1398"/>
      <c r="ONJ50" s="1398"/>
      <c r="ONK50" s="1398"/>
      <c r="ONL50" s="1398"/>
      <c r="ONM50" s="1398"/>
      <c r="ONN50" s="1398"/>
      <c r="ONO50" s="1398"/>
      <c r="ONP50" s="1398"/>
      <c r="ONQ50" s="1398"/>
      <c r="ONR50" s="1398"/>
      <c r="ONS50" s="1398"/>
      <c r="ONT50" s="1398"/>
      <c r="ONU50" s="1398"/>
      <c r="ONV50" s="1398"/>
      <c r="ONW50" s="1398"/>
      <c r="ONX50" s="1398"/>
      <c r="ONY50" s="1398"/>
      <c r="ONZ50" s="1398"/>
      <c r="OOA50" s="1398"/>
      <c r="OOB50" s="1398"/>
      <c r="OOC50" s="1398"/>
      <c r="OOD50" s="1398"/>
      <c r="OOE50" s="1398"/>
      <c r="OOF50" s="1398"/>
      <c r="OOG50" s="1398"/>
      <c r="OOH50" s="1398"/>
      <c r="OOI50" s="1398"/>
      <c r="OOJ50" s="1398"/>
      <c r="OOK50" s="1398"/>
      <c r="OOL50" s="1398"/>
      <c r="OOM50" s="1398"/>
      <c r="OON50" s="1398"/>
      <c r="OOO50" s="1398"/>
      <c r="OOP50" s="1398"/>
      <c r="OOQ50" s="1398"/>
      <c r="OOR50" s="1398"/>
      <c r="OOS50" s="1398"/>
      <c r="OOT50" s="1398"/>
      <c r="OOU50" s="1398"/>
      <c r="OOV50" s="1398"/>
      <c r="OOW50" s="1398"/>
      <c r="OOX50" s="1398"/>
      <c r="OOY50" s="1398"/>
      <c r="OOZ50" s="1398"/>
      <c r="OPA50" s="1398"/>
      <c r="OPB50" s="1398"/>
      <c r="OPC50" s="1398"/>
      <c r="OPD50" s="1398"/>
      <c r="OPE50" s="1398"/>
      <c r="OPF50" s="1398"/>
      <c r="OPG50" s="1398"/>
      <c r="OPH50" s="1398"/>
      <c r="OPI50" s="1398"/>
      <c r="OPJ50" s="1398"/>
      <c r="OPK50" s="1398"/>
      <c r="OPL50" s="1398"/>
      <c r="OPM50" s="1398"/>
      <c r="OPN50" s="1398"/>
      <c r="OPO50" s="1398"/>
      <c r="OPP50" s="1398"/>
      <c r="OPQ50" s="1398"/>
      <c r="OPR50" s="1398"/>
      <c r="OPS50" s="1398"/>
      <c r="OPT50" s="1398"/>
      <c r="OPU50" s="1398"/>
      <c r="OPV50" s="1398"/>
      <c r="OPW50" s="1398"/>
      <c r="OPX50" s="1398"/>
      <c r="OPY50" s="1398"/>
      <c r="OPZ50" s="1398"/>
      <c r="OQA50" s="1398"/>
      <c r="OQB50" s="1398"/>
      <c r="OQC50" s="1398"/>
      <c r="OQD50" s="1398"/>
      <c r="OQE50" s="1398"/>
      <c r="OQF50" s="1398"/>
      <c r="OQG50" s="1398"/>
      <c r="OQH50" s="1398"/>
      <c r="OQI50" s="1398"/>
      <c r="OQJ50" s="1398"/>
      <c r="OQK50" s="1398"/>
      <c r="OQL50" s="1398"/>
      <c r="OQM50" s="1398"/>
      <c r="OQN50" s="1398"/>
      <c r="OQO50" s="1398"/>
      <c r="OQP50" s="1398"/>
      <c r="OQQ50" s="1398"/>
      <c r="OQR50" s="1398"/>
      <c r="OQS50" s="1398"/>
      <c r="OQT50" s="1398"/>
      <c r="OQU50" s="1398"/>
      <c r="OQV50" s="1398"/>
      <c r="OQW50" s="1398"/>
      <c r="OQX50" s="1398"/>
      <c r="OQY50" s="1398"/>
      <c r="OQZ50" s="1398"/>
      <c r="ORA50" s="1398"/>
      <c r="ORB50" s="1398"/>
      <c r="ORC50" s="1398"/>
      <c r="ORD50" s="1398"/>
      <c r="ORE50" s="1398"/>
      <c r="ORF50" s="1398"/>
      <c r="ORG50" s="1398"/>
      <c r="ORH50" s="1398"/>
      <c r="ORI50" s="1398"/>
      <c r="ORJ50" s="1398"/>
      <c r="ORK50" s="1398"/>
      <c r="ORL50" s="1398"/>
      <c r="ORM50" s="1398"/>
      <c r="ORN50" s="1398"/>
      <c r="ORO50" s="1398"/>
      <c r="ORP50" s="1398"/>
      <c r="ORQ50" s="1398"/>
      <c r="ORR50" s="1398"/>
      <c r="ORS50" s="1398"/>
      <c r="ORT50" s="1398"/>
      <c r="ORU50" s="1398"/>
      <c r="ORV50" s="1398"/>
      <c r="ORW50" s="1398"/>
      <c r="ORX50" s="1398"/>
      <c r="ORY50" s="1398"/>
      <c r="ORZ50" s="1398"/>
      <c r="OSA50" s="1398"/>
      <c r="OSB50" s="1398"/>
      <c r="OSC50" s="1398"/>
      <c r="OSD50" s="1398"/>
      <c r="OSE50" s="1398"/>
      <c r="OSF50" s="1398"/>
      <c r="OSG50" s="1398"/>
      <c r="OSH50" s="1398"/>
      <c r="OSI50" s="1398"/>
      <c r="OSJ50" s="1398"/>
      <c r="OSK50" s="1398"/>
      <c r="OSL50" s="1398"/>
      <c r="OSM50" s="1398"/>
      <c r="OSN50" s="1398"/>
      <c r="OSO50" s="1398"/>
      <c r="OSP50" s="1398"/>
      <c r="OSQ50" s="1398"/>
      <c r="OSR50" s="1398"/>
      <c r="OSS50" s="1398"/>
      <c r="OST50" s="1398"/>
      <c r="OSU50" s="1398"/>
      <c r="OSV50" s="1398"/>
      <c r="OSW50" s="1398"/>
      <c r="OSX50" s="1398"/>
      <c r="OSY50" s="1398"/>
      <c r="OSZ50" s="1398"/>
      <c r="OTA50" s="1398"/>
      <c r="OTB50" s="1398"/>
      <c r="OTC50" s="1398"/>
      <c r="OTD50" s="1398"/>
      <c r="OTE50" s="1398"/>
      <c r="OTF50" s="1398"/>
      <c r="OTG50" s="1398"/>
      <c r="OTH50" s="1398"/>
      <c r="OTI50" s="1398"/>
      <c r="OTJ50" s="1398"/>
      <c r="OTK50" s="1398"/>
      <c r="OTL50" s="1398"/>
      <c r="OTM50" s="1398"/>
      <c r="OTN50" s="1398"/>
      <c r="OTO50" s="1398"/>
      <c r="OTP50" s="1398"/>
      <c r="OTQ50" s="1398"/>
      <c r="OTR50" s="1398"/>
      <c r="OTS50" s="1398"/>
      <c r="OTT50" s="1398"/>
      <c r="OTU50" s="1398"/>
      <c r="OTV50" s="1398"/>
      <c r="OTW50" s="1398"/>
      <c r="OTX50" s="1398"/>
      <c r="OTY50" s="1398"/>
      <c r="OTZ50" s="1398"/>
      <c r="OUA50" s="1398"/>
      <c r="OUB50" s="1398"/>
      <c r="OUC50" s="1398"/>
      <c r="OUD50" s="1398"/>
      <c r="OUE50" s="1398"/>
      <c r="OUF50" s="1398"/>
      <c r="OUG50" s="1398"/>
      <c r="OUH50" s="1398"/>
      <c r="OUI50" s="1398"/>
      <c r="OUJ50" s="1398"/>
      <c r="OUK50" s="1398"/>
      <c r="OUL50" s="1398"/>
      <c r="OUM50" s="1398"/>
      <c r="OUN50" s="1398"/>
      <c r="OUO50" s="1398"/>
      <c r="OUP50" s="1398"/>
      <c r="OUQ50" s="1398"/>
      <c r="OUR50" s="1398"/>
      <c r="OUS50" s="1398"/>
      <c r="OUT50" s="1398"/>
      <c r="OUU50" s="1398"/>
      <c r="OUV50" s="1398"/>
      <c r="OUW50" s="1398"/>
      <c r="OUX50" s="1398"/>
      <c r="OUY50" s="1398"/>
      <c r="OUZ50" s="1398"/>
      <c r="OVA50" s="1398"/>
      <c r="OVB50" s="1398"/>
      <c r="OVC50" s="1398"/>
      <c r="OVD50" s="1398"/>
      <c r="OVE50" s="1398"/>
      <c r="OVF50" s="1398"/>
      <c r="OVG50" s="1398"/>
      <c r="OVH50" s="1398"/>
      <c r="OVI50" s="1398"/>
      <c r="OVJ50" s="1398"/>
      <c r="OVK50" s="1398"/>
      <c r="OVL50" s="1398"/>
      <c r="OVM50" s="1398"/>
      <c r="OVN50" s="1398"/>
      <c r="OVO50" s="1398"/>
      <c r="OVP50" s="1398"/>
      <c r="OVQ50" s="1398"/>
      <c r="OVR50" s="1398"/>
      <c r="OVS50" s="1398"/>
      <c r="OVT50" s="1398"/>
      <c r="OVU50" s="1398"/>
      <c r="OVV50" s="1398"/>
      <c r="OVW50" s="1398"/>
      <c r="OVX50" s="1398"/>
      <c r="OVY50" s="1398"/>
      <c r="OVZ50" s="1398"/>
      <c r="OWA50" s="1398"/>
      <c r="OWB50" s="1398"/>
      <c r="OWC50" s="1398"/>
      <c r="OWD50" s="1398"/>
      <c r="OWE50" s="1398"/>
      <c r="OWF50" s="1398"/>
      <c r="OWG50" s="1398"/>
      <c r="OWH50" s="1398"/>
      <c r="OWI50" s="1398"/>
      <c r="OWJ50" s="1398"/>
      <c r="OWK50" s="1398"/>
      <c r="OWL50" s="1398"/>
      <c r="OWM50" s="1398"/>
      <c r="OWN50" s="1398"/>
      <c r="OWO50" s="1398"/>
      <c r="OWP50" s="1398"/>
      <c r="OWQ50" s="1398"/>
      <c r="OWR50" s="1398"/>
      <c r="OWS50" s="1398"/>
      <c r="OWT50" s="1398"/>
      <c r="OWU50" s="1398"/>
      <c r="OWV50" s="1398"/>
      <c r="OWW50" s="1398"/>
      <c r="OWX50" s="1398"/>
      <c r="OWY50" s="1398"/>
      <c r="OWZ50" s="1398"/>
      <c r="OXA50" s="1398"/>
      <c r="OXB50" s="1398"/>
      <c r="OXC50" s="1398"/>
      <c r="OXD50" s="1398"/>
      <c r="OXE50" s="1398"/>
      <c r="OXF50" s="1398"/>
      <c r="OXG50" s="1398"/>
      <c r="OXH50" s="1398"/>
      <c r="OXI50" s="1398"/>
      <c r="OXJ50" s="1398"/>
      <c r="OXK50" s="1398"/>
      <c r="OXL50" s="1398"/>
      <c r="OXM50" s="1398"/>
      <c r="OXN50" s="1398"/>
      <c r="OXO50" s="1398"/>
      <c r="OXP50" s="1398"/>
      <c r="OXQ50" s="1398"/>
      <c r="OXR50" s="1398"/>
      <c r="OXS50" s="1398"/>
      <c r="OXT50" s="1398"/>
      <c r="OXU50" s="1398"/>
      <c r="OXV50" s="1398"/>
      <c r="OXW50" s="1398"/>
      <c r="OXX50" s="1398"/>
      <c r="OXY50" s="1398"/>
      <c r="OXZ50" s="1398"/>
      <c r="OYA50" s="1398"/>
      <c r="OYB50" s="1398"/>
      <c r="OYC50" s="1398"/>
      <c r="OYD50" s="1398"/>
      <c r="OYE50" s="1398"/>
      <c r="OYF50" s="1398"/>
      <c r="OYG50" s="1398"/>
      <c r="OYH50" s="1398"/>
      <c r="OYI50" s="1398"/>
      <c r="OYJ50" s="1398"/>
      <c r="OYK50" s="1398"/>
      <c r="OYL50" s="1398"/>
      <c r="OYM50" s="1398"/>
      <c r="OYN50" s="1398"/>
      <c r="OYO50" s="1398"/>
      <c r="OYP50" s="1398"/>
      <c r="OYQ50" s="1398"/>
      <c r="OYR50" s="1398"/>
      <c r="OYS50" s="1398"/>
      <c r="OYT50" s="1398"/>
      <c r="OYU50" s="1398"/>
      <c r="OYV50" s="1398"/>
      <c r="OYW50" s="1398"/>
      <c r="OYX50" s="1398"/>
      <c r="OYY50" s="1398"/>
      <c r="OYZ50" s="1398"/>
      <c r="OZA50" s="1398"/>
      <c r="OZB50" s="1398"/>
      <c r="OZC50" s="1398"/>
      <c r="OZD50" s="1398"/>
      <c r="OZE50" s="1398"/>
      <c r="OZF50" s="1398"/>
      <c r="OZG50" s="1398"/>
      <c r="OZH50" s="1398"/>
      <c r="OZI50" s="1398"/>
      <c r="OZJ50" s="1398"/>
      <c r="OZK50" s="1398"/>
      <c r="OZL50" s="1398"/>
      <c r="OZM50" s="1398"/>
      <c r="OZN50" s="1398"/>
      <c r="OZO50" s="1398"/>
      <c r="OZP50" s="1398"/>
      <c r="OZQ50" s="1398"/>
      <c r="OZR50" s="1398"/>
      <c r="OZS50" s="1398"/>
      <c r="OZT50" s="1398"/>
      <c r="OZU50" s="1398"/>
      <c r="OZV50" s="1398"/>
      <c r="OZW50" s="1398"/>
      <c r="OZX50" s="1398"/>
      <c r="OZY50" s="1398"/>
      <c r="OZZ50" s="1398"/>
      <c r="PAA50" s="1398"/>
      <c r="PAB50" s="1398"/>
      <c r="PAC50" s="1398"/>
      <c r="PAD50" s="1398"/>
      <c r="PAE50" s="1398"/>
      <c r="PAF50" s="1398"/>
      <c r="PAG50" s="1398"/>
      <c r="PAH50" s="1398"/>
      <c r="PAI50" s="1398"/>
      <c r="PAJ50" s="1398"/>
      <c r="PAK50" s="1398"/>
      <c r="PAL50" s="1398"/>
      <c r="PAM50" s="1398"/>
      <c r="PAN50" s="1398"/>
      <c r="PAO50" s="1398"/>
      <c r="PAP50" s="1398"/>
      <c r="PAQ50" s="1398"/>
      <c r="PAR50" s="1398"/>
      <c r="PAS50" s="1398"/>
      <c r="PAT50" s="1398"/>
      <c r="PAU50" s="1398"/>
      <c r="PAV50" s="1398"/>
      <c r="PAW50" s="1398"/>
      <c r="PAX50" s="1398"/>
      <c r="PAY50" s="1398"/>
      <c r="PAZ50" s="1398"/>
      <c r="PBA50" s="1398"/>
      <c r="PBB50" s="1398"/>
      <c r="PBC50" s="1398"/>
      <c r="PBD50" s="1398"/>
      <c r="PBE50" s="1398"/>
      <c r="PBF50" s="1398"/>
      <c r="PBG50" s="1398"/>
      <c r="PBH50" s="1398"/>
      <c r="PBI50" s="1398"/>
      <c r="PBJ50" s="1398"/>
      <c r="PBK50" s="1398"/>
      <c r="PBL50" s="1398"/>
      <c r="PBM50" s="1398"/>
      <c r="PBN50" s="1398"/>
      <c r="PBO50" s="1398"/>
      <c r="PBP50" s="1398"/>
      <c r="PBQ50" s="1398"/>
      <c r="PBR50" s="1398"/>
      <c r="PBS50" s="1398"/>
      <c r="PBT50" s="1398"/>
      <c r="PBU50" s="1398"/>
      <c r="PBV50" s="1398"/>
      <c r="PBW50" s="1398"/>
      <c r="PBX50" s="1398"/>
      <c r="PBY50" s="1398"/>
      <c r="PBZ50" s="1398"/>
      <c r="PCA50" s="1398"/>
      <c r="PCB50" s="1398"/>
      <c r="PCC50" s="1398"/>
      <c r="PCD50" s="1398"/>
      <c r="PCE50" s="1398"/>
      <c r="PCF50" s="1398"/>
      <c r="PCG50" s="1398"/>
      <c r="PCH50" s="1398"/>
      <c r="PCI50" s="1398"/>
      <c r="PCJ50" s="1398"/>
      <c r="PCK50" s="1398"/>
      <c r="PCL50" s="1398"/>
      <c r="PCM50" s="1398"/>
      <c r="PCN50" s="1398"/>
      <c r="PCO50" s="1398"/>
      <c r="PCP50" s="1398"/>
      <c r="PCQ50" s="1398"/>
      <c r="PCR50" s="1398"/>
      <c r="PCS50" s="1398"/>
      <c r="PCT50" s="1398"/>
      <c r="PCU50" s="1398"/>
      <c r="PCV50" s="1398"/>
      <c r="PCW50" s="1398"/>
      <c r="PCX50" s="1398"/>
      <c r="PCY50" s="1398"/>
      <c r="PCZ50" s="1398"/>
      <c r="PDA50" s="1398"/>
      <c r="PDB50" s="1398"/>
      <c r="PDC50" s="1398"/>
      <c r="PDD50" s="1398"/>
      <c r="PDE50" s="1398"/>
      <c r="PDF50" s="1398"/>
      <c r="PDG50" s="1398"/>
      <c r="PDH50" s="1398"/>
      <c r="PDI50" s="1398"/>
      <c r="PDJ50" s="1398"/>
      <c r="PDK50" s="1398"/>
      <c r="PDL50" s="1398"/>
      <c r="PDM50" s="1398"/>
      <c r="PDN50" s="1398"/>
      <c r="PDO50" s="1398"/>
      <c r="PDP50" s="1398"/>
      <c r="PDQ50" s="1398"/>
      <c r="PDR50" s="1398"/>
      <c r="PDS50" s="1398"/>
      <c r="PDT50" s="1398"/>
      <c r="PDU50" s="1398"/>
      <c r="PDV50" s="1398"/>
      <c r="PDW50" s="1398"/>
      <c r="PDX50" s="1398"/>
      <c r="PDY50" s="1398"/>
      <c r="PDZ50" s="1398"/>
      <c r="PEA50" s="1398"/>
      <c r="PEB50" s="1398"/>
      <c r="PEC50" s="1398"/>
      <c r="PED50" s="1398"/>
      <c r="PEE50" s="1398"/>
      <c r="PEF50" s="1398"/>
      <c r="PEG50" s="1398"/>
      <c r="PEH50" s="1398"/>
      <c r="PEI50" s="1398"/>
      <c r="PEJ50" s="1398"/>
      <c r="PEK50" s="1398"/>
      <c r="PEL50" s="1398"/>
      <c r="PEM50" s="1398"/>
      <c r="PEN50" s="1398"/>
      <c r="PEO50" s="1398"/>
      <c r="PEP50" s="1398"/>
      <c r="PEQ50" s="1398"/>
      <c r="PER50" s="1398"/>
      <c r="PES50" s="1398"/>
      <c r="PET50" s="1398"/>
      <c r="PEU50" s="1398"/>
      <c r="PEV50" s="1398"/>
      <c r="PEW50" s="1398"/>
      <c r="PEX50" s="1398"/>
      <c r="PEY50" s="1398"/>
      <c r="PEZ50" s="1398"/>
      <c r="PFA50" s="1398"/>
      <c r="PFB50" s="1398"/>
      <c r="PFC50" s="1398"/>
      <c r="PFD50" s="1398"/>
      <c r="PFE50" s="1398"/>
      <c r="PFF50" s="1398"/>
      <c r="PFG50" s="1398"/>
      <c r="PFH50" s="1398"/>
      <c r="PFI50" s="1398"/>
      <c r="PFJ50" s="1398"/>
      <c r="PFK50" s="1398"/>
      <c r="PFL50" s="1398"/>
      <c r="PFM50" s="1398"/>
      <c r="PFN50" s="1398"/>
      <c r="PFO50" s="1398"/>
      <c r="PFP50" s="1398"/>
      <c r="PFQ50" s="1398"/>
      <c r="PFR50" s="1398"/>
      <c r="PFS50" s="1398"/>
      <c r="PFT50" s="1398"/>
      <c r="PFU50" s="1398"/>
      <c r="PFV50" s="1398"/>
      <c r="PFW50" s="1398"/>
      <c r="PFX50" s="1398"/>
      <c r="PFY50" s="1398"/>
      <c r="PFZ50" s="1398"/>
      <c r="PGA50" s="1398"/>
      <c r="PGB50" s="1398"/>
      <c r="PGC50" s="1398"/>
      <c r="PGD50" s="1398"/>
      <c r="PGE50" s="1398"/>
      <c r="PGF50" s="1398"/>
      <c r="PGG50" s="1398"/>
      <c r="PGH50" s="1398"/>
      <c r="PGI50" s="1398"/>
      <c r="PGJ50" s="1398"/>
      <c r="PGK50" s="1398"/>
      <c r="PGL50" s="1398"/>
      <c r="PGM50" s="1398"/>
      <c r="PGN50" s="1398"/>
      <c r="PGO50" s="1398"/>
      <c r="PGP50" s="1398"/>
      <c r="PGQ50" s="1398"/>
      <c r="PGR50" s="1398"/>
      <c r="PGS50" s="1398"/>
      <c r="PGT50" s="1398"/>
      <c r="PGU50" s="1398"/>
      <c r="PGV50" s="1398"/>
      <c r="PGW50" s="1398"/>
      <c r="PGX50" s="1398"/>
      <c r="PGY50" s="1398"/>
      <c r="PGZ50" s="1398"/>
      <c r="PHA50" s="1398"/>
      <c r="PHB50" s="1398"/>
      <c r="PHC50" s="1398"/>
      <c r="PHD50" s="1398"/>
      <c r="PHE50" s="1398"/>
      <c r="PHF50" s="1398"/>
      <c r="PHG50" s="1398"/>
      <c r="PHH50" s="1398"/>
      <c r="PHI50" s="1398"/>
      <c r="PHJ50" s="1398"/>
      <c r="PHK50" s="1398"/>
      <c r="PHL50" s="1398"/>
      <c r="PHM50" s="1398"/>
      <c r="PHN50" s="1398"/>
      <c r="PHO50" s="1398"/>
      <c r="PHP50" s="1398"/>
      <c r="PHQ50" s="1398"/>
      <c r="PHR50" s="1398"/>
      <c r="PHS50" s="1398"/>
      <c r="PHT50" s="1398"/>
      <c r="PHU50" s="1398"/>
      <c r="PHV50" s="1398"/>
      <c r="PHW50" s="1398"/>
      <c r="PHX50" s="1398"/>
      <c r="PHY50" s="1398"/>
      <c r="PHZ50" s="1398"/>
      <c r="PIA50" s="1398"/>
      <c r="PIB50" s="1398"/>
      <c r="PIC50" s="1398"/>
      <c r="PID50" s="1398"/>
      <c r="PIE50" s="1398"/>
      <c r="PIF50" s="1398"/>
      <c r="PIG50" s="1398"/>
      <c r="PIH50" s="1398"/>
      <c r="PII50" s="1398"/>
      <c r="PIJ50" s="1398"/>
      <c r="PIK50" s="1398"/>
      <c r="PIL50" s="1398"/>
      <c r="PIM50" s="1398"/>
      <c r="PIN50" s="1398"/>
      <c r="PIO50" s="1398"/>
      <c r="PIP50" s="1398"/>
      <c r="PIQ50" s="1398"/>
      <c r="PIR50" s="1398"/>
      <c r="PIS50" s="1398"/>
      <c r="PIT50" s="1398"/>
      <c r="PIU50" s="1398"/>
      <c r="PIV50" s="1398"/>
      <c r="PIW50" s="1398"/>
      <c r="PIX50" s="1398"/>
      <c r="PIY50" s="1398"/>
      <c r="PIZ50" s="1398"/>
      <c r="PJA50" s="1398"/>
      <c r="PJB50" s="1398"/>
      <c r="PJC50" s="1398"/>
      <c r="PJD50" s="1398"/>
      <c r="PJE50" s="1398"/>
      <c r="PJF50" s="1398"/>
      <c r="PJG50" s="1398"/>
      <c r="PJH50" s="1398"/>
      <c r="PJI50" s="1398"/>
      <c r="PJJ50" s="1398"/>
      <c r="PJK50" s="1398"/>
      <c r="PJL50" s="1398"/>
      <c r="PJM50" s="1398"/>
      <c r="PJN50" s="1398"/>
      <c r="PJO50" s="1398"/>
      <c r="PJP50" s="1398"/>
      <c r="PJQ50" s="1398"/>
      <c r="PJR50" s="1398"/>
      <c r="PJS50" s="1398"/>
      <c r="PJT50" s="1398"/>
      <c r="PJU50" s="1398"/>
      <c r="PJV50" s="1398"/>
      <c r="PJW50" s="1398"/>
      <c r="PJX50" s="1398"/>
      <c r="PJY50" s="1398"/>
      <c r="PJZ50" s="1398"/>
      <c r="PKA50" s="1398"/>
      <c r="PKB50" s="1398"/>
      <c r="PKC50" s="1398"/>
      <c r="PKD50" s="1398"/>
      <c r="PKE50" s="1398"/>
      <c r="PKF50" s="1398"/>
      <c r="PKG50" s="1398"/>
      <c r="PKH50" s="1398"/>
      <c r="PKI50" s="1398"/>
      <c r="PKJ50" s="1398"/>
      <c r="PKK50" s="1398"/>
      <c r="PKL50" s="1398"/>
      <c r="PKM50" s="1398"/>
      <c r="PKN50" s="1398"/>
      <c r="PKO50" s="1398"/>
      <c r="PKP50" s="1398"/>
      <c r="PKQ50" s="1398"/>
      <c r="PKR50" s="1398"/>
      <c r="PKS50" s="1398"/>
      <c r="PKT50" s="1398"/>
      <c r="PKU50" s="1398"/>
      <c r="PKV50" s="1398"/>
      <c r="PKW50" s="1398"/>
      <c r="PKX50" s="1398"/>
      <c r="PKY50" s="1398"/>
      <c r="PKZ50" s="1398"/>
      <c r="PLA50" s="1398"/>
      <c r="PLB50" s="1398"/>
      <c r="PLC50" s="1398"/>
      <c r="PLD50" s="1398"/>
      <c r="PLE50" s="1398"/>
      <c r="PLF50" s="1398"/>
      <c r="PLG50" s="1398"/>
      <c r="PLH50" s="1398"/>
      <c r="PLI50" s="1398"/>
      <c r="PLJ50" s="1398"/>
      <c r="PLK50" s="1398"/>
      <c r="PLL50" s="1398"/>
      <c r="PLM50" s="1398"/>
      <c r="PLN50" s="1398"/>
      <c r="PLO50" s="1398"/>
      <c r="PLP50" s="1398"/>
      <c r="PLQ50" s="1398"/>
      <c r="PLR50" s="1398"/>
      <c r="PLS50" s="1398"/>
      <c r="PLT50" s="1398"/>
      <c r="PLU50" s="1398"/>
      <c r="PLV50" s="1398"/>
      <c r="PLW50" s="1398"/>
      <c r="PLX50" s="1398"/>
      <c r="PLY50" s="1398"/>
      <c r="PLZ50" s="1398"/>
      <c r="PMA50" s="1398"/>
      <c r="PMB50" s="1398"/>
      <c r="PMC50" s="1398"/>
      <c r="PMD50" s="1398"/>
      <c r="PME50" s="1398"/>
      <c r="PMF50" s="1398"/>
      <c r="PMG50" s="1398"/>
      <c r="PMH50" s="1398"/>
      <c r="PMI50" s="1398"/>
      <c r="PMJ50" s="1398"/>
      <c r="PMK50" s="1398"/>
      <c r="PML50" s="1398"/>
      <c r="PMM50" s="1398"/>
      <c r="PMN50" s="1398"/>
      <c r="PMO50" s="1398"/>
      <c r="PMP50" s="1398"/>
      <c r="PMQ50" s="1398"/>
      <c r="PMR50" s="1398"/>
      <c r="PMS50" s="1398"/>
      <c r="PMT50" s="1398"/>
      <c r="PMU50" s="1398"/>
      <c r="PMV50" s="1398"/>
      <c r="PMW50" s="1398"/>
      <c r="PMX50" s="1398"/>
      <c r="PMY50" s="1398"/>
      <c r="PMZ50" s="1398"/>
      <c r="PNA50" s="1398"/>
      <c r="PNB50" s="1398"/>
      <c r="PNC50" s="1398"/>
      <c r="PND50" s="1398"/>
      <c r="PNE50" s="1398"/>
      <c r="PNF50" s="1398"/>
      <c r="PNG50" s="1398"/>
      <c r="PNH50" s="1398"/>
      <c r="PNI50" s="1398"/>
      <c r="PNJ50" s="1398"/>
      <c r="PNK50" s="1398"/>
      <c r="PNL50" s="1398"/>
      <c r="PNM50" s="1398"/>
      <c r="PNN50" s="1398"/>
      <c r="PNO50" s="1398"/>
      <c r="PNP50" s="1398"/>
      <c r="PNQ50" s="1398"/>
      <c r="PNR50" s="1398"/>
      <c r="PNS50" s="1398"/>
      <c r="PNT50" s="1398"/>
      <c r="PNU50" s="1398"/>
      <c r="PNV50" s="1398"/>
      <c r="PNW50" s="1398"/>
      <c r="PNX50" s="1398"/>
      <c r="PNY50" s="1398"/>
      <c r="PNZ50" s="1398"/>
      <c r="POA50" s="1398"/>
      <c r="POB50" s="1398"/>
      <c r="POC50" s="1398"/>
      <c r="POD50" s="1398"/>
      <c r="POE50" s="1398"/>
      <c r="POF50" s="1398"/>
      <c r="POG50" s="1398"/>
      <c r="POH50" s="1398"/>
      <c r="POI50" s="1398"/>
      <c r="POJ50" s="1398"/>
      <c r="POK50" s="1398"/>
      <c r="POL50" s="1398"/>
      <c r="POM50" s="1398"/>
      <c r="PON50" s="1398"/>
      <c r="POO50" s="1398"/>
      <c r="POP50" s="1398"/>
      <c r="POQ50" s="1398"/>
      <c r="POR50" s="1398"/>
      <c r="POS50" s="1398"/>
      <c r="POT50" s="1398"/>
      <c r="POU50" s="1398"/>
      <c r="POV50" s="1398"/>
      <c r="POW50" s="1398"/>
      <c r="POX50" s="1398"/>
      <c r="POY50" s="1398"/>
      <c r="POZ50" s="1398"/>
      <c r="PPA50" s="1398"/>
      <c r="PPB50" s="1398"/>
      <c r="PPC50" s="1398"/>
      <c r="PPD50" s="1398"/>
      <c r="PPE50" s="1398"/>
      <c r="PPF50" s="1398"/>
      <c r="PPG50" s="1398"/>
      <c r="PPH50" s="1398"/>
      <c r="PPI50" s="1398"/>
      <c r="PPJ50" s="1398"/>
      <c r="PPK50" s="1398"/>
      <c r="PPL50" s="1398"/>
      <c r="PPM50" s="1398"/>
      <c r="PPN50" s="1398"/>
      <c r="PPO50" s="1398"/>
      <c r="PPP50" s="1398"/>
      <c r="PPQ50" s="1398"/>
      <c r="PPR50" s="1398"/>
      <c r="PPS50" s="1398"/>
      <c r="PPT50" s="1398"/>
      <c r="PPU50" s="1398"/>
      <c r="PPV50" s="1398"/>
      <c r="PPW50" s="1398"/>
      <c r="PPX50" s="1398"/>
      <c r="PPY50" s="1398"/>
      <c r="PPZ50" s="1398"/>
      <c r="PQA50" s="1398"/>
      <c r="PQB50" s="1398"/>
      <c r="PQC50" s="1398"/>
      <c r="PQD50" s="1398"/>
      <c r="PQE50" s="1398"/>
      <c r="PQF50" s="1398"/>
      <c r="PQG50" s="1398"/>
      <c r="PQH50" s="1398"/>
      <c r="PQI50" s="1398"/>
      <c r="PQJ50" s="1398"/>
      <c r="PQK50" s="1398"/>
      <c r="PQL50" s="1398"/>
      <c r="PQM50" s="1398"/>
      <c r="PQN50" s="1398"/>
      <c r="PQO50" s="1398"/>
      <c r="PQP50" s="1398"/>
      <c r="PQQ50" s="1398"/>
      <c r="PQR50" s="1398"/>
      <c r="PQS50" s="1398"/>
      <c r="PQT50" s="1398"/>
      <c r="PQU50" s="1398"/>
      <c r="PQV50" s="1398"/>
      <c r="PQW50" s="1398"/>
      <c r="PQX50" s="1398"/>
      <c r="PQY50" s="1398"/>
      <c r="PQZ50" s="1398"/>
      <c r="PRA50" s="1398"/>
      <c r="PRB50" s="1398"/>
      <c r="PRC50" s="1398"/>
      <c r="PRD50" s="1398"/>
      <c r="PRE50" s="1398"/>
      <c r="PRF50" s="1398"/>
      <c r="PRG50" s="1398"/>
      <c r="PRH50" s="1398"/>
      <c r="PRI50" s="1398"/>
      <c r="PRJ50" s="1398"/>
      <c r="PRK50" s="1398"/>
      <c r="PRL50" s="1398"/>
      <c r="PRM50" s="1398"/>
      <c r="PRN50" s="1398"/>
      <c r="PRO50" s="1398"/>
      <c r="PRP50" s="1398"/>
      <c r="PRQ50" s="1398"/>
      <c r="PRR50" s="1398"/>
      <c r="PRS50" s="1398"/>
      <c r="PRT50" s="1398"/>
      <c r="PRU50" s="1398"/>
      <c r="PRV50" s="1398"/>
      <c r="PRW50" s="1398"/>
      <c r="PRX50" s="1398"/>
      <c r="PRY50" s="1398"/>
      <c r="PRZ50" s="1398"/>
      <c r="PSA50" s="1398"/>
      <c r="PSB50" s="1398"/>
      <c r="PSC50" s="1398"/>
      <c r="PSD50" s="1398"/>
      <c r="PSE50" s="1398"/>
      <c r="PSF50" s="1398"/>
      <c r="PSG50" s="1398"/>
      <c r="PSH50" s="1398"/>
      <c r="PSI50" s="1398"/>
      <c r="PSJ50" s="1398"/>
      <c r="PSK50" s="1398"/>
      <c r="PSL50" s="1398"/>
      <c r="PSM50" s="1398"/>
      <c r="PSN50" s="1398"/>
      <c r="PSO50" s="1398"/>
      <c r="PSP50" s="1398"/>
      <c r="PSQ50" s="1398"/>
      <c r="PSR50" s="1398"/>
      <c r="PSS50" s="1398"/>
      <c r="PST50" s="1398"/>
      <c r="PSU50" s="1398"/>
      <c r="PSV50" s="1398"/>
      <c r="PSW50" s="1398"/>
      <c r="PSX50" s="1398"/>
      <c r="PSY50" s="1398"/>
      <c r="PSZ50" s="1398"/>
      <c r="PTA50" s="1398"/>
      <c r="PTB50" s="1398"/>
      <c r="PTC50" s="1398"/>
      <c r="PTD50" s="1398"/>
      <c r="PTE50" s="1398"/>
      <c r="PTF50" s="1398"/>
      <c r="PTG50" s="1398"/>
      <c r="PTH50" s="1398"/>
      <c r="PTI50" s="1398"/>
      <c r="PTJ50" s="1398"/>
      <c r="PTK50" s="1398"/>
      <c r="PTL50" s="1398"/>
      <c r="PTM50" s="1398"/>
      <c r="PTN50" s="1398"/>
      <c r="PTO50" s="1398"/>
      <c r="PTP50" s="1398"/>
      <c r="PTQ50" s="1398"/>
      <c r="PTR50" s="1398"/>
      <c r="PTS50" s="1398"/>
      <c r="PTT50" s="1398"/>
      <c r="PTU50" s="1398"/>
      <c r="PTV50" s="1398"/>
      <c r="PTW50" s="1398"/>
      <c r="PTX50" s="1398"/>
      <c r="PTY50" s="1398"/>
      <c r="PTZ50" s="1398"/>
      <c r="PUA50" s="1398"/>
      <c r="PUB50" s="1398"/>
      <c r="PUC50" s="1398"/>
      <c r="PUD50" s="1398"/>
      <c r="PUE50" s="1398"/>
      <c r="PUF50" s="1398"/>
      <c r="PUG50" s="1398"/>
      <c r="PUH50" s="1398"/>
      <c r="PUI50" s="1398"/>
      <c r="PUJ50" s="1398"/>
      <c r="PUK50" s="1398"/>
      <c r="PUL50" s="1398"/>
      <c r="PUM50" s="1398"/>
      <c r="PUN50" s="1398"/>
      <c r="PUO50" s="1398"/>
      <c r="PUP50" s="1398"/>
      <c r="PUQ50" s="1398"/>
      <c r="PUR50" s="1398"/>
      <c r="PUS50" s="1398"/>
      <c r="PUT50" s="1398"/>
      <c r="PUU50" s="1398"/>
      <c r="PUV50" s="1398"/>
      <c r="PUW50" s="1398"/>
      <c r="PUX50" s="1398"/>
      <c r="PUY50" s="1398"/>
      <c r="PUZ50" s="1398"/>
      <c r="PVA50" s="1398"/>
      <c r="PVB50" s="1398"/>
      <c r="PVC50" s="1398"/>
      <c r="PVD50" s="1398"/>
      <c r="PVE50" s="1398"/>
      <c r="PVF50" s="1398"/>
      <c r="PVG50" s="1398"/>
      <c r="PVH50" s="1398"/>
      <c r="PVI50" s="1398"/>
      <c r="PVJ50" s="1398"/>
      <c r="PVK50" s="1398"/>
      <c r="PVL50" s="1398"/>
      <c r="PVM50" s="1398"/>
      <c r="PVN50" s="1398"/>
      <c r="PVO50" s="1398"/>
      <c r="PVP50" s="1398"/>
      <c r="PVQ50" s="1398"/>
      <c r="PVR50" s="1398"/>
      <c r="PVS50" s="1398"/>
      <c r="PVT50" s="1398"/>
      <c r="PVU50" s="1398"/>
      <c r="PVV50" s="1398"/>
      <c r="PVW50" s="1398"/>
      <c r="PVX50" s="1398"/>
      <c r="PVY50" s="1398"/>
      <c r="PVZ50" s="1398"/>
      <c r="PWA50" s="1398"/>
      <c r="PWB50" s="1398"/>
      <c r="PWC50" s="1398"/>
      <c r="PWD50" s="1398"/>
      <c r="PWE50" s="1398"/>
      <c r="PWF50" s="1398"/>
      <c r="PWG50" s="1398"/>
      <c r="PWH50" s="1398"/>
      <c r="PWI50" s="1398"/>
      <c r="PWJ50" s="1398"/>
      <c r="PWK50" s="1398"/>
      <c r="PWL50" s="1398"/>
      <c r="PWM50" s="1398"/>
      <c r="PWN50" s="1398"/>
      <c r="PWO50" s="1398"/>
      <c r="PWP50" s="1398"/>
      <c r="PWQ50" s="1398"/>
      <c r="PWR50" s="1398"/>
      <c r="PWS50" s="1398"/>
      <c r="PWT50" s="1398"/>
      <c r="PWU50" s="1398"/>
      <c r="PWV50" s="1398"/>
      <c r="PWW50" s="1398"/>
      <c r="PWX50" s="1398"/>
      <c r="PWY50" s="1398"/>
      <c r="PWZ50" s="1398"/>
      <c r="PXA50" s="1398"/>
      <c r="PXB50" s="1398"/>
      <c r="PXC50" s="1398"/>
      <c r="PXD50" s="1398"/>
      <c r="PXE50" s="1398"/>
      <c r="PXF50" s="1398"/>
      <c r="PXG50" s="1398"/>
      <c r="PXH50" s="1398"/>
      <c r="PXI50" s="1398"/>
      <c r="PXJ50" s="1398"/>
      <c r="PXK50" s="1398"/>
      <c r="PXL50" s="1398"/>
      <c r="PXM50" s="1398"/>
      <c r="PXN50" s="1398"/>
      <c r="PXO50" s="1398"/>
      <c r="PXP50" s="1398"/>
      <c r="PXQ50" s="1398"/>
      <c r="PXR50" s="1398"/>
      <c r="PXS50" s="1398"/>
      <c r="PXT50" s="1398"/>
      <c r="PXU50" s="1398"/>
      <c r="PXV50" s="1398"/>
      <c r="PXW50" s="1398"/>
      <c r="PXX50" s="1398"/>
      <c r="PXY50" s="1398"/>
      <c r="PXZ50" s="1398"/>
      <c r="PYA50" s="1398"/>
      <c r="PYB50" s="1398"/>
      <c r="PYC50" s="1398"/>
      <c r="PYD50" s="1398"/>
      <c r="PYE50" s="1398"/>
      <c r="PYF50" s="1398"/>
      <c r="PYG50" s="1398"/>
      <c r="PYH50" s="1398"/>
      <c r="PYI50" s="1398"/>
      <c r="PYJ50" s="1398"/>
      <c r="PYK50" s="1398"/>
      <c r="PYL50" s="1398"/>
      <c r="PYM50" s="1398"/>
      <c r="PYN50" s="1398"/>
      <c r="PYO50" s="1398"/>
      <c r="PYP50" s="1398"/>
      <c r="PYQ50" s="1398"/>
      <c r="PYR50" s="1398"/>
      <c r="PYS50" s="1398"/>
      <c r="PYT50" s="1398"/>
      <c r="PYU50" s="1398"/>
      <c r="PYV50" s="1398"/>
      <c r="PYW50" s="1398"/>
      <c r="PYX50" s="1398"/>
      <c r="PYY50" s="1398"/>
      <c r="PYZ50" s="1398"/>
      <c r="PZA50" s="1398"/>
      <c r="PZB50" s="1398"/>
      <c r="PZC50" s="1398"/>
      <c r="PZD50" s="1398"/>
      <c r="PZE50" s="1398"/>
      <c r="PZF50" s="1398"/>
      <c r="PZG50" s="1398"/>
      <c r="PZH50" s="1398"/>
      <c r="PZI50" s="1398"/>
      <c r="PZJ50" s="1398"/>
      <c r="PZK50" s="1398"/>
      <c r="PZL50" s="1398"/>
      <c r="PZM50" s="1398"/>
      <c r="PZN50" s="1398"/>
      <c r="PZO50" s="1398"/>
      <c r="PZP50" s="1398"/>
      <c r="PZQ50" s="1398"/>
      <c r="PZR50" s="1398"/>
      <c r="PZS50" s="1398"/>
      <c r="PZT50" s="1398"/>
      <c r="PZU50" s="1398"/>
      <c r="PZV50" s="1398"/>
      <c r="PZW50" s="1398"/>
      <c r="PZX50" s="1398"/>
      <c r="PZY50" s="1398"/>
      <c r="PZZ50" s="1398"/>
      <c r="QAA50" s="1398"/>
      <c r="QAB50" s="1398"/>
      <c r="QAC50" s="1398"/>
      <c r="QAD50" s="1398"/>
      <c r="QAE50" s="1398"/>
      <c r="QAF50" s="1398"/>
      <c r="QAG50" s="1398"/>
      <c r="QAH50" s="1398"/>
      <c r="QAI50" s="1398"/>
      <c r="QAJ50" s="1398"/>
      <c r="QAK50" s="1398"/>
      <c r="QAL50" s="1398"/>
      <c r="QAM50" s="1398"/>
      <c r="QAN50" s="1398"/>
      <c r="QAO50" s="1398"/>
      <c r="QAP50" s="1398"/>
      <c r="QAQ50" s="1398"/>
      <c r="QAR50" s="1398"/>
      <c r="QAS50" s="1398"/>
      <c r="QAT50" s="1398"/>
      <c r="QAU50" s="1398"/>
      <c r="QAV50" s="1398"/>
      <c r="QAW50" s="1398"/>
      <c r="QAX50" s="1398"/>
      <c r="QAY50" s="1398"/>
      <c r="QAZ50" s="1398"/>
      <c r="QBA50" s="1398"/>
      <c r="QBB50" s="1398"/>
      <c r="QBC50" s="1398"/>
      <c r="QBD50" s="1398"/>
      <c r="QBE50" s="1398"/>
      <c r="QBF50" s="1398"/>
      <c r="QBG50" s="1398"/>
      <c r="QBH50" s="1398"/>
      <c r="QBI50" s="1398"/>
      <c r="QBJ50" s="1398"/>
      <c r="QBK50" s="1398"/>
      <c r="QBL50" s="1398"/>
      <c r="QBM50" s="1398"/>
      <c r="QBN50" s="1398"/>
      <c r="QBO50" s="1398"/>
      <c r="QBP50" s="1398"/>
      <c r="QBQ50" s="1398"/>
      <c r="QBR50" s="1398"/>
      <c r="QBS50" s="1398"/>
      <c r="QBT50" s="1398"/>
      <c r="QBU50" s="1398"/>
      <c r="QBV50" s="1398"/>
      <c r="QBW50" s="1398"/>
      <c r="QBX50" s="1398"/>
      <c r="QBY50" s="1398"/>
      <c r="QBZ50" s="1398"/>
      <c r="QCA50" s="1398"/>
      <c r="QCB50" s="1398"/>
      <c r="QCC50" s="1398"/>
      <c r="QCD50" s="1398"/>
      <c r="QCE50" s="1398"/>
      <c r="QCF50" s="1398"/>
      <c r="QCG50" s="1398"/>
      <c r="QCH50" s="1398"/>
      <c r="QCI50" s="1398"/>
      <c r="QCJ50" s="1398"/>
      <c r="QCK50" s="1398"/>
      <c r="QCL50" s="1398"/>
      <c r="QCM50" s="1398"/>
      <c r="QCN50" s="1398"/>
      <c r="QCO50" s="1398"/>
      <c r="QCP50" s="1398"/>
      <c r="QCQ50" s="1398"/>
      <c r="QCR50" s="1398"/>
      <c r="QCS50" s="1398"/>
      <c r="QCT50" s="1398"/>
      <c r="QCU50" s="1398"/>
      <c r="QCV50" s="1398"/>
      <c r="QCW50" s="1398"/>
      <c r="QCX50" s="1398"/>
      <c r="QCY50" s="1398"/>
      <c r="QCZ50" s="1398"/>
      <c r="QDA50" s="1398"/>
      <c r="QDB50" s="1398"/>
      <c r="QDC50" s="1398"/>
      <c r="QDD50" s="1398"/>
      <c r="QDE50" s="1398"/>
      <c r="QDF50" s="1398"/>
      <c r="QDG50" s="1398"/>
      <c r="QDH50" s="1398"/>
      <c r="QDI50" s="1398"/>
      <c r="QDJ50" s="1398"/>
      <c r="QDK50" s="1398"/>
      <c r="QDL50" s="1398"/>
      <c r="QDM50" s="1398"/>
      <c r="QDN50" s="1398"/>
      <c r="QDO50" s="1398"/>
      <c r="QDP50" s="1398"/>
      <c r="QDQ50" s="1398"/>
      <c r="QDR50" s="1398"/>
      <c r="QDS50" s="1398"/>
      <c r="QDT50" s="1398"/>
      <c r="QDU50" s="1398"/>
      <c r="QDV50" s="1398"/>
      <c r="QDW50" s="1398"/>
      <c r="QDX50" s="1398"/>
      <c r="QDY50" s="1398"/>
      <c r="QDZ50" s="1398"/>
      <c r="QEA50" s="1398"/>
      <c r="QEB50" s="1398"/>
      <c r="QEC50" s="1398"/>
      <c r="QED50" s="1398"/>
      <c r="QEE50" s="1398"/>
      <c r="QEF50" s="1398"/>
      <c r="QEG50" s="1398"/>
      <c r="QEH50" s="1398"/>
      <c r="QEI50" s="1398"/>
      <c r="QEJ50" s="1398"/>
      <c r="QEK50" s="1398"/>
      <c r="QEL50" s="1398"/>
      <c r="QEM50" s="1398"/>
      <c r="QEN50" s="1398"/>
      <c r="QEO50" s="1398"/>
      <c r="QEP50" s="1398"/>
      <c r="QEQ50" s="1398"/>
      <c r="QER50" s="1398"/>
      <c r="QES50" s="1398"/>
      <c r="QET50" s="1398"/>
      <c r="QEU50" s="1398"/>
      <c r="QEV50" s="1398"/>
      <c r="QEW50" s="1398"/>
      <c r="QEX50" s="1398"/>
      <c r="QEY50" s="1398"/>
      <c r="QEZ50" s="1398"/>
      <c r="QFA50" s="1398"/>
      <c r="QFB50" s="1398"/>
      <c r="QFC50" s="1398"/>
      <c r="QFD50" s="1398"/>
      <c r="QFE50" s="1398"/>
      <c r="QFF50" s="1398"/>
      <c r="QFG50" s="1398"/>
      <c r="QFH50" s="1398"/>
      <c r="QFI50" s="1398"/>
      <c r="QFJ50" s="1398"/>
      <c r="QFK50" s="1398"/>
      <c r="QFL50" s="1398"/>
      <c r="QFM50" s="1398"/>
      <c r="QFN50" s="1398"/>
      <c r="QFO50" s="1398"/>
      <c r="QFP50" s="1398"/>
      <c r="QFQ50" s="1398"/>
      <c r="QFR50" s="1398"/>
      <c r="QFS50" s="1398"/>
      <c r="QFT50" s="1398"/>
      <c r="QFU50" s="1398"/>
      <c r="QFV50" s="1398"/>
      <c r="QFW50" s="1398"/>
      <c r="QFX50" s="1398"/>
      <c r="QFY50" s="1398"/>
      <c r="QFZ50" s="1398"/>
      <c r="QGA50" s="1398"/>
      <c r="QGB50" s="1398"/>
      <c r="QGC50" s="1398"/>
      <c r="QGD50" s="1398"/>
      <c r="QGE50" s="1398"/>
      <c r="QGF50" s="1398"/>
      <c r="QGG50" s="1398"/>
      <c r="QGH50" s="1398"/>
      <c r="QGI50" s="1398"/>
      <c r="QGJ50" s="1398"/>
      <c r="QGK50" s="1398"/>
      <c r="QGL50" s="1398"/>
      <c r="QGM50" s="1398"/>
      <c r="QGN50" s="1398"/>
      <c r="QGO50" s="1398"/>
      <c r="QGP50" s="1398"/>
      <c r="QGQ50" s="1398"/>
      <c r="QGR50" s="1398"/>
      <c r="QGS50" s="1398"/>
      <c r="QGT50" s="1398"/>
      <c r="QGU50" s="1398"/>
      <c r="QGV50" s="1398"/>
      <c r="QGW50" s="1398"/>
      <c r="QGX50" s="1398"/>
      <c r="QGY50" s="1398"/>
      <c r="QGZ50" s="1398"/>
      <c r="QHA50" s="1398"/>
      <c r="QHB50" s="1398"/>
      <c r="QHC50" s="1398"/>
      <c r="QHD50" s="1398"/>
      <c r="QHE50" s="1398"/>
      <c r="QHF50" s="1398"/>
      <c r="QHG50" s="1398"/>
      <c r="QHH50" s="1398"/>
      <c r="QHI50" s="1398"/>
      <c r="QHJ50" s="1398"/>
      <c r="QHK50" s="1398"/>
      <c r="QHL50" s="1398"/>
      <c r="QHM50" s="1398"/>
      <c r="QHN50" s="1398"/>
      <c r="QHO50" s="1398"/>
      <c r="QHP50" s="1398"/>
      <c r="QHQ50" s="1398"/>
      <c r="QHR50" s="1398"/>
      <c r="QHS50" s="1398"/>
      <c r="QHT50" s="1398"/>
      <c r="QHU50" s="1398"/>
      <c r="QHV50" s="1398"/>
      <c r="QHW50" s="1398"/>
      <c r="QHX50" s="1398"/>
      <c r="QHY50" s="1398"/>
      <c r="QHZ50" s="1398"/>
      <c r="QIA50" s="1398"/>
      <c r="QIB50" s="1398"/>
      <c r="QIC50" s="1398"/>
      <c r="QID50" s="1398"/>
      <c r="QIE50" s="1398"/>
      <c r="QIF50" s="1398"/>
      <c r="QIG50" s="1398"/>
      <c r="QIH50" s="1398"/>
      <c r="QII50" s="1398"/>
      <c r="QIJ50" s="1398"/>
      <c r="QIK50" s="1398"/>
      <c r="QIL50" s="1398"/>
      <c r="QIM50" s="1398"/>
      <c r="QIN50" s="1398"/>
      <c r="QIO50" s="1398"/>
      <c r="QIP50" s="1398"/>
      <c r="QIQ50" s="1398"/>
      <c r="QIR50" s="1398"/>
      <c r="QIS50" s="1398"/>
      <c r="QIT50" s="1398"/>
      <c r="QIU50" s="1398"/>
      <c r="QIV50" s="1398"/>
      <c r="QIW50" s="1398"/>
      <c r="QIX50" s="1398"/>
      <c r="QIY50" s="1398"/>
      <c r="QIZ50" s="1398"/>
      <c r="QJA50" s="1398"/>
      <c r="QJB50" s="1398"/>
      <c r="QJC50" s="1398"/>
      <c r="QJD50" s="1398"/>
      <c r="QJE50" s="1398"/>
      <c r="QJF50" s="1398"/>
      <c r="QJG50" s="1398"/>
      <c r="QJH50" s="1398"/>
      <c r="QJI50" s="1398"/>
      <c r="QJJ50" s="1398"/>
      <c r="QJK50" s="1398"/>
      <c r="QJL50" s="1398"/>
      <c r="QJM50" s="1398"/>
      <c r="QJN50" s="1398"/>
      <c r="QJO50" s="1398"/>
      <c r="QJP50" s="1398"/>
      <c r="QJQ50" s="1398"/>
      <c r="QJR50" s="1398"/>
      <c r="QJS50" s="1398"/>
      <c r="QJT50" s="1398"/>
      <c r="QJU50" s="1398"/>
      <c r="QJV50" s="1398"/>
      <c r="QJW50" s="1398"/>
      <c r="QJX50" s="1398"/>
      <c r="QJY50" s="1398"/>
      <c r="QJZ50" s="1398"/>
      <c r="QKA50" s="1398"/>
      <c r="QKB50" s="1398"/>
      <c r="QKC50" s="1398"/>
      <c r="QKD50" s="1398"/>
      <c r="QKE50" s="1398"/>
      <c r="QKF50" s="1398"/>
      <c r="QKG50" s="1398"/>
      <c r="QKH50" s="1398"/>
      <c r="QKI50" s="1398"/>
      <c r="QKJ50" s="1398"/>
      <c r="QKK50" s="1398"/>
      <c r="QKL50" s="1398"/>
      <c r="QKM50" s="1398"/>
      <c r="QKN50" s="1398"/>
      <c r="QKO50" s="1398"/>
      <c r="QKP50" s="1398"/>
      <c r="QKQ50" s="1398"/>
      <c r="QKR50" s="1398"/>
      <c r="QKS50" s="1398"/>
      <c r="QKT50" s="1398"/>
      <c r="QKU50" s="1398"/>
      <c r="QKV50" s="1398"/>
      <c r="QKW50" s="1398"/>
      <c r="QKX50" s="1398"/>
      <c r="QKY50" s="1398"/>
      <c r="QKZ50" s="1398"/>
      <c r="QLA50" s="1398"/>
      <c r="QLB50" s="1398"/>
      <c r="QLC50" s="1398"/>
      <c r="QLD50" s="1398"/>
      <c r="QLE50" s="1398"/>
      <c r="QLF50" s="1398"/>
      <c r="QLG50" s="1398"/>
      <c r="QLH50" s="1398"/>
      <c r="QLI50" s="1398"/>
      <c r="QLJ50" s="1398"/>
      <c r="QLK50" s="1398"/>
      <c r="QLL50" s="1398"/>
      <c r="QLM50" s="1398"/>
      <c r="QLN50" s="1398"/>
      <c r="QLO50" s="1398"/>
      <c r="QLP50" s="1398"/>
      <c r="QLQ50" s="1398"/>
      <c r="QLR50" s="1398"/>
      <c r="QLS50" s="1398"/>
      <c r="QLT50" s="1398"/>
      <c r="QLU50" s="1398"/>
      <c r="QLV50" s="1398"/>
      <c r="QLW50" s="1398"/>
      <c r="QLX50" s="1398"/>
      <c r="QLY50" s="1398"/>
      <c r="QLZ50" s="1398"/>
      <c r="QMA50" s="1398"/>
      <c r="QMB50" s="1398"/>
      <c r="QMC50" s="1398"/>
      <c r="QMD50" s="1398"/>
      <c r="QME50" s="1398"/>
      <c r="QMF50" s="1398"/>
      <c r="QMG50" s="1398"/>
      <c r="QMH50" s="1398"/>
      <c r="QMI50" s="1398"/>
      <c r="QMJ50" s="1398"/>
      <c r="QMK50" s="1398"/>
      <c r="QML50" s="1398"/>
      <c r="QMM50" s="1398"/>
      <c r="QMN50" s="1398"/>
      <c r="QMO50" s="1398"/>
      <c r="QMP50" s="1398"/>
      <c r="QMQ50" s="1398"/>
      <c r="QMR50" s="1398"/>
      <c r="QMS50" s="1398"/>
      <c r="QMT50" s="1398"/>
      <c r="QMU50" s="1398"/>
      <c r="QMV50" s="1398"/>
      <c r="QMW50" s="1398"/>
      <c r="QMX50" s="1398"/>
      <c r="QMY50" s="1398"/>
      <c r="QMZ50" s="1398"/>
      <c r="QNA50" s="1398"/>
      <c r="QNB50" s="1398"/>
      <c r="QNC50" s="1398"/>
      <c r="QND50" s="1398"/>
      <c r="QNE50" s="1398"/>
      <c r="QNF50" s="1398"/>
      <c r="QNG50" s="1398"/>
      <c r="QNH50" s="1398"/>
      <c r="QNI50" s="1398"/>
      <c r="QNJ50" s="1398"/>
      <c r="QNK50" s="1398"/>
      <c r="QNL50" s="1398"/>
      <c r="QNM50" s="1398"/>
      <c r="QNN50" s="1398"/>
      <c r="QNO50" s="1398"/>
      <c r="QNP50" s="1398"/>
      <c r="QNQ50" s="1398"/>
      <c r="QNR50" s="1398"/>
      <c r="QNS50" s="1398"/>
      <c r="QNT50" s="1398"/>
      <c r="QNU50" s="1398"/>
      <c r="QNV50" s="1398"/>
      <c r="QNW50" s="1398"/>
      <c r="QNX50" s="1398"/>
      <c r="QNY50" s="1398"/>
      <c r="QNZ50" s="1398"/>
      <c r="QOA50" s="1398"/>
      <c r="QOB50" s="1398"/>
      <c r="QOC50" s="1398"/>
      <c r="QOD50" s="1398"/>
      <c r="QOE50" s="1398"/>
      <c r="QOF50" s="1398"/>
      <c r="QOG50" s="1398"/>
      <c r="QOH50" s="1398"/>
      <c r="QOI50" s="1398"/>
      <c r="QOJ50" s="1398"/>
      <c r="QOK50" s="1398"/>
      <c r="QOL50" s="1398"/>
      <c r="QOM50" s="1398"/>
      <c r="QON50" s="1398"/>
      <c r="QOO50" s="1398"/>
      <c r="QOP50" s="1398"/>
      <c r="QOQ50" s="1398"/>
      <c r="QOR50" s="1398"/>
      <c r="QOS50" s="1398"/>
      <c r="QOT50" s="1398"/>
      <c r="QOU50" s="1398"/>
      <c r="QOV50" s="1398"/>
      <c r="QOW50" s="1398"/>
      <c r="QOX50" s="1398"/>
      <c r="QOY50" s="1398"/>
      <c r="QOZ50" s="1398"/>
      <c r="QPA50" s="1398"/>
      <c r="QPB50" s="1398"/>
      <c r="QPC50" s="1398"/>
      <c r="QPD50" s="1398"/>
      <c r="QPE50" s="1398"/>
      <c r="QPF50" s="1398"/>
      <c r="QPG50" s="1398"/>
      <c r="QPH50" s="1398"/>
      <c r="QPI50" s="1398"/>
      <c r="QPJ50" s="1398"/>
      <c r="QPK50" s="1398"/>
      <c r="QPL50" s="1398"/>
      <c r="QPM50" s="1398"/>
      <c r="QPN50" s="1398"/>
      <c r="QPO50" s="1398"/>
      <c r="QPP50" s="1398"/>
      <c r="QPQ50" s="1398"/>
      <c r="QPR50" s="1398"/>
      <c r="QPS50" s="1398"/>
      <c r="QPT50" s="1398"/>
      <c r="QPU50" s="1398"/>
      <c r="QPV50" s="1398"/>
      <c r="QPW50" s="1398"/>
      <c r="QPX50" s="1398"/>
      <c r="QPY50" s="1398"/>
      <c r="QPZ50" s="1398"/>
      <c r="QQA50" s="1398"/>
      <c r="QQB50" s="1398"/>
      <c r="QQC50" s="1398"/>
      <c r="QQD50" s="1398"/>
      <c r="QQE50" s="1398"/>
      <c r="QQF50" s="1398"/>
      <c r="QQG50" s="1398"/>
      <c r="QQH50" s="1398"/>
      <c r="QQI50" s="1398"/>
      <c r="QQJ50" s="1398"/>
      <c r="QQK50" s="1398"/>
      <c r="QQL50" s="1398"/>
      <c r="QQM50" s="1398"/>
      <c r="QQN50" s="1398"/>
      <c r="QQO50" s="1398"/>
      <c r="QQP50" s="1398"/>
      <c r="QQQ50" s="1398"/>
      <c r="QQR50" s="1398"/>
      <c r="QQS50" s="1398"/>
      <c r="QQT50" s="1398"/>
      <c r="QQU50" s="1398"/>
      <c r="QQV50" s="1398"/>
      <c r="QQW50" s="1398"/>
      <c r="QQX50" s="1398"/>
      <c r="QQY50" s="1398"/>
      <c r="QQZ50" s="1398"/>
      <c r="QRA50" s="1398"/>
      <c r="QRB50" s="1398"/>
      <c r="QRC50" s="1398"/>
      <c r="QRD50" s="1398"/>
      <c r="QRE50" s="1398"/>
      <c r="QRF50" s="1398"/>
      <c r="QRG50" s="1398"/>
      <c r="QRH50" s="1398"/>
      <c r="QRI50" s="1398"/>
      <c r="QRJ50" s="1398"/>
      <c r="QRK50" s="1398"/>
      <c r="QRL50" s="1398"/>
      <c r="QRM50" s="1398"/>
      <c r="QRN50" s="1398"/>
      <c r="QRO50" s="1398"/>
      <c r="QRP50" s="1398"/>
      <c r="QRQ50" s="1398"/>
      <c r="QRR50" s="1398"/>
      <c r="QRS50" s="1398"/>
      <c r="QRT50" s="1398"/>
      <c r="QRU50" s="1398"/>
      <c r="QRV50" s="1398"/>
      <c r="QRW50" s="1398"/>
      <c r="QRX50" s="1398"/>
      <c r="QRY50" s="1398"/>
      <c r="QRZ50" s="1398"/>
      <c r="QSA50" s="1398"/>
      <c r="QSB50" s="1398"/>
      <c r="QSC50" s="1398"/>
      <c r="QSD50" s="1398"/>
      <c r="QSE50" s="1398"/>
      <c r="QSF50" s="1398"/>
      <c r="QSG50" s="1398"/>
      <c r="QSH50" s="1398"/>
      <c r="QSI50" s="1398"/>
      <c r="QSJ50" s="1398"/>
      <c r="QSK50" s="1398"/>
      <c r="QSL50" s="1398"/>
      <c r="QSM50" s="1398"/>
      <c r="QSN50" s="1398"/>
      <c r="QSO50" s="1398"/>
      <c r="QSP50" s="1398"/>
      <c r="QSQ50" s="1398"/>
      <c r="QSR50" s="1398"/>
      <c r="QSS50" s="1398"/>
      <c r="QST50" s="1398"/>
      <c r="QSU50" s="1398"/>
      <c r="QSV50" s="1398"/>
      <c r="QSW50" s="1398"/>
      <c r="QSX50" s="1398"/>
      <c r="QSY50" s="1398"/>
      <c r="QSZ50" s="1398"/>
      <c r="QTA50" s="1398"/>
      <c r="QTB50" s="1398"/>
      <c r="QTC50" s="1398"/>
      <c r="QTD50" s="1398"/>
      <c r="QTE50" s="1398"/>
      <c r="QTF50" s="1398"/>
      <c r="QTG50" s="1398"/>
      <c r="QTH50" s="1398"/>
      <c r="QTI50" s="1398"/>
      <c r="QTJ50" s="1398"/>
      <c r="QTK50" s="1398"/>
      <c r="QTL50" s="1398"/>
      <c r="QTM50" s="1398"/>
      <c r="QTN50" s="1398"/>
      <c r="QTO50" s="1398"/>
      <c r="QTP50" s="1398"/>
      <c r="QTQ50" s="1398"/>
      <c r="QTR50" s="1398"/>
      <c r="QTS50" s="1398"/>
      <c r="QTT50" s="1398"/>
      <c r="QTU50" s="1398"/>
      <c r="QTV50" s="1398"/>
      <c r="QTW50" s="1398"/>
      <c r="QTX50" s="1398"/>
      <c r="QTY50" s="1398"/>
      <c r="QTZ50" s="1398"/>
      <c r="QUA50" s="1398"/>
      <c r="QUB50" s="1398"/>
      <c r="QUC50" s="1398"/>
      <c r="QUD50" s="1398"/>
      <c r="QUE50" s="1398"/>
      <c r="QUF50" s="1398"/>
      <c r="QUG50" s="1398"/>
      <c r="QUH50" s="1398"/>
      <c r="QUI50" s="1398"/>
      <c r="QUJ50" s="1398"/>
      <c r="QUK50" s="1398"/>
      <c r="QUL50" s="1398"/>
      <c r="QUM50" s="1398"/>
      <c r="QUN50" s="1398"/>
      <c r="QUO50" s="1398"/>
      <c r="QUP50" s="1398"/>
      <c r="QUQ50" s="1398"/>
      <c r="QUR50" s="1398"/>
      <c r="QUS50" s="1398"/>
      <c r="QUT50" s="1398"/>
      <c r="QUU50" s="1398"/>
      <c r="QUV50" s="1398"/>
      <c r="QUW50" s="1398"/>
      <c r="QUX50" s="1398"/>
      <c r="QUY50" s="1398"/>
      <c r="QUZ50" s="1398"/>
      <c r="QVA50" s="1398"/>
      <c r="QVB50" s="1398"/>
      <c r="QVC50" s="1398"/>
      <c r="QVD50" s="1398"/>
      <c r="QVE50" s="1398"/>
      <c r="QVF50" s="1398"/>
      <c r="QVG50" s="1398"/>
      <c r="QVH50" s="1398"/>
      <c r="QVI50" s="1398"/>
      <c r="QVJ50" s="1398"/>
      <c r="QVK50" s="1398"/>
      <c r="QVL50" s="1398"/>
      <c r="QVM50" s="1398"/>
      <c r="QVN50" s="1398"/>
      <c r="QVO50" s="1398"/>
      <c r="QVP50" s="1398"/>
      <c r="QVQ50" s="1398"/>
      <c r="QVR50" s="1398"/>
      <c r="QVS50" s="1398"/>
      <c r="QVT50" s="1398"/>
      <c r="QVU50" s="1398"/>
      <c r="QVV50" s="1398"/>
      <c r="QVW50" s="1398"/>
      <c r="QVX50" s="1398"/>
      <c r="QVY50" s="1398"/>
      <c r="QVZ50" s="1398"/>
      <c r="QWA50" s="1398"/>
      <c r="QWB50" s="1398"/>
      <c r="QWC50" s="1398"/>
      <c r="QWD50" s="1398"/>
      <c r="QWE50" s="1398"/>
      <c r="QWF50" s="1398"/>
      <c r="QWG50" s="1398"/>
      <c r="QWH50" s="1398"/>
      <c r="QWI50" s="1398"/>
      <c r="QWJ50" s="1398"/>
      <c r="QWK50" s="1398"/>
      <c r="QWL50" s="1398"/>
      <c r="QWM50" s="1398"/>
      <c r="QWN50" s="1398"/>
      <c r="QWO50" s="1398"/>
      <c r="QWP50" s="1398"/>
      <c r="QWQ50" s="1398"/>
      <c r="QWR50" s="1398"/>
      <c r="QWS50" s="1398"/>
      <c r="QWT50" s="1398"/>
      <c r="QWU50" s="1398"/>
      <c r="QWV50" s="1398"/>
      <c r="QWW50" s="1398"/>
      <c r="QWX50" s="1398"/>
      <c r="QWY50" s="1398"/>
      <c r="QWZ50" s="1398"/>
      <c r="QXA50" s="1398"/>
      <c r="QXB50" s="1398"/>
      <c r="QXC50" s="1398"/>
      <c r="QXD50" s="1398"/>
      <c r="QXE50" s="1398"/>
      <c r="QXF50" s="1398"/>
      <c r="QXG50" s="1398"/>
      <c r="QXH50" s="1398"/>
      <c r="QXI50" s="1398"/>
      <c r="QXJ50" s="1398"/>
      <c r="QXK50" s="1398"/>
      <c r="QXL50" s="1398"/>
      <c r="QXM50" s="1398"/>
      <c r="QXN50" s="1398"/>
      <c r="QXO50" s="1398"/>
      <c r="QXP50" s="1398"/>
      <c r="QXQ50" s="1398"/>
      <c r="QXR50" s="1398"/>
      <c r="QXS50" s="1398"/>
      <c r="QXT50" s="1398"/>
      <c r="QXU50" s="1398"/>
      <c r="QXV50" s="1398"/>
      <c r="QXW50" s="1398"/>
      <c r="QXX50" s="1398"/>
      <c r="QXY50" s="1398"/>
      <c r="QXZ50" s="1398"/>
      <c r="QYA50" s="1398"/>
      <c r="QYB50" s="1398"/>
      <c r="QYC50" s="1398"/>
      <c r="QYD50" s="1398"/>
      <c r="QYE50" s="1398"/>
      <c r="QYF50" s="1398"/>
      <c r="QYG50" s="1398"/>
      <c r="QYH50" s="1398"/>
      <c r="QYI50" s="1398"/>
      <c r="QYJ50" s="1398"/>
      <c r="QYK50" s="1398"/>
      <c r="QYL50" s="1398"/>
      <c r="QYM50" s="1398"/>
      <c r="QYN50" s="1398"/>
      <c r="QYO50" s="1398"/>
      <c r="QYP50" s="1398"/>
      <c r="QYQ50" s="1398"/>
      <c r="QYR50" s="1398"/>
      <c r="QYS50" s="1398"/>
      <c r="QYT50" s="1398"/>
      <c r="QYU50" s="1398"/>
      <c r="QYV50" s="1398"/>
      <c r="QYW50" s="1398"/>
      <c r="QYX50" s="1398"/>
      <c r="QYY50" s="1398"/>
      <c r="QYZ50" s="1398"/>
      <c r="QZA50" s="1398"/>
      <c r="QZB50" s="1398"/>
      <c r="QZC50" s="1398"/>
      <c r="QZD50" s="1398"/>
      <c r="QZE50" s="1398"/>
      <c r="QZF50" s="1398"/>
      <c r="QZG50" s="1398"/>
      <c r="QZH50" s="1398"/>
      <c r="QZI50" s="1398"/>
      <c r="QZJ50" s="1398"/>
      <c r="QZK50" s="1398"/>
      <c r="QZL50" s="1398"/>
      <c r="QZM50" s="1398"/>
      <c r="QZN50" s="1398"/>
      <c r="QZO50" s="1398"/>
      <c r="QZP50" s="1398"/>
      <c r="QZQ50" s="1398"/>
      <c r="QZR50" s="1398"/>
      <c r="QZS50" s="1398"/>
      <c r="QZT50" s="1398"/>
      <c r="QZU50" s="1398"/>
      <c r="QZV50" s="1398"/>
      <c r="QZW50" s="1398"/>
      <c r="QZX50" s="1398"/>
      <c r="QZY50" s="1398"/>
      <c r="QZZ50" s="1398"/>
      <c r="RAA50" s="1398"/>
      <c r="RAB50" s="1398"/>
      <c r="RAC50" s="1398"/>
      <c r="RAD50" s="1398"/>
      <c r="RAE50" s="1398"/>
      <c r="RAF50" s="1398"/>
      <c r="RAG50" s="1398"/>
      <c r="RAH50" s="1398"/>
      <c r="RAI50" s="1398"/>
      <c r="RAJ50" s="1398"/>
      <c r="RAK50" s="1398"/>
      <c r="RAL50" s="1398"/>
      <c r="RAM50" s="1398"/>
      <c r="RAN50" s="1398"/>
      <c r="RAO50" s="1398"/>
      <c r="RAP50" s="1398"/>
      <c r="RAQ50" s="1398"/>
      <c r="RAR50" s="1398"/>
      <c r="RAS50" s="1398"/>
      <c r="RAT50" s="1398"/>
      <c r="RAU50" s="1398"/>
      <c r="RAV50" s="1398"/>
      <c r="RAW50" s="1398"/>
      <c r="RAX50" s="1398"/>
      <c r="RAY50" s="1398"/>
      <c r="RAZ50" s="1398"/>
      <c r="RBA50" s="1398"/>
      <c r="RBB50" s="1398"/>
      <c r="RBC50" s="1398"/>
      <c r="RBD50" s="1398"/>
      <c r="RBE50" s="1398"/>
      <c r="RBF50" s="1398"/>
      <c r="RBG50" s="1398"/>
      <c r="RBH50" s="1398"/>
      <c r="RBI50" s="1398"/>
      <c r="RBJ50" s="1398"/>
      <c r="RBK50" s="1398"/>
      <c r="RBL50" s="1398"/>
      <c r="RBM50" s="1398"/>
      <c r="RBN50" s="1398"/>
      <c r="RBO50" s="1398"/>
      <c r="RBP50" s="1398"/>
      <c r="RBQ50" s="1398"/>
      <c r="RBR50" s="1398"/>
      <c r="RBS50" s="1398"/>
      <c r="RBT50" s="1398"/>
      <c r="RBU50" s="1398"/>
      <c r="RBV50" s="1398"/>
      <c r="RBW50" s="1398"/>
      <c r="RBX50" s="1398"/>
      <c r="RBY50" s="1398"/>
      <c r="RBZ50" s="1398"/>
      <c r="RCA50" s="1398"/>
      <c r="RCB50" s="1398"/>
      <c r="RCC50" s="1398"/>
      <c r="RCD50" s="1398"/>
      <c r="RCE50" s="1398"/>
      <c r="RCF50" s="1398"/>
      <c r="RCG50" s="1398"/>
      <c r="RCH50" s="1398"/>
      <c r="RCI50" s="1398"/>
      <c r="RCJ50" s="1398"/>
      <c r="RCK50" s="1398"/>
      <c r="RCL50" s="1398"/>
      <c r="RCM50" s="1398"/>
      <c r="RCN50" s="1398"/>
      <c r="RCO50" s="1398"/>
      <c r="RCP50" s="1398"/>
      <c r="RCQ50" s="1398"/>
      <c r="RCR50" s="1398"/>
      <c r="RCS50" s="1398"/>
      <c r="RCT50" s="1398"/>
      <c r="RCU50" s="1398"/>
      <c r="RCV50" s="1398"/>
      <c r="RCW50" s="1398"/>
      <c r="RCX50" s="1398"/>
      <c r="RCY50" s="1398"/>
      <c r="RCZ50" s="1398"/>
      <c r="RDA50" s="1398"/>
      <c r="RDB50" s="1398"/>
      <c r="RDC50" s="1398"/>
      <c r="RDD50" s="1398"/>
      <c r="RDE50" s="1398"/>
      <c r="RDF50" s="1398"/>
      <c r="RDG50" s="1398"/>
      <c r="RDH50" s="1398"/>
      <c r="RDI50" s="1398"/>
      <c r="RDJ50" s="1398"/>
      <c r="RDK50" s="1398"/>
      <c r="RDL50" s="1398"/>
      <c r="RDM50" s="1398"/>
      <c r="RDN50" s="1398"/>
      <c r="RDO50" s="1398"/>
      <c r="RDP50" s="1398"/>
      <c r="RDQ50" s="1398"/>
      <c r="RDR50" s="1398"/>
      <c r="RDS50" s="1398"/>
      <c r="RDT50" s="1398"/>
      <c r="RDU50" s="1398"/>
      <c r="RDV50" s="1398"/>
      <c r="RDW50" s="1398"/>
      <c r="RDX50" s="1398"/>
      <c r="RDY50" s="1398"/>
      <c r="RDZ50" s="1398"/>
      <c r="REA50" s="1398"/>
      <c r="REB50" s="1398"/>
      <c r="REC50" s="1398"/>
      <c r="RED50" s="1398"/>
      <c r="REE50" s="1398"/>
      <c r="REF50" s="1398"/>
      <c r="REG50" s="1398"/>
      <c r="REH50" s="1398"/>
      <c r="REI50" s="1398"/>
      <c r="REJ50" s="1398"/>
      <c r="REK50" s="1398"/>
      <c r="REL50" s="1398"/>
      <c r="REM50" s="1398"/>
      <c r="REN50" s="1398"/>
      <c r="REO50" s="1398"/>
      <c r="REP50" s="1398"/>
      <c r="REQ50" s="1398"/>
      <c r="RER50" s="1398"/>
      <c r="RES50" s="1398"/>
      <c r="RET50" s="1398"/>
      <c r="REU50" s="1398"/>
      <c r="REV50" s="1398"/>
      <c r="REW50" s="1398"/>
      <c r="REX50" s="1398"/>
      <c r="REY50" s="1398"/>
      <c r="REZ50" s="1398"/>
      <c r="RFA50" s="1398"/>
      <c r="RFB50" s="1398"/>
      <c r="RFC50" s="1398"/>
      <c r="RFD50" s="1398"/>
      <c r="RFE50" s="1398"/>
      <c r="RFF50" s="1398"/>
      <c r="RFG50" s="1398"/>
      <c r="RFH50" s="1398"/>
      <c r="RFI50" s="1398"/>
      <c r="RFJ50" s="1398"/>
      <c r="RFK50" s="1398"/>
      <c r="RFL50" s="1398"/>
      <c r="RFM50" s="1398"/>
      <c r="RFN50" s="1398"/>
      <c r="RFO50" s="1398"/>
      <c r="RFP50" s="1398"/>
      <c r="RFQ50" s="1398"/>
      <c r="RFR50" s="1398"/>
      <c r="RFS50" s="1398"/>
      <c r="RFT50" s="1398"/>
      <c r="RFU50" s="1398"/>
      <c r="RFV50" s="1398"/>
      <c r="RFW50" s="1398"/>
      <c r="RFX50" s="1398"/>
      <c r="RFY50" s="1398"/>
      <c r="RFZ50" s="1398"/>
      <c r="RGA50" s="1398"/>
      <c r="RGB50" s="1398"/>
      <c r="RGC50" s="1398"/>
      <c r="RGD50" s="1398"/>
      <c r="RGE50" s="1398"/>
      <c r="RGF50" s="1398"/>
      <c r="RGG50" s="1398"/>
      <c r="RGH50" s="1398"/>
      <c r="RGI50" s="1398"/>
      <c r="RGJ50" s="1398"/>
      <c r="RGK50" s="1398"/>
      <c r="RGL50" s="1398"/>
      <c r="RGM50" s="1398"/>
      <c r="RGN50" s="1398"/>
      <c r="RGO50" s="1398"/>
      <c r="RGP50" s="1398"/>
      <c r="RGQ50" s="1398"/>
      <c r="RGR50" s="1398"/>
      <c r="RGS50" s="1398"/>
      <c r="RGT50" s="1398"/>
      <c r="RGU50" s="1398"/>
      <c r="RGV50" s="1398"/>
      <c r="RGW50" s="1398"/>
      <c r="RGX50" s="1398"/>
      <c r="RGY50" s="1398"/>
      <c r="RGZ50" s="1398"/>
      <c r="RHA50" s="1398"/>
      <c r="RHB50" s="1398"/>
      <c r="RHC50" s="1398"/>
      <c r="RHD50" s="1398"/>
      <c r="RHE50" s="1398"/>
      <c r="RHF50" s="1398"/>
      <c r="RHG50" s="1398"/>
      <c r="RHH50" s="1398"/>
      <c r="RHI50" s="1398"/>
      <c r="RHJ50" s="1398"/>
      <c r="RHK50" s="1398"/>
      <c r="RHL50" s="1398"/>
      <c r="RHM50" s="1398"/>
      <c r="RHN50" s="1398"/>
      <c r="RHO50" s="1398"/>
      <c r="RHP50" s="1398"/>
      <c r="RHQ50" s="1398"/>
      <c r="RHR50" s="1398"/>
      <c r="RHS50" s="1398"/>
      <c r="RHT50" s="1398"/>
      <c r="RHU50" s="1398"/>
      <c r="RHV50" s="1398"/>
      <c r="RHW50" s="1398"/>
      <c r="RHX50" s="1398"/>
      <c r="RHY50" s="1398"/>
      <c r="RHZ50" s="1398"/>
      <c r="RIA50" s="1398"/>
      <c r="RIB50" s="1398"/>
      <c r="RIC50" s="1398"/>
      <c r="RID50" s="1398"/>
      <c r="RIE50" s="1398"/>
      <c r="RIF50" s="1398"/>
      <c r="RIG50" s="1398"/>
      <c r="RIH50" s="1398"/>
      <c r="RII50" s="1398"/>
      <c r="RIJ50" s="1398"/>
      <c r="RIK50" s="1398"/>
      <c r="RIL50" s="1398"/>
      <c r="RIM50" s="1398"/>
      <c r="RIN50" s="1398"/>
      <c r="RIO50" s="1398"/>
      <c r="RIP50" s="1398"/>
      <c r="RIQ50" s="1398"/>
      <c r="RIR50" s="1398"/>
      <c r="RIS50" s="1398"/>
      <c r="RIT50" s="1398"/>
      <c r="RIU50" s="1398"/>
      <c r="RIV50" s="1398"/>
      <c r="RIW50" s="1398"/>
      <c r="RIX50" s="1398"/>
      <c r="RIY50" s="1398"/>
      <c r="RIZ50" s="1398"/>
      <c r="RJA50" s="1398"/>
      <c r="RJB50" s="1398"/>
      <c r="RJC50" s="1398"/>
      <c r="RJD50" s="1398"/>
      <c r="RJE50" s="1398"/>
      <c r="RJF50" s="1398"/>
      <c r="RJG50" s="1398"/>
      <c r="RJH50" s="1398"/>
      <c r="RJI50" s="1398"/>
      <c r="RJJ50" s="1398"/>
      <c r="RJK50" s="1398"/>
      <c r="RJL50" s="1398"/>
      <c r="RJM50" s="1398"/>
      <c r="RJN50" s="1398"/>
      <c r="RJO50" s="1398"/>
      <c r="RJP50" s="1398"/>
      <c r="RJQ50" s="1398"/>
      <c r="RJR50" s="1398"/>
      <c r="RJS50" s="1398"/>
      <c r="RJT50" s="1398"/>
      <c r="RJU50" s="1398"/>
      <c r="RJV50" s="1398"/>
      <c r="RJW50" s="1398"/>
      <c r="RJX50" s="1398"/>
      <c r="RJY50" s="1398"/>
      <c r="RJZ50" s="1398"/>
      <c r="RKA50" s="1398"/>
      <c r="RKB50" s="1398"/>
      <c r="RKC50" s="1398"/>
      <c r="RKD50" s="1398"/>
      <c r="RKE50" s="1398"/>
      <c r="RKF50" s="1398"/>
      <c r="RKG50" s="1398"/>
      <c r="RKH50" s="1398"/>
      <c r="RKI50" s="1398"/>
      <c r="RKJ50" s="1398"/>
      <c r="RKK50" s="1398"/>
      <c r="RKL50" s="1398"/>
      <c r="RKM50" s="1398"/>
      <c r="RKN50" s="1398"/>
      <c r="RKO50" s="1398"/>
      <c r="RKP50" s="1398"/>
      <c r="RKQ50" s="1398"/>
      <c r="RKR50" s="1398"/>
      <c r="RKS50" s="1398"/>
      <c r="RKT50" s="1398"/>
      <c r="RKU50" s="1398"/>
      <c r="RKV50" s="1398"/>
      <c r="RKW50" s="1398"/>
      <c r="RKX50" s="1398"/>
      <c r="RKY50" s="1398"/>
      <c r="RKZ50" s="1398"/>
      <c r="RLA50" s="1398"/>
      <c r="RLB50" s="1398"/>
      <c r="RLC50" s="1398"/>
      <c r="RLD50" s="1398"/>
      <c r="RLE50" s="1398"/>
      <c r="RLF50" s="1398"/>
      <c r="RLG50" s="1398"/>
      <c r="RLH50" s="1398"/>
      <c r="RLI50" s="1398"/>
      <c r="RLJ50" s="1398"/>
      <c r="RLK50" s="1398"/>
      <c r="RLL50" s="1398"/>
      <c r="RLM50" s="1398"/>
      <c r="RLN50" s="1398"/>
      <c r="RLO50" s="1398"/>
      <c r="RLP50" s="1398"/>
      <c r="RLQ50" s="1398"/>
      <c r="RLR50" s="1398"/>
      <c r="RLS50" s="1398"/>
      <c r="RLT50" s="1398"/>
      <c r="RLU50" s="1398"/>
      <c r="RLV50" s="1398"/>
      <c r="RLW50" s="1398"/>
      <c r="RLX50" s="1398"/>
      <c r="RLY50" s="1398"/>
      <c r="RLZ50" s="1398"/>
      <c r="RMA50" s="1398"/>
      <c r="RMB50" s="1398"/>
      <c r="RMC50" s="1398"/>
      <c r="RMD50" s="1398"/>
      <c r="RME50" s="1398"/>
      <c r="RMF50" s="1398"/>
      <c r="RMG50" s="1398"/>
      <c r="RMH50" s="1398"/>
      <c r="RMI50" s="1398"/>
      <c r="RMJ50" s="1398"/>
      <c r="RMK50" s="1398"/>
      <c r="RML50" s="1398"/>
      <c r="RMM50" s="1398"/>
      <c r="RMN50" s="1398"/>
      <c r="RMO50" s="1398"/>
      <c r="RMP50" s="1398"/>
      <c r="RMQ50" s="1398"/>
      <c r="RMR50" s="1398"/>
      <c r="RMS50" s="1398"/>
      <c r="RMT50" s="1398"/>
      <c r="RMU50" s="1398"/>
      <c r="RMV50" s="1398"/>
      <c r="RMW50" s="1398"/>
      <c r="RMX50" s="1398"/>
      <c r="RMY50" s="1398"/>
      <c r="RMZ50" s="1398"/>
      <c r="RNA50" s="1398"/>
      <c r="RNB50" s="1398"/>
      <c r="RNC50" s="1398"/>
      <c r="RND50" s="1398"/>
      <c r="RNE50" s="1398"/>
      <c r="RNF50" s="1398"/>
      <c r="RNG50" s="1398"/>
      <c r="RNH50" s="1398"/>
      <c r="RNI50" s="1398"/>
      <c r="RNJ50" s="1398"/>
      <c r="RNK50" s="1398"/>
      <c r="RNL50" s="1398"/>
      <c r="RNM50" s="1398"/>
      <c r="RNN50" s="1398"/>
      <c r="RNO50" s="1398"/>
      <c r="RNP50" s="1398"/>
      <c r="RNQ50" s="1398"/>
      <c r="RNR50" s="1398"/>
      <c r="RNS50" s="1398"/>
      <c r="RNT50" s="1398"/>
      <c r="RNU50" s="1398"/>
      <c r="RNV50" s="1398"/>
      <c r="RNW50" s="1398"/>
      <c r="RNX50" s="1398"/>
      <c r="RNY50" s="1398"/>
      <c r="RNZ50" s="1398"/>
      <c r="ROA50" s="1398"/>
      <c r="ROB50" s="1398"/>
      <c r="ROC50" s="1398"/>
      <c r="ROD50" s="1398"/>
      <c r="ROE50" s="1398"/>
      <c r="ROF50" s="1398"/>
      <c r="ROG50" s="1398"/>
      <c r="ROH50" s="1398"/>
      <c r="ROI50" s="1398"/>
      <c r="ROJ50" s="1398"/>
      <c r="ROK50" s="1398"/>
      <c r="ROL50" s="1398"/>
      <c r="ROM50" s="1398"/>
      <c r="RON50" s="1398"/>
      <c r="ROO50" s="1398"/>
      <c r="ROP50" s="1398"/>
      <c r="ROQ50" s="1398"/>
      <c r="ROR50" s="1398"/>
      <c r="ROS50" s="1398"/>
      <c r="ROT50" s="1398"/>
      <c r="ROU50" s="1398"/>
      <c r="ROV50" s="1398"/>
      <c r="ROW50" s="1398"/>
      <c r="ROX50" s="1398"/>
      <c r="ROY50" s="1398"/>
      <c r="ROZ50" s="1398"/>
      <c r="RPA50" s="1398"/>
      <c r="RPB50" s="1398"/>
      <c r="RPC50" s="1398"/>
      <c r="RPD50" s="1398"/>
      <c r="RPE50" s="1398"/>
      <c r="RPF50" s="1398"/>
      <c r="RPG50" s="1398"/>
      <c r="RPH50" s="1398"/>
      <c r="RPI50" s="1398"/>
      <c r="RPJ50" s="1398"/>
      <c r="RPK50" s="1398"/>
      <c r="RPL50" s="1398"/>
      <c r="RPM50" s="1398"/>
      <c r="RPN50" s="1398"/>
      <c r="RPO50" s="1398"/>
      <c r="RPP50" s="1398"/>
      <c r="RPQ50" s="1398"/>
      <c r="RPR50" s="1398"/>
      <c r="RPS50" s="1398"/>
      <c r="RPT50" s="1398"/>
      <c r="RPU50" s="1398"/>
      <c r="RPV50" s="1398"/>
      <c r="RPW50" s="1398"/>
      <c r="RPX50" s="1398"/>
      <c r="RPY50" s="1398"/>
      <c r="RPZ50" s="1398"/>
      <c r="RQA50" s="1398"/>
      <c r="RQB50" s="1398"/>
      <c r="RQC50" s="1398"/>
      <c r="RQD50" s="1398"/>
      <c r="RQE50" s="1398"/>
      <c r="RQF50" s="1398"/>
      <c r="RQG50" s="1398"/>
      <c r="RQH50" s="1398"/>
      <c r="RQI50" s="1398"/>
      <c r="RQJ50" s="1398"/>
      <c r="RQK50" s="1398"/>
      <c r="RQL50" s="1398"/>
      <c r="RQM50" s="1398"/>
      <c r="RQN50" s="1398"/>
      <c r="RQO50" s="1398"/>
      <c r="RQP50" s="1398"/>
      <c r="RQQ50" s="1398"/>
      <c r="RQR50" s="1398"/>
      <c r="RQS50" s="1398"/>
      <c r="RQT50" s="1398"/>
      <c r="RQU50" s="1398"/>
      <c r="RQV50" s="1398"/>
      <c r="RQW50" s="1398"/>
      <c r="RQX50" s="1398"/>
      <c r="RQY50" s="1398"/>
      <c r="RQZ50" s="1398"/>
      <c r="RRA50" s="1398"/>
      <c r="RRB50" s="1398"/>
      <c r="RRC50" s="1398"/>
      <c r="RRD50" s="1398"/>
      <c r="RRE50" s="1398"/>
      <c r="RRF50" s="1398"/>
      <c r="RRG50" s="1398"/>
      <c r="RRH50" s="1398"/>
      <c r="RRI50" s="1398"/>
      <c r="RRJ50" s="1398"/>
      <c r="RRK50" s="1398"/>
      <c r="RRL50" s="1398"/>
      <c r="RRM50" s="1398"/>
      <c r="RRN50" s="1398"/>
      <c r="RRO50" s="1398"/>
      <c r="RRP50" s="1398"/>
      <c r="RRQ50" s="1398"/>
      <c r="RRR50" s="1398"/>
      <c r="RRS50" s="1398"/>
      <c r="RRT50" s="1398"/>
      <c r="RRU50" s="1398"/>
      <c r="RRV50" s="1398"/>
      <c r="RRW50" s="1398"/>
      <c r="RRX50" s="1398"/>
      <c r="RRY50" s="1398"/>
      <c r="RRZ50" s="1398"/>
      <c r="RSA50" s="1398"/>
      <c r="RSB50" s="1398"/>
      <c r="RSC50" s="1398"/>
      <c r="RSD50" s="1398"/>
      <c r="RSE50" s="1398"/>
      <c r="RSF50" s="1398"/>
      <c r="RSG50" s="1398"/>
      <c r="RSH50" s="1398"/>
      <c r="RSI50" s="1398"/>
      <c r="RSJ50" s="1398"/>
      <c r="RSK50" s="1398"/>
      <c r="RSL50" s="1398"/>
      <c r="RSM50" s="1398"/>
      <c r="RSN50" s="1398"/>
      <c r="RSO50" s="1398"/>
      <c r="RSP50" s="1398"/>
      <c r="RSQ50" s="1398"/>
      <c r="RSR50" s="1398"/>
      <c r="RSS50" s="1398"/>
      <c r="RST50" s="1398"/>
      <c r="RSU50" s="1398"/>
      <c r="RSV50" s="1398"/>
      <c r="RSW50" s="1398"/>
      <c r="RSX50" s="1398"/>
      <c r="RSY50" s="1398"/>
      <c r="RSZ50" s="1398"/>
      <c r="RTA50" s="1398"/>
      <c r="RTB50" s="1398"/>
      <c r="RTC50" s="1398"/>
      <c r="RTD50" s="1398"/>
      <c r="RTE50" s="1398"/>
      <c r="RTF50" s="1398"/>
      <c r="RTG50" s="1398"/>
      <c r="RTH50" s="1398"/>
      <c r="RTI50" s="1398"/>
      <c r="RTJ50" s="1398"/>
      <c r="RTK50" s="1398"/>
      <c r="RTL50" s="1398"/>
      <c r="RTM50" s="1398"/>
      <c r="RTN50" s="1398"/>
      <c r="RTO50" s="1398"/>
      <c r="RTP50" s="1398"/>
      <c r="RTQ50" s="1398"/>
      <c r="RTR50" s="1398"/>
      <c r="RTS50" s="1398"/>
      <c r="RTT50" s="1398"/>
      <c r="RTU50" s="1398"/>
      <c r="RTV50" s="1398"/>
      <c r="RTW50" s="1398"/>
      <c r="RTX50" s="1398"/>
      <c r="RTY50" s="1398"/>
      <c r="RTZ50" s="1398"/>
      <c r="RUA50" s="1398"/>
      <c r="RUB50" s="1398"/>
      <c r="RUC50" s="1398"/>
      <c r="RUD50" s="1398"/>
      <c r="RUE50" s="1398"/>
      <c r="RUF50" s="1398"/>
      <c r="RUG50" s="1398"/>
      <c r="RUH50" s="1398"/>
      <c r="RUI50" s="1398"/>
      <c r="RUJ50" s="1398"/>
      <c r="RUK50" s="1398"/>
      <c r="RUL50" s="1398"/>
      <c r="RUM50" s="1398"/>
      <c r="RUN50" s="1398"/>
      <c r="RUO50" s="1398"/>
      <c r="RUP50" s="1398"/>
      <c r="RUQ50" s="1398"/>
      <c r="RUR50" s="1398"/>
      <c r="RUS50" s="1398"/>
      <c r="RUT50" s="1398"/>
      <c r="RUU50" s="1398"/>
      <c r="RUV50" s="1398"/>
      <c r="RUW50" s="1398"/>
      <c r="RUX50" s="1398"/>
      <c r="RUY50" s="1398"/>
      <c r="RUZ50" s="1398"/>
      <c r="RVA50" s="1398"/>
      <c r="RVB50" s="1398"/>
      <c r="RVC50" s="1398"/>
      <c r="RVD50" s="1398"/>
      <c r="RVE50" s="1398"/>
      <c r="RVF50" s="1398"/>
      <c r="RVG50" s="1398"/>
      <c r="RVH50" s="1398"/>
      <c r="RVI50" s="1398"/>
      <c r="RVJ50" s="1398"/>
      <c r="RVK50" s="1398"/>
      <c r="RVL50" s="1398"/>
      <c r="RVM50" s="1398"/>
      <c r="RVN50" s="1398"/>
      <c r="RVO50" s="1398"/>
      <c r="RVP50" s="1398"/>
      <c r="RVQ50" s="1398"/>
      <c r="RVR50" s="1398"/>
      <c r="RVS50" s="1398"/>
      <c r="RVT50" s="1398"/>
      <c r="RVU50" s="1398"/>
      <c r="RVV50" s="1398"/>
      <c r="RVW50" s="1398"/>
      <c r="RVX50" s="1398"/>
      <c r="RVY50" s="1398"/>
      <c r="RVZ50" s="1398"/>
      <c r="RWA50" s="1398"/>
      <c r="RWB50" s="1398"/>
      <c r="RWC50" s="1398"/>
      <c r="RWD50" s="1398"/>
      <c r="RWE50" s="1398"/>
      <c r="RWF50" s="1398"/>
      <c r="RWG50" s="1398"/>
      <c r="RWH50" s="1398"/>
      <c r="RWI50" s="1398"/>
      <c r="RWJ50" s="1398"/>
      <c r="RWK50" s="1398"/>
      <c r="RWL50" s="1398"/>
      <c r="RWM50" s="1398"/>
      <c r="RWN50" s="1398"/>
      <c r="RWO50" s="1398"/>
      <c r="RWP50" s="1398"/>
      <c r="RWQ50" s="1398"/>
      <c r="RWR50" s="1398"/>
      <c r="RWS50" s="1398"/>
      <c r="RWT50" s="1398"/>
      <c r="RWU50" s="1398"/>
      <c r="RWV50" s="1398"/>
      <c r="RWW50" s="1398"/>
      <c r="RWX50" s="1398"/>
      <c r="RWY50" s="1398"/>
      <c r="RWZ50" s="1398"/>
      <c r="RXA50" s="1398"/>
      <c r="RXB50" s="1398"/>
      <c r="RXC50" s="1398"/>
      <c r="RXD50" s="1398"/>
      <c r="RXE50" s="1398"/>
      <c r="RXF50" s="1398"/>
      <c r="RXG50" s="1398"/>
      <c r="RXH50" s="1398"/>
      <c r="RXI50" s="1398"/>
      <c r="RXJ50" s="1398"/>
      <c r="RXK50" s="1398"/>
      <c r="RXL50" s="1398"/>
      <c r="RXM50" s="1398"/>
      <c r="RXN50" s="1398"/>
      <c r="RXO50" s="1398"/>
      <c r="RXP50" s="1398"/>
      <c r="RXQ50" s="1398"/>
      <c r="RXR50" s="1398"/>
      <c r="RXS50" s="1398"/>
      <c r="RXT50" s="1398"/>
      <c r="RXU50" s="1398"/>
      <c r="RXV50" s="1398"/>
      <c r="RXW50" s="1398"/>
      <c r="RXX50" s="1398"/>
      <c r="RXY50" s="1398"/>
      <c r="RXZ50" s="1398"/>
      <c r="RYA50" s="1398"/>
      <c r="RYB50" s="1398"/>
      <c r="RYC50" s="1398"/>
      <c r="RYD50" s="1398"/>
      <c r="RYE50" s="1398"/>
      <c r="RYF50" s="1398"/>
      <c r="RYG50" s="1398"/>
      <c r="RYH50" s="1398"/>
      <c r="RYI50" s="1398"/>
      <c r="RYJ50" s="1398"/>
      <c r="RYK50" s="1398"/>
      <c r="RYL50" s="1398"/>
      <c r="RYM50" s="1398"/>
      <c r="RYN50" s="1398"/>
      <c r="RYO50" s="1398"/>
      <c r="RYP50" s="1398"/>
      <c r="RYQ50" s="1398"/>
      <c r="RYR50" s="1398"/>
      <c r="RYS50" s="1398"/>
      <c r="RYT50" s="1398"/>
      <c r="RYU50" s="1398"/>
      <c r="RYV50" s="1398"/>
      <c r="RYW50" s="1398"/>
      <c r="RYX50" s="1398"/>
      <c r="RYY50" s="1398"/>
      <c r="RYZ50" s="1398"/>
      <c r="RZA50" s="1398"/>
      <c r="RZB50" s="1398"/>
      <c r="RZC50" s="1398"/>
      <c r="RZD50" s="1398"/>
      <c r="RZE50" s="1398"/>
      <c r="RZF50" s="1398"/>
      <c r="RZG50" s="1398"/>
      <c r="RZH50" s="1398"/>
      <c r="RZI50" s="1398"/>
      <c r="RZJ50" s="1398"/>
      <c r="RZK50" s="1398"/>
      <c r="RZL50" s="1398"/>
      <c r="RZM50" s="1398"/>
      <c r="RZN50" s="1398"/>
      <c r="RZO50" s="1398"/>
      <c r="RZP50" s="1398"/>
      <c r="RZQ50" s="1398"/>
      <c r="RZR50" s="1398"/>
      <c r="RZS50" s="1398"/>
      <c r="RZT50" s="1398"/>
      <c r="RZU50" s="1398"/>
      <c r="RZV50" s="1398"/>
      <c r="RZW50" s="1398"/>
      <c r="RZX50" s="1398"/>
      <c r="RZY50" s="1398"/>
      <c r="RZZ50" s="1398"/>
      <c r="SAA50" s="1398"/>
      <c r="SAB50" s="1398"/>
      <c r="SAC50" s="1398"/>
      <c r="SAD50" s="1398"/>
      <c r="SAE50" s="1398"/>
      <c r="SAF50" s="1398"/>
      <c r="SAG50" s="1398"/>
      <c r="SAH50" s="1398"/>
      <c r="SAI50" s="1398"/>
      <c r="SAJ50" s="1398"/>
      <c r="SAK50" s="1398"/>
      <c r="SAL50" s="1398"/>
      <c r="SAM50" s="1398"/>
      <c r="SAN50" s="1398"/>
      <c r="SAO50" s="1398"/>
      <c r="SAP50" s="1398"/>
      <c r="SAQ50" s="1398"/>
      <c r="SAR50" s="1398"/>
      <c r="SAS50" s="1398"/>
      <c r="SAT50" s="1398"/>
      <c r="SAU50" s="1398"/>
      <c r="SAV50" s="1398"/>
      <c r="SAW50" s="1398"/>
      <c r="SAX50" s="1398"/>
      <c r="SAY50" s="1398"/>
      <c r="SAZ50" s="1398"/>
      <c r="SBA50" s="1398"/>
      <c r="SBB50" s="1398"/>
      <c r="SBC50" s="1398"/>
      <c r="SBD50" s="1398"/>
      <c r="SBE50" s="1398"/>
      <c r="SBF50" s="1398"/>
      <c r="SBG50" s="1398"/>
      <c r="SBH50" s="1398"/>
      <c r="SBI50" s="1398"/>
      <c r="SBJ50" s="1398"/>
      <c r="SBK50" s="1398"/>
      <c r="SBL50" s="1398"/>
      <c r="SBM50" s="1398"/>
      <c r="SBN50" s="1398"/>
      <c r="SBO50" s="1398"/>
      <c r="SBP50" s="1398"/>
      <c r="SBQ50" s="1398"/>
      <c r="SBR50" s="1398"/>
      <c r="SBS50" s="1398"/>
      <c r="SBT50" s="1398"/>
      <c r="SBU50" s="1398"/>
      <c r="SBV50" s="1398"/>
      <c r="SBW50" s="1398"/>
      <c r="SBX50" s="1398"/>
      <c r="SBY50" s="1398"/>
      <c r="SBZ50" s="1398"/>
      <c r="SCA50" s="1398"/>
      <c r="SCB50" s="1398"/>
      <c r="SCC50" s="1398"/>
      <c r="SCD50" s="1398"/>
      <c r="SCE50" s="1398"/>
      <c r="SCF50" s="1398"/>
      <c r="SCG50" s="1398"/>
      <c r="SCH50" s="1398"/>
      <c r="SCI50" s="1398"/>
      <c r="SCJ50" s="1398"/>
      <c r="SCK50" s="1398"/>
      <c r="SCL50" s="1398"/>
      <c r="SCM50" s="1398"/>
      <c r="SCN50" s="1398"/>
      <c r="SCO50" s="1398"/>
      <c r="SCP50" s="1398"/>
      <c r="SCQ50" s="1398"/>
      <c r="SCR50" s="1398"/>
      <c r="SCS50" s="1398"/>
      <c r="SCT50" s="1398"/>
      <c r="SCU50" s="1398"/>
      <c r="SCV50" s="1398"/>
      <c r="SCW50" s="1398"/>
      <c r="SCX50" s="1398"/>
      <c r="SCY50" s="1398"/>
      <c r="SCZ50" s="1398"/>
      <c r="SDA50" s="1398"/>
      <c r="SDB50" s="1398"/>
      <c r="SDC50" s="1398"/>
      <c r="SDD50" s="1398"/>
      <c r="SDE50" s="1398"/>
      <c r="SDF50" s="1398"/>
      <c r="SDG50" s="1398"/>
      <c r="SDH50" s="1398"/>
      <c r="SDI50" s="1398"/>
      <c r="SDJ50" s="1398"/>
      <c r="SDK50" s="1398"/>
      <c r="SDL50" s="1398"/>
      <c r="SDM50" s="1398"/>
      <c r="SDN50" s="1398"/>
      <c r="SDO50" s="1398"/>
      <c r="SDP50" s="1398"/>
      <c r="SDQ50" s="1398"/>
      <c r="SDR50" s="1398"/>
      <c r="SDS50" s="1398"/>
      <c r="SDT50" s="1398"/>
      <c r="SDU50" s="1398"/>
      <c r="SDV50" s="1398"/>
      <c r="SDW50" s="1398"/>
      <c r="SDX50" s="1398"/>
      <c r="SDY50" s="1398"/>
      <c r="SDZ50" s="1398"/>
      <c r="SEA50" s="1398"/>
      <c r="SEB50" s="1398"/>
      <c r="SEC50" s="1398"/>
      <c r="SED50" s="1398"/>
      <c r="SEE50" s="1398"/>
      <c r="SEF50" s="1398"/>
      <c r="SEG50" s="1398"/>
      <c r="SEH50" s="1398"/>
      <c r="SEI50" s="1398"/>
      <c r="SEJ50" s="1398"/>
      <c r="SEK50" s="1398"/>
      <c r="SEL50" s="1398"/>
      <c r="SEM50" s="1398"/>
      <c r="SEN50" s="1398"/>
      <c r="SEO50" s="1398"/>
      <c r="SEP50" s="1398"/>
      <c r="SEQ50" s="1398"/>
      <c r="SER50" s="1398"/>
      <c r="SES50" s="1398"/>
      <c r="SET50" s="1398"/>
      <c r="SEU50" s="1398"/>
      <c r="SEV50" s="1398"/>
      <c r="SEW50" s="1398"/>
      <c r="SEX50" s="1398"/>
      <c r="SEY50" s="1398"/>
      <c r="SEZ50" s="1398"/>
      <c r="SFA50" s="1398"/>
      <c r="SFB50" s="1398"/>
      <c r="SFC50" s="1398"/>
      <c r="SFD50" s="1398"/>
      <c r="SFE50" s="1398"/>
      <c r="SFF50" s="1398"/>
      <c r="SFG50" s="1398"/>
      <c r="SFH50" s="1398"/>
      <c r="SFI50" s="1398"/>
      <c r="SFJ50" s="1398"/>
      <c r="SFK50" s="1398"/>
      <c r="SFL50" s="1398"/>
      <c r="SFM50" s="1398"/>
      <c r="SFN50" s="1398"/>
      <c r="SFO50" s="1398"/>
      <c r="SFP50" s="1398"/>
      <c r="SFQ50" s="1398"/>
      <c r="SFR50" s="1398"/>
      <c r="SFS50" s="1398"/>
      <c r="SFT50" s="1398"/>
      <c r="SFU50" s="1398"/>
      <c r="SFV50" s="1398"/>
      <c r="SFW50" s="1398"/>
      <c r="SFX50" s="1398"/>
      <c r="SFY50" s="1398"/>
      <c r="SFZ50" s="1398"/>
      <c r="SGA50" s="1398"/>
      <c r="SGB50" s="1398"/>
      <c r="SGC50" s="1398"/>
      <c r="SGD50" s="1398"/>
      <c r="SGE50" s="1398"/>
      <c r="SGF50" s="1398"/>
      <c r="SGG50" s="1398"/>
      <c r="SGH50" s="1398"/>
      <c r="SGI50" s="1398"/>
      <c r="SGJ50" s="1398"/>
      <c r="SGK50" s="1398"/>
      <c r="SGL50" s="1398"/>
      <c r="SGM50" s="1398"/>
      <c r="SGN50" s="1398"/>
      <c r="SGO50" s="1398"/>
      <c r="SGP50" s="1398"/>
      <c r="SGQ50" s="1398"/>
      <c r="SGR50" s="1398"/>
      <c r="SGS50" s="1398"/>
      <c r="SGT50" s="1398"/>
      <c r="SGU50" s="1398"/>
      <c r="SGV50" s="1398"/>
      <c r="SGW50" s="1398"/>
      <c r="SGX50" s="1398"/>
      <c r="SGY50" s="1398"/>
      <c r="SGZ50" s="1398"/>
      <c r="SHA50" s="1398"/>
      <c r="SHB50" s="1398"/>
      <c r="SHC50" s="1398"/>
      <c r="SHD50" s="1398"/>
      <c r="SHE50" s="1398"/>
      <c r="SHF50" s="1398"/>
      <c r="SHG50" s="1398"/>
      <c r="SHH50" s="1398"/>
      <c r="SHI50" s="1398"/>
      <c r="SHJ50" s="1398"/>
      <c r="SHK50" s="1398"/>
      <c r="SHL50" s="1398"/>
      <c r="SHM50" s="1398"/>
      <c r="SHN50" s="1398"/>
      <c r="SHO50" s="1398"/>
      <c r="SHP50" s="1398"/>
      <c r="SHQ50" s="1398"/>
      <c r="SHR50" s="1398"/>
      <c r="SHS50" s="1398"/>
      <c r="SHT50" s="1398"/>
      <c r="SHU50" s="1398"/>
      <c r="SHV50" s="1398"/>
      <c r="SHW50" s="1398"/>
      <c r="SHX50" s="1398"/>
      <c r="SHY50" s="1398"/>
      <c r="SHZ50" s="1398"/>
      <c r="SIA50" s="1398"/>
      <c r="SIB50" s="1398"/>
      <c r="SIC50" s="1398"/>
      <c r="SID50" s="1398"/>
      <c r="SIE50" s="1398"/>
      <c r="SIF50" s="1398"/>
      <c r="SIG50" s="1398"/>
      <c r="SIH50" s="1398"/>
      <c r="SII50" s="1398"/>
      <c r="SIJ50" s="1398"/>
      <c r="SIK50" s="1398"/>
      <c r="SIL50" s="1398"/>
      <c r="SIM50" s="1398"/>
      <c r="SIN50" s="1398"/>
      <c r="SIO50" s="1398"/>
      <c r="SIP50" s="1398"/>
      <c r="SIQ50" s="1398"/>
      <c r="SIR50" s="1398"/>
      <c r="SIS50" s="1398"/>
      <c r="SIT50" s="1398"/>
      <c r="SIU50" s="1398"/>
      <c r="SIV50" s="1398"/>
      <c r="SIW50" s="1398"/>
      <c r="SIX50" s="1398"/>
      <c r="SIY50" s="1398"/>
      <c r="SIZ50" s="1398"/>
      <c r="SJA50" s="1398"/>
      <c r="SJB50" s="1398"/>
      <c r="SJC50" s="1398"/>
      <c r="SJD50" s="1398"/>
      <c r="SJE50" s="1398"/>
      <c r="SJF50" s="1398"/>
      <c r="SJG50" s="1398"/>
      <c r="SJH50" s="1398"/>
      <c r="SJI50" s="1398"/>
      <c r="SJJ50" s="1398"/>
      <c r="SJK50" s="1398"/>
      <c r="SJL50" s="1398"/>
      <c r="SJM50" s="1398"/>
      <c r="SJN50" s="1398"/>
      <c r="SJO50" s="1398"/>
      <c r="SJP50" s="1398"/>
      <c r="SJQ50" s="1398"/>
      <c r="SJR50" s="1398"/>
      <c r="SJS50" s="1398"/>
      <c r="SJT50" s="1398"/>
      <c r="SJU50" s="1398"/>
      <c r="SJV50" s="1398"/>
      <c r="SJW50" s="1398"/>
      <c r="SJX50" s="1398"/>
      <c r="SJY50" s="1398"/>
      <c r="SJZ50" s="1398"/>
      <c r="SKA50" s="1398"/>
      <c r="SKB50" s="1398"/>
      <c r="SKC50" s="1398"/>
      <c r="SKD50" s="1398"/>
      <c r="SKE50" s="1398"/>
      <c r="SKF50" s="1398"/>
      <c r="SKG50" s="1398"/>
      <c r="SKH50" s="1398"/>
      <c r="SKI50" s="1398"/>
      <c r="SKJ50" s="1398"/>
      <c r="SKK50" s="1398"/>
      <c r="SKL50" s="1398"/>
      <c r="SKM50" s="1398"/>
      <c r="SKN50" s="1398"/>
      <c r="SKO50" s="1398"/>
      <c r="SKP50" s="1398"/>
      <c r="SKQ50" s="1398"/>
      <c r="SKR50" s="1398"/>
      <c r="SKS50" s="1398"/>
      <c r="SKT50" s="1398"/>
      <c r="SKU50" s="1398"/>
      <c r="SKV50" s="1398"/>
      <c r="SKW50" s="1398"/>
      <c r="SKX50" s="1398"/>
      <c r="SKY50" s="1398"/>
      <c r="SKZ50" s="1398"/>
      <c r="SLA50" s="1398"/>
      <c r="SLB50" s="1398"/>
      <c r="SLC50" s="1398"/>
      <c r="SLD50" s="1398"/>
      <c r="SLE50" s="1398"/>
      <c r="SLF50" s="1398"/>
      <c r="SLG50" s="1398"/>
      <c r="SLH50" s="1398"/>
      <c r="SLI50" s="1398"/>
      <c r="SLJ50" s="1398"/>
      <c r="SLK50" s="1398"/>
      <c r="SLL50" s="1398"/>
      <c r="SLM50" s="1398"/>
      <c r="SLN50" s="1398"/>
      <c r="SLO50" s="1398"/>
      <c r="SLP50" s="1398"/>
      <c r="SLQ50" s="1398"/>
      <c r="SLR50" s="1398"/>
      <c r="SLS50" s="1398"/>
      <c r="SLT50" s="1398"/>
      <c r="SLU50" s="1398"/>
      <c r="SLV50" s="1398"/>
      <c r="SLW50" s="1398"/>
      <c r="SLX50" s="1398"/>
      <c r="SLY50" s="1398"/>
      <c r="SLZ50" s="1398"/>
      <c r="SMA50" s="1398"/>
      <c r="SMB50" s="1398"/>
      <c r="SMC50" s="1398"/>
      <c r="SMD50" s="1398"/>
      <c r="SME50" s="1398"/>
      <c r="SMF50" s="1398"/>
      <c r="SMG50" s="1398"/>
      <c r="SMH50" s="1398"/>
      <c r="SMI50" s="1398"/>
      <c r="SMJ50" s="1398"/>
      <c r="SMK50" s="1398"/>
      <c r="SML50" s="1398"/>
      <c r="SMM50" s="1398"/>
      <c r="SMN50" s="1398"/>
      <c r="SMO50" s="1398"/>
      <c r="SMP50" s="1398"/>
      <c r="SMQ50" s="1398"/>
      <c r="SMR50" s="1398"/>
      <c r="SMS50" s="1398"/>
      <c r="SMT50" s="1398"/>
      <c r="SMU50" s="1398"/>
      <c r="SMV50" s="1398"/>
      <c r="SMW50" s="1398"/>
      <c r="SMX50" s="1398"/>
      <c r="SMY50" s="1398"/>
      <c r="SMZ50" s="1398"/>
      <c r="SNA50" s="1398"/>
      <c r="SNB50" s="1398"/>
      <c r="SNC50" s="1398"/>
      <c r="SND50" s="1398"/>
      <c r="SNE50" s="1398"/>
      <c r="SNF50" s="1398"/>
      <c r="SNG50" s="1398"/>
      <c r="SNH50" s="1398"/>
      <c r="SNI50" s="1398"/>
      <c r="SNJ50" s="1398"/>
      <c r="SNK50" s="1398"/>
      <c r="SNL50" s="1398"/>
      <c r="SNM50" s="1398"/>
      <c r="SNN50" s="1398"/>
      <c r="SNO50" s="1398"/>
      <c r="SNP50" s="1398"/>
      <c r="SNQ50" s="1398"/>
      <c r="SNR50" s="1398"/>
      <c r="SNS50" s="1398"/>
      <c r="SNT50" s="1398"/>
      <c r="SNU50" s="1398"/>
      <c r="SNV50" s="1398"/>
      <c r="SNW50" s="1398"/>
      <c r="SNX50" s="1398"/>
      <c r="SNY50" s="1398"/>
      <c r="SNZ50" s="1398"/>
      <c r="SOA50" s="1398"/>
      <c r="SOB50" s="1398"/>
      <c r="SOC50" s="1398"/>
      <c r="SOD50" s="1398"/>
      <c r="SOE50" s="1398"/>
      <c r="SOF50" s="1398"/>
      <c r="SOG50" s="1398"/>
      <c r="SOH50" s="1398"/>
      <c r="SOI50" s="1398"/>
      <c r="SOJ50" s="1398"/>
      <c r="SOK50" s="1398"/>
      <c r="SOL50" s="1398"/>
      <c r="SOM50" s="1398"/>
      <c r="SON50" s="1398"/>
      <c r="SOO50" s="1398"/>
      <c r="SOP50" s="1398"/>
      <c r="SOQ50" s="1398"/>
      <c r="SOR50" s="1398"/>
      <c r="SOS50" s="1398"/>
      <c r="SOT50" s="1398"/>
      <c r="SOU50" s="1398"/>
      <c r="SOV50" s="1398"/>
      <c r="SOW50" s="1398"/>
      <c r="SOX50" s="1398"/>
      <c r="SOY50" s="1398"/>
      <c r="SOZ50" s="1398"/>
      <c r="SPA50" s="1398"/>
      <c r="SPB50" s="1398"/>
      <c r="SPC50" s="1398"/>
      <c r="SPD50" s="1398"/>
      <c r="SPE50" s="1398"/>
      <c r="SPF50" s="1398"/>
      <c r="SPG50" s="1398"/>
      <c r="SPH50" s="1398"/>
      <c r="SPI50" s="1398"/>
      <c r="SPJ50" s="1398"/>
      <c r="SPK50" s="1398"/>
      <c r="SPL50" s="1398"/>
      <c r="SPM50" s="1398"/>
      <c r="SPN50" s="1398"/>
      <c r="SPO50" s="1398"/>
      <c r="SPP50" s="1398"/>
      <c r="SPQ50" s="1398"/>
      <c r="SPR50" s="1398"/>
      <c r="SPS50" s="1398"/>
      <c r="SPT50" s="1398"/>
      <c r="SPU50" s="1398"/>
      <c r="SPV50" s="1398"/>
      <c r="SPW50" s="1398"/>
      <c r="SPX50" s="1398"/>
      <c r="SPY50" s="1398"/>
      <c r="SPZ50" s="1398"/>
      <c r="SQA50" s="1398"/>
      <c r="SQB50" s="1398"/>
      <c r="SQC50" s="1398"/>
      <c r="SQD50" s="1398"/>
      <c r="SQE50" s="1398"/>
      <c r="SQF50" s="1398"/>
      <c r="SQG50" s="1398"/>
      <c r="SQH50" s="1398"/>
      <c r="SQI50" s="1398"/>
      <c r="SQJ50" s="1398"/>
      <c r="SQK50" s="1398"/>
      <c r="SQL50" s="1398"/>
      <c r="SQM50" s="1398"/>
      <c r="SQN50" s="1398"/>
      <c r="SQO50" s="1398"/>
      <c r="SQP50" s="1398"/>
      <c r="SQQ50" s="1398"/>
      <c r="SQR50" s="1398"/>
      <c r="SQS50" s="1398"/>
      <c r="SQT50" s="1398"/>
      <c r="SQU50" s="1398"/>
      <c r="SQV50" s="1398"/>
      <c r="SQW50" s="1398"/>
      <c r="SQX50" s="1398"/>
      <c r="SQY50" s="1398"/>
      <c r="SQZ50" s="1398"/>
      <c r="SRA50" s="1398"/>
      <c r="SRB50" s="1398"/>
      <c r="SRC50" s="1398"/>
      <c r="SRD50" s="1398"/>
      <c r="SRE50" s="1398"/>
      <c r="SRF50" s="1398"/>
      <c r="SRG50" s="1398"/>
      <c r="SRH50" s="1398"/>
      <c r="SRI50" s="1398"/>
      <c r="SRJ50" s="1398"/>
      <c r="SRK50" s="1398"/>
      <c r="SRL50" s="1398"/>
      <c r="SRM50" s="1398"/>
      <c r="SRN50" s="1398"/>
      <c r="SRO50" s="1398"/>
      <c r="SRP50" s="1398"/>
      <c r="SRQ50" s="1398"/>
      <c r="SRR50" s="1398"/>
      <c r="SRS50" s="1398"/>
      <c r="SRT50" s="1398"/>
      <c r="SRU50" s="1398"/>
      <c r="SRV50" s="1398"/>
      <c r="SRW50" s="1398"/>
      <c r="SRX50" s="1398"/>
      <c r="SRY50" s="1398"/>
      <c r="SRZ50" s="1398"/>
      <c r="SSA50" s="1398"/>
      <c r="SSB50" s="1398"/>
      <c r="SSC50" s="1398"/>
      <c r="SSD50" s="1398"/>
      <c r="SSE50" s="1398"/>
      <c r="SSF50" s="1398"/>
      <c r="SSG50" s="1398"/>
      <c r="SSH50" s="1398"/>
      <c r="SSI50" s="1398"/>
      <c r="SSJ50" s="1398"/>
      <c r="SSK50" s="1398"/>
      <c r="SSL50" s="1398"/>
      <c r="SSM50" s="1398"/>
      <c r="SSN50" s="1398"/>
      <c r="SSO50" s="1398"/>
      <c r="SSP50" s="1398"/>
      <c r="SSQ50" s="1398"/>
      <c r="SSR50" s="1398"/>
      <c r="SSS50" s="1398"/>
      <c r="SST50" s="1398"/>
      <c r="SSU50" s="1398"/>
      <c r="SSV50" s="1398"/>
      <c r="SSW50" s="1398"/>
      <c r="SSX50" s="1398"/>
      <c r="SSY50" s="1398"/>
      <c r="SSZ50" s="1398"/>
      <c r="STA50" s="1398"/>
      <c r="STB50" s="1398"/>
      <c r="STC50" s="1398"/>
      <c r="STD50" s="1398"/>
      <c r="STE50" s="1398"/>
      <c r="STF50" s="1398"/>
      <c r="STG50" s="1398"/>
      <c r="STH50" s="1398"/>
      <c r="STI50" s="1398"/>
      <c r="STJ50" s="1398"/>
      <c r="STK50" s="1398"/>
      <c r="STL50" s="1398"/>
      <c r="STM50" s="1398"/>
      <c r="STN50" s="1398"/>
      <c r="STO50" s="1398"/>
      <c r="STP50" s="1398"/>
      <c r="STQ50" s="1398"/>
      <c r="STR50" s="1398"/>
      <c r="STS50" s="1398"/>
      <c r="STT50" s="1398"/>
      <c r="STU50" s="1398"/>
      <c r="STV50" s="1398"/>
      <c r="STW50" s="1398"/>
      <c r="STX50" s="1398"/>
      <c r="STY50" s="1398"/>
      <c r="STZ50" s="1398"/>
      <c r="SUA50" s="1398"/>
      <c r="SUB50" s="1398"/>
      <c r="SUC50" s="1398"/>
      <c r="SUD50" s="1398"/>
      <c r="SUE50" s="1398"/>
      <c r="SUF50" s="1398"/>
      <c r="SUG50" s="1398"/>
      <c r="SUH50" s="1398"/>
      <c r="SUI50" s="1398"/>
      <c r="SUJ50" s="1398"/>
      <c r="SUK50" s="1398"/>
      <c r="SUL50" s="1398"/>
      <c r="SUM50" s="1398"/>
      <c r="SUN50" s="1398"/>
      <c r="SUO50" s="1398"/>
      <c r="SUP50" s="1398"/>
      <c r="SUQ50" s="1398"/>
      <c r="SUR50" s="1398"/>
      <c r="SUS50" s="1398"/>
      <c r="SUT50" s="1398"/>
      <c r="SUU50" s="1398"/>
      <c r="SUV50" s="1398"/>
      <c r="SUW50" s="1398"/>
      <c r="SUX50" s="1398"/>
      <c r="SUY50" s="1398"/>
      <c r="SUZ50" s="1398"/>
      <c r="SVA50" s="1398"/>
      <c r="SVB50" s="1398"/>
      <c r="SVC50" s="1398"/>
      <c r="SVD50" s="1398"/>
      <c r="SVE50" s="1398"/>
      <c r="SVF50" s="1398"/>
      <c r="SVG50" s="1398"/>
      <c r="SVH50" s="1398"/>
      <c r="SVI50" s="1398"/>
      <c r="SVJ50" s="1398"/>
      <c r="SVK50" s="1398"/>
      <c r="SVL50" s="1398"/>
      <c r="SVM50" s="1398"/>
      <c r="SVN50" s="1398"/>
      <c r="SVO50" s="1398"/>
      <c r="SVP50" s="1398"/>
      <c r="SVQ50" s="1398"/>
      <c r="SVR50" s="1398"/>
      <c r="SVS50" s="1398"/>
      <c r="SVT50" s="1398"/>
      <c r="SVU50" s="1398"/>
      <c r="SVV50" s="1398"/>
      <c r="SVW50" s="1398"/>
      <c r="SVX50" s="1398"/>
      <c r="SVY50" s="1398"/>
      <c r="SVZ50" s="1398"/>
      <c r="SWA50" s="1398"/>
      <c r="SWB50" s="1398"/>
      <c r="SWC50" s="1398"/>
      <c r="SWD50" s="1398"/>
      <c r="SWE50" s="1398"/>
      <c r="SWF50" s="1398"/>
      <c r="SWG50" s="1398"/>
      <c r="SWH50" s="1398"/>
      <c r="SWI50" s="1398"/>
      <c r="SWJ50" s="1398"/>
      <c r="SWK50" s="1398"/>
      <c r="SWL50" s="1398"/>
      <c r="SWM50" s="1398"/>
      <c r="SWN50" s="1398"/>
      <c r="SWO50" s="1398"/>
      <c r="SWP50" s="1398"/>
      <c r="SWQ50" s="1398"/>
      <c r="SWR50" s="1398"/>
      <c r="SWS50" s="1398"/>
      <c r="SWT50" s="1398"/>
      <c r="SWU50" s="1398"/>
      <c r="SWV50" s="1398"/>
      <c r="SWW50" s="1398"/>
      <c r="SWX50" s="1398"/>
      <c r="SWY50" s="1398"/>
      <c r="SWZ50" s="1398"/>
      <c r="SXA50" s="1398"/>
      <c r="SXB50" s="1398"/>
      <c r="SXC50" s="1398"/>
      <c r="SXD50" s="1398"/>
      <c r="SXE50" s="1398"/>
      <c r="SXF50" s="1398"/>
      <c r="SXG50" s="1398"/>
      <c r="SXH50" s="1398"/>
      <c r="SXI50" s="1398"/>
      <c r="SXJ50" s="1398"/>
      <c r="SXK50" s="1398"/>
      <c r="SXL50" s="1398"/>
      <c r="SXM50" s="1398"/>
      <c r="SXN50" s="1398"/>
      <c r="SXO50" s="1398"/>
      <c r="SXP50" s="1398"/>
      <c r="SXQ50" s="1398"/>
      <c r="SXR50" s="1398"/>
      <c r="SXS50" s="1398"/>
      <c r="SXT50" s="1398"/>
      <c r="SXU50" s="1398"/>
      <c r="SXV50" s="1398"/>
      <c r="SXW50" s="1398"/>
      <c r="SXX50" s="1398"/>
      <c r="SXY50" s="1398"/>
      <c r="SXZ50" s="1398"/>
      <c r="SYA50" s="1398"/>
      <c r="SYB50" s="1398"/>
      <c r="SYC50" s="1398"/>
      <c r="SYD50" s="1398"/>
      <c r="SYE50" s="1398"/>
      <c r="SYF50" s="1398"/>
      <c r="SYG50" s="1398"/>
      <c r="SYH50" s="1398"/>
      <c r="SYI50" s="1398"/>
      <c r="SYJ50" s="1398"/>
      <c r="SYK50" s="1398"/>
      <c r="SYL50" s="1398"/>
      <c r="SYM50" s="1398"/>
      <c r="SYN50" s="1398"/>
      <c r="SYO50" s="1398"/>
      <c r="SYP50" s="1398"/>
      <c r="SYQ50" s="1398"/>
      <c r="SYR50" s="1398"/>
      <c r="SYS50" s="1398"/>
      <c r="SYT50" s="1398"/>
      <c r="SYU50" s="1398"/>
      <c r="SYV50" s="1398"/>
      <c r="SYW50" s="1398"/>
      <c r="SYX50" s="1398"/>
      <c r="SYY50" s="1398"/>
      <c r="SYZ50" s="1398"/>
      <c r="SZA50" s="1398"/>
      <c r="SZB50" s="1398"/>
      <c r="SZC50" s="1398"/>
      <c r="SZD50" s="1398"/>
      <c r="SZE50" s="1398"/>
      <c r="SZF50" s="1398"/>
      <c r="SZG50" s="1398"/>
      <c r="SZH50" s="1398"/>
      <c r="SZI50" s="1398"/>
      <c r="SZJ50" s="1398"/>
      <c r="SZK50" s="1398"/>
      <c r="SZL50" s="1398"/>
      <c r="SZM50" s="1398"/>
      <c r="SZN50" s="1398"/>
      <c r="SZO50" s="1398"/>
      <c r="SZP50" s="1398"/>
      <c r="SZQ50" s="1398"/>
      <c r="SZR50" s="1398"/>
      <c r="SZS50" s="1398"/>
      <c r="SZT50" s="1398"/>
      <c r="SZU50" s="1398"/>
      <c r="SZV50" s="1398"/>
      <c r="SZW50" s="1398"/>
      <c r="SZX50" s="1398"/>
      <c r="SZY50" s="1398"/>
      <c r="SZZ50" s="1398"/>
      <c r="TAA50" s="1398"/>
      <c r="TAB50" s="1398"/>
      <c r="TAC50" s="1398"/>
      <c r="TAD50" s="1398"/>
      <c r="TAE50" s="1398"/>
      <c r="TAF50" s="1398"/>
      <c r="TAG50" s="1398"/>
      <c r="TAH50" s="1398"/>
      <c r="TAI50" s="1398"/>
      <c r="TAJ50" s="1398"/>
      <c r="TAK50" s="1398"/>
      <c r="TAL50" s="1398"/>
      <c r="TAM50" s="1398"/>
      <c r="TAN50" s="1398"/>
      <c r="TAO50" s="1398"/>
      <c r="TAP50" s="1398"/>
      <c r="TAQ50" s="1398"/>
      <c r="TAR50" s="1398"/>
      <c r="TAS50" s="1398"/>
      <c r="TAT50" s="1398"/>
      <c r="TAU50" s="1398"/>
      <c r="TAV50" s="1398"/>
      <c r="TAW50" s="1398"/>
      <c r="TAX50" s="1398"/>
      <c r="TAY50" s="1398"/>
      <c r="TAZ50" s="1398"/>
      <c r="TBA50" s="1398"/>
      <c r="TBB50" s="1398"/>
      <c r="TBC50" s="1398"/>
      <c r="TBD50" s="1398"/>
      <c r="TBE50" s="1398"/>
      <c r="TBF50" s="1398"/>
      <c r="TBG50" s="1398"/>
      <c r="TBH50" s="1398"/>
      <c r="TBI50" s="1398"/>
      <c r="TBJ50" s="1398"/>
      <c r="TBK50" s="1398"/>
      <c r="TBL50" s="1398"/>
      <c r="TBM50" s="1398"/>
      <c r="TBN50" s="1398"/>
      <c r="TBO50" s="1398"/>
      <c r="TBP50" s="1398"/>
      <c r="TBQ50" s="1398"/>
      <c r="TBR50" s="1398"/>
      <c r="TBS50" s="1398"/>
      <c r="TBT50" s="1398"/>
      <c r="TBU50" s="1398"/>
      <c r="TBV50" s="1398"/>
      <c r="TBW50" s="1398"/>
      <c r="TBX50" s="1398"/>
      <c r="TBY50" s="1398"/>
      <c r="TBZ50" s="1398"/>
      <c r="TCA50" s="1398"/>
      <c r="TCB50" s="1398"/>
      <c r="TCC50" s="1398"/>
      <c r="TCD50" s="1398"/>
      <c r="TCE50" s="1398"/>
      <c r="TCF50" s="1398"/>
      <c r="TCG50" s="1398"/>
      <c r="TCH50" s="1398"/>
      <c r="TCI50" s="1398"/>
      <c r="TCJ50" s="1398"/>
      <c r="TCK50" s="1398"/>
      <c r="TCL50" s="1398"/>
      <c r="TCM50" s="1398"/>
      <c r="TCN50" s="1398"/>
      <c r="TCO50" s="1398"/>
      <c r="TCP50" s="1398"/>
      <c r="TCQ50" s="1398"/>
      <c r="TCR50" s="1398"/>
      <c r="TCS50" s="1398"/>
      <c r="TCT50" s="1398"/>
      <c r="TCU50" s="1398"/>
      <c r="TCV50" s="1398"/>
      <c r="TCW50" s="1398"/>
      <c r="TCX50" s="1398"/>
      <c r="TCY50" s="1398"/>
      <c r="TCZ50" s="1398"/>
      <c r="TDA50" s="1398"/>
      <c r="TDB50" s="1398"/>
      <c r="TDC50" s="1398"/>
      <c r="TDD50" s="1398"/>
      <c r="TDE50" s="1398"/>
      <c r="TDF50" s="1398"/>
      <c r="TDG50" s="1398"/>
      <c r="TDH50" s="1398"/>
      <c r="TDI50" s="1398"/>
      <c r="TDJ50" s="1398"/>
      <c r="TDK50" s="1398"/>
      <c r="TDL50" s="1398"/>
      <c r="TDM50" s="1398"/>
      <c r="TDN50" s="1398"/>
      <c r="TDO50" s="1398"/>
      <c r="TDP50" s="1398"/>
      <c r="TDQ50" s="1398"/>
      <c r="TDR50" s="1398"/>
      <c r="TDS50" s="1398"/>
      <c r="TDT50" s="1398"/>
      <c r="TDU50" s="1398"/>
      <c r="TDV50" s="1398"/>
      <c r="TDW50" s="1398"/>
      <c r="TDX50" s="1398"/>
      <c r="TDY50" s="1398"/>
      <c r="TDZ50" s="1398"/>
      <c r="TEA50" s="1398"/>
      <c r="TEB50" s="1398"/>
      <c r="TEC50" s="1398"/>
      <c r="TED50" s="1398"/>
      <c r="TEE50" s="1398"/>
      <c r="TEF50" s="1398"/>
      <c r="TEG50" s="1398"/>
      <c r="TEH50" s="1398"/>
      <c r="TEI50" s="1398"/>
      <c r="TEJ50" s="1398"/>
      <c r="TEK50" s="1398"/>
      <c r="TEL50" s="1398"/>
      <c r="TEM50" s="1398"/>
      <c r="TEN50" s="1398"/>
      <c r="TEO50" s="1398"/>
      <c r="TEP50" s="1398"/>
      <c r="TEQ50" s="1398"/>
      <c r="TER50" s="1398"/>
      <c r="TES50" s="1398"/>
      <c r="TET50" s="1398"/>
      <c r="TEU50" s="1398"/>
      <c r="TEV50" s="1398"/>
      <c r="TEW50" s="1398"/>
      <c r="TEX50" s="1398"/>
      <c r="TEY50" s="1398"/>
      <c r="TEZ50" s="1398"/>
      <c r="TFA50" s="1398"/>
      <c r="TFB50" s="1398"/>
      <c r="TFC50" s="1398"/>
      <c r="TFD50" s="1398"/>
      <c r="TFE50" s="1398"/>
      <c r="TFF50" s="1398"/>
      <c r="TFG50" s="1398"/>
      <c r="TFH50" s="1398"/>
      <c r="TFI50" s="1398"/>
      <c r="TFJ50" s="1398"/>
      <c r="TFK50" s="1398"/>
      <c r="TFL50" s="1398"/>
      <c r="TFM50" s="1398"/>
      <c r="TFN50" s="1398"/>
      <c r="TFO50" s="1398"/>
      <c r="TFP50" s="1398"/>
      <c r="TFQ50" s="1398"/>
      <c r="TFR50" s="1398"/>
      <c r="TFS50" s="1398"/>
      <c r="TFT50" s="1398"/>
      <c r="TFU50" s="1398"/>
      <c r="TFV50" s="1398"/>
      <c r="TFW50" s="1398"/>
      <c r="TFX50" s="1398"/>
      <c r="TFY50" s="1398"/>
      <c r="TFZ50" s="1398"/>
      <c r="TGA50" s="1398"/>
      <c r="TGB50" s="1398"/>
      <c r="TGC50" s="1398"/>
      <c r="TGD50" s="1398"/>
      <c r="TGE50" s="1398"/>
      <c r="TGF50" s="1398"/>
      <c r="TGG50" s="1398"/>
      <c r="TGH50" s="1398"/>
      <c r="TGI50" s="1398"/>
      <c r="TGJ50" s="1398"/>
      <c r="TGK50" s="1398"/>
      <c r="TGL50" s="1398"/>
      <c r="TGM50" s="1398"/>
      <c r="TGN50" s="1398"/>
      <c r="TGO50" s="1398"/>
      <c r="TGP50" s="1398"/>
      <c r="TGQ50" s="1398"/>
      <c r="TGR50" s="1398"/>
      <c r="TGS50" s="1398"/>
      <c r="TGT50" s="1398"/>
      <c r="TGU50" s="1398"/>
      <c r="TGV50" s="1398"/>
      <c r="TGW50" s="1398"/>
      <c r="TGX50" s="1398"/>
      <c r="TGY50" s="1398"/>
      <c r="TGZ50" s="1398"/>
      <c r="THA50" s="1398"/>
      <c r="THB50" s="1398"/>
      <c r="THC50" s="1398"/>
      <c r="THD50" s="1398"/>
      <c r="THE50" s="1398"/>
      <c r="THF50" s="1398"/>
      <c r="THG50" s="1398"/>
      <c r="THH50" s="1398"/>
      <c r="THI50" s="1398"/>
      <c r="THJ50" s="1398"/>
      <c r="THK50" s="1398"/>
      <c r="THL50" s="1398"/>
      <c r="THM50" s="1398"/>
      <c r="THN50" s="1398"/>
      <c r="THO50" s="1398"/>
      <c r="THP50" s="1398"/>
      <c r="THQ50" s="1398"/>
      <c r="THR50" s="1398"/>
      <c r="THS50" s="1398"/>
      <c r="THT50" s="1398"/>
      <c r="THU50" s="1398"/>
      <c r="THV50" s="1398"/>
      <c r="THW50" s="1398"/>
      <c r="THX50" s="1398"/>
      <c r="THY50" s="1398"/>
      <c r="THZ50" s="1398"/>
      <c r="TIA50" s="1398"/>
      <c r="TIB50" s="1398"/>
      <c r="TIC50" s="1398"/>
      <c r="TID50" s="1398"/>
      <c r="TIE50" s="1398"/>
      <c r="TIF50" s="1398"/>
      <c r="TIG50" s="1398"/>
      <c r="TIH50" s="1398"/>
      <c r="TII50" s="1398"/>
      <c r="TIJ50" s="1398"/>
      <c r="TIK50" s="1398"/>
      <c r="TIL50" s="1398"/>
      <c r="TIM50" s="1398"/>
      <c r="TIN50" s="1398"/>
      <c r="TIO50" s="1398"/>
      <c r="TIP50" s="1398"/>
      <c r="TIQ50" s="1398"/>
      <c r="TIR50" s="1398"/>
      <c r="TIS50" s="1398"/>
      <c r="TIT50" s="1398"/>
      <c r="TIU50" s="1398"/>
      <c r="TIV50" s="1398"/>
      <c r="TIW50" s="1398"/>
      <c r="TIX50" s="1398"/>
      <c r="TIY50" s="1398"/>
      <c r="TIZ50" s="1398"/>
      <c r="TJA50" s="1398"/>
      <c r="TJB50" s="1398"/>
      <c r="TJC50" s="1398"/>
      <c r="TJD50" s="1398"/>
      <c r="TJE50" s="1398"/>
      <c r="TJF50" s="1398"/>
      <c r="TJG50" s="1398"/>
      <c r="TJH50" s="1398"/>
      <c r="TJI50" s="1398"/>
      <c r="TJJ50" s="1398"/>
      <c r="TJK50" s="1398"/>
      <c r="TJL50" s="1398"/>
      <c r="TJM50" s="1398"/>
      <c r="TJN50" s="1398"/>
      <c r="TJO50" s="1398"/>
      <c r="TJP50" s="1398"/>
      <c r="TJQ50" s="1398"/>
      <c r="TJR50" s="1398"/>
      <c r="TJS50" s="1398"/>
      <c r="TJT50" s="1398"/>
      <c r="TJU50" s="1398"/>
      <c r="TJV50" s="1398"/>
      <c r="TJW50" s="1398"/>
      <c r="TJX50" s="1398"/>
      <c r="TJY50" s="1398"/>
      <c r="TJZ50" s="1398"/>
      <c r="TKA50" s="1398"/>
      <c r="TKB50" s="1398"/>
      <c r="TKC50" s="1398"/>
      <c r="TKD50" s="1398"/>
      <c r="TKE50" s="1398"/>
      <c r="TKF50" s="1398"/>
      <c r="TKG50" s="1398"/>
      <c r="TKH50" s="1398"/>
      <c r="TKI50" s="1398"/>
      <c r="TKJ50" s="1398"/>
      <c r="TKK50" s="1398"/>
      <c r="TKL50" s="1398"/>
      <c r="TKM50" s="1398"/>
      <c r="TKN50" s="1398"/>
      <c r="TKO50" s="1398"/>
      <c r="TKP50" s="1398"/>
      <c r="TKQ50" s="1398"/>
      <c r="TKR50" s="1398"/>
      <c r="TKS50" s="1398"/>
      <c r="TKT50" s="1398"/>
      <c r="TKU50" s="1398"/>
      <c r="TKV50" s="1398"/>
      <c r="TKW50" s="1398"/>
      <c r="TKX50" s="1398"/>
      <c r="TKY50" s="1398"/>
      <c r="TKZ50" s="1398"/>
      <c r="TLA50" s="1398"/>
      <c r="TLB50" s="1398"/>
      <c r="TLC50" s="1398"/>
      <c r="TLD50" s="1398"/>
      <c r="TLE50" s="1398"/>
      <c r="TLF50" s="1398"/>
      <c r="TLG50" s="1398"/>
      <c r="TLH50" s="1398"/>
      <c r="TLI50" s="1398"/>
      <c r="TLJ50" s="1398"/>
      <c r="TLK50" s="1398"/>
      <c r="TLL50" s="1398"/>
      <c r="TLM50" s="1398"/>
      <c r="TLN50" s="1398"/>
      <c r="TLO50" s="1398"/>
      <c r="TLP50" s="1398"/>
      <c r="TLQ50" s="1398"/>
      <c r="TLR50" s="1398"/>
      <c r="TLS50" s="1398"/>
      <c r="TLT50" s="1398"/>
      <c r="TLU50" s="1398"/>
      <c r="TLV50" s="1398"/>
      <c r="TLW50" s="1398"/>
      <c r="TLX50" s="1398"/>
      <c r="TLY50" s="1398"/>
      <c r="TLZ50" s="1398"/>
      <c r="TMA50" s="1398"/>
      <c r="TMB50" s="1398"/>
      <c r="TMC50" s="1398"/>
      <c r="TMD50" s="1398"/>
      <c r="TME50" s="1398"/>
      <c r="TMF50" s="1398"/>
      <c r="TMG50" s="1398"/>
      <c r="TMH50" s="1398"/>
      <c r="TMI50" s="1398"/>
      <c r="TMJ50" s="1398"/>
      <c r="TMK50" s="1398"/>
      <c r="TML50" s="1398"/>
      <c r="TMM50" s="1398"/>
      <c r="TMN50" s="1398"/>
      <c r="TMO50" s="1398"/>
      <c r="TMP50" s="1398"/>
      <c r="TMQ50" s="1398"/>
      <c r="TMR50" s="1398"/>
      <c r="TMS50" s="1398"/>
      <c r="TMT50" s="1398"/>
      <c r="TMU50" s="1398"/>
      <c r="TMV50" s="1398"/>
      <c r="TMW50" s="1398"/>
      <c r="TMX50" s="1398"/>
      <c r="TMY50" s="1398"/>
      <c r="TMZ50" s="1398"/>
      <c r="TNA50" s="1398"/>
      <c r="TNB50" s="1398"/>
      <c r="TNC50" s="1398"/>
      <c r="TND50" s="1398"/>
      <c r="TNE50" s="1398"/>
      <c r="TNF50" s="1398"/>
      <c r="TNG50" s="1398"/>
      <c r="TNH50" s="1398"/>
      <c r="TNI50" s="1398"/>
      <c r="TNJ50" s="1398"/>
      <c r="TNK50" s="1398"/>
      <c r="TNL50" s="1398"/>
      <c r="TNM50" s="1398"/>
      <c r="TNN50" s="1398"/>
      <c r="TNO50" s="1398"/>
      <c r="TNP50" s="1398"/>
      <c r="TNQ50" s="1398"/>
      <c r="TNR50" s="1398"/>
      <c r="TNS50" s="1398"/>
      <c r="TNT50" s="1398"/>
      <c r="TNU50" s="1398"/>
      <c r="TNV50" s="1398"/>
      <c r="TNW50" s="1398"/>
      <c r="TNX50" s="1398"/>
      <c r="TNY50" s="1398"/>
      <c r="TNZ50" s="1398"/>
      <c r="TOA50" s="1398"/>
      <c r="TOB50" s="1398"/>
      <c r="TOC50" s="1398"/>
      <c r="TOD50" s="1398"/>
      <c r="TOE50" s="1398"/>
      <c r="TOF50" s="1398"/>
      <c r="TOG50" s="1398"/>
      <c r="TOH50" s="1398"/>
      <c r="TOI50" s="1398"/>
      <c r="TOJ50" s="1398"/>
      <c r="TOK50" s="1398"/>
      <c r="TOL50" s="1398"/>
      <c r="TOM50" s="1398"/>
      <c r="TON50" s="1398"/>
      <c r="TOO50" s="1398"/>
      <c r="TOP50" s="1398"/>
      <c r="TOQ50" s="1398"/>
      <c r="TOR50" s="1398"/>
      <c r="TOS50" s="1398"/>
      <c r="TOT50" s="1398"/>
      <c r="TOU50" s="1398"/>
      <c r="TOV50" s="1398"/>
      <c r="TOW50" s="1398"/>
      <c r="TOX50" s="1398"/>
      <c r="TOY50" s="1398"/>
      <c r="TOZ50" s="1398"/>
      <c r="TPA50" s="1398"/>
      <c r="TPB50" s="1398"/>
      <c r="TPC50" s="1398"/>
      <c r="TPD50" s="1398"/>
      <c r="TPE50" s="1398"/>
      <c r="TPF50" s="1398"/>
      <c r="TPG50" s="1398"/>
      <c r="TPH50" s="1398"/>
      <c r="TPI50" s="1398"/>
      <c r="TPJ50" s="1398"/>
      <c r="TPK50" s="1398"/>
      <c r="TPL50" s="1398"/>
      <c r="TPM50" s="1398"/>
      <c r="TPN50" s="1398"/>
      <c r="TPO50" s="1398"/>
      <c r="TPP50" s="1398"/>
      <c r="TPQ50" s="1398"/>
      <c r="TPR50" s="1398"/>
      <c r="TPS50" s="1398"/>
      <c r="TPT50" s="1398"/>
      <c r="TPU50" s="1398"/>
      <c r="TPV50" s="1398"/>
      <c r="TPW50" s="1398"/>
      <c r="TPX50" s="1398"/>
      <c r="TPY50" s="1398"/>
      <c r="TPZ50" s="1398"/>
      <c r="TQA50" s="1398"/>
      <c r="TQB50" s="1398"/>
      <c r="TQC50" s="1398"/>
      <c r="TQD50" s="1398"/>
      <c r="TQE50" s="1398"/>
      <c r="TQF50" s="1398"/>
      <c r="TQG50" s="1398"/>
      <c r="TQH50" s="1398"/>
      <c r="TQI50" s="1398"/>
      <c r="TQJ50" s="1398"/>
      <c r="TQK50" s="1398"/>
      <c r="TQL50" s="1398"/>
      <c r="TQM50" s="1398"/>
      <c r="TQN50" s="1398"/>
      <c r="TQO50" s="1398"/>
      <c r="TQP50" s="1398"/>
      <c r="TQQ50" s="1398"/>
      <c r="TQR50" s="1398"/>
      <c r="TQS50" s="1398"/>
      <c r="TQT50" s="1398"/>
      <c r="TQU50" s="1398"/>
      <c r="TQV50" s="1398"/>
      <c r="TQW50" s="1398"/>
      <c r="TQX50" s="1398"/>
      <c r="TQY50" s="1398"/>
      <c r="TQZ50" s="1398"/>
      <c r="TRA50" s="1398"/>
      <c r="TRB50" s="1398"/>
      <c r="TRC50" s="1398"/>
      <c r="TRD50" s="1398"/>
      <c r="TRE50" s="1398"/>
      <c r="TRF50" s="1398"/>
      <c r="TRG50" s="1398"/>
      <c r="TRH50" s="1398"/>
      <c r="TRI50" s="1398"/>
      <c r="TRJ50" s="1398"/>
      <c r="TRK50" s="1398"/>
      <c r="TRL50" s="1398"/>
      <c r="TRM50" s="1398"/>
      <c r="TRN50" s="1398"/>
      <c r="TRO50" s="1398"/>
      <c r="TRP50" s="1398"/>
      <c r="TRQ50" s="1398"/>
      <c r="TRR50" s="1398"/>
      <c r="TRS50" s="1398"/>
      <c r="TRT50" s="1398"/>
      <c r="TRU50" s="1398"/>
      <c r="TRV50" s="1398"/>
      <c r="TRW50" s="1398"/>
      <c r="TRX50" s="1398"/>
      <c r="TRY50" s="1398"/>
      <c r="TRZ50" s="1398"/>
      <c r="TSA50" s="1398"/>
      <c r="TSB50" s="1398"/>
      <c r="TSC50" s="1398"/>
      <c r="TSD50" s="1398"/>
      <c r="TSE50" s="1398"/>
      <c r="TSF50" s="1398"/>
      <c r="TSG50" s="1398"/>
      <c r="TSH50" s="1398"/>
      <c r="TSI50" s="1398"/>
      <c r="TSJ50" s="1398"/>
      <c r="TSK50" s="1398"/>
      <c r="TSL50" s="1398"/>
      <c r="TSM50" s="1398"/>
      <c r="TSN50" s="1398"/>
      <c r="TSO50" s="1398"/>
      <c r="TSP50" s="1398"/>
      <c r="TSQ50" s="1398"/>
      <c r="TSR50" s="1398"/>
      <c r="TSS50" s="1398"/>
      <c r="TST50" s="1398"/>
      <c r="TSU50" s="1398"/>
      <c r="TSV50" s="1398"/>
      <c r="TSW50" s="1398"/>
      <c r="TSX50" s="1398"/>
      <c r="TSY50" s="1398"/>
      <c r="TSZ50" s="1398"/>
      <c r="TTA50" s="1398"/>
      <c r="TTB50" s="1398"/>
      <c r="TTC50" s="1398"/>
      <c r="TTD50" s="1398"/>
      <c r="TTE50" s="1398"/>
      <c r="TTF50" s="1398"/>
      <c r="TTG50" s="1398"/>
      <c r="TTH50" s="1398"/>
      <c r="TTI50" s="1398"/>
      <c r="TTJ50" s="1398"/>
      <c r="TTK50" s="1398"/>
      <c r="TTL50" s="1398"/>
      <c r="TTM50" s="1398"/>
      <c r="TTN50" s="1398"/>
      <c r="TTO50" s="1398"/>
      <c r="TTP50" s="1398"/>
      <c r="TTQ50" s="1398"/>
      <c r="TTR50" s="1398"/>
      <c r="TTS50" s="1398"/>
      <c r="TTT50" s="1398"/>
      <c r="TTU50" s="1398"/>
      <c r="TTV50" s="1398"/>
      <c r="TTW50" s="1398"/>
      <c r="TTX50" s="1398"/>
      <c r="TTY50" s="1398"/>
      <c r="TTZ50" s="1398"/>
      <c r="TUA50" s="1398"/>
      <c r="TUB50" s="1398"/>
      <c r="TUC50" s="1398"/>
      <c r="TUD50" s="1398"/>
      <c r="TUE50" s="1398"/>
      <c r="TUF50" s="1398"/>
      <c r="TUG50" s="1398"/>
      <c r="TUH50" s="1398"/>
      <c r="TUI50" s="1398"/>
      <c r="TUJ50" s="1398"/>
      <c r="TUK50" s="1398"/>
      <c r="TUL50" s="1398"/>
      <c r="TUM50" s="1398"/>
      <c r="TUN50" s="1398"/>
      <c r="TUO50" s="1398"/>
      <c r="TUP50" s="1398"/>
      <c r="TUQ50" s="1398"/>
      <c r="TUR50" s="1398"/>
      <c r="TUS50" s="1398"/>
      <c r="TUT50" s="1398"/>
      <c r="TUU50" s="1398"/>
      <c r="TUV50" s="1398"/>
      <c r="TUW50" s="1398"/>
      <c r="TUX50" s="1398"/>
      <c r="TUY50" s="1398"/>
      <c r="TUZ50" s="1398"/>
      <c r="TVA50" s="1398"/>
      <c r="TVB50" s="1398"/>
      <c r="TVC50" s="1398"/>
      <c r="TVD50" s="1398"/>
      <c r="TVE50" s="1398"/>
      <c r="TVF50" s="1398"/>
      <c r="TVG50" s="1398"/>
      <c r="TVH50" s="1398"/>
      <c r="TVI50" s="1398"/>
      <c r="TVJ50" s="1398"/>
      <c r="TVK50" s="1398"/>
      <c r="TVL50" s="1398"/>
      <c r="TVM50" s="1398"/>
      <c r="TVN50" s="1398"/>
      <c r="TVO50" s="1398"/>
      <c r="TVP50" s="1398"/>
      <c r="TVQ50" s="1398"/>
      <c r="TVR50" s="1398"/>
      <c r="TVS50" s="1398"/>
      <c r="TVT50" s="1398"/>
      <c r="TVU50" s="1398"/>
      <c r="TVV50" s="1398"/>
      <c r="TVW50" s="1398"/>
      <c r="TVX50" s="1398"/>
      <c r="TVY50" s="1398"/>
      <c r="TVZ50" s="1398"/>
      <c r="TWA50" s="1398"/>
      <c r="TWB50" s="1398"/>
      <c r="TWC50" s="1398"/>
      <c r="TWD50" s="1398"/>
      <c r="TWE50" s="1398"/>
      <c r="TWF50" s="1398"/>
      <c r="TWG50" s="1398"/>
      <c r="TWH50" s="1398"/>
      <c r="TWI50" s="1398"/>
      <c r="TWJ50" s="1398"/>
      <c r="TWK50" s="1398"/>
      <c r="TWL50" s="1398"/>
      <c r="TWM50" s="1398"/>
      <c r="TWN50" s="1398"/>
      <c r="TWO50" s="1398"/>
      <c r="TWP50" s="1398"/>
      <c r="TWQ50" s="1398"/>
      <c r="TWR50" s="1398"/>
      <c r="TWS50" s="1398"/>
      <c r="TWT50" s="1398"/>
      <c r="TWU50" s="1398"/>
      <c r="TWV50" s="1398"/>
      <c r="TWW50" s="1398"/>
      <c r="TWX50" s="1398"/>
      <c r="TWY50" s="1398"/>
      <c r="TWZ50" s="1398"/>
      <c r="TXA50" s="1398"/>
      <c r="TXB50" s="1398"/>
      <c r="TXC50" s="1398"/>
      <c r="TXD50" s="1398"/>
      <c r="TXE50" s="1398"/>
      <c r="TXF50" s="1398"/>
      <c r="TXG50" s="1398"/>
      <c r="TXH50" s="1398"/>
      <c r="TXI50" s="1398"/>
      <c r="TXJ50" s="1398"/>
      <c r="TXK50" s="1398"/>
      <c r="TXL50" s="1398"/>
      <c r="TXM50" s="1398"/>
      <c r="TXN50" s="1398"/>
      <c r="TXO50" s="1398"/>
      <c r="TXP50" s="1398"/>
      <c r="TXQ50" s="1398"/>
      <c r="TXR50" s="1398"/>
      <c r="TXS50" s="1398"/>
      <c r="TXT50" s="1398"/>
      <c r="TXU50" s="1398"/>
      <c r="TXV50" s="1398"/>
      <c r="TXW50" s="1398"/>
      <c r="TXX50" s="1398"/>
      <c r="TXY50" s="1398"/>
      <c r="TXZ50" s="1398"/>
      <c r="TYA50" s="1398"/>
      <c r="TYB50" s="1398"/>
      <c r="TYC50" s="1398"/>
      <c r="TYD50" s="1398"/>
      <c r="TYE50" s="1398"/>
      <c r="TYF50" s="1398"/>
      <c r="TYG50" s="1398"/>
      <c r="TYH50" s="1398"/>
      <c r="TYI50" s="1398"/>
      <c r="TYJ50" s="1398"/>
      <c r="TYK50" s="1398"/>
      <c r="TYL50" s="1398"/>
      <c r="TYM50" s="1398"/>
      <c r="TYN50" s="1398"/>
      <c r="TYO50" s="1398"/>
      <c r="TYP50" s="1398"/>
      <c r="TYQ50" s="1398"/>
      <c r="TYR50" s="1398"/>
      <c r="TYS50" s="1398"/>
      <c r="TYT50" s="1398"/>
      <c r="TYU50" s="1398"/>
      <c r="TYV50" s="1398"/>
      <c r="TYW50" s="1398"/>
      <c r="TYX50" s="1398"/>
      <c r="TYY50" s="1398"/>
      <c r="TYZ50" s="1398"/>
      <c r="TZA50" s="1398"/>
      <c r="TZB50" s="1398"/>
      <c r="TZC50" s="1398"/>
      <c r="TZD50" s="1398"/>
      <c r="TZE50" s="1398"/>
      <c r="TZF50" s="1398"/>
      <c r="TZG50" s="1398"/>
      <c r="TZH50" s="1398"/>
      <c r="TZI50" s="1398"/>
      <c r="TZJ50" s="1398"/>
      <c r="TZK50" s="1398"/>
      <c r="TZL50" s="1398"/>
      <c r="TZM50" s="1398"/>
      <c r="TZN50" s="1398"/>
      <c r="TZO50" s="1398"/>
      <c r="TZP50" s="1398"/>
      <c r="TZQ50" s="1398"/>
      <c r="TZR50" s="1398"/>
      <c r="TZS50" s="1398"/>
      <c r="TZT50" s="1398"/>
      <c r="TZU50" s="1398"/>
      <c r="TZV50" s="1398"/>
      <c r="TZW50" s="1398"/>
      <c r="TZX50" s="1398"/>
      <c r="TZY50" s="1398"/>
      <c r="TZZ50" s="1398"/>
      <c r="UAA50" s="1398"/>
      <c r="UAB50" s="1398"/>
      <c r="UAC50" s="1398"/>
      <c r="UAD50" s="1398"/>
      <c r="UAE50" s="1398"/>
      <c r="UAF50" s="1398"/>
      <c r="UAG50" s="1398"/>
      <c r="UAH50" s="1398"/>
      <c r="UAI50" s="1398"/>
      <c r="UAJ50" s="1398"/>
      <c r="UAK50" s="1398"/>
      <c r="UAL50" s="1398"/>
      <c r="UAM50" s="1398"/>
      <c r="UAN50" s="1398"/>
      <c r="UAO50" s="1398"/>
      <c r="UAP50" s="1398"/>
      <c r="UAQ50" s="1398"/>
      <c r="UAR50" s="1398"/>
      <c r="UAS50" s="1398"/>
      <c r="UAT50" s="1398"/>
      <c r="UAU50" s="1398"/>
      <c r="UAV50" s="1398"/>
      <c r="UAW50" s="1398"/>
      <c r="UAX50" s="1398"/>
      <c r="UAY50" s="1398"/>
      <c r="UAZ50" s="1398"/>
      <c r="UBA50" s="1398"/>
      <c r="UBB50" s="1398"/>
      <c r="UBC50" s="1398"/>
      <c r="UBD50" s="1398"/>
      <c r="UBE50" s="1398"/>
      <c r="UBF50" s="1398"/>
      <c r="UBG50" s="1398"/>
      <c r="UBH50" s="1398"/>
      <c r="UBI50" s="1398"/>
      <c r="UBJ50" s="1398"/>
      <c r="UBK50" s="1398"/>
      <c r="UBL50" s="1398"/>
      <c r="UBM50" s="1398"/>
      <c r="UBN50" s="1398"/>
      <c r="UBO50" s="1398"/>
      <c r="UBP50" s="1398"/>
      <c r="UBQ50" s="1398"/>
      <c r="UBR50" s="1398"/>
      <c r="UBS50" s="1398"/>
      <c r="UBT50" s="1398"/>
      <c r="UBU50" s="1398"/>
      <c r="UBV50" s="1398"/>
      <c r="UBW50" s="1398"/>
      <c r="UBX50" s="1398"/>
      <c r="UBY50" s="1398"/>
      <c r="UBZ50" s="1398"/>
      <c r="UCA50" s="1398"/>
      <c r="UCB50" s="1398"/>
      <c r="UCC50" s="1398"/>
      <c r="UCD50" s="1398"/>
      <c r="UCE50" s="1398"/>
      <c r="UCF50" s="1398"/>
      <c r="UCG50" s="1398"/>
      <c r="UCH50" s="1398"/>
      <c r="UCI50" s="1398"/>
      <c r="UCJ50" s="1398"/>
      <c r="UCK50" s="1398"/>
      <c r="UCL50" s="1398"/>
      <c r="UCM50" s="1398"/>
      <c r="UCN50" s="1398"/>
      <c r="UCO50" s="1398"/>
      <c r="UCP50" s="1398"/>
      <c r="UCQ50" s="1398"/>
      <c r="UCR50" s="1398"/>
      <c r="UCS50" s="1398"/>
      <c r="UCT50" s="1398"/>
      <c r="UCU50" s="1398"/>
      <c r="UCV50" s="1398"/>
      <c r="UCW50" s="1398"/>
      <c r="UCX50" s="1398"/>
      <c r="UCY50" s="1398"/>
      <c r="UCZ50" s="1398"/>
      <c r="UDA50" s="1398"/>
      <c r="UDB50" s="1398"/>
      <c r="UDC50" s="1398"/>
      <c r="UDD50" s="1398"/>
      <c r="UDE50" s="1398"/>
      <c r="UDF50" s="1398"/>
      <c r="UDG50" s="1398"/>
      <c r="UDH50" s="1398"/>
      <c r="UDI50" s="1398"/>
      <c r="UDJ50" s="1398"/>
      <c r="UDK50" s="1398"/>
      <c r="UDL50" s="1398"/>
      <c r="UDM50" s="1398"/>
      <c r="UDN50" s="1398"/>
      <c r="UDO50" s="1398"/>
      <c r="UDP50" s="1398"/>
      <c r="UDQ50" s="1398"/>
      <c r="UDR50" s="1398"/>
      <c r="UDS50" s="1398"/>
      <c r="UDT50" s="1398"/>
      <c r="UDU50" s="1398"/>
      <c r="UDV50" s="1398"/>
      <c r="UDW50" s="1398"/>
      <c r="UDX50" s="1398"/>
      <c r="UDY50" s="1398"/>
      <c r="UDZ50" s="1398"/>
      <c r="UEA50" s="1398"/>
      <c r="UEB50" s="1398"/>
      <c r="UEC50" s="1398"/>
      <c r="UED50" s="1398"/>
      <c r="UEE50" s="1398"/>
      <c r="UEF50" s="1398"/>
      <c r="UEG50" s="1398"/>
      <c r="UEH50" s="1398"/>
      <c r="UEI50" s="1398"/>
      <c r="UEJ50" s="1398"/>
      <c r="UEK50" s="1398"/>
      <c r="UEL50" s="1398"/>
      <c r="UEM50" s="1398"/>
      <c r="UEN50" s="1398"/>
      <c r="UEO50" s="1398"/>
      <c r="UEP50" s="1398"/>
      <c r="UEQ50" s="1398"/>
      <c r="UER50" s="1398"/>
      <c r="UES50" s="1398"/>
      <c r="UET50" s="1398"/>
      <c r="UEU50" s="1398"/>
      <c r="UEV50" s="1398"/>
      <c r="UEW50" s="1398"/>
      <c r="UEX50" s="1398"/>
      <c r="UEY50" s="1398"/>
      <c r="UEZ50" s="1398"/>
      <c r="UFA50" s="1398"/>
      <c r="UFB50" s="1398"/>
      <c r="UFC50" s="1398"/>
      <c r="UFD50" s="1398"/>
      <c r="UFE50" s="1398"/>
      <c r="UFF50" s="1398"/>
      <c r="UFG50" s="1398"/>
      <c r="UFH50" s="1398"/>
      <c r="UFI50" s="1398"/>
      <c r="UFJ50" s="1398"/>
      <c r="UFK50" s="1398"/>
      <c r="UFL50" s="1398"/>
      <c r="UFM50" s="1398"/>
      <c r="UFN50" s="1398"/>
      <c r="UFO50" s="1398"/>
      <c r="UFP50" s="1398"/>
      <c r="UFQ50" s="1398"/>
      <c r="UFR50" s="1398"/>
      <c r="UFS50" s="1398"/>
      <c r="UFT50" s="1398"/>
      <c r="UFU50" s="1398"/>
      <c r="UFV50" s="1398"/>
      <c r="UFW50" s="1398"/>
      <c r="UFX50" s="1398"/>
      <c r="UFY50" s="1398"/>
      <c r="UFZ50" s="1398"/>
      <c r="UGA50" s="1398"/>
      <c r="UGB50" s="1398"/>
      <c r="UGC50" s="1398"/>
      <c r="UGD50" s="1398"/>
      <c r="UGE50" s="1398"/>
      <c r="UGF50" s="1398"/>
      <c r="UGG50" s="1398"/>
      <c r="UGH50" s="1398"/>
      <c r="UGI50" s="1398"/>
      <c r="UGJ50" s="1398"/>
      <c r="UGK50" s="1398"/>
      <c r="UGL50" s="1398"/>
      <c r="UGM50" s="1398"/>
      <c r="UGN50" s="1398"/>
      <c r="UGO50" s="1398"/>
      <c r="UGP50" s="1398"/>
      <c r="UGQ50" s="1398"/>
      <c r="UGR50" s="1398"/>
      <c r="UGS50" s="1398"/>
      <c r="UGT50" s="1398"/>
      <c r="UGU50" s="1398"/>
      <c r="UGV50" s="1398"/>
      <c r="UGW50" s="1398"/>
      <c r="UGX50" s="1398"/>
      <c r="UGY50" s="1398"/>
      <c r="UGZ50" s="1398"/>
      <c r="UHA50" s="1398"/>
      <c r="UHB50" s="1398"/>
      <c r="UHC50" s="1398"/>
      <c r="UHD50" s="1398"/>
      <c r="UHE50" s="1398"/>
      <c r="UHF50" s="1398"/>
      <c r="UHG50" s="1398"/>
      <c r="UHH50" s="1398"/>
      <c r="UHI50" s="1398"/>
      <c r="UHJ50" s="1398"/>
      <c r="UHK50" s="1398"/>
      <c r="UHL50" s="1398"/>
      <c r="UHM50" s="1398"/>
      <c r="UHN50" s="1398"/>
      <c r="UHO50" s="1398"/>
      <c r="UHP50" s="1398"/>
      <c r="UHQ50" s="1398"/>
      <c r="UHR50" s="1398"/>
      <c r="UHS50" s="1398"/>
      <c r="UHT50" s="1398"/>
      <c r="UHU50" s="1398"/>
      <c r="UHV50" s="1398"/>
      <c r="UHW50" s="1398"/>
      <c r="UHX50" s="1398"/>
      <c r="UHY50" s="1398"/>
      <c r="UHZ50" s="1398"/>
      <c r="UIA50" s="1398"/>
      <c r="UIB50" s="1398"/>
      <c r="UIC50" s="1398"/>
      <c r="UID50" s="1398"/>
      <c r="UIE50" s="1398"/>
      <c r="UIF50" s="1398"/>
      <c r="UIG50" s="1398"/>
      <c r="UIH50" s="1398"/>
      <c r="UII50" s="1398"/>
      <c r="UIJ50" s="1398"/>
      <c r="UIK50" s="1398"/>
      <c r="UIL50" s="1398"/>
      <c r="UIM50" s="1398"/>
      <c r="UIN50" s="1398"/>
      <c r="UIO50" s="1398"/>
      <c r="UIP50" s="1398"/>
      <c r="UIQ50" s="1398"/>
      <c r="UIR50" s="1398"/>
      <c r="UIS50" s="1398"/>
      <c r="UIT50" s="1398"/>
      <c r="UIU50" s="1398"/>
      <c r="UIV50" s="1398"/>
      <c r="UIW50" s="1398"/>
      <c r="UIX50" s="1398"/>
      <c r="UIY50" s="1398"/>
      <c r="UIZ50" s="1398"/>
      <c r="UJA50" s="1398"/>
      <c r="UJB50" s="1398"/>
      <c r="UJC50" s="1398"/>
      <c r="UJD50" s="1398"/>
      <c r="UJE50" s="1398"/>
      <c r="UJF50" s="1398"/>
      <c r="UJG50" s="1398"/>
      <c r="UJH50" s="1398"/>
      <c r="UJI50" s="1398"/>
      <c r="UJJ50" s="1398"/>
      <c r="UJK50" s="1398"/>
      <c r="UJL50" s="1398"/>
      <c r="UJM50" s="1398"/>
      <c r="UJN50" s="1398"/>
      <c r="UJO50" s="1398"/>
      <c r="UJP50" s="1398"/>
      <c r="UJQ50" s="1398"/>
      <c r="UJR50" s="1398"/>
      <c r="UJS50" s="1398"/>
      <c r="UJT50" s="1398"/>
      <c r="UJU50" s="1398"/>
      <c r="UJV50" s="1398"/>
      <c r="UJW50" s="1398"/>
      <c r="UJX50" s="1398"/>
      <c r="UJY50" s="1398"/>
      <c r="UJZ50" s="1398"/>
      <c r="UKA50" s="1398"/>
      <c r="UKB50" s="1398"/>
      <c r="UKC50" s="1398"/>
      <c r="UKD50" s="1398"/>
      <c r="UKE50" s="1398"/>
      <c r="UKF50" s="1398"/>
      <c r="UKG50" s="1398"/>
      <c r="UKH50" s="1398"/>
      <c r="UKI50" s="1398"/>
      <c r="UKJ50" s="1398"/>
      <c r="UKK50" s="1398"/>
      <c r="UKL50" s="1398"/>
      <c r="UKM50" s="1398"/>
      <c r="UKN50" s="1398"/>
      <c r="UKO50" s="1398"/>
      <c r="UKP50" s="1398"/>
      <c r="UKQ50" s="1398"/>
      <c r="UKR50" s="1398"/>
      <c r="UKS50" s="1398"/>
      <c r="UKT50" s="1398"/>
      <c r="UKU50" s="1398"/>
      <c r="UKV50" s="1398"/>
      <c r="UKW50" s="1398"/>
      <c r="UKX50" s="1398"/>
      <c r="UKY50" s="1398"/>
      <c r="UKZ50" s="1398"/>
      <c r="ULA50" s="1398"/>
      <c r="ULB50" s="1398"/>
      <c r="ULC50" s="1398"/>
      <c r="ULD50" s="1398"/>
      <c r="ULE50" s="1398"/>
      <c r="ULF50" s="1398"/>
      <c r="ULG50" s="1398"/>
      <c r="ULH50" s="1398"/>
      <c r="ULI50" s="1398"/>
      <c r="ULJ50" s="1398"/>
      <c r="ULK50" s="1398"/>
      <c r="ULL50" s="1398"/>
      <c r="ULM50" s="1398"/>
      <c r="ULN50" s="1398"/>
      <c r="ULO50" s="1398"/>
      <c r="ULP50" s="1398"/>
      <c r="ULQ50" s="1398"/>
      <c r="ULR50" s="1398"/>
      <c r="ULS50" s="1398"/>
      <c r="ULT50" s="1398"/>
      <c r="ULU50" s="1398"/>
      <c r="ULV50" s="1398"/>
      <c r="ULW50" s="1398"/>
      <c r="ULX50" s="1398"/>
      <c r="ULY50" s="1398"/>
      <c r="ULZ50" s="1398"/>
      <c r="UMA50" s="1398"/>
      <c r="UMB50" s="1398"/>
      <c r="UMC50" s="1398"/>
      <c r="UMD50" s="1398"/>
      <c r="UME50" s="1398"/>
      <c r="UMF50" s="1398"/>
      <c r="UMG50" s="1398"/>
      <c r="UMH50" s="1398"/>
      <c r="UMI50" s="1398"/>
      <c r="UMJ50" s="1398"/>
      <c r="UMK50" s="1398"/>
      <c r="UML50" s="1398"/>
      <c r="UMM50" s="1398"/>
      <c r="UMN50" s="1398"/>
      <c r="UMO50" s="1398"/>
      <c r="UMP50" s="1398"/>
      <c r="UMQ50" s="1398"/>
      <c r="UMR50" s="1398"/>
      <c r="UMS50" s="1398"/>
      <c r="UMT50" s="1398"/>
      <c r="UMU50" s="1398"/>
      <c r="UMV50" s="1398"/>
      <c r="UMW50" s="1398"/>
      <c r="UMX50" s="1398"/>
      <c r="UMY50" s="1398"/>
      <c r="UMZ50" s="1398"/>
      <c r="UNA50" s="1398"/>
      <c r="UNB50" s="1398"/>
      <c r="UNC50" s="1398"/>
      <c r="UND50" s="1398"/>
      <c r="UNE50" s="1398"/>
      <c r="UNF50" s="1398"/>
      <c r="UNG50" s="1398"/>
      <c r="UNH50" s="1398"/>
      <c r="UNI50" s="1398"/>
      <c r="UNJ50" s="1398"/>
      <c r="UNK50" s="1398"/>
      <c r="UNL50" s="1398"/>
      <c r="UNM50" s="1398"/>
      <c r="UNN50" s="1398"/>
      <c r="UNO50" s="1398"/>
      <c r="UNP50" s="1398"/>
      <c r="UNQ50" s="1398"/>
      <c r="UNR50" s="1398"/>
      <c r="UNS50" s="1398"/>
      <c r="UNT50" s="1398"/>
      <c r="UNU50" s="1398"/>
      <c r="UNV50" s="1398"/>
      <c r="UNW50" s="1398"/>
      <c r="UNX50" s="1398"/>
      <c r="UNY50" s="1398"/>
      <c r="UNZ50" s="1398"/>
      <c r="UOA50" s="1398"/>
      <c r="UOB50" s="1398"/>
      <c r="UOC50" s="1398"/>
      <c r="UOD50" s="1398"/>
      <c r="UOE50" s="1398"/>
      <c r="UOF50" s="1398"/>
      <c r="UOG50" s="1398"/>
      <c r="UOH50" s="1398"/>
      <c r="UOI50" s="1398"/>
      <c r="UOJ50" s="1398"/>
      <c r="UOK50" s="1398"/>
      <c r="UOL50" s="1398"/>
      <c r="UOM50" s="1398"/>
      <c r="UON50" s="1398"/>
      <c r="UOO50" s="1398"/>
      <c r="UOP50" s="1398"/>
      <c r="UOQ50" s="1398"/>
      <c r="UOR50" s="1398"/>
      <c r="UOS50" s="1398"/>
      <c r="UOT50" s="1398"/>
      <c r="UOU50" s="1398"/>
      <c r="UOV50" s="1398"/>
      <c r="UOW50" s="1398"/>
      <c r="UOX50" s="1398"/>
      <c r="UOY50" s="1398"/>
      <c r="UOZ50" s="1398"/>
      <c r="UPA50" s="1398"/>
      <c r="UPB50" s="1398"/>
      <c r="UPC50" s="1398"/>
      <c r="UPD50" s="1398"/>
      <c r="UPE50" s="1398"/>
      <c r="UPF50" s="1398"/>
      <c r="UPG50" s="1398"/>
      <c r="UPH50" s="1398"/>
      <c r="UPI50" s="1398"/>
      <c r="UPJ50" s="1398"/>
      <c r="UPK50" s="1398"/>
      <c r="UPL50" s="1398"/>
      <c r="UPM50" s="1398"/>
      <c r="UPN50" s="1398"/>
      <c r="UPO50" s="1398"/>
      <c r="UPP50" s="1398"/>
      <c r="UPQ50" s="1398"/>
      <c r="UPR50" s="1398"/>
      <c r="UPS50" s="1398"/>
      <c r="UPT50" s="1398"/>
      <c r="UPU50" s="1398"/>
      <c r="UPV50" s="1398"/>
      <c r="UPW50" s="1398"/>
      <c r="UPX50" s="1398"/>
      <c r="UPY50" s="1398"/>
      <c r="UPZ50" s="1398"/>
      <c r="UQA50" s="1398"/>
      <c r="UQB50" s="1398"/>
      <c r="UQC50" s="1398"/>
      <c r="UQD50" s="1398"/>
      <c r="UQE50" s="1398"/>
      <c r="UQF50" s="1398"/>
      <c r="UQG50" s="1398"/>
      <c r="UQH50" s="1398"/>
      <c r="UQI50" s="1398"/>
      <c r="UQJ50" s="1398"/>
      <c r="UQK50" s="1398"/>
      <c r="UQL50" s="1398"/>
      <c r="UQM50" s="1398"/>
      <c r="UQN50" s="1398"/>
      <c r="UQO50" s="1398"/>
      <c r="UQP50" s="1398"/>
      <c r="UQQ50" s="1398"/>
      <c r="UQR50" s="1398"/>
      <c r="UQS50" s="1398"/>
      <c r="UQT50" s="1398"/>
      <c r="UQU50" s="1398"/>
      <c r="UQV50" s="1398"/>
      <c r="UQW50" s="1398"/>
      <c r="UQX50" s="1398"/>
      <c r="UQY50" s="1398"/>
      <c r="UQZ50" s="1398"/>
      <c r="URA50" s="1398"/>
      <c r="URB50" s="1398"/>
      <c r="URC50" s="1398"/>
      <c r="URD50" s="1398"/>
      <c r="URE50" s="1398"/>
      <c r="URF50" s="1398"/>
      <c r="URG50" s="1398"/>
      <c r="URH50" s="1398"/>
      <c r="URI50" s="1398"/>
      <c r="URJ50" s="1398"/>
      <c r="URK50" s="1398"/>
      <c r="URL50" s="1398"/>
      <c r="URM50" s="1398"/>
      <c r="URN50" s="1398"/>
      <c r="URO50" s="1398"/>
      <c r="URP50" s="1398"/>
      <c r="URQ50" s="1398"/>
      <c r="URR50" s="1398"/>
      <c r="URS50" s="1398"/>
      <c r="URT50" s="1398"/>
      <c r="URU50" s="1398"/>
      <c r="URV50" s="1398"/>
      <c r="URW50" s="1398"/>
      <c r="URX50" s="1398"/>
      <c r="URY50" s="1398"/>
      <c r="URZ50" s="1398"/>
      <c r="USA50" s="1398"/>
      <c r="USB50" s="1398"/>
      <c r="USC50" s="1398"/>
      <c r="USD50" s="1398"/>
      <c r="USE50" s="1398"/>
      <c r="USF50" s="1398"/>
      <c r="USG50" s="1398"/>
      <c r="USH50" s="1398"/>
      <c r="USI50" s="1398"/>
      <c r="USJ50" s="1398"/>
      <c r="USK50" s="1398"/>
      <c r="USL50" s="1398"/>
      <c r="USM50" s="1398"/>
      <c r="USN50" s="1398"/>
      <c r="USO50" s="1398"/>
      <c r="USP50" s="1398"/>
      <c r="USQ50" s="1398"/>
      <c r="USR50" s="1398"/>
      <c r="USS50" s="1398"/>
      <c r="UST50" s="1398"/>
      <c r="USU50" s="1398"/>
      <c r="USV50" s="1398"/>
      <c r="USW50" s="1398"/>
      <c r="USX50" s="1398"/>
      <c r="USY50" s="1398"/>
      <c r="USZ50" s="1398"/>
      <c r="UTA50" s="1398"/>
      <c r="UTB50" s="1398"/>
      <c r="UTC50" s="1398"/>
      <c r="UTD50" s="1398"/>
      <c r="UTE50" s="1398"/>
      <c r="UTF50" s="1398"/>
      <c r="UTG50" s="1398"/>
      <c r="UTH50" s="1398"/>
      <c r="UTI50" s="1398"/>
      <c r="UTJ50" s="1398"/>
      <c r="UTK50" s="1398"/>
      <c r="UTL50" s="1398"/>
      <c r="UTM50" s="1398"/>
      <c r="UTN50" s="1398"/>
      <c r="UTO50" s="1398"/>
      <c r="UTP50" s="1398"/>
      <c r="UTQ50" s="1398"/>
      <c r="UTR50" s="1398"/>
      <c r="UTS50" s="1398"/>
      <c r="UTT50" s="1398"/>
      <c r="UTU50" s="1398"/>
      <c r="UTV50" s="1398"/>
      <c r="UTW50" s="1398"/>
      <c r="UTX50" s="1398"/>
      <c r="UTY50" s="1398"/>
      <c r="UTZ50" s="1398"/>
      <c r="UUA50" s="1398"/>
      <c r="UUB50" s="1398"/>
      <c r="UUC50" s="1398"/>
      <c r="UUD50" s="1398"/>
      <c r="UUE50" s="1398"/>
      <c r="UUF50" s="1398"/>
      <c r="UUG50" s="1398"/>
      <c r="UUH50" s="1398"/>
      <c r="UUI50" s="1398"/>
      <c r="UUJ50" s="1398"/>
      <c r="UUK50" s="1398"/>
      <c r="UUL50" s="1398"/>
      <c r="UUM50" s="1398"/>
      <c r="UUN50" s="1398"/>
      <c r="UUO50" s="1398"/>
      <c r="UUP50" s="1398"/>
      <c r="UUQ50" s="1398"/>
      <c r="UUR50" s="1398"/>
      <c r="UUS50" s="1398"/>
      <c r="UUT50" s="1398"/>
      <c r="UUU50" s="1398"/>
      <c r="UUV50" s="1398"/>
      <c r="UUW50" s="1398"/>
      <c r="UUX50" s="1398"/>
      <c r="UUY50" s="1398"/>
      <c r="UUZ50" s="1398"/>
      <c r="UVA50" s="1398"/>
      <c r="UVB50" s="1398"/>
      <c r="UVC50" s="1398"/>
      <c r="UVD50" s="1398"/>
      <c r="UVE50" s="1398"/>
      <c r="UVF50" s="1398"/>
      <c r="UVG50" s="1398"/>
      <c r="UVH50" s="1398"/>
      <c r="UVI50" s="1398"/>
      <c r="UVJ50" s="1398"/>
      <c r="UVK50" s="1398"/>
      <c r="UVL50" s="1398"/>
      <c r="UVM50" s="1398"/>
      <c r="UVN50" s="1398"/>
      <c r="UVO50" s="1398"/>
      <c r="UVP50" s="1398"/>
      <c r="UVQ50" s="1398"/>
      <c r="UVR50" s="1398"/>
      <c r="UVS50" s="1398"/>
      <c r="UVT50" s="1398"/>
      <c r="UVU50" s="1398"/>
      <c r="UVV50" s="1398"/>
      <c r="UVW50" s="1398"/>
      <c r="UVX50" s="1398"/>
      <c r="UVY50" s="1398"/>
      <c r="UVZ50" s="1398"/>
      <c r="UWA50" s="1398"/>
      <c r="UWB50" s="1398"/>
      <c r="UWC50" s="1398"/>
      <c r="UWD50" s="1398"/>
      <c r="UWE50" s="1398"/>
      <c r="UWF50" s="1398"/>
      <c r="UWG50" s="1398"/>
      <c r="UWH50" s="1398"/>
      <c r="UWI50" s="1398"/>
      <c r="UWJ50" s="1398"/>
      <c r="UWK50" s="1398"/>
      <c r="UWL50" s="1398"/>
      <c r="UWM50" s="1398"/>
      <c r="UWN50" s="1398"/>
      <c r="UWO50" s="1398"/>
      <c r="UWP50" s="1398"/>
      <c r="UWQ50" s="1398"/>
      <c r="UWR50" s="1398"/>
      <c r="UWS50" s="1398"/>
      <c r="UWT50" s="1398"/>
      <c r="UWU50" s="1398"/>
      <c r="UWV50" s="1398"/>
      <c r="UWW50" s="1398"/>
      <c r="UWX50" s="1398"/>
      <c r="UWY50" s="1398"/>
      <c r="UWZ50" s="1398"/>
      <c r="UXA50" s="1398"/>
      <c r="UXB50" s="1398"/>
      <c r="UXC50" s="1398"/>
      <c r="UXD50" s="1398"/>
      <c r="UXE50" s="1398"/>
      <c r="UXF50" s="1398"/>
      <c r="UXG50" s="1398"/>
      <c r="UXH50" s="1398"/>
      <c r="UXI50" s="1398"/>
      <c r="UXJ50" s="1398"/>
      <c r="UXK50" s="1398"/>
      <c r="UXL50" s="1398"/>
      <c r="UXM50" s="1398"/>
      <c r="UXN50" s="1398"/>
      <c r="UXO50" s="1398"/>
      <c r="UXP50" s="1398"/>
      <c r="UXQ50" s="1398"/>
      <c r="UXR50" s="1398"/>
      <c r="UXS50" s="1398"/>
      <c r="UXT50" s="1398"/>
      <c r="UXU50" s="1398"/>
      <c r="UXV50" s="1398"/>
      <c r="UXW50" s="1398"/>
      <c r="UXX50" s="1398"/>
      <c r="UXY50" s="1398"/>
      <c r="UXZ50" s="1398"/>
      <c r="UYA50" s="1398"/>
      <c r="UYB50" s="1398"/>
      <c r="UYC50" s="1398"/>
      <c r="UYD50" s="1398"/>
      <c r="UYE50" s="1398"/>
      <c r="UYF50" s="1398"/>
      <c r="UYG50" s="1398"/>
      <c r="UYH50" s="1398"/>
      <c r="UYI50" s="1398"/>
      <c r="UYJ50" s="1398"/>
      <c r="UYK50" s="1398"/>
      <c r="UYL50" s="1398"/>
      <c r="UYM50" s="1398"/>
      <c r="UYN50" s="1398"/>
      <c r="UYO50" s="1398"/>
      <c r="UYP50" s="1398"/>
      <c r="UYQ50" s="1398"/>
      <c r="UYR50" s="1398"/>
      <c r="UYS50" s="1398"/>
      <c r="UYT50" s="1398"/>
      <c r="UYU50" s="1398"/>
      <c r="UYV50" s="1398"/>
      <c r="UYW50" s="1398"/>
      <c r="UYX50" s="1398"/>
      <c r="UYY50" s="1398"/>
      <c r="UYZ50" s="1398"/>
      <c r="UZA50" s="1398"/>
      <c r="UZB50" s="1398"/>
      <c r="UZC50" s="1398"/>
      <c r="UZD50" s="1398"/>
      <c r="UZE50" s="1398"/>
      <c r="UZF50" s="1398"/>
      <c r="UZG50" s="1398"/>
      <c r="UZH50" s="1398"/>
      <c r="UZI50" s="1398"/>
      <c r="UZJ50" s="1398"/>
      <c r="UZK50" s="1398"/>
      <c r="UZL50" s="1398"/>
      <c r="UZM50" s="1398"/>
      <c r="UZN50" s="1398"/>
      <c r="UZO50" s="1398"/>
      <c r="UZP50" s="1398"/>
      <c r="UZQ50" s="1398"/>
      <c r="UZR50" s="1398"/>
      <c r="UZS50" s="1398"/>
      <c r="UZT50" s="1398"/>
      <c r="UZU50" s="1398"/>
      <c r="UZV50" s="1398"/>
      <c r="UZW50" s="1398"/>
      <c r="UZX50" s="1398"/>
      <c r="UZY50" s="1398"/>
      <c r="UZZ50" s="1398"/>
      <c r="VAA50" s="1398"/>
      <c r="VAB50" s="1398"/>
      <c r="VAC50" s="1398"/>
      <c r="VAD50" s="1398"/>
      <c r="VAE50" s="1398"/>
      <c r="VAF50" s="1398"/>
      <c r="VAG50" s="1398"/>
      <c r="VAH50" s="1398"/>
      <c r="VAI50" s="1398"/>
      <c r="VAJ50" s="1398"/>
      <c r="VAK50" s="1398"/>
      <c r="VAL50" s="1398"/>
      <c r="VAM50" s="1398"/>
      <c r="VAN50" s="1398"/>
      <c r="VAO50" s="1398"/>
      <c r="VAP50" s="1398"/>
      <c r="VAQ50" s="1398"/>
      <c r="VAR50" s="1398"/>
      <c r="VAS50" s="1398"/>
      <c r="VAT50" s="1398"/>
      <c r="VAU50" s="1398"/>
      <c r="VAV50" s="1398"/>
      <c r="VAW50" s="1398"/>
      <c r="VAX50" s="1398"/>
      <c r="VAY50" s="1398"/>
      <c r="VAZ50" s="1398"/>
      <c r="VBA50" s="1398"/>
      <c r="VBB50" s="1398"/>
      <c r="VBC50" s="1398"/>
      <c r="VBD50" s="1398"/>
      <c r="VBE50" s="1398"/>
      <c r="VBF50" s="1398"/>
      <c r="VBG50" s="1398"/>
      <c r="VBH50" s="1398"/>
      <c r="VBI50" s="1398"/>
      <c r="VBJ50" s="1398"/>
      <c r="VBK50" s="1398"/>
      <c r="VBL50" s="1398"/>
      <c r="VBM50" s="1398"/>
      <c r="VBN50" s="1398"/>
      <c r="VBO50" s="1398"/>
      <c r="VBP50" s="1398"/>
      <c r="VBQ50" s="1398"/>
      <c r="VBR50" s="1398"/>
      <c r="VBS50" s="1398"/>
      <c r="VBT50" s="1398"/>
      <c r="VBU50" s="1398"/>
      <c r="VBV50" s="1398"/>
      <c r="VBW50" s="1398"/>
      <c r="VBX50" s="1398"/>
      <c r="VBY50" s="1398"/>
      <c r="VBZ50" s="1398"/>
      <c r="VCA50" s="1398"/>
      <c r="VCB50" s="1398"/>
      <c r="VCC50" s="1398"/>
      <c r="VCD50" s="1398"/>
      <c r="VCE50" s="1398"/>
      <c r="VCF50" s="1398"/>
      <c r="VCG50" s="1398"/>
      <c r="VCH50" s="1398"/>
      <c r="VCI50" s="1398"/>
      <c r="VCJ50" s="1398"/>
      <c r="VCK50" s="1398"/>
      <c r="VCL50" s="1398"/>
      <c r="VCM50" s="1398"/>
      <c r="VCN50" s="1398"/>
      <c r="VCO50" s="1398"/>
      <c r="VCP50" s="1398"/>
      <c r="VCQ50" s="1398"/>
      <c r="VCR50" s="1398"/>
      <c r="VCS50" s="1398"/>
      <c r="VCT50" s="1398"/>
      <c r="VCU50" s="1398"/>
      <c r="VCV50" s="1398"/>
      <c r="VCW50" s="1398"/>
      <c r="VCX50" s="1398"/>
      <c r="VCY50" s="1398"/>
      <c r="VCZ50" s="1398"/>
      <c r="VDA50" s="1398"/>
      <c r="VDB50" s="1398"/>
      <c r="VDC50" s="1398"/>
      <c r="VDD50" s="1398"/>
      <c r="VDE50" s="1398"/>
      <c r="VDF50" s="1398"/>
      <c r="VDG50" s="1398"/>
      <c r="VDH50" s="1398"/>
      <c r="VDI50" s="1398"/>
      <c r="VDJ50" s="1398"/>
      <c r="VDK50" s="1398"/>
      <c r="VDL50" s="1398"/>
      <c r="VDM50" s="1398"/>
      <c r="VDN50" s="1398"/>
      <c r="VDO50" s="1398"/>
      <c r="VDP50" s="1398"/>
      <c r="VDQ50" s="1398"/>
      <c r="VDR50" s="1398"/>
      <c r="VDS50" s="1398"/>
      <c r="VDT50" s="1398"/>
      <c r="VDU50" s="1398"/>
      <c r="VDV50" s="1398"/>
      <c r="VDW50" s="1398"/>
      <c r="VDX50" s="1398"/>
      <c r="VDY50" s="1398"/>
      <c r="VDZ50" s="1398"/>
      <c r="VEA50" s="1398"/>
      <c r="VEB50" s="1398"/>
      <c r="VEC50" s="1398"/>
      <c r="VED50" s="1398"/>
      <c r="VEE50" s="1398"/>
      <c r="VEF50" s="1398"/>
      <c r="VEG50" s="1398"/>
      <c r="VEH50" s="1398"/>
      <c r="VEI50" s="1398"/>
      <c r="VEJ50" s="1398"/>
      <c r="VEK50" s="1398"/>
      <c r="VEL50" s="1398"/>
      <c r="VEM50" s="1398"/>
      <c r="VEN50" s="1398"/>
      <c r="VEO50" s="1398"/>
      <c r="VEP50" s="1398"/>
      <c r="VEQ50" s="1398"/>
      <c r="VER50" s="1398"/>
      <c r="VES50" s="1398"/>
      <c r="VET50" s="1398"/>
      <c r="VEU50" s="1398"/>
      <c r="VEV50" s="1398"/>
      <c r="VEW50" s="1398"/>
      <c r="VEX50" s="1398"/>
      <c r="VEY50" s="1398"/>
      <c r="VEZ50" s="1398"/>
      <c r="VFA50" s="1398"/>
      <c r="VFB50" s="1398"/>
      <c r="VFC50" s="1398"/>
      <c r="VFD50" s="1398"/>
      <c r="VFE50" s="1398"/>
      <c r="VFF50" s="1398"/>
      <c r="VFG50" s="1398"/>
      <c r="VFH50" s="1398"/>
      <c r="VFI50" s="1398"/>
      <c r="VFJ50" s="1398"/>
      <c r="VFK50" s="1398"/>
      <c r="VFL50" s="1398"/>
      <c r="VFM50" s="1398"/>
      <c r="VFN50" s="1398"/>
      <c r="VFO50" s="1398"/>
      <c r="VFP50" s="1398"/>
      <c r="VFQ50" s="1398"/>
      <c r="VFR50" s="1398"/>
      <c r="VFS50" s="1398"/>
      <c r="VFT50" s="1398"/>
      <c r="VFU50" s="1398"/>
      <c r="VFV50" s="1398"/>
      <c r="VFW50" s="1398"/>
      <c r="VFX50" s="1398"/>
      <c r="VFY50" s="1398"/>
      <c r="VFZ50" s="1398"/>
      <c r="VGA50" s="1398"/>
      <c r="VGB50" s="1398"/>
      <c r="VGC50" s="1398"/>
      <c r="VGD50" s="1398"/>
      <c r="VGE50" s="1398"/>
      <c r="VGF50" s="1398"/>
      <c r="VGG50" s="1398"/>
      <c r="VGH50" s="1398"/>
      <c r="VGI50" s="1398"/>
      <c r="VGJ50" s="1398"/>
      <c r="VGK50" s="1398"/>
      <c r="VGL50" s="1398"/>
      <c r="VGM50" s="1398"/>
      <c r="VGN50" s="1398"/>
      <c r="VGO50" s="1398"/>
      <c r="VGP50" s="1398"/>
      <c r="VGQ50" s="1398"/>
      <c r="VGR50" s="1398"/>
      <c r="VGS50" s="1398"/>
      <c r="VGT50" s="1398"/>
      <c r="VGU50" s="1398"/>
      <c r="VGV50" s="1398"/>
      <c r="VGW50" s="1398"/>
      <c r="VGX50" s="1398"/>
      <c r="VGY50" s="1398"/>
      <c r="VGZ50" s="1398"/>
      <c r="VHA50" s="1398"/>
      <c r="VHB50" s="1398"/>
      <c r="VHC50" s="1398"/>
      <c r="VHD50" s="1398"/>
      <c r="VHE50" s="1398"/>
      <c r="VHF50" s="1398"/>
      <c r="VHG50" s="1398"/>
      <c r="VHH50" s="1398"/>
      <c r="VHI50" s="1398"/>
      <c r="VHJ50" s="1398"/>
      <c r="VHK50" s="1398"/>
      <c r="VHL50" s="1398"/>
      <c r="VHM50" s="1398"/>
      <c r="VHN50" s="1398"/>
      <c r="VHO50" s="1398"/>
      <c r="VHP50" s="1398"/>
      <c r="VHQ50" s="1398"/>
      <c r="VHR50" s="1398"/>
      <c r="VHS50" s="1398"/>
      <c r="VHT50" s="1398"/>
      <c r="VHU50" s="1398"/>
      <c r="VHV50" s="1398"/>
      <c r="VHW50" s="1398"/>
      <c r="VHX50" s="1398"/>
      <c r="VHY50" s="1398"/>
      <c r="VHZ50" s="1398"/>
      <c r="VIA50" s="1398"/>
      <c r="VIB50" s="1398"/>
      <c r="VIC50" s="1398"/>
      <c r="VID50" s="1398"/>
      <c r="VIE50" s="1398"/>
      <c r="VIF50" s="1398"/>
      <c r="VIG50" s="1398"/>
      <c r="VIH50" s="1398"/>
      <c r="VII50" s="1398"/>
      <c r="VIJ50" s="1398"/>
      <c r="VIK50" s="1398"/>
      <c r="VIL50" s="1398"/>
      <c r="VIM50" s="1398"/>
      <c r="VIN50" s="1398"/>
      <c r="VIO50" s="1398"/>
      <c r="VIP50" s="1398"/>
      <c r="VIQ50" s="1398"/>
      <c r="VIR50" s="1398"/>
      <c r="VIS50" s="1398"/>
      <c r="VIT50" s="1398"/>
      <c r="VIU50" s="1398"/>
      <c r="VIV50" s="1398"/>
      <c r="VIW50" s="1398"/>
      <c r="VIX50" s="1398"/>
      <c r="VIY50" s="1398"/>
      <c r="VIZ50" s="1398"/>
      <c r="VJA50" s="1398"/>
      <c r="VJB50" s="1398"/>
      <c r="VJC50" s="1398"/>
      <c r="VJD50" s="1398"/>
      <c r="VJE50" s="1398"/>
      <c r="VJF50" s="1398"/>
      <c r="VJG50" s="1398"/>
      <c r="VJH50" s="1398"/>
      <c r="VJI50" s="1398"/>
      <c r="VJJ50" s="1398"/>
      <c r="VJK50" s="1398"/>
      <c r="VJL50" s="1398"/>
      <c r="VJM50" s="1398"/>
      <c r="VJN50" s="1398"/>
      <c r="VJO50" s="1398"/>
      <c r="VJP50" s="1398"/>
      <c r="VJQ50" s="1398"/>
      <c r="VJR50" s="1398"/>
      <c r="VJS50" s="1398"/>
      <c r="VJT50" s="1398"/>
      <c r="VJU50" s="1398"/>
      <c r="VJV50" s="1398"/>
      <c r="VJW50" s="1398"/>
      <c r="VJX50" s="1398"/>
      <c r="VJY50" s="1398"/>
      <c r="VJZ50" s="1398"/>
      <c r="VKA50" s="1398"/>
      <c r="VKB50" s="1398"/>
      <c r="VKC50" s="1398"/>
      <c r="VKD50" s="1398"/>
      <c r="VKE50" s="1398"/>
      <c r="VKF50" s="1398"/>
      <c r="VKG50" s="1398"/>
      <c r="VKH50" s="1398"/>
      <c r="VKI50" s="1398"/>
      <c r="VKJ50" s="1398"/>
      <c r="VKK50" s="1398"/>
      <c r="VKL50" s="1398"/>
      <c r="VKM50" s="1398"/>
      <c r="VKN50" s="1398"/>
      <c r="VKO50" s="1398"/>
      <c r="VKP50" s="1398"/>
      <c r="VKQ50" s="1398"/>
      <c r="VKR50" s="1398"/>
      <c r="VKS50" s="1398"/>
      <c r="VKT50" s="1398"/>
      <c r="VKU50" s="1398"/>
      <c r="VKV50" s="1398"/>
      <c r="VKW50" s="1398"/>
      <c r="VKX50" s="1398"/>
      <c r="VKY50" s="1398"/>
      <c r="VKZ50" s="1398"/>
      <c r="VLA50" s="1398"/>
      <c r="VLB50" s="1398"/>
      <c r="VLC50" s="1398"/>
      <c r="VLD50" s="1398"/>
      <c r="VLE50" s="1398"/>
      <c r="VLF50" s="1398"/>
      <c r="VLG50" s="1398"/>
      <c r="VLH50" s="1398"/>
      <c r="VLI50" s="1398"/>
      <c r="VLJ50" s="1398"/>
      <c r="VLK50" s="1398"/>
      <c r="VLL50" s="1398"/>
      <c r="VLM50" s="1398"/>
      <c r="VLN50" s="1398"/>
      <c r="VLO50" s="1398"/>
      <c r="VLP50" s="1398"/>
      <c r="VLQ50" s="1398"/>
      <c r="VLR50" s="1398"/>
      <c r="VLS50" s="1398"/>
      <c r="VLT50" s="1398"/>
      <c r="VLU50" s="1398"/>
      <c r="VLV50" s="1398"/>
      <c r="VLW50" s="1398"/>
      <c r="VLX50" s="1398"/>
      <c r="VLY50" s="1398"/>
      <c r="VLZ50" s="1398"/>
      <c r="VMA50" s="1398"/>
      <c r="VMB50" s="1398"/>
      <c r="VMC50" s="1398"/>
      <c r="VMD50" s="1398"/>
      <c r="VME50" s="1398"/>
      <c r="VMF50" s="1398"/>
      <c r="VMG50" s="1398"/>
      <c r="VMH50" s="1398"/>
      <c r="VMI50" s="1398"/>
      <c r="VMJ50" s="1398"/>
      <c r="VMK50" s="1398"/>
      <c r="VML50" s="1398"/>
      <c r="VMM50" s="1398"/>
      <c r="VMN50" s="1398"/>
      <c r="VMO50" s="1398"/>
      <c r="VMP50" s="1398"/>
      <c r="VMQ50" s="1398"/>
      <c r="VMR50" s="1398"/>
      <c r="VMS50" s="1398"/>
      <c r="VMT50" s="1398"/>
      <c r="VMU50" s="1398"/>
      <c r="VMV50" s="1398"/>
      <c r="VMW50" s="1398"/>
      <c r="VMX50" s="1398"/>
      <c r="VMY50" s="1398"/>
      <c r="VMZ50" s="1398"/>
      <c r="VNA50" s="1398"/>
      <c r="VNB50" s="1398"/>
      <c r="VNC50" s="1398"/>
      <c r="VND50" s="1398"/>
      <c r="VNE50" s="1398"/>
      <c r="VNF50" s="1398"/>
      <c r="VNG50" s="1398"/>
      <c r="VNH50" s="1398"/>
      <c r="VNI50" s="1398"/>
      <c r="VNJ50" s="1398"/>
      <c r="VNK50" s="1398"/>
      <c r="VNL50" s="1398"/>
      <c r="VNM50" s="1398"/>
      <c r="VNN50" s="1398"/>
      <c r="VNO50" s="1398"/>
      <c r="VNP50" s="1398"/>
      <c r="VNQ50" s="1398"/>
      <c r="VNR50" s="1398"/>
      <c r="VNS50" s="1398"/>
      <c r="VNT50" s="1398"/>
      <c r="VNU50" s="1398"/>
      <c r="VNV50" s="1398"/>
      <c r="VNW50" s="1398"/>
      <c r="VNX50" s="1398"/>
      <c r="VNY50" s="1398"/>
      <c r="VNZ50" s="1398"/>
      <c r="VOA50" s="1398"/>
      <c r="VOB50" s="1398"/>
      <c r="VOC50" s="1398"/>
      <c r="VOD50" s="1398"/>
      <c r="VOE50" s="1398"/>
      <c r="VOF50" s="1398"/>
      <c r="VOG50" s="1398"/>
      <c r="VOH50" s="1398"/>
      <c r="VOI50" s="1398"/>
      <c r="VOJ50" s="1398"/>
      <c r="VOK50" s="1398"/>
      <c r="VOL50" s="1398"/>
      <c r="VOM50" s="1398"/>
      <c r="VON50" s="1398"/>
      <c r="VOO50" s="1398"/>
      <c r="VOP50" s="1398"/>
      <c r="VOQ50" s="1398"/>
      <c r="VOR50" s="1398"/>
      <c r="VOS50" s="1398"/>
      <c r="VOT50" s="1398"/>
      <c r="VOU50" s="1398"/>
      <c r="VOV50" s="1398"/>
      <c r="VOW50" s="1398"/>
      <c r="VOX50" s="1398"/>
      <c r="VOY50" s="1398"/>
      <c r="VOZ50" s="1398"/>
      <c r="VPA50" s="1398"/>
      <c r="VPB50" s="1398"/>
      <c r="VPC50" s="1398"/>
      <c r="VPD50" s="1398"/>
      <c r="VPE50" s="1398"/>
      <c r="VPF50" s="1398"/>
      <c r="VPG50" s="1398"/>
      <c r="VPH50" s="1398"/>
      <c r="VPI50" s="1398"/>
      <c r="VPJ50" s="1398"/>
      <c r="VPK50" s="1398"/>
      <c r="VPL50" s="1398"/>
      <c r="VPM50" s="1398"/>
      <c r="VPN50" s="1398"/>
      <c r="VPO50" s="1398"/>
      <c r="VPP50" s="1398"/>
      <c r="VPQ50" s="1398"/>
      <c r="VPR50" s="1398"/>
      <c r="VPS50" s="1398"/>
      <c r="VPT50" s="1398"/>
      <c r="VPU50" s="1398"/>
      <c r="VPV50" s="1398"/>
      <c r="VPW50" s="1398"/>
      <c r="VPX50" s="1398"/>
      <c r="VPY50" s="1398"/>
      <c r="VPZ50" s="1398"/>
      <c r="VQA50" s="1398"/>
      <c r="VQB50" s="1398"/>
      <c r="VQC50" s="1398"/>
      <c r="VQD50" s="1398"/>
      <c r="VQE50" s="1398"/>
      <c r="VQF50" s="1398"/>
      <c r="VQG50" s="1398"/>
      <c r="VQH50" s="1398"/>
      <c r="VQI50" s="1398"/>
      <c r="VQJ50" s="1398"/>
      <c r="VQK50" s="1398"/>
      <c r="VQL50" s="1398"/>
      <c r="VQM50" s="1398"/>
      <c r="VQN50" s="1398"/>
      <c r="VQO50" s="1398"/>
      <c r="VQP50" s="1398"/>
      <c r="VQQ50" s="1398"/>
      <c r="VQR50" s="1398"/>
      <c r="VQS50" s="1398"/>
      <c r="VQT50" s="1398"/>
      <c r="VQU50" s="1398"/>
      <c r="VQV50" s="1398"/>
      <c r="VQW50" s="1398"/>
      <c r="VQX50" s="1398"/>
      <c r="VQY50" s="1398"/>
      <c r="VQZ50" s="1398"/>
      <c r="VRA50" s="1398"/>
      <c r="VRB50" s="1398"/>
      <c r="VRC50" s="1398"/>
      <c r="VRD50" s="1398"/>
      <c r="VRE50" s="1398"/>
      <c r="VRF50" s="1398"/>
      <c r="VRG50" s="1398"/>
      <c r="VRH50" s="1398"/>
      <c r="VRI50" s="1398"/>
      <c r="VRJ50" s="1398"/>
      <c r="VRK50" s="1398"/>
      <c r="VRL50" s="1398"/>
      <c r="VRM50" s="1398"/>
      <c r="VRN50" s="1398"/>
      <c r="VRO50" s="1398"/>
      <c r="VRP50" s="1398"/>
      <c r="VRQ50" s="1398"/>
      <c r="VRR50" s="1398"/>
      <c r="VRS50" s="1398"/>
      <c r="VRT50" s="1398"/>
      <c r="VRU50" s="1398"/>
      <c r="VRV50" s="1398"/>
      <c r="VRW50" s="1398"/>
      <c r="VRX50" s="1398"/>
      <c r="VRY50" s="1398"/>
      <c r="VRZ50" s="1398"/>
      <c r="VSA50" s="1398"/>
      <c r="VSB50" s="1398"/>
      <c r="VSC50" s="1398"/>
      <c r="VSD50" s="1398"/>
      <c r="VSE50" s="1398"/>
      <c r="VSF50" s="1398"/>
      <c r="VSG50" s="1398"/>
      <c r="VSH50" s="1398"/>
      <c r="VSI50" s="1398"/>
      <c r="VSJ50" s="1398"/>
      <c r="VSK50" s="1398"/>
      <c r="VSL50" s="1398"/>
      <c r="VSM50" s="1398"/>
      <c r="VSN50" s="1398"/>
      <c r="VSO50" s="1398"/>
      <c r="VSP50" s="1398"/>
      <c r="VSQ50" s="1398"/>
      <c r="VSR50" s="1398"/>
      <c r="VSS50" s="1398"/>
      <c r="VST50" s="1398"/>
      <c r="VSU50" s="1398"/>
      <c r="VSV50" s="1398"/>
      <c r="VSW50" s="1398"/>
      <c r="VSX50" s="1398"/>
      <c r="VSY50" s="1398"/>
      <c r="VSZ50" s="1398"/>
      <c r="VTA50" s="1398"/>
      <c r="VTB50" s="1398"/>
      <c r="VTC50" s="1398"/>
      <c r="VTD50" s="1398"/>
      <c r="VTE50" s="1398"/>
      <c r="VTF50" s="1398"/>
      <c r="VTG50" s="1398"/>
      <c r="VTH50" s="1398"/>
      <c r="VTI50" s="1398"/>
      <c r="VTJ50" s="1398"/>
      <c r="VTK50" s="1398"/>
      <c r="VTL50" s="1398"/>
      <c r="VTM50" s="1398"/>
      <c r="VTN50" s="1398"/>
      <c r="VTO50" s="1398"/>
      <c r="VTP50" s="1398"/>
      <c r="VTQ50" s="1398"/>
      <c r="VTR50" s="1398"/>
      <c r="VTS50" s="1398"/>
      <c r="VTT50" s="1398"/>
      <c r="VTU50" s="1398"/>
      <c r="VTV50" s="1398"/>
      <c r="VTW50" s="1398"/>
      <c r="VTX50" s="1398"/>
      <c r="VTY50" s="1398"/>
      <c r="VTZ50" s="1398"/>
      <c r="VUA50" s="1398"/>
      <c r="VUB50" s="1398"/>
      <c r="VUC50" s="1398"/>
      <c r="VUD50" s="1398"/>
      <c r="VUE50" s="1398"/>
      <c r="VUF50" s="1398"/>
      <c r="VUG50" s="1398"/>
      <c r="VUH50" s="1398"/>
      <c r="VUI50" s="1398"/>
      <c r="VUJ50" s="1398"/>
      <c r="VUK50" s="1398"/>
      <c r="VUL50" s="1398"/>
      <c r="VUM50" s="1398"/>
      <c r="VUN50" s="1398"/>
      <c r="VUO50" s="1398"/>
      <c r="VUP50" s="1398"/>
      <c r="VUQ50" s="1398"/>
      <c r="VUR50" s="1398"/>
      <c r="VUS50" s="1398"/>
      <c r="VUT50" s="1398"/>
      <c r="VUU50" s="1398"/>
      <c r="VUV50" s="1398"/>
      <c r="VUW50" s="1398"/>
      <c r="VUX50" s="1398"/>
      <c r="VUY50" s="1398"/>
      <c r="VUZ50" s="1398"/>
      <c r="VVA50" s="1398"/>
      <c r="VVB50" s="1398"/>
      <c r="VVC50" s="1398"/>
      <c r="VVD50" s="1398"/>
      <c r="VVE50" s="1398"/>
      <c r="VVF50" s="1398"/>
      <c r="VVG50" s="1398"/>
      <c r="VVH50" s="1398"/>
      <c r="VVI50" s="1398"/>
      <c r="VVJ50" s="1398"/>
      <c r="VVK50" s="1398"/>
      <c r="VVL50" s="1398"/>
      <c r="VVM50" s="1398"/>
      <c r="VVN50" s="1398"/>
      <c r="VVO50" s="1398"/>
      <c r="VVP50" s="1398"/>
      <c r="VVQ50" s="1398"/>
      <c r="VVR50" s="1398"/>
      <c r="VVS50" s="1398"/>
      <c r="VVT50" s="1398"/>
      <c r="VVU50" s="1398"/>
      <c r="VVV50" s="1398"/>
      <c r="VVW50" s="1398"/>
      <c r="VVX50" s="1398"/>
      <c r="VVY50" s="1398"/>
      <c r="VVZ50" s="1398"/>
      <c r="VWA50" s="1398"/>
      <c r="VWB50" s="1398"/>
      <c r="VWC50" s="1398"/>
      <c r="VWD50" s="1398"/>
      <c r="VWE50" s="1398"/>
      <c r="VWF50" s="1398"/>
      <c r="VWG50" s="1398"/>
      <c r="VWH50" s="1398"/>
      <c r="VWI50" s="1398"/>
      <c r="VWJ50" s="1398"/>
      <c r="VWK50" s="1398"/>
      <c r="VWL50" s="1398"/>
      <c r="VWM50" s="1398"/>
      <c r="VWN50" s="1398"/>
      <c r="VWO50" s="1398"/>
      <c r="VWP50" s="1398"/>
      <c r="VWQ50" s="1398"/>
      <c r="VWR50" s="1398"/>
      <c r="VWS50" s="1398"/>
      <c r="VWT50" s="1398"/>
      <c r="VWU50" s="1398"/>
      <c r="VWV50" s="1398"/>
      <c r="VWW50" s="1398"/>
      <c r="VWX50" s="1398"/>
      <c r="VWY50" s="1398"/>
      <c r="VWZ50" s="1398"/>
      <c r="VXA50" s="1398"/>
      <c r="VXB50" s="1398"/>
      <c r="VXC50" s="1398"/>
      <c r="VXD50" s="1398"/>
      <c r="VXE50" s="1398"/>
      <c r="VXF50" s="1398"/>
      <c r="VXG50" s="1398"/>
      <c r="VXH50" s="1398"/>
      <c r="VXI50" s="1398"/>
      <c r="VXJ50" s="1398"/>
      <c r="VXK50" s="1398"/>
      <c r="VXL50" s="1398"/>
      <c r="VXM50" s="1398"/>
      <c r="VXN50" s="1398"/>
      <c r="VXO50" s="1398"/>
      <c r="VXP50" s="1398"/>
      <c r="VXQ50" s="1398"/>
      <c r="VXR50" s="1398"/>
      <c r="VXS50" s="1398"/>
      <c r="VXT50" s="1398"/>
      <c r="VXU50" s="1398"/>
      <c r="VXV50" s="1398"/>
      <c r="VXW50" s="1398"/>
      <c r="VXX50" s="1398"/>
      <c r="VXY50" s="1398"/>
      <c r="VXZ50" s="1398"/>
      <c r="VYA50" s="1398"/>
      <c r="VYB50" s="1398"/>
      <c r="VYC50" s="1398"/>
      <c r="VYD50" s="1398"/>
      <c r="VYE50" s="1398"/>
      <c r="VYF50" s="1398"/>
      <c r="VYG50" s="1398"/>
      <c r="VYH50" s="1398"/>
      <c r="VYI50" s="1398"/>
      <c r="VYJ50" s="1398"/>
      <c r="VYK50" s="1398"/>
      <c r="VYL50" s="1398"/>
      <c r="VYM50" s="1398"/>
      <c r="VYN50" s="1398"/>
      <c r="VYO50" s="1398"/>
      <c r="VYP50" s="1398"/>
      <c r="VYQ50" s="1398"/>
      <c r="VYR50" s="1398"/>
      <c r="VYS50" s="1398"/>
      <c r="VYT50" s="1398"/>
      <c r="VYU50" s="1398"/>
      <c r="VYV50" s="1398"/>
      <c r="VYW50" s="1398"/>
      <c r="VYX50" s="1398"/>
      <c r="VYY50" s="1398"/>
      <c r="VYZ50" s="1398"/>
      <c r="VZA50" s="1398"/>
      <c r="VZB50" s="1398"/>
      <c r="VZC50" s="1398"/>
      <c r="VZD50" s="1398"/>
      <c r="VZE50" s="1398"/>
      <c r="VZF50" s="1398"/>
      <c r="VZG50" s="1398"/>
      <c r="VZH50" s="1398"/>
      <c r="VZI50" s="1398"/>
      <c r="VZJ50" s="1398"/>
      <c r="VZK50" s="1398"/>
      <c r="VZL50" s="1398"/>
      <c r="VZM50" s="1398"/>
      <c r="VZN50" s="1398"/>
      <c r="VZO50" s="1398"/>
      <c r="VZP50" s="1398"/>
      <c r="VZQ50" s="1398"/>
      <c r="VZR50" s="1398"/>
      <c r="VZS50" s="1398"/>
      <c r="VZT50" s="1398"/>
      <c r="VZU50" s="1398"/>
      <c r="VZV50" s="1398"/>
      <c r="VZW50" s="1398"/>
      <c r="VZX50" s="1398"/>
      <c r="VZY50" s="1398"/>
      <c r="VZZ50" s="1398"/>
      <c r="WAA50" s="1398"/>
      <c r="WAB50" s="1398"/>
      <c r="WAC50" s="1398"/>
      <c r="WAD50" s="1398"/>
      <c r="WAE50" s="1398"/>
      <c r="WAF50" s="1398"/>
      <c r="WAG50" s="1398"/>
      <c r="WAH50" s="1398"/>
      <c r="WAI50" s="1398"/>
      <c r="WAJ50" s="1398"/>
      <c r="WAK50" s="1398"/>
      <c r="WAL50" s="1398"/>
      <c r="WAM50" s="1398"/>
      <c r="WAN50" s="1398"/>
      <c r="WAO50" s="1398"/>
      <c r="WAP50" s="1398"/>
      <c r="WAQ50" s="1398"/>
      <c r="WAR50" s="1398"/>
      <c r="WAS50" s="1398"/>
      <c r="WAT50" s="1398"/>
      <c r="WAU50" s="1398"/>
      <c r="WAV50" s="1398"/>
      <c r="WAW50" s="1398"/>
      <c r="WAX50" s="1398"/>
      <c r="WAY50" s="1398"/>
      <c r="WAZ50" s="1398"/>
      <c r="WBA50" s="1398"/>
      <c r="WBB50" s="1398"/>
      <c r="WBC50" s="1398"/>
      <c r="WBD50" s="1398"/>
      <c r="WBE50" s="1398"/>
      <c r="WBF50" s="1398"/>
      <c r="WBG50" s="1398"/>
      <c r="WBH50" s="1398"/>
      <c r="WBI50" s="1398"/>
      <c r="WBJ50" s="1398"/>
      <c r="WBK50" s="1398"/>
      <c r="WBL50" s="1398"/>
      <c r="WBM50" s="1398"/>
      <c r="WBN50" s="1398"/>
      <c r="WBO50" s="1398"/>
      <c r="WBP50" s="1398"/>
      <c r="WBQ50" s="1398"/>
      <c r="WBR50" s="1398"/>
      <c r="WBS50" s="1398"/>
      <c r="WBT50" s="1398"/>
      <c r="WBU50" s="1398"/>
      <c r="WBV50" s="1398"/>
      <c r="WBW50" s="1398"/>
      <c r="WBX50" s="1398"/>
      <c r="WBY50" s="1398"/>
      <c r="WBZ50" s="1398"/>
      <c r="WCA50" s="1398"/>
      <c r="WCB50" s="1398"/>
      <c r="WCC50" s="1398"/>
      <c r="WCD50" s="1398"/>
      <c r="WCE50" s="1398"/>
      <c r="WCF50" s="1398"/>
      <c r="WCG50" s="1398"/>
      <c r="WCH50" s="1398"/>
      <c r="WCI50" s="1398"/>
      <c r="WCJ50" s="1398"/>
      <c r="WCK50" s="1398"/>
      <c r="WCL50" s="1398"/>
      <c r="WCM50" s="1398"/>
      <c r="WCN50" s="1398"/>
      <c r="WCO50" s="1398"/>
      <c r="WCP50" s="1398"/>
      <c r="WCQ50" s="1398"/>
      <c r="WCR50" s="1398"/>
      <c r="WCS50" s="1398"/>
      <c r="WCT50" s="1398"/>
      <c r="WCU50" s="1398"/>
      <c r="WCV50" s="1398"/>
      <c r="WCW50" s="1398"/>
      <c r="WCX50" s="1398"/>
      <c r="WCY50" s="1398"/>
      <c r="WCZ50" s="1398"/>
      <c r="WDA50" s="1398"/>
      <c r="WDB50" s="1398"/>
      <c r="WDC50" s="1398"/>
      <c r="WDD50" s="1398"/>
      <c r="WDE50" s="1398"/>
      <c r="WDF50" s="1398"/>
      <c r="WDG50" s="1398"/>
      <c r="WDH50" s="1398"/>
      <c r="WDI50" s="1398"/>
      <c r="WDJ50" s="1398"/>
      <c r="WDK50" s="1398"/>
      <c r="WDL50" s="1398"/>
      <c r="WDM50" s="1398"/>
      <c r="WDN50" s="1398"/>
      <c r="WDO50" s="1398"/>
      <c r="WDP50" s="1398"/>
      <c r="WDQ50" s="1398"/>
      <c r="WDR50" s="1398"/>
      <c r="WDS50" s="1398"/>
      <c r="WDT50" s="1398"/>
      <c r="WDU50" s="1398"/>
      <c r="WDV50" s="1398"/>
      <c r="WDW50" s="1398"/>
      <c r="WDX50" s="1398"/>
      <c r="WDY50" s="1398"/>
      <c r="WDZ50" s="1398"/>
      <c r="WEA50" s="1398"/>
      <c r="WEB50" s="1398"/>
      <c r="WEC50" s="1398"/>
      <c r="WED50" s="1398"/>
      <c r="WEE50" s="1398"/>
      <c r="WEF50" s="1398"/>
      <c r="WEG50" s="1398"/>
      <c r="WEH50" s="1398"/>
      <c r="WEI50" s="1398"/>
      <c r="WEJ50" s="1398"/>
      <c r="WEK50" s="1398"/>
      <c r="WEL50" s="1398"/>
      <c r="WEM50" s="1398"/>
      <c r="WEN50" s="1398"/>
      <c r="WEO50" s="1398"/>
      <c r="WEP50" s="1398"/>
      <c r="WEQ50" s="1398"/>
      <c r="WER50" s="1398"/>
      <c r="WES50" s="1398"/>
      <c r="WET50" s="1398"/>
      <c r="WEU50" s="1398"/>
      <c r="WEV50" s="1398"/>
      <c r="WEW50" s="1398"/>
      <c r="WEX50" s="1398"/>
      <c r="WEY50" s="1398"/>
      <c r="WEZ50" s="1398"/>
      <c r="WFA50" s="1398"/>
      <c r="WFB50" s="1398"/>
      <c r="WFC50" s="1398"/>
      <c r="WFD50" s="1398"/>
      <c r="WFE50" s="1398"/>
      <c r="WFF50" s="1398"/>
      <c r="WFG50" s="1398"/>
      <c r="WFH50" s="1398"/>
      <c r="WFI50" s="1398"/>
      <c r="WFJ50" s="1398"/>
      <c r="WFK50" s="1398"/>
      <c r="WFL50" s="1398"/>
      <c r="WFM50" s="1398"/>
      <c r="WFN50" s="1398"/>
      <c r="WFO50" s="1398"/>
      <c r="WFP50" s="1398"/>
      <c r="WFQ50" s="1398"/>
      <c r="WFR50" s="1398"/>
      <c r="WFS50" s="1398"/>
      <c r="WFT50" s="1398"/>
      <c r="WFU50" s="1398"/>
      <c r="WFV50" s="1398"/>
      <c r="WFW50" s="1398"/>
      <c r="WFX50" s="1398"/>
      <c r="WFY50" s="1398"/>
      <c r="WFZ50" s="1398"/>
      <c r="WGA50" s="1398"/>
      <c r="WGB50" s="1398"/>
      <c r="WGC50" s="1398"/>
      <c r="WGD50" s="1398"/>
      <c r="WGE50" s="1398"/>
      <c r="WGF50" s="1398"/>
      <c r="WGG50" s="1398"/>
      <c r="WGH50" s="1398"/>
      <c r="WGI50" s="1398"/>
      <c r="WGJ50" s="1398"/>
      <c r="WGK50" s="1398"/>
      <c r="WGL50" s="1398"/>
      <c r="WGM50" s="1398"/>
      <c r="WGN50" s="1398"/>
      <c r="WGO50" s="1398"/>
      <c r="WGP50" s="1398"/>
      <c r="WGQ50" s="1398"/>
      <c r="WGR50" s="1398"/>
      <c r="WGS50" s="1398"/>
      <c r="WGT50" s="1398"/>
      <c r="WGU50" s="1398"/>
      <c r="WGV50" s="1398"/>
      <c r="WGW50" s="1398"/>
      <c r="WGX50" s="1398"/>
      <c r="WGY50" s="1398"/>
      <c r="WGZ50" s="1398"/>
      <c r="WHA50" s="1398"/>
      <c r="WHB50" s="1398"/>
      <c r="WHC50" s="1398"/>
      <c r="WHD50" s="1398"/>
      <c r="WHE50" s="1398"/>
      <c r="WHF50" s="1398"/>
      <c r="WHG50" s="1398"/>
      <c r="WHH50" s="1398"/>
      <c r="WHI50" s="1398"/>
      <c r="WHJ50" s="1398"/>
      <c r="WHK50" s="1398"/>
      <c r="WHL50" s="1398"/>
      <c r="WHM50" s="1398"/>
      <c r="WHN50" s="1398"/>
      <c r="WHO50" s="1398"/>
      <c r="WHP50" s="1398"/>
      <c r="WHQ50" s="1398"/>
      <c r="WHR50" s="1398"/>
      <c r="WHS50" s="1398"/>
      <c r="WHT50" s="1398"/>
      <c r="WHU50" s="1398"/>
      <c r="WHV50" s="1398"/>
      <c r="WHW50" s="1398"/>
      <c r="WHX50" s="1398"/>
      <c r="WHY50" s="1398"/>
      <c r="WHZ50" s="1398"/>
      <c r="WIA50" s="1398"/>
      <c r="WIB50" s="1398"/>
      <c r="WIC50" s="1398"/>
      <c r="WID50" s="1398"/>
      <c r="WIE50" s="1398"/>
      <c r="WIF50" s="1398"/>
      <c r="WIG50" s="1398"/>
      <c r="WIH50" s="1398"/>
      <c r="WII50" s="1398"/>
      <c r="WIJ50" s="1398"/>
      <c r="WIK50" s="1398"/>
      <c r="WIL50" s="1398"/>
      <c r="WIM50" s="1398"/>
      <c r="WIN50" s="1398"/>
      <c r="WIO50" s="1398"/>
      <c r="WIP50" s="1398"/>
      <c r="WIQ50" s="1398"/>
      <c r="WIR50" s="1398"/>
      <c r="WIS50" s="1398"/>
      <c r="WIT50" s="1398"/>
      <c r="WIU50" s="1398"/>
      <c r="WIV50" s="1398"/>
      <c r="WIW50" s="1398"/>
      <c r="WIX50" s="1398"/>
      <c r="WIY50" s="1398"/>
      <c r="WIZ50" s="1398"/>
      <c r="WJA50" s="1398"/>
      <c r="WJB50" s="1398"/>
      <c r="WJC50" s="1398"/>
      <c r="WJD50" s="1398"/>
      <c r="WJE50" s="1398"/>
      <c r="WJF50" s="1398"/>
      <c r="WJG50" s="1398"/>
      <c r="WJH50" s="1398"/>
      <c r="WJI50" s="1398"/>
      <c r="WJJ50" s="1398"/>
      <c r="WJK50" s="1398"/>
      <c r="WJL50" s="1398"/>
      <c r="WJM50" s="1398"/>
      <c r="WJN50" s="1398"/>
      <c r="WJO50" s="1398"/>
      <c r="WJP50" s="1398"/>
      <c r="WJQ50" s="1398"/>
      <c r="WJR50" s="1398"/>
      <c r="WJS50" s="1398"/>
      <c r="WJT50" s="1398"/>
      <c r="WJU50" s="1398"/>
      <c r="WJV50" s="1398"/>
      <c r="WJW50" s="1398"/>
      <c r="WJX50" s="1398"/>
      <c r="WJY50" s="1398"/>
      <c r="WJZ50" s="1398"/>
      <c r="WKA50" s="1398"/>
      <c r="WKB50" s="1398"/>
      <c r="WKC50" s="1398"/>
      <c r="WKD50" s="1398"/>
      <c r="WKE50" s="1398"/>
      <c r="WKF50" s="1398"/>
      <c r="WKG50" s="1398"/>
      <c r="WKH50" s="1398"/>
      <c r="WKI50" s="1398"/>
      <c r="WKJ50" s="1398"/>
      <c r="WKK50" s="1398"/>
      <c r="WKL50" s="1398"/>
      <c r="WKM50" s="1398"/>
      <c r="WKN50" s="1398"/>
      <c r="WKO50" s="1398"/>
      <c r="WKP50" s="1398"/>
      <c r="WKQ50" s="1398"/>
      <c r="WKR50" s="1398"/>
      <c r="WKS50" s="1398"/>
      <c r="WKT50" s="1398"/>
      <c r="WKU50" s="1398"/>
      <c r="WKV50" s="1398"/>
      <c r="WKW50" s="1398"/>
      <c r="WKX50" s="1398"/>
      <c r="WKY50" s="1398"/>
      <c r="WKZ50" s="1398"/>
      <c r="WLA50" s="1398"/>
      <c r="WLB50" s="1398"/>
      <c r="WLC50" s="1398"/>
      <c r="WLD50" s="1398"/>
      <c r="WLE50" s="1398"/>
      <c r="WLF50" s="1398"/>
      <c r="WLG50" s="1398"/>
      <c r="WLH50" s="1398"/>
      <c r="WLI50" s="1398"/>
      <c r="WLJ50" s="1398"/>
      <c r="WLK50" s="1398"/>
      <c r="WLL50" s="1398"/>
      <c r="WLM50" s="1398"/>
      <c r="WLN50" s="1398"/>
      <c r="WLO50" s="1398"/>
      <c r="WLP50" s="1398"/>
      <c r="WLQ50" s="1398"/>
      <c r="WLR50" s="1398"/>
      <c r="WLS50" s="1398"/>
      <c r="WLT50" s="1398"/>
      <c r="WLU50" s="1398"/>
      <c r="WLV50" s="1398"/>
      <c r="WLW50" s="1398"/>
      <c r="WLX50" s="1398"/>
      <c r="WLY50" s="1398"/>
      <c r="WLZ50" s="1398"/>
      <c r="WMA50" s="1398"/>
      <c r="WMB50" s="1398"/>
      <c r="WMC50" s="1398"/>
      <c r="WMD50" s="1398"/>
      <c r="WME50" s="1398"/>
      <c r="WMF50" s="1398"/>
      <c r="WMG50" s="1398"/>
      <c r="WMH50" s="1398"/>
      <c r="WMI50" s="1398"/>
      <c r="WMJ50" s="1398"/>
      <c r="WMK50" s="1398"/>
      <c r="WML50" s="1398"/>
      <c r="WMM50" s="1398"/>
      <c r="WMN50" s="1398"/>
      <c r="WMO50" s="1398"/>
      <c r="WMP50" s="1398"/>
      <c r="WMQ50" s="1398"/>
      <c r="WMR50" s="1398"/>
      <c r="WMS50" s="1398"/>
      <c r="WMT50" s="1398"/>
      <c r="WMU50" s="1398"/>
      <c r="WMV50" s="1398"/>
      <c r="WMW50" s="1398"/>
      <c r="WMX50" s="1398"/>
      <c r="WMY50" s="1398"/>
      <c r="WMZ50" s="1398"/>
      <c r="WNA50" s="1398"/>
      <c r="WNB50" s="1398"/>
      <c r="WNC50" s="1398"/>
      <c r="WND50" s="1398"/>
      <c r="WNE50" s="1398"/>
      <c r="WNF50" s="1398"/>
      <c r="WNG50" s="1398"/>
      <c r="WNH50" s="1398"/>
      <c r="WNI50" s="1398"/>
      <c r="WNJ50" s="1398"/>
      <c r="WNK50" s="1398"/>
      <c r="WNL50" s="1398"/>
      <c r="WNM50" s="1398"/>
      <c r="WNN50" s="1398"/>
      <c r="WNO50" s="1398"/>
      <c r="WNP50" s="1398"/>
      <c r="WNQ50" s="1398"/>
      <c r="WNR50" s="1398"/>
      <c r="WNS50" s="1398"/>
      <c r="WNT50" s="1398"/>
      <c r="WNU50" s="1398"/>
      <c r="WNV50" s="1398"/>
      <c r="WNW50" s="1398"/>
      <c r="WNX50" s="1398"/>
      <c r="WNY50" s="1398"/>
      <c r="WNZ50" s="1398"/>
      <c r="WOA50" s="1398"/>
      <c r="WOB50" s="1398"/>
      <c r="WOC50" s="1398"/>
      <c r="WOD50" s="1398"/>
      <c r="WOE50" s="1398"/>
      <c r="WOF50" s="1398"/>
      <c r="WOG50" s="1398"/>
      <c r="WOH50" s="1398"/>
      <c r="WOI50" s="1398"/>
      <c r="WOJ50" s="1398"/>
      <c r="WOK50" s="1398"/>
      <c r="WOL50" s="1398"/>
      <c r="WOM50" s="1398"/>
      <c r="WON50" s="1398"/>
      <c r="WOO50" s="1398"/>
      <c r="WOP50" s="1398"/>
      <c r="WOQ50" s="1398"/>
      <c r="WOR50" s="1398"/>
      <c r="WOS50" s="1398"/>
      <c r="WOT50" s="1398"/>
      <c r="WOU50" s="1398"/>
      <c r="WOV50" s="1398"/>
      <c r="WOW50" s="1398"/>
      <c r="WOX50" s="1398"/>
      <c r="WOY50" s="1398"/>
      <c r="WOZ50" s="1398"/>
      <c r="WPA50" s="1398"/>
      <c r="WPB50" s="1398"/>
      <c r="WPC50" s="1398"/>
      <c r="WPD50" s="1398"/>
      <c r="WPE50" s="1398"/>
      <c r="WPF50" s="1398"/>
      <c r="WPG50" s="1398"/>
      <c r="WPH50" s="1398"/>
      <c r="WPI50" s="1398"/>
      <c r="WPJ50" s="1398"/>
      <c r="WPK50" s="1398"/>
      <c r="WPL50" s="1398"/>
      <c r="WPM50" s="1398"/>
      <c r="WPN50" s="1398"/>
      <c r="WPO50" s="1398"/>
      <c r="WPP50" s="1398"/>
      <c r="WPQ50" s="1398"/>
      <c r="WPR50" s="1398"/>
      <c r="WPS50" s="1398"/>
      <c r="WPT50" s="1398"/>
      <c r="WPU50" s="1398"/>
      <c r="WPV50" s="1398"/>
      <c r="WPW50" s="1398"/>
      <c r="WPX50" s="1398"/>
      <c r="WPY50" s="1398"/>
      <c r="WPZ50" s="1398"/>
      <c r="WQA50" s="1398"/>
      <c r="WQB50" s="1398"/>
      <c r="WQC50" s="1398"/>
      <c r="WQD50" s="1398"/>
      <c r="WQE50" s="1398"/>
      <c r="WQF50" s="1398"/>
      <c r="WQG50" s="1398"/>
      <c r="WQH50" s="1398"/>
      <c r="WQI50" s="1398"/>
      <c r="WQJ50" s="1398"/>
      <c r="WQK50" s="1398"/>
      <c r="WQL50" s="1398"/>
      <c r="WQM50" s="1398"/>
      <c r="WQN50" s="1398"/>
      <c r="WQO50" s="1398"/>
      <c r="WQP50" s="1398"/>
      <c r="WQQ50" s="1398"/>
      <c r="WQR50" s="1398"/>
      <c r="WQS50" s="1398"/>
      <c r="WQT50" s="1398"/>
      <c r="WQU50" s="1398"/>
      <c r="WQV50" s="1398"/>
      <c r="WQW50" s="1398"/>
      <c r="WQX50" s="1398"/>
      <c r="WQY50" s="1398"/>
      <c r="WQZ50" s="1398"/>
      <c r="WRA50" s="1398"/>
      <c r="WRB50" s="1398"/>
      <c r="WRC50" s="1398"/>
      <c r="WRD50" s="1398"/>
      <c r="WRE50" s="1398"/>
      <c r="WRF50" s="1398"/>
      <c r="WRG50" s="1398"/>
      <c r="WRH50" s="1398"/>
      <c r="WRI50" s="1398"/>
      <c r="WRJ50" s="1398"/>
      <c r="WRK50" s="1398"/>
      <c r="WRL50" s="1398"/>
      <c r="WRM50" s="1398"/>
      <c r="WRN50" s="1398"/>
      <c r="WRO50" s="1398"/>
      <c r="WRP50" s="1398"/>
      <c r="WRQ50" s="1398"/>
      <c r="WRR50" s="1398"/>
      <c r="WRS50" s="1398"/>
      <c r="WRT50" s="1398"/>
      <c r="WRU50" s="1398"/>
      <c r="WRV50" s="1398"/>
      <c r="WRW50" s="1398"/>
      <c r="WRX50" s="1398"/>
      <c r="WRY50" s="1398"/>
      <c r="WRZ50" s="1398"/>
      <c r="WSA50" s="1398"/>
      <c r="WSB50" s="1398"/>
      <c r="WSC50" s="1398"/>
      <c r="WSD50" s="1398"/>
      <c r="WSE50" s="1398"/>
      <c r="WSF50" s="1398"/>
      <c r="WSG50" s="1398"/>
      <c r="WSH50" s="1398"/>
      <c r="WSI50" s="1398"/>
      <c r="WSJ50" s="1398"/>
      <c r="WSK50" s="1398"/>
      <c r="WSL50" s="1398"/>
      <c r="WSM50" s="1398"/>
      <c r="WSN50" s="1398"/>
      <c r="WSO50" s="1398"/>
      <c r="WSP50" s="1398"/>
      <c r="WSQ50" s="1398"/>
      <c r="WSR50" s="1398"/>
      <c r="WSS50" s="1398"/>
      <c r="WST50" s="1398"/>
      <c r="WSU50" s="1398"/>
      <c r="WSV50" s="1398"/>
      <c r="WSW50" s="1398"/>
      <c r="WSX50" s="1398"/>
      <c r="WSY50" s="1398"/>
      <c r="WSZ50" s="1398"/>
      <c r="WTA50" s="1398"/>
      <c r="WTB50" s="1398"/>
      <c r="WTC50" s="1398"/>
      <c r="WTD50" s="1398"/>
      <c r="WTE50" s="1398"/>
      <c r="WTF50" s="1398"/>
      <c r="WTG50" s="1398"/>
      <c r="WTH50" s="1398"/>
      <c r="WTI50" s="1398"/>
      <c r="WTJ50" s="1398"/>
      <c r="WTK50" s="1398"/>
      <c r="WTL50" s="1398"/>
      <c r="WTM50" s="1398"/>
      <c r="WTN50" s="1398"/>
      <c r="WTO50" s="1398"/>
      <c r="WTP50" s="1398"/>
      <c r="WTQ50" s="1398"/>
      <c r="WTR50" s="1398"/>
      <c r="WTS50" s="1398"/>
      <c r="WTT50" s="1398"/>
      <c r="WTU50" s="1398"/>
      <c r="WTV50" s="1398"/>
      <c r="WTW50" s="1398"/>
      <c r="WTX50" s="1398"/>
      <c r="WTY50" s="1398"/>
      <c r="WTZ50" s="1398"/>
      <c r="WUA50" s="1398"/>
      <c r="WUB50" s="1398"/>
      <c r="WUC50" s="1398"/>
      <c r="WUD50" s="1398"/>
      <c r="WUE50" s="1398"/>
      <c r="WUF50" s="1398"/>
      <c r="WUG50" s="1398"/>
      <c r="WUH50" s="1398"/>
      <c r="WUI50" s="1398"/>
      <c r="WUJ50" s="1398"/>
      <c r="WUK50" s="1398"/>
      <c r="WUL50" s="1398"/>
      <c r="WUM50" s="1398"/>
      <c r="WUN50" s="1398"/>
      <c r="WUO50" s="1398"/>
      <c r="WUP50" s="1398"/>
      <c r="WUQ50" s="1398"/>
      <c r="WUR50" s="1398"/>
      <c r="WUS50" s="1398"/>
      <c r="WUT50" s="1398"/>
      <c r="WUU50" s="1398"/>
      <c r="WUV50" s="1398"/>
      <c r="WUW50" s="1398"/>
      <c r="WUX50" s="1398"/>
      <c r="WUY50" s="1398"/>
      <c r="WUZ50" s="1398"/>
      <c r="WVA50" s="1398"/>
      <c r="WVB50" s="1398"/>
      <c r="WVC50" s="1398"/>
      <c r="WVD50" s="1398"/>
      <c r="WVE50" s="1398"/>
      <c r="WVF50" s="1398"/>
      <c r="WVG50" s="1398"/>
      <c r="WVH50" s="1398"/>
      <c r="WVI50" s="1398"/>
      <c r="WVJ50" s="1398"/>
      <c r="WVK50" s="1398"/>
      <c r="WVL50" s="1398"/>
      <c r="WVM50" s="1398"/>
      <c r="WVN50" s="1398"/>
      <c r="WVO50" s="1398"/>
      <c r="WVP50" s="1398"/>
      <c r="WVQ50" s="1398"/>
      <c r="WVR50" s="1398"/>
      <c r="WVS50" s="1398"/>
      <c r="WVT50" s="1398"/>
      <c r="WVU50" s="1398"/>
      <c r="WVV50" s="1398"/>
      <c r="WVW50" s="1398"/>
      <c r="WVX50" s="1398"/>
      <c r="WVY50" s="1398"/>
      <c r="WVZ50" s="1398"/>
      <c r="WWA50" s="1398"/>
      <c r="WWB50" s="1398"/>
      <c r="WWC50" s="1398"/>
      <c r="WWD50" s="1398"/>
      <c r="WWE50" s="1398"/>
      <c r="WWF50" s="1398"/>
      <c r="WWG50" s="1398"/>
      <c r="WWH50" s="1398"/>
      <c r="WWI50" s="1398"/>
      <c r="WWJ50" s="1398"/>
      <c r="WWK50" s="1398"/>
      <c r="WWL50" s="1398"/>
      <c r="WWM50" s="1398"/>
      <c r="WWN50" s="1398"/>
      <c r="WWO50" s="1398"/>
      <c r="WWP50" s="1398"/>
      <c r="WWQ50" s="1398"/>
      <c r="WWR50" s="1398"/>
      <c r="WWS50" s="1398"/>
      <c r="WWT50" s="1398"/>
      <c r="WWU50" s="1398"/>
      <c r="WWV50" s="1398"/>
      <c r="WWW50" s="1398"/>
      <c r="WWX50" s="1398"/>
      <c r="WWY50" s="1398"/>
      <c r="WWZ50" s="1398"/>
      <c r="WXA50" s="1398"/>
      <c r="WXB50" s="1398"/>
      <c r="WXC50" s="1398"/>
      <c r="WXD50" s="1398"/>
      <c r="WXE50" s="1398"/>
      <c r="WXF50" s="1398"/>
      <c r="WXG50" s="1398"/>
      <c r="WXH50" s="1398"/>
      <c r="WXI50" s="1398"/>
      <c r="WXJ50" s="1398"/>
      <c r="WXK50" s="1398"/>
      <c r="WXL50" s="1398"/>
      <c r="WXM50" s="1398"/>
      <c r="WXN50" s="1398"/>
      <c r="WXO50" s="1398"/>
      <c r="WXP50" s="1398"/>
      <c r="WXQ50" s="1398"/>
      <c r="WXR50" s="1398"/>
      <c r="WXS50" s="1398"/>
      <c r="WXT50" s="1398"/>
      <c r="WXU50" s="1398"/>
      <c r="WXV50" s="1398"/>
      <c r="WXW50" s="1398"/>
      <c r="WXX50" s="1398"/>
      <c r="WXY50" s="1398"/>
      <c r="WXZ50" s="1398"/>
      <c r="WYA50" s="1398"/>
      <c r="WYB50" s="1398"/>
      <c r="WYC50" s="1398"/>
      <c r="WYD50" s="1398"/>
      <c r="WYE50" s="1398"/>
      <c r="WYF50" s="1398"/>
      <c r="WYG50" s="1398"/>
      <c r="WYH50" s="1398"/>
      <c r="WYI50" s="1398"/>
      <c r="WYJ50" s="1398"/>
      <c r="WYK50" s="1398"/>
      <c r="WYL50" s="1398"/>
      <c r="WYM50" s="1398"/>
      <c r="WYN50" s="1398"/>
      <c r="WYO50" s="1398"/>
      <c r="WYP50" s="1398"/>
      <c r="WYQ50" s="1398"/>
      <c r="WYR50" s="1398"/>
      <c r="WYS50" s="1398"/>
      <c r="WYT50" s="1398"/>
      <c r="WYU50" s="1398"/>
      <c r="WYV50" s="1398"/>
      <c r="WYW50" s="1398"/>
      <c r="WYX50" s="1398"/>
      <c r="WYY50" s="1398"/>
      <c r="WYZ50" s="1398"/>
      <c r="WZA50" s="1398"/>
      <c r="WZB50" s="1398"/>
      <c r="WZC50" s="1398"/>
      <c r="WZD50" s="1398"/>
      <c r="WZE50" s="1398"/>
      <c r="WZF50" s="1398"/>
      <c r="WZG50" s="1398"/>
      <c r="WZH50" s="1398"/>
      <c r="WZI50" s="1398"/>
      <c r="WZJ50" s="1398"/>
      <c r="WZK50" s="1398"/>
      <c r="WZL50" s="1398"/>
      <c r="WZM50" s="1398"/>
      <c r="WZN50" s="1398"/>
      <c r="WZO50" s="1398"/>
      <c r="WZP50" s="1398"/>
      <c r="WZQ50" s="1398"/>
      <c r="WZR50" s="1398"/>
      <c r="WZS50" s="1398"/>
      <c r="WZT50" s="1398"/>
      <c r="WZU50" s="1398"/>
      <c r="WZV50" s="1398"/>
      <c r="WZW50" s="1398"/>
      <c r="WZX50" s="1398"/>
      <c r="WZY50" s="1398"/>
      <c r="WZZ50" s="1398"/>
      <c r="XAA50" s="1398"/>
      <c r="XAB50" s="1398"/>
      <c r="XAC50" s="1398"/>
      <c r="XAD50" s="1398"/>
      <c r="XAE50" s="1398"/>
      <c r="XAF50" s="1398"/>
      <c r="XAG50" s="1398"/>
      <c r="XAH50" s="1398"/>
      <c r="XAI50" s="1398"/>
      <c r="XAJ50" s="1398"/>
      <c r="XAK50" s="1398"/>
      <c r="XAL50" s="1398"/>
      <c r="XAM50" s="1398"/>
      <c r="XAN50" s="1398"/>
      <c r="XAO50" s="1398"/>
      <c r="XAP50" s="1398"/>
      <c r="XAQ50" s="1398"/>
      <c r="XAR50" s="1398"/>
      <c r="XAS50" s="1398"/>
      <c r="XAT50" s="1398"/>
      <c r="XAU50" s="1398"/>
      <c r="XAV50" s="1398"/>
      <c r="XAW50" s="1398"/>
      <c r="XAX50" s="1398"/>
      <c r="XAY50" s="1398"/>
      <c r="XAZ50" s="1398"/>
      <c r="XBA50" s="1398"/>
      <c r="XBB50" s="1398"/>
      <c r="XBC50" s="1398"/>
      <c r="XBD50" s="1398"/>
      <c r="XBE50" s="1398"/>
      <c r="XBF50" s="1398"/>
      <c r="XBG50" s="1398"/>
      <c r="XBH50" s="1398"/>
      <c r="XBI50" s="1398"/>
      <c r="XBJ50" s="1398"/>
      <c r="XBK50" s="1398"/>
      <c r="XBL50" s="1398"/>
      <c r="XBM50" s="1398"/>
      <c r="XBN50" s="1398"/>
      <c r="XBO50" s="1398"/>
      <c r="XBP50" s="1398"/>
      <c r="XBQ50" s="1398"/>
      <c r="XBR50" s="1398"/>
      <c r="XBS50" s="1398"/>
      <c r="XBT50" s="1398"/>
      <c r="XBU50" s="1398"/>
      <c r="XBV50" s="1398"/>
      <c r="XBW50" s="1398"/>
      <c r="XBX50" s="1398"/>
      <c r="XBY50" s="1398"/>
      <c r="XBZ50" s="1398"/>
      <c r="XCA50" s="1398"/>
      <c r="XCB50" s="1398"/>
      <c r="XCC50" s="1398"/>
      <c r="XCD50" s="1398"/>
      <c r="XCE50" s="1398"/>
      <c r="XCF50" s="1398"/>
      <c r="XCG50" s="1398"/>
      <c r="XCH50" s="1398"/>
      <c r="XCI50" s="1398"/>
      <c r="XCJ50" s="1398"/>
      <c r="XCK50" s="1398"/>
      <c r="XCL50" s="1398"/>
      <c r="XCM50" s="1398"/>
      <c r="XCN50" s="1398"/>
      <c r="XCO50" s="1398"/>
      <c r="XCP50" s="1398"/>
      <c r="XCQ50" s="1398"/>
      <c r="XCR50" s="1398"/>
      <c r="XCS50" s="1398"/>
      <c r="XCT50" s="1398"/>
      <c r="XCU50" s="1398"/>
      <c r="XCV50" s="1398"/>
      <c r="XCW50" s="1398"/>
      <c r="XCX50" s="1398"/>
      <c r="XCY50" s="1398"/>
      <c r="XCZ50" s="1398"/>
      <c r="XDA50" s="1398"/>
      <c r="XDB50" s="1398"/>
      <c r="XDC50" s="1398"/>
      <c r="XDD50" s="1398"/>
      <c r="XDE50" s="1398"/>
      <c r="XDF50" s="1398"/>
      <c r="XDG50" s="1398"/>
      <c r="XDH50" s="1398"/>
      <c r="XDI50" s="1398"/>
      <c r="XDJ50" s="1398"/>
      <c r="XDK50" s="1398"/>
      <c r="XDL50" s="1398"/>
      <c r="XDM50" s="1398"/>
      <c r="XDN50" s="1398"/>
      <c r="XDO50" s="1398"/>
      <c r="XDP50" s="1398"/>
      <c r="XDQ50" s="1398"/>
      <c r="XDR50" s="1398"/>
      <c r="XDS50" s="1398"/>
      <c r="XDT50" s="1398"/>
      <c r="XDU50" s="1398"/>
      <c r="XDV50" s="1398"/>
      <c r="XDW50" s="1398"/>
      <c r="XDX50" s="1398"/>
      <c r="XDY50" s="1398"/>
      <c r="XDZ50" s="1398"/>
      <c r="XEA50" s="1398"/>
      <c r="XEB50" s="1398"/>
      <c r="XEC50" s="1398"/>
      <c r="XED50" s="1398"/>
      <c r="XEE50" s="1398"/>
      <c r="XEF50" s="1398"/>
      <c r="XEG50" s="1398"/>
      <c r="XEH50" s="1398"/>
      <c r="XEI50" s="1398"/>
      <c r="XEJ50" s="1398"/>
      <c r="XEK50" s="1398"/>
      <c r="XEL50" s="1398"/>
      <c r="XEM50" s="1398"/>
      <c r="XEN50" s="1398"/>
      <c r="XEO50" s="1398"/>
      <c r="XEP50" s="1398"/>
      <c r="XEQ50" s="1398"/>
      <c r="XER50" s="1398"/>
      <c r="XES50" s="1398"/>
      <c r="XET50" s="1398"/>
      <c r="XEU50" s="1398"/>
      <c r="XEV50" s="1398"/>
      <c r="XEW50" s="1398"/>
      <c r="XEX50" s="1398"/>
      <c r="XEY50" s="1398"/>
      <c r="XEZ50" s="1398"/>
      <c r="XFA50" s="1398"/>
      <c r="XFB50" s="1398"/>
      <c r="XFC50" s="1398"/>
      <c r="XFD50" s="1398"/>
    </row>
    <row r="51" spans="1:16384" s="1257" customFormat="1" ht="13.8">
      <c r="A51" s="1247"/>
      <c r="B51" s="1316"/>
      <c r="C51" s="1259"/>
      <c r="D51" s="1259"/>
      <c r="E51" s="1259"/>
      <c r="F51" s="1259"/>
      <c r="G51" s="1259"/>
      <c r="H51" s="1259">
        <f>ROUND(SUM(H48:H49),0)</f>
        <v>499035</v>
      </c>
      <c r="I51" s="1259">
        <f>ROUND(SUM(I48:I49),0)</f>
        <v>567848</v>
      </c>
      <c r="J51" s="1259">
        <f>ROUND(SUM(J48:J49),0)</f>
        <v>68813</v>
      </c>
      <c r="K51" s="1264">
        <f>SUM(K48:K49)</f>
        <v>4.8072717296202466E-2</v>
      </c>
      <c r="L51" s="1264">
        <f>SUM(L48:L49)</f>
        <v>5.0429552364224299E-2</v>
      </c>
      <c r="M51" s="1264"/>
      <c r="N51" s="1263"/>
      <c r="O51" s="1264">
        <f>I51/$Q$8</f>
        <v>4.8072703957086266E-2</v>
      </c>
      <c r="P51" s="1265"/>
      <c r="Q51" s="1266"/>
      <c r="R51" s="1276"/>
      <c r="S51" s="1267">
        <f t="shared" si="1"/>
        <v>0</v>
      </c>
      <c r="T51" s="1276"/>
      <c r="U51" s="1267">
        <f t="shared" si="9"/>
        <v>0</v>
      </c>
      <c r="V51" s="1254"/>
      <c r="W51" s="1255"/>
      <c r="X51" s="1256"/>
    </row>
    <row r="52" spans="1:16384" s="1257" customFormat="1" ht="13.8">
      <c r="A52" s="1247"/>
      <c r="B52" s="1317" t="s">
        <v>1033</v>
      </c>
      <c r="C52" s="1235"/>
      <c r="D52" s="1259"/>
      <c r="E52" s="1259"/>
      <c r="F52" s="1235"/>
      <c r="G52" s="1259"/>
      <c r="H52" s="1259"/>
      <c r="I52" s="1259"/>
      <c r="J52" s="1259"/>
      <c r="K52" s="1264"/>
      <c r="L52" s="1264"/>
      <c r="M52" s="1264"/>
      <c r="N52" s="1263"/>
      <c r="O52" s="1263"/>
      <c r="P52" s="1263"/>
      <c r="Q52" s="1266"/>
      <c r="R52" s="1276"/>
      <c r="S52" s="1267">
        <f t="shared" si="1"/>
        <v>0</v>
      </c>
      <c r="T52" s="1276"/>
      <c r="U52" s="1267">
        <f t="shared" si="9"/>
        <v>0</v>
      </c>
      <c r="V52" s="1254"/>
      <c r="W52" s="1254"/>
      <c r="X52" s="1256"/>
    </row>
    <row r="53" spans="1:16384" s="1257" customFormat="1" ht="13.8">
      <c r="A53" s="1247"/>
      <c r="B53" s="1258" t="s">
        <v>1034</v>
      </c>
      <c r="C53" s="1259">
        <v>0</v>
      </c>
      <c r="D53" s="1259">
        <v>300000</v>
      </c>
      <c r="E53" s="1259">
        <v>0</v>
      </c>
      <c r="F53" s="1259">
        <v>300000</v>
      </c>
      <c r="G53" s="1235">
        <f t="shared" ref="G53:G64" si="10">C53+D53+E53-F53</f>
        <v>0</v>
      </c>
      <c r="H53" s="1292">
        <v>0</v>
      </c>
      <c r="I53" s="1292">
        <v>0</v>
      </c>
      <c r="J53" s="1292">
        <f t="shared" ref="J53:J64" si="11">I53-H53</f>
        <v>0</v>
      </c>
      <c r="K53" s="1318">
        <f t="shared" ref="K53:K64" si="12">I53/$X$40</f>
        <v>0</v>
      </c>
      <c r="L53" s="1318">
        <f t="shared" ref="L53:L64" si="13">I53/$X$41</f>
        <v>0</v>
      </c>
      <c r="M53" s="1319">
        <f>G53*10/Q53</f>
        <v>0</v>
      </c>
      <c r="N53" s="1263"/>
      <c r="O53" s="1264">
        <f t="shared" ref="O53:O61" si="14">I53/$Q$8</f>
        <v>0</v>
      </c>
      <c r="P53" s="1265"/>
      <c r="Q53" s="1266">
        <v>11450738300</v>
      </c>
      <c r="R53" s="1267">
        <v>93520000</v>
      </c>
      <c r="S53" s="1267">
        <f t="shared" ref="S53:S84" si="15">R53/1000</f>
        <v>93520</v>
      </c>
      <c r="T53" s="1267">
        <v>98151900</v>
      </c>
      <c r="U53" s="1267">
        <f t="shared" si="9"/>
        <v>98151.9</v>
      </c>
      <c r="V53" s="1268">
        <v>11450738</v>
      </c>
      <c r="W53" s="1254"/>
      <c r="X53" s="1256"/>
    </row>
    <row r="54" spans="1:16384" s="1257" customFormat="1" ht="13.8">
      <c r="A54" s="1247"/>
      <c r="B54" s="1258" t="s">
        <v>1165</v>
      </c>
      <c r="C54" s="1259">
        <v>4944000</v>
      </c>
      <c r="D54" s="1259">
        <v>4221000</v>
      </c>
      <c r="E54" s="1259">
        <v>0</v>
      </c>
      <c r="F54" s="1235">
        <v>0</v>
      </c>
      <c r="G54" s="1235">
        <f t="shared" si="10"/>
        <v>9165000</v>
      </c>
      <c r="H54" s="1271">
        <f>207936340.119/1000</f>
        <v>207936.340119</v>
      </c>
      <c r="I54" s="1271">
        <f>219226800/1000</f>
        <v>219226.8</v>
      </c>
      <c r="J54" s="1271">
        <f t="shared" si="11"/>
        <v>11290.459880999988</v>
      </c>
      <c r="K54" s="1275">
        <f t="shared" si="12"/>
        <v>1.8559236048940615E-2</v>
      </c>
      <c r="L54" s="1275">
        <f t="shared" si="13"/>
        <v>1.9469129660452639E-2</v>
      </c>
      <c r="M54" s="1275">
        <f>G54*10/Q54</f>
        <v>7.2723078499552368E-3</v>
      </c>
      <c r="N54" s="1263"/>
      <c r="O54" s="1264">
        <f t="shared" si="14"/>
        <v>1.8559236020659328E-2</v>
      </c>
      <c r="P54" s="1265"/>
      <c r="Q54" s="1266">
        <v>12602601800</v>
      </c>
      <c r="R54" s="1267">
        <v>145263571</v>
      </c>
      <c r="S54" s="1267">
        <f t="shared" si="15"/>
        <v>145263.571</v>
      </c>
      <c r="T54" s="1267">
        <v>137998915</v>
      </c>
      <c r="U54" s="1267">
        <f t="shared" si="9"/>
        <v>137998.91500000001</v>
      </c>
      <c r="V54" s="1268">
        <v>15952075</v>
      </c>
      <c r="W54" s="1254"/>
      <c r="X54" s="1256"/>
    </row>
    <row r="55" spans="1:16384" s="1257" customFormat="1" ht="13.8">
      <c r="A55" s="1247"/>
      <c r="B55" s="1258" t="s">
        <v>395</v>
      </c>
      <c r="C55" s="1259">
        <v>16346000</v>
      </c>
      <c r="D55" s="1259">
        <v>800000</v>
      </c>
      <c r="E55" s="1259">
        <v>1634600</v>
      </c>
      <c r="F55" s="1235">
        <v>2494500</v>
      </c>
      <c r="G55" s="1235">
        <f t="shared" si="10"/>
        <v>16286100</v>
      </c>
      <c r="H55" s="1271">
        <f>772038607.496472/1000</f>
        <v>772038.60749647196</v>
      </c>
      <c r="I55" s="1271">
        <f>661052799/1000</f>
        <v>661052.799</v>
      </c>
      <c r="J55" s="1271">
        <f t="shared" si="11"/>
        <v>-110985.80849647196</v>
      </c>
      <c r="K55" s="1275">
        <f t="shared" si="12"/>
        <v>5.5963207680146287E-2</v>
      </c>
      <c r="L55" s="1275">
        <f t="shared" si="13"/>
        <v>5.8706885545636474E-2</v>
      </c>
      <c r="M55" s="1275">
        <f>G55*10/Q55</f>
        <v>1.0130868330253685E-2</v>
      </c>
      <c r="N55" s="1263"/>
      <c r="O55" s="1264">
        <f t="shared" si="14"/>
        <v>5.5963207594867379E-2</v>
      </c>
      <c r="P55" s="1265"/>
      <c r="Q55" s="1266">
        <v>16075719740</v>
      </c>
      <c r="R55" s="1267">
        <v>430993028</v>
      </c>
      <c r="S55" s="1267">
        <f t="shared" si="15"/>
        <v>430993.02799999999</v>
      </c>
      <c r="T55" s="1267">
        <v>453708750</v>
      </c>
      <c r="U55" s="1267">
        <f t="shared" si="9"/>
        <v>453708.75</v>
      </c>
      <c r="V55" s="1254">
        <v>11997601</v>
      </c>
      <c r="W55" s="1255"/>
      <c r="X55" s="1256"/>
    </row>
    <row r="56" spans="1:16384" s="1257" customFormat="1" ht="13.8">
      <c r="A56" s="1247"/>
      <c r="B56" s="1270" t="s">
        <v>1035</v>
      </c>
      <c r="C56" s="1235">
        <v>102225</v>
      </c>
      <c r="D56" s="1259">
        <v>5588500</v>
      </c>
      <c r="E56" s="1259">
        <v>0</v>
      </c>
      <c r="F56" s="1235">
        <v>0</v>
      </c>
      <c r="G56" s="1235">
        <f t="shared" si="10"/>
        <v>5690725</v>
      </c>
      <c r="H56" s="1271">
        <f>144770156.19/1000</f>
        <v>144770.15619000001</v>
      </c>
      <c r="I56" s="1271">
        <f>136975750.75/1000</f>
        <v>136975.75075000001</v>
      </c>
      <c r="J56" s="1271">
        <f t="shared" si="11"/>
        <v>-7794.4054400000023</v>
      </c>
      <c r="K56" s="1275">
        <f t="shared" si="12"/>
        <v>1.1596051628496628E-2</v>
      </c>
      <c r="L56" s="1275">
        <f t="shared" si="13"/>
        <v>1.2164564969655138E-2</v>
      </c>
      <c r="M56" s="1275">
        <f>G56*10/Q56</f>
        <v>4.312017347164957E-3</v>
      </c>
      <c r="N56" s="1263"/>
      <c r="O56" s="1264">
        <f t="shared" si="14"/>
        <v>1.1596051610826115E-2</v>
      </c>
      <c r="P56" s="1265"/>
      <c r="Q56" s="1266">
        <v>13197361100</v>
      </c>
      <c r="R56" s="1267">
        <v>247772641</v>
      </c>
      <c r="S56" s="1267">
        <f t="shared" si="15"/>
        <v>247772.641</v>
      </c>
      <c r="T56" s="1267">
        <v>235167490</v>
      </c>
      <c r="U56" s="1267">
        <f t="shared" si="9"/>
        <v>235167.49</v>
      </c>
      <c r="V56" s="1254">
        <v>14668525</v>
      </c>
      <c r="W56" s="1255"/>
      <c r="X56" s="1256"/>
    </row>
    <row r="57" spans="1:16384" s="1257" customFormat="1" ht="13.8">
      <c r="A57" s="1247"/>
      <c r="B57" s="1270" t="s">
        <v>393</v>
      </c>
      <c r="C57" s="1235">
        <v>5019800</v>
      </c>
      <c r="D57" s="1259">
        <v>623000</v>
      </c>
      <c r="E57" s="1259">
        <v>0</v>
      </c>
      <c r="F57" s="1235">
        <v>3963500</v>
      </c>
      <c r="G57" s="1235">
        <f t="shared" si="10"/>
        <v>1679300</v>
      </c>
      <c r="H57" s="1271">
        <f>265713012.898085/1000</f>
        <v>265713.012898085</v>
      </c>
      <c r="I57" s="1271">
        <f>202271685/1000</f>
        <v>202271.685</v>
      </c>
      <c r="J57" s="1271">
        <f t="shared" si="11"/>
        <v>-63441.327898085001</v>
      </c>
      <c r="K57" s="1275">
        <f t="shared" si="12"/>
        <v>1.7123855057556651E-2</v>
      </c>
      <c r="L57" s="1275">
        <f t="shared" si="13"/>
        <v>1.796337702280576E-2</v>
      </c>
      <c r="M57" s="1320">
        <f>G57*10/Q57</f>
        <v>1.1448322110378121E-3</v>
      </c>
      <c r="N57" s="1263"/>
      <c r="O57" s="1264">
        <f t="shared" si="14"/>
        <v>1.7123855031462656E-2</v>
      </c>
      <c r="P57" s="1265"/>
      <c r="Q57" s="1266">
        <v>14668525080</v>
      </c>
      <c r="R57" s="1267">
        <v>480127529</v>
      </c>
      <c r="S57" s="1267">
        <f t="shared" si="15"/>
        <v>480127.52899999998</v>
      </c>
      <c r="T57" s="1267">
        <v>491779288</v>
      </c>
      <c r="U57" s="1267">
        <f t="shared" si="9"/>
        <v>491779.288</v>
      </c>
      <c r="V57" s="1268">
        <v>10478314</v>
      </c>
      <c r="W57" s="1254"/>
      <c r="X57" s="1256"/>
    </row>
    <row r="58" spans="1:16384" s="1257" customFormat="1" ht="13.8">
      <c r="A58" s="1247"/>
      <c r="B58" s="1270" t="s">
        <v>340</v>
      </c>
      <c r="C58" s="1235">
        <v>360</v>
      </c>
      <c r="D58" s="1259">
        <v>0</v>
      </c>
      <c r="E58" s="1259">
        <v>0</v>
      </c>
      <c r="F58" s="1235">
        <v>360</v>
      </c>
      <c r="G58" s="1235">
        <f t="shared" si="10"/>
        <v>0</v>
      </c>
      <c r="H58" s="1271">
        <v>0</v>
      </c>
      <c r="I58" s="1271">
        <v>0</v>
      </c>
      <c r="J58" s="1271">
        <f t="shared" si="11"/>
        <v>0</v>
      </c>
      <c r="K58" s="1320">
        <f t="shared" si="12"/>
        <v>0</v>
      </c>
      <c r="L58" s="1320">
        <f t="shared" si="13"/>
        <v>0</v>
      </c>
      <c r="M58" s="1321">
        <v>0</v>
      </c>
      <c r="N58" s="1263"/>
      <c r="O58" s="1264">
        <f t="shared" si="14"/>
        <v>0</v>
      </c>
      <c r="P58" s="1265"/>
      <c r="Q58" s="1266">
        <v>10629021400</v>
      </c>
      <c r="R58" s="1267">
        <v>14008500</v>
      </c>
      <c r="S58" s="1267">
        <f t="shared" si="15"/>
        <v>14008.5</v>
      </c>
      <c r="T58" s="1267">
        <v>13040214</v>
      </c>
      <c r="U58" s="1267">
        <f t="shared" si="9"/>
        <v>13040.214</v>
      </c>
      <c r="V58" s="1268"/>
      <c r="W58" s="1254"/>
      <c r="X58" s="1256"/>
    </row>
    <row r="59" spans="1:16384" s="1257" customFormat="1" ht="13.8">
      <c r="A59" s="1247"/>
      <c r="B59" s="1270" t="s">
        <v>1064</v>
      </c>
      <c r="C59" s="1235">
        <v>3824500</v>
      </c>
      <c r="D59" s="1259">
        <v>1179000</v>
      </c>
      <c r="E59" s="1259"/>
      <c r="F59" s="1235">
        <v>438500</v>
      </c>
      <c r="G59" s="1235">
        <f t="shared" si="10"/>
        <v>4565000</v>
      </c>
      <c r="H59" s="1271">
        <f>362707861.535519/1000</f>
        <v>362707.86153551901</v>
      </c>
      <c r="I59" s="1271">
        <f>314026350/1000</f>
        <v>314026.34999999998</v>
      </c>
      <c r="J59" s="1271">
        <f t="shared" si="11"/>
        <v>-48681.511535519036</v>
      </c>
      <c r="K59" s="1275">
        <f t="shared" si="12"/>
        <v>2.6584747645986905E-2</v>
      </c>
      <c r="L59" s="1275">
        <f t="shared" si="13"/>
        <v>2.7888103666835813E-2</v>
      </c>
      <c r="M59" s="1320">
        <f t="shared" ref="M59:M64" si="16">G59*10/Q59</f>
        <v>4.1073381281016034E-3</v>
      </c>
      <c r="N59" s="1263"/>
      <c r="O59" s="1264">
        <f t="shared" si="14"/>
        <v>2.6584747605476036E-2</v>
      </c>
      <c r="P59" s="1265"/>
      <c r="Q59" s="1266">
        <v>11114254190</v>
      </c>
      <c r="R59" s="1267">
        <v>229481364</v>
      </c>
      <c r="S59" s="1267">
        <f t="shared" si="15"/>
        <v>229481.364</v>
      </c>
      <c r="T59" s="1267">
        <v>238079620</v>
      </c>
      <c r="U59" s="1267">
        <f t="shared" si="9"/>
        <v>238079.62</v>
      </c>
      <c r="V59" s="1268"/>
      <c r="W59" s="1254"/>
      <c r="X59" s="1256"/>
    </row>
    <row r="60" spans="1:16384" s="1257" customFormat="1" ht="13.8">
      <c r="A60" s="1303"/>
      <c r="B60" s="1322" t="s">
        <v>1036</v>
      </c>
      <c r="C60" s="1235">
        <v>1757000</v>
      </c>
      <c r="D60" s="1259">
        <v>0</v>
      </c>
      <c r="E60" s="1259">
        <v>0</v>
      </c>
      <c r="F60" s="1235">
        <v>1757000</v>
      </c>
      <c r="G60" s="1235">
        <f t="shared" si="10"/>
        <v>0</v>
      </c>
      <c r="H60" s="1271">
        <v>0</v>
      </c>
      <c r="I60" s="1271">
        <v>0</v>
      </c>
      <c r="J60" s="1271">
        <f t="shared" si="11"/>
        <v>0</v>
      </c>
      <c r="K60" s="1275">
        <f t="shared" si="12"/>
        <v>0</v>
      </c>
      <c r="L60" s="1275">
        <f t="shared" si="13"/>
        <v>0</v>
      </c>
      <c r="M60" s="1320">
        <f t="shared" si="16"/>
        <v>0</v>
      </c>
      <c r="N60" s="1263"/>
      <c r="O60" s="1264">
        <f t="shared" si="14"/>
        <v>0</v>
      </c>
      <c r="P60" s="1265"/>
      <c r="Q60" s="1266">
        <v>10478314800</v>
      </c>
      <c r="R60" s="1267">
        <v>73786400</v>
      </c>
      <c r="S60" s="1267">
        <f t="shared" si="15"/>
        <v>73786.399999999994</v>
      </c>
      <c r="T60" s="1267">
        <v>77556000</v>
      </c>
      <c r="U60" s="1267">
        <f t="shared" si="9"/>
        <v>77556</v>
      </c>
      <c r="V60" s="1268">
        <v>11130307</v>
      </c>
      <c r="W60" s="1254"/>
      <c r="X60" s="1256"/>
    </row>
    <row r="61" spans="1:16384" s="1257" customFormat="1" ht="13.8">
      <c r="A61" s="1303" t="s">
        <v>1104</v>
      </c>
      <c r="B61" s="1270" t="s">
        <v>2428</v>
      </c>
      <c r="C61" s="1235">
        <v>2122500</v>
      </c>
      <c r="D61" s="1259">
        <v>902100</v>
      </c>
      <c r="E61" s="1259">
        <v>0</v>
      </c>
      <c r="F61" s="1235">
        <v>517300</v>
      </c>
      <c r="G61" s="1235">
        <f t="shared" si="10"/>
        <v>2507300</v>
      </c>
      <c r="H61" s="1271">
        <f>497566435.220675/1000</f>
        <v>497566.43522067502</v>
      </c>
      <c r="I61" s="1271">
        <f>485338061/1000</f>
        <v>485338.06099999999</v>
      </c>
      <c r="J61" s="1271">
        <f t="shared" si="11"/>
        <v>-12228.374220675032</v>
      </c>
      <c r="K61" s="1275">
        <f t="shared" si="12"/>
        <v>4.1087602599837882E-2</v>
      </c>
      <c r="L61" s="1275">
        <f t="shared" si="13"/>
        <v>4.3101982233749128E-2</v>
      </c>
      <c r="M61" s="1320">
        <f t="shared" si="16"/>
        <v>2.115757841210954E-3</v>
      </c>
      <c r="N61" s="1263"/>
      <c r="O61" s="1264">
        <f t="shared" si="14"/>
        <v>4.1087602537227E-2</v>
      </c>
      <c r="P61" s="1265"/>
      <c r="Q61" s="1266">
        <v>11850600060</v>
      </c>
      <c r="R61" s="1267">
        <v>293598802</v>
      </c>
      <c r="S61" s="1267">
        <f t="shared" si="15"/>
        <v>293598.80200000003</v>
      </c>
      <c r="T61" s="1267">
        <v>299328736</v>
      </c>
      <c r="U61" s="1267">
        <f t="shared" si="9"/>
        <v>299328.73599999998</v>
      </c>
      <c r="V61" s="1268">
        <v>21275128</v>
      </c>
      <c r="W61" s="1255"/>
      <c r="X61" s="1256"/>
    </row>
    <row r="62" spans="1:16384" s="1257" customFormat="1" ht="13.8">
      <c r="A62" s="1303"/>
      <c r="B62" s="1270" t="s">
        <v>2487</v>
      </c>
      <c r="C62" s="1235">
        <v>352000</v>
      </c>
      <c r="D62" s="1259"/>
      <c r="E62" s="1259">
        <v>0</v>
      </c>
      <c r="F62" s="1235">
        <v>352000</v>
      </c>
      <c r="G62" s="1235">
        <f t="shared" si="10"/>
        <v>0</v>
      </c>
      <c r="H62" s="1271">
        <v>0</v>
      </c>
      <c r="I62" s="1271">
        <v>0</v>
      </c>
      <c r="J62" s="1271">
        <f t="shared" si="11"/>
        <v>0</v>
      </c>
      <c r="K62" s="1275">
        <f t="shared" si="12"/>
        <v>0</v>
      </c>
      <c r="L62" s="1275">
        <f t="shared" si="13"/>
        <v>0</v>
      </c>
      <c r="M62" s="1320" t="e">
        <f t="shared" si="16"/>
        <v>#DIV/0!</v>
      </c>
      <c r="N62" s="1263"/>
      <c r="O62" s="1264"/>
      <c r="P62" s="1265"/>
      <c r="Q62" s="1266"/>
      <c r="R62" s="1267"/>
      <c r="S62" s="1267"/>
      <c r="T62" s="1267"/>
      <c r="U62" s="1267"/>
      <c r="V62" s="1268"/>
      <c r="W62" s="1255"/>
      <c r="X62" s="1256"/>
    </row>
    <row r="63" spans="1:16384" s="1257" customFormat="1" ht="13.8">
      <c r="A63" s="1303"/>
      <c r="B63" s="1270" t="s">
        <v>2488</v>
      </c>
      <c r="C63" s="1235">
        <v>13255500</v>
      </c>
      <c r="D63" s="1259">
        <v>19527500</v>
      </c>
      <c r="E63" s="1259"/>
      <c r="F63" s="1235">
        <v>2565500</v>
      </c>
      <c r="G63" s="1235">
        <f t="shared" si="10"/>
        <v>30217500</v>
      </c>
      <c r="H63" s="1271">
        <f>358853965/1000</f>
        <v>358853.96500000003</v>
      </c>
      <c r="I63" s="1271">
        <f>361703475/1000</f>
        <v>361703.47499999998</v>
      </c>
      <c r="J63" s="1271">
        <f t="shared" si="11"/>
        <v>2849.5099999999511</v>
      </c>
      <c r="K63" s="1275">
        <f t="shared" si="12"/>
        <v>3.0620983256823938E-2</v>
      </c>
      <c r="L63" s="1275">
        <f t="shared" si="13"/>
        <v>3.2122221614379672E-2</v>
      </c>
      <c r="M63" s="1320" t="e">
        <f t="shared" si="16"/>
        <v>#DIV/0!</v>
      </c>
      <c r="N63" s="1263"/>
      <c r="O63" s="1264"/>
      <c r="P63" s="1265"/>
      <c r="Q63" s="1266"/>
      <c r="R63" s="1267"/>
      <c r="S63" s="1267"/>
      <c r="T63" s="1267"/>
      <c r="U63" s="1267"/>
      <c r="V63" s="1268"/>
      <c r="W63" s="1255"/>
      <c r="X63" s="1256"/>
    </row>
    <row r="64" spans="1:16384" s="1257" customFormat="1" ht="13.8">
      <c r="A64" s="1247"/>
      <c r="B64" s="1270" t="s">
        <v>1038</v>
      </c>
      <c r="C64" s="1235">
        <v>799200</v>
      </c>
      <c r="D64" s="1259">
        <v>6032900</v>
      </c>
      <c r="E64" s="1259">
        <v>0</v>
      </c>
      <c r="F64" s="1235">
        <v>871300</v>
      </c>
      <c r="G64" s="1235">
        <f t="shared" si="10"/>
        <v>5960800</v>
      </c>
      <c r="H64" s="1296">
        <f>874588548.019075/1000</f>
        <v>874588.54801907507</v>
      </c>
      <c r="I64" s="1296">
        <f>731032512/1000</f>
        <v>731032.51199999999</v>
      </c>
      <c r="J64" s="1296">
        <f t="shared" si="11"/>
        <v>-143556.03601907508</v>
      </c>
      <c r="K64" s="1323">
        <f t="shared" si="12"/>
        <v>6.1887529032299028E-2</v>
      </c>
      <c r="L64" s="1323">
        <f t="shared" si="13"/>
        <v>6.4921655391286109E-2</v>
      </c>
      <c r="M64" s="1324">
        <f t="shared" si="16"/>
        <v>4.8692198199583262E-3</v>
      </c>
      <c r="N64" s="1263"/>
      <c r="O64" s="1264">
        <f>I64/$Q$8</f>
        <v>6.188752893799241E-2</v>
      </c>
      <c r="P64" s="1265"/>
      <c r="Q64" s="1266">
        <v>12241796880</v>
      </c>
      <c r="R64" s="1267">
        <v>348837127</v>
      </c>
      <c r="S64" s="1267">
        <f t="shared" si="15"/>
        <v>348837.12699999998</v>
      </c>
      <c r="T64" s="1267">
        <v>371428720</v>
      </c>
      <c r="U64" s="1267">
        <f t="shared" si="9"/>
        <v>371428.72</v>
      </c>
      <c r="V64" s="1268">
        <v>12241797</v>
      </c>
      <c r="W64" s="1254"/>
      <c r="X64" s="1256"/>
    </row>
    <row r="65" spans="1:24" s="1257" customFormat="1" ht="13.8">
      <c r="A65" s="1247"/>
      <c r="B65" s="1316"/>
      <c r="C65" s="1259"/>
      <c r="D65" s="1235"/>
      <c r="E65" s="1235"/>
      <c r="F65" s="1235"/>
      <c r="G65" s="1235"/>
      <c r="H65" s="1235">
        <f>ROUND(SUM(H53:H64),0)</f>
        <v>3484175</v>
      </c>
      <c r="I65" s="1259">
        <f>ROUND(SUM(I53:I64),0)</f>
        <v>3111627</v>
      </c>
      <c r="J65" s="1259">
        <f>ROUND(SUM(J53:J64),0)</f>
        <v>-372547</v>
      </c>
      <c r="K65" s="1264">
        <f>SUM(K53:K64)</f>
        <v>0.26342321295008791</v>
      </c>
      <c r="L65" s="1264">
        <f>SUM(L53:L64)</f>
        <v>0.27633792010480074</v>
      </c>
      <c r="M65" s="1264"/>
      <c r="N65" s="1263"/>
      <c r="O65" s="1264">
        <f>I65/$Q$8</f>
        <v>0.26342317591305503</v>
      </c>
      <c r="P65" s="1265"/>
      <c r="Q65" s="1266"/>
      <c r="R65" s="1276"/>
      <c r="S65" s="1267">
        <f t="shared" si="15"/>
        <v>0</v>
      </c>
      <c r="T65" s="1276"/>
      <c r="U65" s="1267">
        <f t="shared" si="9"/>
        <v>0</v>
      </c>
      <c r="V65" s="1325"/>
      <c r="W65" s="1255"/>
      <c r="X65" s="1256"/>
    </row>
    <row r="66" spans="1:24" s="1257" customFormat="1" ht="13.8">
      <c r="A66" s="1247"/>
      <c r="B66" s="1248" t="s">
        <v>1039</v>
      </c>
      <c r="C66" s="1259"/>
      <c r="D66" s="1259"/>
      <c r="E66" s="1259"/>
      <c r="F66" s="1259"/>
      <c r="G66" s="1259"/>
      <c r="H66" s="1259"/>
      <c r="I66" s="1235"/>
      <c r="J66" s="1235"/>
      <c r="K66" s="1326"/>
      <c r="L66" s="1326"/>
      <c r="M66" s="1264"/>
      <c r="N66" s="1263"/>
      <c r="O66" s="1263"/>
      <c r="P66" s="1263"/>
      <c r="Q66" s="1266"/>
      <c r="R66" s="1276"/>
      <c r="S66" s="1267">
        <f t="shared" si="15"/>
        <v>0</v>
      </c>
      <c r="T66" s="1276"/>
      <c r="U66" s="1267">
        <f t="shared" si="9"/>
        <v>0</v>
      </c>
      <c r="V66" s="1254"/>
      <c r="W66" s="1256"/>
      <c r="X66" s="1256"/>
    </row>
    <row r="67" spans="1:24" s="1257" customFormat="1" ht="13.8">
      <c r="A67" s="1303" t="s">
        <v>1104</v>
      </c>
      <c r="B67" s="1258" t="s">
        <v>2429</v>
      </c>
      <c r="C67" s="1235">
        <v>49500</v>
      </c>
      <c r="D67" s="1259">
        <v>0</v>
      </c>
      <c r="E67" s="1259">
        <v>0</v>
      </c>
      <c r="F67" s="1235">
        <v>49500</v>
      </c>
      <c r="G67" s="1235">
        <f>C67+D67+E67-F67</f>
        <v>0</v>
      </c>
      <c r="H67" s="1292">
        <v>0</v>
      </c>
      <c r="I67" s="1292">
        <v>0</v>
      </c>
      <c r="J67" s="1292">
        <f>I67-H67</f>
        <v>0</v>
      </c>
      <c r="K67" s="1327">
        <v>0</v>
      </c>
      <c r="L67" s="1327">
        <v>0</v>
      </c>
      <c r="M67" s="1327">
        <v>0</v>
      </c>
      <c r="N67" s="1263"/>
      <c r="O67" s="1264">
        <f>I67/$Q$8</f>
        <v>0</v>
      </c>
      <c r="P67" s="1265"/>
      <c r="Q67" s="1266">
        <v>8321418090</v>
      </c>
      <c r="R67" s="1267">
        <v>1006830</v>
      </c>
      <c r="S67" s="1267">
        <f t="shared" si="15"/>
        <v>1006.83</v>
      </c>
      <c r="T67" s="1267">
        <v>878130</v>
      </c>
      <c r="U67" s="1267">
        <f t="shared" si="9"/>
        <v>878.13</v>
      </c>
      <c r="V67" s="1257">
        <v>2712836</v>
      </c>
      <c r="W67" s="1256"/>
      <c r="X67" s="1256"/>
    </row>
    <row r="68" spans="1:24" s="1257" customFormat="1" ht="13.8">
      <c r="A68" s="1303" t="s">
        <v>1104</v>
      </c>
      <c r="B68" s="1258" t="s">
        <v>2430</v>
      </c>
      <c r="C68" s="1235">
        <v>2013500</v>
      </c>
      <c r="D68" s="1259">
        <v>11760</v>
      </c>
      <c r="E68" s="1259">
        <v>0</v>
      </c>
      <c r="F68" s="1259">
        <v>1334000</v>
      </c>
      <c r="G68" s="1235">
        <f>C68+D68+E68-F68</f>
        <v>691260</v>
      </c>
      <c r="H68" s="1271">
        <f>42457131.1757463/1000</f>
        <v>42457.131175746297</v>
      </c>
      <c r="I68" s="1271">
        <f>27961467/1000</f>
        <v>27961.467000000001</v>
      </c>
      <c r="J68" s="1271">
        <f>I68-H68</f>
        <v>-14495.664175746297</v>
      </c>
      <c r="K68" s="1275">
        <f>I68/$X$40</f>
        <v>2.3671534060966241E-3</v>
      </c>
      <c r="L68" s="1275">
        <f>I68/$X$41</f>
        <v>2.4832065537583347E-3</v>
      </c>
      <c r="M68" s="1275">
        <f>G68*10/Q68</f>
        <v>2.7474601017926695E-3</v>
      </c>
      <c r="N68" s="1263"/>
      <c r="O68" s="1264">
        <f>I68/$Q$8</f>
        <v>2.3671534024894639E-3</v>
      </c>
      <c r="P68" s="1265"/>
      <c r="Q68" s="1266">
        <v>2515996500</v>
      </c>
      <c r="R68" s="1267">
        <v>167727387</v>
      </c>
      <c r="S68" s="1267">
        <f t="shared" si="15"/>
        <v>167727.38699999999</v>
      </c>
      <c r="T68" s="1267">
        <v>142170700</v>
      </c>
      <c r="U68" s="1267">
        <f t="shared" si="9"/>
        <v>142170.70000000001</v>
      </c>
      <c r="W68" s="1256"/>
      <c r="X68" s="1256"/>
    </row>
    <row r="69" spans="1:24" s="1257" customFormat="1" ht="13.8">
      <c r="A69" s="1303"/>
      <c r="B69" s="1258" t="s">
        <v>1040</v>
      </c>
      <c r="C69" s="1235">
        <v>891300</v>
      </c>
      <c r="D69" s="1259">
        <v>0</v>
      </c>
      <c r="E69" s="1259">
        <v>0</v>
      </c>
      <c r="F69" s="1259">
        <v>180700</v>
      </c>
      <c r="G69" s="1235">
        <f>C69+D69+E69-F69</f>
        <v>710600</v>
      </c>
      <c r="H69" s="1271">
        <f>165065212.610793/1000</f>
        <v>165065.21261079301</v>
      </c>
      <c r="I69" s="1271">
        <f>109467930/1000</f>
        <v>109467.93</v>
      </c>
      <c r="J69" s="1271">
        <f>I69-H69</f>
        <v>-55597.282610793016</v>
      </c>
      <c r="K69" s="1275">
        <f>I69/$X$40</f>
        <v>9.2673028692610016E-3</v>
      </c>
      <c r="L69" s="1275">
        <f>I69/$X$41</f>
        <v>9.7216459065741657E-3</v>
      </c>
      <c r="M69" s="1275">
        <f>G69*10/Q69</f>
        <v>5.9269713059855239E-3</v>
      </c>
      <c r="N69" s="1263"/>
      <c r="O69" s="1264">
        <f>I69/$Q$8</f>
        <v>9.267302855139126E-3</v>
      </c>
      <c r="P69" s="1265"/>
      <c r="Q69" s="1266">
        <v>1198926000</v>
      </c>
      <c r="R69" s="1267">
        <v>366049551</v>
      </c>
      <c r="S69" s="1267">
        <f t="shared" si="15"/>
        <v>366049.55099999998</v>
      </c>
      <c r="T69" s="1267">
        <v>239293626</v>
      </c>
      <c r="U69" s="1267">
        <f t="shared" si="9"/>
        <v>239293.62599999999</v>
      </c>
      <c r="W69" s="1256"/>
      <c r="X69" s="1256"/>
    </row>
    <row r="70" spans="1:24" s="1257" customFormat="1" ht="13.8">
      <c r="A70" s="1247"/>
      <c r="B70" s="1258" t="s">
        <v>1167</v>
      </c>
      <c r="C70" s="1259">
        <v>2781</v>
      </c>
      <c r="D70" s="1259">
        <v>0</v>
      </c>
      <c r="E70" s="1259">
        <v>0</v>
      </c>
      <c r="F70" s="1259">
        <v>2781</v>
      </c>
      <c r="G70" s="1235">
        <f>C70+D70+E70-F70</f>
        <v>0</v>
      </c>
      <c r="H70" s="1296">
        <v>0</v>
      </c>
      <c r="I70" s="1296">
        <v>0</v>
      </c>
      <c r="J70" s="1296">
        <f>I70-H70</f>
        <v>0</v>
      </c>
      <c r="K70" s="1328">
        <v>0</v>
      </c>
      <c r="L70" s="1328">
        <v>0</v>
      </c>
      <c r="M70" s="1328">
        <v>0</v>
      </c>
      <c r="N70" s="1263"/>
      <c r="O70" s="1264">
        <f>I70/$Q$8</f>
        <v>0</v>
      </c>
      <c r="P70" s="1265"/>
      <c r="Q70" s="1266">
        <v>1312212400</v>
      </c>
      <c r="R70" s="1267">
        <v>82669</v>
      </c>
      <c r="S70" s="1267">
        <f t="shared" si="15"/>
        <v>82.668999999999997</v>
      </c>
      <c r="T70" s="1267">
        <v>47110</v>
      </c>
      <c r="U70" s="1267">
        <f t="shared" si="9"/>
        <v>47.11</v>
      </c>
      <c r="V70" s="1254">
        <v>1198926</v>
      </c>
      <c r="W70" s="1256"/>
      <c r="X70" s="1256"/>
    </row>
    <row r="71" spans="1:24" s="1257" customFormat="1" ht="13.8">
      <c r="A71" s="1247"/>
      <c r="B71" s="1258"/>
      <c r="C71" s="1300"/>
      <c r="D71" s="1259"/>
      <c r="E71" s="1259"/>
      <c r="F71" s="1259"/>
      <c r="G71" s="1259"/>
      <c r="H71" s="1259">
        <f>ROUND(SUM(H67:H70),0)</f>
        <v>207522</v>
      </c>
      <c r="I71" s="1235">
        <f>ROUND(SUM(I67:I70),0)</f>
        <v>137429</v>
      </c>
      <c r="J71" s="1235">
        <f>ROUND(SUM(J67:J70),0)</f>
        <v>-70093</v>
      </c>
      <c r="K71" s="1326">
        <f>SUM(K67:K70)</f>
        <v>1.1634456275357625E-2</v>
      </c>
      <c r="L71" s="1326">
        <f>SUM(L67:L70)</f>
        <v>1.22048524603325E-2</v>
      </c>
      <c r="M71" s="1326"/>
      <c r="N71" s="1329"/>
      <c r="O71" s="1264">
        <f>I71/$Q$8</f>
        <v>1.1634422648522859E-2</v>
      </c>
      <c r="P71" s="1265"/>
      <c r="Q71" s="1253"/>
      <c r="R71" s="1238"/>
      <c r="S71" s="1267">
        <f t="shared" si="15"/>
        <v>0</v>
      </c>
      <c r="T71" s="1238"/>
      <c r="U71" s="1267">
        <f t="shared" si="9"/>
        <v>0</v>
      </c>
      <c r="V71" s="1254"/>
      <c r="W71" s="1256"/>
      <c r="X71" s="1256"/>
    </row>
    <row r="72" spans="1:24" s="1257" customFormat="1" ht="13.8">
      <c r="A72" s="1247"/>
      <c r="B72" s="1248" t="s">
        <v>1041</v>
      </c>
      <c r="C72" s="1300"/>
      <c r="D72" s="1259"/>
      <c r="E72" s="1259"/>
      <c r="F72" s="1259"/>
      <c r="G72" s="1259"/>
      <c r="H72" s="1259"/>
      <c r="I72" s="1235"/>
      <c r="J72" s="1235"/>
      <c r="K72" s="1326"/>
      <c r="L72" s="1326"/>
      <c r="M72" s="1326"/>
      <c r="N72" s="1329"/>
      <c r="O72" s="1329"/>
      <c r="P72" s="1329"/>
      <c r="Q72" s="1253"/>
      <c r="R72" s="1238"/>
      <c r="S72" s="1267">
        <f t="shared" si="15"/>
        <v>0</v>
      </c>
      <c r="T72" s="1238"/>
      <c r="U72" s="1267">
        <f t="shared" si="9"/>
        <v>0</v>
      </c>
      <c r="V72" s="1254"/>
      <c r="W72" s="1256"/>
      <c r="X72" s="1256"/>
    </row>
    <row r="73" spans="1:24" s="1257" customFormat="1" ht="13.8">
      <c r="A73" s="1247"/>
      <c r="B73" s="1258" t="s">
        <v>1042</v>
      </c>
      <c r="C73" s="1235">
        <v>1048500</v>
      </c>
      <c r="D73" s="1259">
        <v>845800</v>
      </c>
      <c r="E73" s="1259">
        <v>0</v>
      </c>
      <c r="F73" s="1259">
        <v>634000</v>
      </c>
      <c r="G73" s="1259">
        <f>C73+D73+E73-F73</f>
        <v>1260300</v>
      </c>
      <c r="H73" s="1260">
        <f>397769548.43298/1000</f>
        <v>397769.54843298002</v>
      </c>
      <c r="I73" s="1260">
        <f>366848124/1000</f>
        <v>366848.12400000001</v>
      </c>
      <c r="J73" s="1260">
        <f>I73-H73</f>
        <v>-30921.424432980013</v>
      </c>
      <c r="K73" s="1294">
        <f>I73/$X$40</f>
        <v>3.105651739398211E-2</v>
      </c>
      <c r="L73" s="1294">
        <f>I73/$X$41</f>
        <v>3.2579108447734532E-2</v>
      </c>
      <c r="M73" s="1295">
        <f>G73*10/Q73</f>
        <v>2.4061410492941895E-3</v>
      </c>
      <c r="N73" s="1331"/>
      <c r="O73" s="1264">
        <f>I73/$Q$8</f>
        <v>3.1056517346656983E-2</v>
      </c>
      <c r="P73" s="1265"/>
      <c r="Q73" s="1266">
        <v>5237847550</v>
      </c>
      <c r="R73" s="1332">
        <v>427317975</v>
      </c>
      <c r="S73" s="1267">
        <f t="shared" si="15"/>
        <v>427317.97499999998</v>
      </c>
      <c r="T73" s="1332">
        <v>422400650</v>
      </c>
      <c r="U73" s="1267">
        <f t="shared" si="9"/>
        <v>422400.65</v>
      </c>
      <c r="V73" s="1257">
        <v>5237847</v>
      </c>
      <c r="W73" s="1255"/>
      <c r="X73" s="1256"/>
    </row>
    <row r="74" spans="1:24" s="1257" customFormat="1" ht="13.8">
      <c r="A74" s="1247"/>
      <c r="B74" s="1258" t="s">
        <v>2440</v>
      </c>
      <c r="C74" s="1259">
        <v>4113000</v>
      </c>
      <c r="D74" s="1259">
        <v>3251000</v>
      </c>
      <c r="E74" s="1259">
        <v>0</v>
      </c>
      <c r="F74" s="1259">
        <v>2767500</v>
      </c>
      <c r="G74" s="1259">
        <f>C74+D74+E74-F74</f>
        <v>4596500</v>
      </c>
      <c r="H74" s="1271">
        <f>347467046.389256/1000</f>
        <v>347467.04638925602</v>
      </c>
      <c r="I74" s="1271">
        <f>317388325/1000</f>
        <v>317388.32500000001</v>
      </c>
      <c r="J74" s="1271">
        <f>I74-H74</f>
        <v>-30078.72138925601</v>
      </c>
      <c r="K74" s="1275">
        <f>I74/$X$40</f>
        <v>2.6869364707475911E-2</v>
      </c>
      <c r="L74" s="1275">
        <f>I74/$X$41</f>
        <v>2.818667449481032E-2</v>
      </c>
      <c r="M74" s="1356">
        <f>G74*10/Q74</f>
        <v>3.4422992222249787E-3</v>
      </c>
      <c r="N74" s="1263"/>
      <c r="O74" s="1264">
        <f>I74/$Q$8</f>
        <v>2.686936466653133E-2</v>
      </c>
      <c r="P74" s="1265"/>
      <c r="Q74" s="1266">
        <v>13352993750</v>
      </c>
      <c r="R74" s="1267">
        <v>137206504</v>
      </c>
      <c r="S74" s="1267">
        <f t="shared" si="15"/>
        <v>137206.50399999999</v>
      </c>
      <c r="T74" s="1267">
        <v>145902740</v>
      </c>
      <c r="U74" s="1267">
        <f t="shared" si="9"/>
        <v>145902.74</v>
      </c>
      <c r="V74" s="1254">
        <v>13309323</v>
      </c>
      <c r="W74" s="1255"/>
      <c r="X74" s="1256"/>
    </row>
    <row r="75" spans="1:24" s="1257" customFormat="1" ht="13.8">
      <c r="A75" s="1247"/>
      <c r="B75" s="1257" t="s">
        <v>479</v>
      </c>
      <c r="C75" s="1259">
        <v>3777500</v>
      </c>
      <c r="D75" s="1259">
        <v>1694000</v>
      </c>
      <c r="E75" s="1259">
        <v>0</v>
      </c>
      <c r="F75" s="1259">
        <v>4497000</v>
      </c>
      <c r="G75" s="1259">
        <f>C75+D75+E75-F75</f>
        <v>974500</v>
      </c>
      <c r="H75" s="1271">
        <f>89129353.75/1000</f>
        <v>89129.353749999995</v>
      </c>
      <c r="I75" s="1271">
        <f>90482325/1000</f>
        <v>90482.324999999997</v>
      </c>
      <c r="J75" s="1271">
        <f>I75-H75</f>
        <v>1352.9712500000023</v>
      </c>
      <c r="K75" s="1273">
        <f>ROUND(I75/$X$40,2)</f>
        <v>0.01</v>
      </c>
      <c r="L75" s="1273">
        <f>ROUND(I75/$X$41,2)</f>
        <v>0.01</v>
      </c>
      <c r="M75" s="1405">
        <v>0</v>
      </c>
      <c r="N75" s="1331"/>
      <c r="O75" s="1264">
        <f>I75/$Q$8</f>
        <v>7.6600252586499652E-3</v>
      </c>
      <c r="P75" s="1265"/>
      <c r="Q75" s="1266">
        <v>12722381470</v>
      </c>
      <c r="R75" s="1332">
        <v>0</v>
      </c>
      <c r="S75" s="1267">
        <f t="shared" si="15"/>
        <v>0</v>
      </c>
      <c r="T75" s="1332">
        <v>0</v>
      </c>
      <c r="U75" s="1267">
        <f t="shared" si="9"/>
        <v>0</v>
      </c>
      <c r="V75" s="1254">
        <v>21000000</v>
      </c>
      <c r="W75" s="1256"/>
      <c r="X75" s="1256"/>
    </row>
    <row r="76" spans="1:24" s="1257" customFormat="1" ht="13.8">
      <c r="A76" s="1247"/>
      <c r="B76" s="1257" t="s">
        <v>2489</v>
      </c>
      <c r="C76" s="1259">
        <v>0</v>
      </c>
      <c r="D76" s="1259">
        <v>4548500</v>
      </c>
      <c r="E76" s="1259"/>
      <c r="F76" s="1259">
        <v>0</v>
      </c>
      <c r="G76" s="1259">
        <f>C76+D76+E76-F76</f>
        <v>4548500</v>
      </c>
      <c r="H76" s="1277">
        <f>156620774.853/1000</f>
        <v>156620.77485299998</v>
      </c>
      <c r="I76" s="1277">
        <f>165883795/1000</f>
        <v>165883.79500000001</v>
      </c>
      <c r="J76" s="1277">
        <f>I76-H76</f>
        <v>9263.020147000032</v>
      </c>
      <c r="K76" s="1298">
        <f>ROUND(I76/$X$40,2)</f>
        <v>0.01</v>
      </c>
      <c r="L76" s="1298">
        <f>ROUND(I76/$X$41,2)</f>
        <v>0.01</v>
      </c>
      <c r="M76" s="1406">
        <v>0</v>
      </c>
      <c r="N76" s="1331"/>
      <c r="O76" s="1264">
        <f>I76/$Q$8</f>
        <v>1.4043340063384898E-2</v>
      </c>
      <c r="P76" s="1265"/>
      <c r="Q76" s="1266"/>
      <c r="R76" s="1332">
        <v>0</v>
      </c>
      <c r="S76" s="1267">
        <f>R76/1000</f>
        <v>0</v>
      </c>
      <c r="T76" s="1332">
        <v>0</v>
      </c>
      <c r="U76" s="1267">
        <f>T76/1000</f>
        <v>0</v>
      </c>
      <c r="V76" s="1254"/>
      <c r="W76" s="1256"/>
      <c r="X76" s="1256"/>
    </row>
    <row r="77" spans="1:24" s="1257" customFormat="1" ht="13.8">
      <c r="A77" s="1247"/>
      <c r="C77" s="1300"/>
      <c r="D77" s="1259"/>
      <c r="E77" s="1259"/>
      <c r="F77" s="1259"/>
      <c r="G77" s="1259"/>
      <c r="H77" s="1259">
        <f>ROUND(SUM(H73:H76),0)</f>
        <v>990987</v>
      </c>
      <c r="I77" s="1235">
        <f>ROUND(SUM(I73:I76),0)</f>
        <v>940603</v>
      </c>
      <c r="J77" s="1235">
        <f>ROUND(SUM(J73:J76),0)</f>
        <v>-50384</v>
      </c>
      <c r="K77" s="1326">
        <f>SUM(K73:K75)</f>
        <v>6.7925882101458016E-2</v>
      </c>
      <c r="L77" s="1326">
        <f>SUM(L73:L75)</f>
        <v>7.0765782942544847E-2</v>
      </c>
      <c r="M77" s="1326"/>
      <c r="N77" s="1329"/>
      <c r="O77" s="1264">
        <f>I77/$Q$8</f>
        <v>7.9629283822690605E-2</v>
      </c>
      <c r="P77" s="1265"/>
      <c r="Q77" s="1253"/>
      <c r="R77" s="1306"/>
      <c r="S77" s="1267">
        <f t="shared" si="15"/>
        <v>0</v>
      </c>
      <c r="T77" s="1306"/>
      <c r="U77" s="1267">
        <f t="shared" si="9"/>
        <v>0</v>
      </c>
      <c r="V77" s="1254"/>
      <c r="W77" s="1256"/>
      <c r="X77" s="1256"/>
    </row>
    <row r="78" spans="1:24" s="1257" customFormat="1" ht="13.8">
      <c r="A78" s="1247"/>
      <c r="B78" s="1248" t="s">
        <v>2494</v>
      </c>
      <c r="C78" s="1300"/>
      <c r="D78" s="1259"/>
      <c r="E78" s="1259"/>
      <c r="F78" s="1259"/>
      <c r="G78" s="1259"/>
      <c r="H78" s="1259"/>
      <c r="I78" s="1235"/>
      <c r="J78" s="1235"/>
      <c r="K78" s="1326"/>
      <c r="L78" s="1326"/>
      <c r="M78" s="1326"/>
      <c r="N78" s="1329"/>
      <c r="O78" s="1329"/>
      <c r="P78" s="1329"/>
      <c r="Q78" s="1253"/>
      <c r="R78" s="1238"/>
      <c r="S78" s="1267">
        <f>R78/1000</f>
        <v>0</v>
      </c>
      <c r="T78" s="1238"/>
      <c r="U78" s="1267">
        <f>T78/1000</f>
        <v>0</v>
      </c>
      <c r="V78" s="1254"/>
      <c r="W78" s="1256"/>
      <c r="X78" s="1256"/>
    </row>
    <row r="79" spans="1:24" s="1257" customFormat="1" ht="13.8">
      <c r="A79" s="1247"/>
      <c r="B79" s="1258" t="s">
        <v>2493</v>
      </c>
      <c r="C79" s="1235">
        <v>0</v>
      </c>
      <c r="D79" s="1259">
        <v>23455</v>
      </c>
      <c r="E79" s="1259">
        <v>0</v>
      </c>
      <c r="F79" s="1259">
        <v>0</v>
      </c>
      <c r="G79" s="1259">
        <f>C79+D79+E79-F79</f>
        <v>23455</v>
      </c>
      <c r="H79" s="1260">
        <f>643973.752/1000</f>
        <v>643.97375199999999</v>
      </c>
      <c r="I79" s="1260">
        <f>561278.15/1000</f>
        <v>561.27814999999998</v>
      </c>
      <c r="J79" s="1260">
        <f>I79-H79</f>
        <v>-82.695602000000008</v>
      </c>
      <c r="K79" s="1294">
        <f>I79/$X$40</f>
        <v>4.7516515658499316E-5</v>
      </c>
      <c r="L79" s="1294">
        <f>I79/$X$41</f>
        <v>4.9846082130145523E-5</v>
      </c>
      <c r="M79" s="1295">
        <f>G79*10/Q79</f>
        <v>4.4779844728394207E-5</v>
      </c>
      <c r="N79" s="1331"/>
      <c r="O79" s="1264">
        <f>I79/$Q$8</f>
        <v>4.7516515586091803E-5</v>
      </c>
      <c r="P79" s="1265"/>
      <c r="Q79" s="1266">
        <v>5237847550</v>
      </c>
      <c r="R79" s="1332">
        <v>427317975</v>
      </c>
      <c r="S79" s="1267">
        <f>R79/1000</f>
        <v>427317.97499999998</v>
      </c>
      <c r="T79" s="1332">
        <v>422400650</v>
      </c>
      <c r="U79" s="1267">
        <f>T79/1000</f>
        <v>422400.65</v>
      </c>
      <c r="V79" s="1257">
        <v>5237847</v>
      </c>
      <c r="W79" s="1256"/>
      <c r="X79" s="1256"/>
    </row>
    <row r="80" spans="1:24" s="1257" customFormat="1" ht="13.8">
      <c r="A80" s="1247"/>
      <c r="B80" s="1258" t="s">
        <v>2209</v>
      </c>
      <c r="C80" s="1259">
        <v>205000</v>
      </c>
      <c r="D80" s="1259">
        <v>41000</v>
      </c>
      <c r="E80" s="1259">
        <v>0</v>
      </c>
      <c r="F80" s="1259">
        <v>0</v>
      </c>
      <c r="G80" s="1259">
        <f>C80+D80+E80-F80</f>
        <v>246000</v>
      </c>
      <c r="H80" s="1271">
        <f>58425000/1000</f>
        <v>58425</v>
      </c>
      <c r="I80" s="1271">
        <f>48093000/1000</f>
        <v>48093</v>
      </c>
      <c r="J80" s="1271">
        <f>I80-H80</f>
        <v>-10332</v>
      </c>
      <c r="K80" s="1275">
        <f>I80/$X$40</f>
        <v>4.071442630653282E-3</v>
      </c>
      <c r="L80" s="1275">
        <f>I80/$X$41</f>
        <v>4.2710510428476305E-3</v>
      </c>
      <c r="M80" s="1356">
        <f>G80*10/Q80</f>
        <v>1.8422834954146517E-4</v>
      </c>
      <c r="N80" s="1263"/>
      <c r="O80" s="1264">
        <f>I80/$Q$8</f>
        <v>4.0714426244490599E-3</v>
      </c>
      <c r="P80" s="1265"/>
      <c r="Q80" s="1266">
        <v>13352993750</v>
      </c>
      <c r="R80" s="1267">
        <v>137206504</v>
      </c>
      <c r="S80" s="1267">
        <f>R80/1000</f>
        <v>137206.50399999999</v>
      </c>
      <c r="T80" s="1267">
        <v>145902740</v>
      </c>
      <c r="U80" s="1267">
        <f>T80/1000</f>
        <v>145902.74</v>
      </c>
      <c r="V80" s="1254">
        <v>13309323</v>
      </c>
      <c r="W80" s="1256"/>
      <c r="X80" s="1256"/>
    </row>
    <row r="81" spans="1:24" s="1257" customFormat="1" ht="13.8">
      <c r="A81" s="1247"/>
      <c r="B81" s="1257" t="s">
        <v>2203</v>
      </c>
      <c r="C81" s="1259">
        <v>3033</v>
      </c>
      <c r="D81" s="1259"/>
      <c r="E81" s="1259">
        <v>0</v>
      </c>
      <c r="F81" s="1259">
        <v>0</v>
      </c>
      <c r="G81" s="1259">
        <f>C81+D81+E81-F81</f>
        <v>3033</v>
      </c>
      <c r="H81" s="1277">
        <f>34879997.412/1000</f>
        <v>34879.997411999997</v>
      </c>
      <c r="I81" s="1277">
        <f>27297000/1000</f>
        <v>27297</v>
      </c>
      <c r="J81" s="1277">
        <f>I81-H81</f>
        <v>-7582.997411999997</v>
      </c>
      <c r="K81" s="1298">
        <f>ROUND(I81/$X$40,2)</f>
        <v>0</v>
      </c>
      <c r="L81" s="1298">
        <f>ROUND(I81/$X$41,2)</f>
        <v>0</v>
      </c>
      <c r="M81" s="1406">
        <v>0</v>
      </c>
      <c r="N81" s="1331"/>
      <c r="O81" s="1264">
        <f>I81/$Q$8</f>
        <v>2.3109011565006546E-3</v>
      </c>
      <c r="P81" s="1265"/>
      <c r="Q81" s="1266">
        <v>12722381470</v>
      </c>
      <c r="R81" s="1332">
        <v>0</v>
      </c>
      <c r="S81" s="1267">
        <f>R81/1000</f>
        <v>0</v>
      </c>
      <c r="T81" s="1332">
        <v>0</v>
      </c>
      <c r="U81" s="1267">
        <f>T81/1000</f>
        <v>0</v>
      </c>
      <c r="V81" s="1254">
        <v>21000000</v>
      </c>
      <c r="W81" s="1256"/>
      <c r="X81" s="1256"/>
    </row>
    <row r="82" spans="1:24" s="1257" customFormat="1" ht="13.8">
      <c r="A82" s="1247"/>
      <c r="C82" s="1300"/>
      <c r="D82" s="1259"/>
      <c r="E82" s="1259"/>
      <c r="F82" s="1259"/>
      <c r="G82" s="1259"/>
      <c r="H82" s="1259">
        <f t="shared" ref="H82:M82" si="17">SUM(H79:H81)</f>
        <v>93948.971163999988</v>
      </c>
      <c r="I82" s="1259">
        <f t="shared" si="17"/>
        <v>75951.278149999998</v>
      </c>
      <c r="J82" s="1259">
        <f t="shared" si="17"/>
        <v>-17997.693013999997</v>
      </c>
      <c r="K82" s="1259">
        <f t="shared" si="17"/>
        <v>4.1189591463117814E-3</v>
      </c>
      <c r="L82" s="1259">
        <f t="shared" si="17"/>
        <v>4.3208971249777762E-3</v>
      </c>
      <c r="M82" s="1259">
        <f t="shared" si="17"/>
        <v>2.2900819426985937E-4</v>
      </c>
      <c r="N82" s="1329"/>
      <c r="O82" s="1264"/>
      <c r="P82" s="1265"/>
      <c r="Q82" s="1253"/>
      <c r="R82" s="1306"/>
      <c r="S82" s="1267"/>
      <c r="T82" s="1306"/>
      <c r="U82" s="1267"/>
      <c r="V82" s="1254"/>
      <c r="W82" s="1256"/>
      <c r="X82" s="1256"/>
    </row>
    <row r="83" spans="1:24" s="1257" customFormat="1" ht="13.8">
      <c r="A83" s="1247"/>
      <c r="B83" s="1248" t="s">
        <v>1065</v>
      </c>
      <c r="C83" s="1300"/>
      <c r="D83" s="1259"/>
      <c r="E83" s="1259"/>
      <c r="F83" s="1259"/>
      <c r="G83" s="1259"/>
      <c r="H83" s="1259"/>
      <c r="I83" s="1235"/>
      <c r="J83" s="1235"/>
      <c r="K83" s="1326"/>
      <c r="L83" s="1326"/>
      <c r="M83" s="1326"/>
      <c r="N83" s="1329"/>
      <c r="O83" s="1329"/>
      <c r="P83" s="1329"/>
      <c r="Q83" s="1253"/>
      <c r="R83" s="1238"/>
      <c r="S83" s="1267">
        <f t="shared" si="15"/>
        <v>0</v>
      </c>
      <c r="T83" s="1238"/>
      <c r="U83" s="1267">
        <f t="shared" si="9"/>
        <v>0</v>
      </c>
      <c r="V83" s="1254"/>
      <c r="W83" s="1256"/>
      <c r="X83" s="1256"/>
    </row>
    <row r="84" spans="1:24" s="1257" customFormat="1" ht="13.8">
      <c r="A84" s="1247"/>
      <c r="B84" s="1258" t="s">
        <v>2247</v>
      </c>
      <c r="C84" s="1235">
        <v>403400</v>
      </c>
      <c r="D84" s="1259">
        <v>0</v>
      </c>
      <c r="E84" s="1259">
        <v>0</v>
      </c>
      <c r="F84" s="1259">
        <v>159200</v>
      </c>
      <c r="G84" s="1259">
        <f>C84+D84+E84-F84</f>
        <v>244200</v>
      </c>
      <c r="H84" s="1335">
        <f>26168263.7580565/1000</f>
        <v>26168.263758056499</v>
      </c>
      <c r="I84" s="1335">
        <f>21291798/1000</f>
        <v>21291.797999999999</v>
      </c>
      <c r="J84" s="1335">
        <f>I84-H84</f>
        <v>-4876.4657580564999</v>
      </c>
      <c r="K84" s="1289">
        <f>I84/$X$40</f>
        <v>1.8025145875794459E-3</v>
      </c>
      <c r="L84" s="1289">
        <f>I84/$X$41</f>
        <v>1.890885493772505E-3</v>
      </c>
      <c r="M84" s="1336">
        <f>G84*10/Q84</f>
        <v>3.3243486073674753E-3</v>
      </c>
      <c r="N84" s="1331"/>
      <c r="O84" s="1264">
        <f>I84/$Q$8</f>
        <v>1.8025145848327043E-3</v>
      </c>
      <c r="P84" s="1265"/>
      <c r="Q84" s="1266">
        <v>734580000</v>
      </c>
      <c r="R84" s="1332">
        <v>74641164</v>
      </c>
      <c r="S84" s="1267">
        <f t="shared" si="15"/>
        <v>74641.164000000004</v>
      </c>
      <c r="T84" s="1332">
        <v>64013761</v>
      </c>
      <c r="U84" s="1267">
        <f t="shared" si="9"/>
        <v>64013.760999999999</v>
      </c>
      <c r="V84" s="1254"/>
      <c r="W84" s="1256"/>
      <c r="X84" s="1256"/>
    </row>
    <row r="85" spans="1:24" s="1257" customFormat="1" ht="13.8">
      <c r="A85" s="1247"/>
      <c r="C85" s="1300"/>
      <c r="D85" s="1259"/>
      <c r="E85" s="1259"/>
      <c r="F85" s="1259"/>
      <c r="G85" s="1259"/>
      <c r="H85" s="1259">
        <f>SUM(H84)</f>
        <v>26168.263758056499</v>
      </c>
      <c r="I85" s="1259">
        <f>SUM(I84:I84)</f>
        <v>21291.797999999999</v>
      </c>
      <c r="J85" s="1259">
        <f>ROUND(SUM(J84:J84),0)</f>
        <v>-4876</v>
      </c>
      <c r="K85" s="1264">
        <f>SUM(K84:K84)</f>
        <v>1.8025145875794459E-3</v>
      </c>
      <c r="L85" s="1264">
        <f>SUM(L84:L84)</f>
        <v>1.890885493772505E-3</v>
      </c>
      <c r="M85" s="1326"/>
      <c r="N85" s="1329"/>
      <c r="O85" s="1264">
        <f>I85/$Q$8</f>
        <v>1.8025145848327043E-3</v>
      </c>
      <c r="P85" s="1265"/>
      <c r="Q85" s="1253"/>
      <c r="R85" s="1306"/>
      <c r="S85" s="1267"/>
      <c r="T85" s="1306"/>
      <c r="U85" s="1267"/>
      <c r="V85" s="1254"/>
      <c r="W85" s="1256"/>
      <c r="X85" s="1256"/>
    </row>
    <row r="86" spans="1:24" s="1257" customFormat="1" ht="13.8">
      <c r="A86" s="1247"/>
      <c r="B86" s="1248" t="s">
        <v>1043</v>
      </c>
      <c r="C86" s="1259"/>
      <c r="D86" s="1235"/>
      <c r="E86" s="1300"/>
      <c r="F86" s="1300"/>
      <c r="G86" s="1259"/>
      <c r="H86" s="1259"/>
      <c r="I86" s="1259"/>
      <c r="J86" s="1259"/>
      <c r="K86" s="1264"/>
      <c r="L86" s="1264"/>
      <c r="M86" s="1337"/>
      <c r="N86" s="1338"/>
      <c r="O86" s="1338"/>
      <c r="P86" s="1338"/>
      <c r="Q86" s="1243"/>
      <c r="R86" s="1339"/>
      <c r="S86" s="1267">
        <f t="shared" ref="S86:S117" si="18">R86/1000</f>
        <v>0</v>
      </c>
      <c r="T86" s="1339"/>
      <c r="U86" s="1267">
        <f t="shared" ref="U86:U117" si="19">T86/1000</f>
        <v>0</v>
      </c>
      <c r="V86" s="1340"/>
      <c r="X86" s="1256"/>
    </row>
    <row r="87" spans="1:24" s="1257" customFormat="1" ht="13.8">
      <c r="A87" s="1247"/>
      <c r="B87" s="1258" t="s">
        <v>1169</v>
      </c>
      <c r="C87" s="1259">
        <v>2157000</v>
      </c>
      <c r="D87" s="1235">
        <v>0</v>
      </c>
      <c r="E87" s="1300">
        <v>0</v>
      </c>
      <c r="F87" s="1259">
        <v>0</v>
      </c>
      <c r="G87" s="1259">
        <f>C87+D87+E87-F87</f>
        <v>2157000</v>
      </c>
      <c r="H87" s="1330">
        <f>70922000/1000</f>
        <v>70922</v>
      </c>
      <c r="I87" s="1341">
        <f>74847900/1000</f>
        <v>74847.899999999994</v>
      </c>
      <c r="J87" s="1341">
        <f>I87-H87</f>
        <v>3925.8999999999942</v>
      </c>
      <c r="K87" s="1294">
        <f>I87/$X$40</f>
        <v>6.336450853032121E-3</v>
      </c>
      <c r="L87" s="1295">
        <f>I87/$X$41</f>
        <v>6.6471045963020633E-3</v>
      </c>
      <c r="M87" s="1342">
        <f>G87*10/Q87</f>
        <v>7.1900000000000002E-3</v>
      </c>
      <c r="N87" s="1331"/>
      <c r="O87" s="1264">
        <f>I87/$Q$8</f>
        <v>6.3364508433763908E-3</v>
      </c>
      <c r="P87" s="1265"/>
      <c r="Q87" s="1266">
        <v>3000000000</v>
      </c>
      <c r="R87" s="1343">
        <v>108891460</v>
      </c>
      <c r="S87" s="1267">
        <f t="shared" si="18"/>
        <v>108891.46</v>
      </c>
      <c r="T87" s="1343">
        <v>96719185</v>
      </c>
      <c r="U87" s="1267">
        <f t="shared" si="19"/>
        <v>96719.184999999998</v>
      </c>
      <c r="V87" s="1340"/>
      <c r="X87" s="1256"/>
    </row>
    <row r="88" spans="1:24" s="1257" customFormat="1" ht="13.8">
      <c r="A88" s="1303" t="s">
        <v>1104</v>
      </c>
      <c r="B88" s="1322" t="s">
        <v>2431</v>
      </c>
      <c r="C88" s="1259">
        <v>809500</v>
      </c>
      <c r="D88" s="1259">
        <v>0</v>
      </c>
      <c r="E88" s="1259">
        <v>0</v>
      </c>
      <c r="F88" s="1259">
        <v>809500</v>
      </c>
      <c r="G88" s="1259">
        <f>C88+D88+E88-F88</f>
        <v>0</v>
      </c>
      <c r="H88" s="1334">
        <v>0</v>
      </c>
      <c r="I88" s="1344">
        <v>0</v>
      </c>
      <c r="J88" s="1344">
        <f>I88-H88</f>
        <v>0</v>
      </c>
      <c r="K88" s="1279">
        <f>I88/$X$40</f>
        <v>0</v>
      </c>
      <c r="L88" s="1315">
        <f>I88/$X$41</f>
        <v>0</v>
      </c>
      <c r="M88" s="1345">
        <f>G88*10/Q88</f>
        <v>0</v>
      </c>
      <c r="N88" s="1331"/>
      <c r="O88" s="1264">
        <f>I88/$Q$8</f>
        <v>0</v>
      </c>
      <c r="P88" s="1265"/>
      <c r="Q88" s="1266">
        <v>3500000000</v>
      </c>
      <c r="R88" s="1346">
        <v>110340860</v>
      </c>
      <c r="S88" s="1267">
        <f t="shared" si="18"/>
        <v>110340.86</v>
      </c>
      <c r="T88" s="1346">
        <v>84009505</v>
      </c>
      <c r="U88" s="1267">
        <f t="shared" si="19"/>
        <v>84009.505000000005</v>
      </c>
      <c r="V88" s="1347"/>
      <c r="W88" s="1256"/>
      <c r="X88" s="1256"/>
    </row>
    <row r="89" spans="1:24" s="1257" customFormat="1" ht="13.8">
      <c r="A89" s="1247"/>
      <c r="B89" s="1348"/>
      <c r="C89" s="1235"/>
      <c r="D89" s="1235"/>
      <c r="E89" s="1235"/>
      <c r="F89" s="1235"/>
      <c r="G89" s="1235"/>
      <c r="H89" s="1235">
        <f>ROUND(SUM(H87:H88),0)</f>
        <v>70922</v>
      </c>
      <c r="I89" s="1235">
        <f>SUM(I87:I88)</f>
        <v>74847.899999999994</v>
      </c>
      <c r="J89" s="1235">
        <f>ROUND(SUM(J87:J88),0)</f>
        <v>3926</v>
      </c>
      <c r="K89" s="1326">
        <f>SUM(K87:K88)</f>
        <v>6.336450853032121E-3</v>
      </c>
      <c r="L89" s="1326">
        <f>SUM(L87:L88)</f>
        <v>6.6471045963020633E-3</v>
      </c>
      <c r="M89" s="1264"/>
      <c r="N89" s="1263"/>
      <c r="O89" s="1264">
        <f>I89/$Q$8</f>
        <v>6.3364508433763908E-3</v>
      </c>
      <c r="P89" s="1265"/>
      <c r="Q89" s="1266"/>
      <c r="R89" s="1276"/>
      <c r="S89" s="1267">
        <f t="shared" si="18"/>
        <v>0</v>
      </c>
      <c r="T89" s="1276"/>
      <c r="U89" s="1267">
        <f t="shared" si="19"/>
        <v>0</v>
      </c>
      <c r="V89" s="1340"/>
      <c r="X89" s="1256"/>
    </row>
    <row r="90" spans="1:24" s="1257" customFormat="1" ht="12.75" hidden="1" customHeight="1">
      <c r="A90" s="1247"/>
      <c r="B90" s="1317" t="s">
        <v>1044</v>
      </c>
      <c r="C90" s="1235"/>
      <c r="D90" s="1259"/>
      <c r="E90" s="1259"/>
      <c r="F90" s="1259"/>
      <c r="G90" s="1259"/>
      <c r="H90" s="1259"/>
      <c r="I90" s="1259"/>
      <c r="J90" s="1259"/>
      <c r="K90" s="1313"/>
      <c r="L90" s="1314"/>
      <c r="M90" s="1263"/>
      <c r="N90" s="1263"/>
      <c r="O90" s="1263"/>
      <c r="P90" s="1263"/>
      <c r="Q90" s="1266"/>
      <c r="R90" s="1276"/>
      <c r="S90" s="1267">
        <f t="shared" si="18"/>
        <v>0</v>
      </c>
      <c r="T90" s="1276"/>
      <c r="U90" s="1267">
        <f t="shared" si="19"/>
        <v>0</v>
      </c>
      <c r="V90" s="1347"/>
      <c r="W90" s="1255"/>
      <c r="X90" s="1256"/>
    </row>
    <row r="91" spans="1:24" s="1257" customFormat="1" ht="12.75" hidden="1" customHeight="1">
      <c r="A91" s="1303" t="s">
        <v>1104</v>
      </c>
      <c r="B91" s="1349" t="s">
        <v>2432</v>
      </c>
      <c r="C91" s="1259">
        <v>0</v>
      </c>
      <c r="D91" s="1259">
        <v>0</v>
      </c>
      <c r="E91" s="1259">
        <v>0</v>
      </c>
      <c r="F91" s="1259">
        <v>0</v>
      </c>
      <c r="G91" s="1235">
        <f>C91+D91+E91-F91</f>
        <v>0</v>
      </c>
      <c r="H91" s="1286">
        <v>0</v>
      </c>
      <c r="I91" s="1286">
        <v>0</v>
      </c>
      <c r="J91" s="1286">
        <f>I91-H91</f>
        <v>0</v>
      </c>
      <c r="K91" s="1350">
        <f>ROUND(I91/$X$40,2)</f>
        <v>0</v>
      </c>
      <c r="L91" s="1350">
        <f>ROUND(I91/$X$41,2)</f>
        <v>0</v>
      </c>
      <c r="M91" s="1351" t="e">
        <f>G91*10/Q91</f>
        <v>#DIV/0!</v>
      </c>
      <c r="N91" s="1263"/>
      <c r="O91" s="1265">
        <f>I91/$Q$8</f>
        <v>0</v>
      </c>
      <c r="P91" s="1265"/>
      <c r="Q91" s="1266">
        <v>0</v>
      </c>
      <c r="R91" s="1267"/>
      <c r="S91" s="1267">
        <f t="shared" si="18"/>
        <v>0</v>
      </c>
      <c r="T91" s="1267"/>
      <c r="U91" s="1267">
        <f t="shared" si="19"/>
        <v>0</v>
      </c>
      <c r="V91" s="1268"/>
      <c r="W91" s="1254"/>
      <c r="X91" s="1256"/>
    </row>
    <row r="92" spans="1:24" s="1257" customFormat="1" ht="12.75" hidden="1" customHeight="1">
      <c r="A92" s="1247"/>
      <c r="B92" s="1348"/>
      <c r="C92" s="1235"/>
      <c r="D92" s="1259"/>
      <c r="E92" s="1259"/>
      <c r="F92" s="1259"/>
      <c r="G92" s="1259"/>
      <c r="H92" s="1259">
        <f>SUM(H91)</f>
        <v>0</v>
      </c>
      <c r="I92" s="1259">
        <f>SUM(I91:I91)</f>
        <v>0</v>
      </c>
      <c r="J92" s="1259">
        <f>SUM(J91:J91)</f>
        <v>0</v>
      </c>
      <c r="K92" s="1276">
        <f>SUM(K91:K91)</f>
        <v>0</v>
      </c>
      <c r="L92" s="1276">
        <f>SUM(L91:L91)</f>
        <v>0</v>
      </c>
      <c r="M92" s="1264"/>
      <c r="N92" s="1263"/>
      <c r="O92" s="1265">
        <f>I92/$Q$8</f>
        <v>0</v>
      </c>
      <c r="P92" s="1265"/>
      <c r="Q92" s="1266"/>
      <c r="R92" s="1276"/>
      <c r="S92" s="1267">
        <f t="shared" si="18"/>
        <v>0</v>
      </c>
      <c r="T92" s="1276"/>
      <c r="U92" s="1267">
        <f t="shared" si="19"/>
        <v>0</v>
      </c>
      <c r="V92" s="1347"/>
      <c r="W92" s="1255"/>
      <c r="X92" s="1256"/>
    </row>
    <row r="93" spans="1:24" s="1257" customFormat="1" ht="13.8">
      <c r="A93" s="1247"/>
      <c r="B93" s="1352" t="s">
        <v>1045</v>
      </c>
      <c r="C93" s="1235"/>
      <c r="D93" s="1259"/>
      <c r="E93" s="1259"/>
      <c r="F93" s="1259"/>
      <c r="G93" s="1259"/>
      <c r="H93" s="1259"/>
      <c r="I93" s="1259"/>
      <c r="J93" s="1259"/>
      <c r="K93" s="1264"/>
      <c r="L93" s="1264"/>
      <c r="M93" s="1264"/>
      <c r="N93" s="1263"/>
      <c r="O93" s="1263"/>
      <c r="P93" s="1263"/>
      <c r="Q93" s="1266"/>
      <c r="R93" s="1276"/>
      <c r="S93" s="1267">
        <f t="shared" si="18"/>
        <v>0</v>
      </c>
      <c r="T93" s="1276"/>
      <c r="U93" s="1267">
        <f t="shared" si="19"/>
        <v>0</v>
      </c>
      <c r="V93" s="1347"/>
      <c r="W93" s="1254"/>
      <c r="X93" s="1256"/>
    </row>
    <row r="94" spans="1:24" s="1257" customFormat="1" ht="13.8">
      <c r="A94" s="1247"/>
      <c r="B94" s="1258" t="s">
        <v>646</v>
      </c>
      <c r="C94" s="1259">
        <v>40700</v>
      </c>
      <c r="D94" s="1235">
        <v>0</v>
      </c>
      <c r="E94" s="1235">
        <v>0</v>
      </c>
      <c r="F94" s="1235">
        <v>0</v>
      </c>
      <c r="G94" s="1235">
        <f>C94+D94+E94-F94</f>
        <v>40700</v>
      </c>
      <c r="H94" s="1286">
        <f>31948000/1000</f>
        <v>31948</v>
      </c>
      <c r="I94" s="1286">
        <f>29513198/1000</f>
        <v>29513.198</v>
      </c>
      <c r="J94" s="1286">
        <f>I94-H94</f>
        <v>-2434.8019999999997</v>
      </c>
      <c r="K94" s="1350">
        <f>ROUND(I94/$X$40,2)</f>
        <v>0</v>
      </c>
      <c r="L94" s="1350">
        <f>ROUND(I94/$X$41,2)</f>
        <v>0</v>
      </c>
      <c r="M94" s="1351">
        <v>0</v>
      </c>
      <c r="N94" s="1263"/>
      <c r="O94" s="1265">
        <f>I94/$Q$8</f>
        <v>2.4985193753977657E-3</v>
      </c>
      <c r="P94" s="1265"/>
      <c r="Q94" s="1266">
        <v>120288000</v>
      </c>
      <c r="R94" s="1267">
        <v>56125300</v>
      </c>
      <c r="S94" s="1267">
        <f t="shared" si="18"/>
        <v>56125.3</v>
      </c>
      <c r="T94" s="1267">
        <v>30525000</v>
      </c>
      <c r="U94" s="1267">
        <f t="shared" si="19"/>
        <v>30525</v>
      </c>
      <c r="V94" s="1268">
        <v>120288</v>
      </c>
      <c r="X94" s="1256"/>
    </row>
    <row r="95" spans="1:24" s="1257" customFormat="1" ht="13.8">
      <c r="A95" s="1247"/>
      <c r="B95" s="1348"/>
      <c r="C95" s="1235"/>
      <c r="D95" s="1259"/>
      <c r="E95" s="1259"/>
      <c r="F95" s="1259"/>
      <c r="G95" s="1259"/>
      <c r="H95" s="1259">
        <f>ROUND(SUM(H94),0)</f>
        <v>31948</v>
      </c>
      <c r="I95" s="1259">
        <f>SUM(I94:I94)</f>
        <v>29513.198</v>
      </c>
      <c r="J95" s="1259">
        <f>ROUND(SUM(J94:J94),0)</f>
        <v>-2435</v>
      </c>
      <c r="K95" s="1276">
        <f>SUM(K94:K94)</f>
        <v>0</v>
      </c>
      <c r="L95" s="1276">
        <f>SUM(L94:L94)</f>
        <v>0</v>
      </c>
      <c r="M95" s="1264"/>
      <c r="N95" s="1263"/>
      <c r="O95" s="1265">
        <f>I95/$Q$8</f>
        <v>2.4985193753977657E-3</v>
      </c>
      <c r="P95" s="1265"/>
      <c r="Q95" s="1266"/>
      <c r="R95" s="1276"/>
      <c r="S95" s="1267">
        <f t="shared" si="18"/>
        <v>0</v>
      </c>
      <c r="T95" s="1276"/>
      <c r="U95" s="1267">
        <f t="shared" si="19"/>
        <v>0</v>
      </c>
      <c r="V95" s="1347"/>
      <c r="W95" s="1255"/>
      <c r="X95" s="1256"/>
    </row>
    <row r="96" spans="1:24" s="1257" customFormat="1" ht="13.8">
      <c r="A96" s="1247"/>
      <c r="B96" s="1353" t="s">
        <v>1061</v>
      </c>
      <c r="C96" s="1235"/>
      <c r="D96" s="1235"/>
      <c r="E96" s="1235"/>
      <c r="F96" s="1235"/>
      <c r="G96" s="1235"/>
      <c r="H96" s="1235"/>
      <c r="I96" s="1235"/>
      <c r="J96" s="1235"/>
      <c r="K96" s="1284"/>
      <c r="L96" s="1284"/>
      <c r="M96" s="1264"/>
      <c r="N96" s="1263"/>
      <c r="O96" s="1263"/>
      <c r="P96" s="1263"/>
      <c r="Q96" s="1266"/>
      <c r="R96" s="1276"/>
      <c r="S96" s="1267">
        <f t="shared" si="18"/>
        <v>0</v>
      </c>
      <c r="T96" s="1276"/>
      <c r="U96" s="1267">
        <f t="shared" si="19"/>
        <v>0</v>
      </c>
      <c r="V96" s="1347"/>
      <c r="W96" s="1255"/>
      <c r="X96" s="1256"/>
    </row>
    <row r="97" spans="1:24" s="1257" customFormat="1" ht="13.8">
      <c r="A97" s="1303" t="s">
        <v>1104</v>
      </c>
      <c r="B97" s="1257" t="s">
        <v>2433</v>
      </c>
      <c r="C97" s="1235">
        <v>1678500</v>
      </c>
      <c r="D97" s="1235">
        <v>0</v>
      </c>
      <c r="E97" s="1235">
        <v>0</v>
      </c>
      <c r="F97" s="1235">
        <v>0</v>
      </c>
      <c r="G97" s="1235">
        <f>C97+D97+E97-F97</f>
        <v>1678500</v>
      </c>
      <c r="H97" s="1286">
        <f>85771000/1000</f>
        <v>85771</v>
      </c>
      <c r="I97" s="1286">
        <f>56078685/1000</f>
        <v>56078.684999999998</v>
      </c>
      <c r="J97" s="1286">
        <f>I97-H97</f>
        <v>-29692.315000000002</v>
      </c>
      <c r="K97" s="1354">
        <f>I97/$X$40</f>
        <v>4.7474923331872988E-3</v>
      </c>
      <c r="L97" s="1354">
        <f>I97/$X$41</f>
        <v>4.9802450679053865E-3</v>
      </c>
      <c r="M97" s="1289">
        <f>G97*10/Q97</f>
        <v>1.9727331492037373E-2</v>
      </c>
      <c r="N97" s="1263"/>
      <c r="O97" s="1264">
        <f>I97/$Q$8</f>
        <v>4.7474923259528852E-3</v>
      </c>
      <c r="P97" s="1265"/>
      <c r="Q97" s="1266">
        <v>850850000</v>
      </c>
      <c r="R97" s="1267">
        <v>105968915</v>
      </c>
      <c r="S97" s="1267">
        <f t="shared" si="18"/>
        <v>105968.91499999999</v>
      </c>
      <c r="T97" s="1267">
        <v>101448540</v>
      </c>
      <c r="U97" s="1267">
        <f t="shared" si="19"/>
        <v>101448.54</v>
      </c>
      <c r="V97" s="1347">
        <v>2080000</v>
      </c>
      <c r="W97" s="1255"/>
      <c r="X97" s="1256"/>
    </row>
    <row r="98" spans="1:24" s="1257" customFormat="1" ht="13.8">
      <c r="A98" s="1247"/>
      <c r="C98" s="1235"/>
      <c r="D98" s="1235"/>
      <c r="E98" s="1235"/>
      <c r="F98" s="1235"/>
      <c r="G98" s="1235"/>
      <c r="H98" s="1235">
        <f>SUM(H97)</f>
        <v>85771</v>
      </c>
      <c r="I98" s="1235">
        <f>SUM(I97)</f>
        <v>56078.684999999998</v>
      </c>
      <c r="J98" s="1235">
        <f>ROUND(SUM(J97),0)</f>
        <v>-29692</v>
      </c>
      <c r="K98" s="1284">
        <f>SUM(K97)</f>
        <v>4.7474923331872988E-3</v>
      </c>
      <c r="L98" s="1284">
        <f>SUM(L97)</f>
        <v>4.9802450679053865E-3</v>
      </c>
      <c r="M98" s="1264"/>
      <c r="N98" s="1263"/>
      <c r="O98" s="1264">
        <f>I98/$Q$8</f>
        <v>4.7474923259528852E-3</v>
      </c>
      <c r="P98" s="1265"/>
      <c r="Q98" s="1266"/>
      <c r="R98" s="1276"/>
      <c r="S98" s="1267">
        <f t="shared" si="18"/>
        <v>0</v>
      </c>
      <c r="T98" s="1276"/>
      <c r="U98" s="1267">
        <f t="shared" si="19"/>
        <v>0</v>
      </c>
      <c r="V98" s="1347"/>
      <c r="W98" s="1255"/>
      <c r="X98" s="1256"/>
    </row>
    <row r="99" spans="1:24" s="1257" customFormat="1" ht="13.8">
      <c r="A99" s="1247"/>
      <c r="B99" s="1317" t="s">
        <v>1046</v>
      </c>
      <c r="C99" s="1235"/>
      <c r="D99" s="1259"/>
      <c r="E99" s="1259"/>
      <c r="F99" s="1259"/>
      <c r="G99" s="1259"/>
      <c r="H99" s="1259"/>
      <c r="I99" s="1259"/>
      <c r="J99" s="1259"/>
      <c r="K99" s="1264"/>
      <c r="L99" s="1264"/>
      <c r="M99" s="1264"/>
      <c r="N99" s="1263"/>
      <c r="O99" s="1263"/>
      <c r="P99" s="1263"/>
      <c r="Q99" s="1266"/>
      <c r="R99" s="1276"/>
      <c r="S99" s="1267">
        <f t="shared" si="18"/>
        <v>0</v>
      </c>
      <c r="T99" s="1276"/>
      <c r="U99" s="1267">
        <f t="shared" si="19"/>
        <v>0</v>
      </c>
      <c r="V99" s="1347"/>
      <c r="W99" s="1255"/>
      <c r="X99" s="1256"/>
    </row>
    <row r="100" spans="1:24" s="1257" customFormat="1" ht="13.8">
      <c r="A100" s="1247"/>
      <c r="B100" s="1270" t="s">
        <v>1047</v>
      </c>
      <c r="C100" s="1235">
        <v>280</v>
      </c>
      <c r="D100" s="1259">
        <v>21595</v>
      </c>
      <c r="E100" s="1259">
        <v>215670</v>
      </c>
      <c r="F100" s="1259">
        <v>75000</v>
      </c>
      <c r="G100" s="1235">
        <f>C100+D100+E100-F100</f>
        <v>162545</v>
      </c>
      <c r="H100" s="1292">
        <f>222565664.570195/1000</f>
        <v>222565.66457019499</v>
      </c>
      <c r="I100" s="1292">
        <f>200881238.25/1000</f>
        <v>200881.23824999999</v>
      </c>
      <c r="J100" s="1330">
        <f>I100-H100</f>
        <v>-21684.426320194994</v>
      </c>
      <c r="K100" s="1261">
        <f>ROUND(I100/$X$40,2)</f>
        <v>0.02</v>
      </c>
      <c r="L100" s="1262">
        <f>ROUND(I100/$X$41,2)</f>
        <v>0.02</v>
      </c>
      <c r="M100" s="1355">
        <v>0</v>
      </c>
      <c r="N100" s="1263"/>
      <c r="O100" s="1264">
        <f>I100/$Q$8</f>
        <v>1.7006143011730541E-2</v>
      </c>
      <c r="P100" s="1265"/>
      <c r="Q100" s="1266">
        <v>1102500000</v>
      </c>
      <c r="R100" s="1267">
        <v>447402</v>
      </c>
      <c r="S100" s="1267">
        <f t="shared" si="18"/>
        <v>447.40199999999999</v>
      </c>
      <c r="T100" s="1267">
        <v>406244</v>
      </c>
      <c r="U100" s="1267">
        <f t="shared" si="19"/>
        <v>406.24400000000003</v>
      </c>
      <c r="V100" s="1268">
        <v>1102500</v>
      </c>
      <c r="W100" s="1255"/>
      <c r="X100" s="1256"/>
    </row>
    <row r="101" spans="1:24" s="1257" customFormat="1" ht="13.8">
      <c r="A101" s="1247"/>
      <c r="B101" s="1270" t="s">
        <v>1170</v>
      </c>
      <c r="C101" s="1235">
        <v>473800</v>
      </c>
      <c r="D101" s="1259">
        <v>0</v>
      </c>
      <c r="E101" s="1259">
        <v>842880</v>
      </c>
      <c r="F101" s="1259">
        <v>349150</v>
      </c>
      <c r="G101" s="1235">
        <f>C101+D101+E101-F101</f>
        <v>967530</v>
      </c>
      <c r="H101" s="1271">
        <f>533684119.437437/1000</f>
        <v>533684.11943743704</v>
      </c>
      <c r="I101" s="1271">
        <f>411026094.6/1000</f>
        <v>411026.09460000001</v>
      </c>
      <c r="J101" s="1333">
        <f>I101-H101</f>
        <v>-122658.02483743703</v>
      </c>
      <c r="K101" s="1274">
        <f>I101/$X$40</f>
        <v>3.4796522651225105E-2</v>
      </c>
      <c r="L101" s="1275">
        <f>I101/$X$41</f>
        <v>3.6502472916618192E-2</v>
      </c>
      <c r="M101" s="1356">
        <f>G101*10/Q101</f>
        <v>4.0902417594013037E-3</v>
      </c>
      <c r="N101" s="1263"/>
      <c r="O101" s="1264">
        <f>I101/$Q$8</f>
        <v>3.4796522598200812E-2</v>
      </c>
      <c r="P101" s="1265"/>
      <c r="Q101" s="1266">
        <v>2365459200</v>
      </c>
      <c r="R101" s="1267">
        <v>381753025</v>
      </c>
      <c r="S101" s="1267">
        <f t="shared" si="18"/>
        <v>381753.02500000002</v>
      </c>
      <c r="T101" s="1267">
        <v>430571083</v>
      </c>
      <c r="U101" s="1267">
        <f t="shared" si="19"/>
        <v>430571.08299999998</v>
      </c>
      <c r="V101" s="1268"/>
      <c r="W101" s="1255"/>
      <c r="X101" s="1256"/>
    </row>
    <row r="102" spans="1:24" s="1257" customFormat="1" ht="13.8">
      <c r="A102" s="1303"/>
      <c r="B102" s="1270" t="s">
        <v>1048</v>
      </c>
      <c r="C102" s="1235">
        <v>4768500</v>
      </c>
      <c r="D102" s="1259">
        <v>0</v>
      </c>
      <c r="E102" s="1259">
        <v>1652800</v>
      </c>
      <c r="F102" s="1259">
        <v>233200</v>
      </c>
      <c r="G102" s="1235">
        <f>C102+D102+E102-F102</f>
        <v>6188100</v>
      </c>
      <c r="H102" s="1271">
        <f>960531163.502316/1000</f>
        <v>960531.16350231599</v>
      </c>
      <c r="I102" s="1271">
        <f>792076800/1000</f>
        <v>792076.80000000005</v>
      </c>
      <c r="J102" s="1333">
        <f>I102-H102</f>
        <v>-168454.36350231594</v>
      </c>
      <c r="K102" s="1274">
        <f>I102/$X$40</f>
        <v>6.7055397880594558E-2</v>
      </c>
      <c r="L102" s="1275">
        <f>I102/$X$41</f>
        <v>7.0342886545971636E-2</v>
      </c>
      <c r="M102" s="1356">
        <f>G102*10/Q102</f>
        <v>1.4387823801019334E-3</v>
      </c>
      <c r="N102" s="1263"/>
      <c r="O102" s="1264">
        <f>I102/$Q$8</f>
        <v>6.7055397778412934E-2</v>
      </c>
      <c r="P102" s="1265"/>
      <c r="Q102" s="1266">
        <v>43009284000</v>
      </c>
      <c r="R102" s="1267">
        <v>464981741</v>
      </c>
      <c r="S102" s="1267">
        <f t="shared" si="18"/>
        <v>464981.74099999998</v>
      </c>
      <c r="T102" s="1267">
        <v>518746614</v>
      </c>
      <c r="U102" s="1267">
        <f t="shared" si="19"/>
        <v>518746.614</v>
      </c>
      <c r="V102" s="1268">
        <v>43009284</v>
      </c>
      <c r="W102" s="1255"/>
      <c r="X102" s="1256"/>
    </row>
    <row r="103" spans="1:24" s="1257" customFormat="1" ht="13.8">
      <c r="A103" s="1247"/>
      <c r="B103" s="1258" t="s">
        <v>124</v>
      </c>
      <c r="C103" s="1259">
        <v>1975600</v>
      </c>
      <c r="D103" s="1259">
        <v>379530</v>
      </c>
      <c r="E103" s="1259">
        <v>1236200</v>
      </c>
      <c r="F103" s="1259">
        <v>99100</v>
      </c>
      <c r="G103" s="1259">
        <f>C103+D103+E103-F103</f>
        <v>3492230</v>
      </c>
      <c r="H103" s="1296">
        <f>644600382.172742/1000</f>
        <v>644600.38217274204</v>
      </c>
      <c r="I103" s="1296">
        <f>522647141.8/1000</f>
        <v>522647.14179999998</v>
      </c>
      <c r="J103" s="1334">
        <f>I103-H103</f>
        <v>-121953.24037274206</v>
      </c>
      <c r="K103" s="1278">
        <f>I103/$X$40</f>
        <v>4.4246103464404614E-2</v>
      </c>
      <c r="L103" s="1279">
        <f>I103/$X$41</f>
        <v>4.6415333209120314E-2</v>
      </c>
      <c r="M103" s="1357">
        <f>G103*10/Q103</f>
        <v>1.7711631299324067E-3</v>
      </c>
      <c r="N103" s="1263"/>
      <c r="O103" s="1264">
        <f>I103/$Q$8</f>
        <v>4.4246103396980679E-2</v>
      </c>
      <c r="P103" s="1265"/>
      <c r="Q103" s="1266">
        <v>19717156150</v>
      </c>
      <c r="R103" s="1267">
        <v>396584680</v>
      </c>
      <c r="S103" s="1267">
        <f t="shared" si="18"/>
        <v>396584.68</v>
      </c>
      <c r="T103" s="1267">
        <v>517369466</v>
      </c>
      <c r="U103" s="1267">
        <f t="shared" si="19"/>
        <v>517369.46600000001</v>
      </c>
      <c r="V103" s="1347">
        <v>19717156</v>
      </c>
      <c r="W103" s="1255"/>
      <c r="X103" s="1256"/>
    </row>
    <row r="104" spans="1:24" s="1257" customFormat="1" ht="13.8">
      <c r="A104" s="1247"/>
      <c r="B104" s="1248"/>
      <c r="C104" s="1300"/>
      <c r="D104" s="1259"/>
      <c r="E104" s="1259"/>
      <c r="F104" s="1259"/>
      <c r="G104" s="1259"/>
      <c r="H104" s="1259">
        <f>SUM(H100:H103)</f>
        <v>2361381.3296826901</v>
      </c>
      <c r="I104" s="1259">
        <f>ROUND(SUM(I100:I103),0)</f>
        <v>1926631</v>
      </c>
      <c r="J104" s="1259">
        <f>ROUND(SUM(J100:J103),0)</f>
        <v>-434750</v>
      </c>
      <c r="K104" s="1264">
        <f>SUM(K100:K103)</f>
        <v>0.16609802399622428</v>
      </c>
      <c r="L104" s="1264">
        <f>SUM(L100:L103)</f>
        <v>0.17326069267171015</v>
      </c>
      <c r="M104" s="1264"/>
      <c r="N104" s="1358">
        <f>I104/'5.2'!$T$2</f>
        <v>0.16310414378263291</v>
      </c>
      <c r="O104" s="1264">
        <f>I104/$Q$8</f>
        <v>0.16310414353408847</v>
      </c>
      <c r="P104" s="1265"/>
      <c r="Q104" s="1266"/>
      <c r="R104" s="1276"/>
      <c r="S104" s="1267">
        <f t="shared" si="18"/>
        <v>0</v>
      </c>
      <c r="T104" s="1276"/>
      <c r="U104" s="1267">
        <f t="shared" si="19"/>
        <v>0</v>
      </c>
      <c r="V104" s="1347"/>
      <c r="W104" s="1255"/>
      <c r="X104" s="1256"/>
    </row>
    <row r="105" spans="1:24" s="1257" customFormat="1" ht="13.8">
      <c r="A105" s="1247"/>
      <c r="B105" s="1248" t="s">
        <v>1049</v>
      </c>
      <c r="C105" s="1259"/>
      <c r="D105" s="1259"/>
      <c r="E105" s="1259"/>
      <c r="F105" s="1259"/>
      <c r="G105" s="1259"/>
      <c r="H105" s="1259"/>
      <c r="I105" s="1259"/>
      <c r="J105" s="1259"/>
      <c r="K105" s="1264"/>
      <c r="L105" s="1264"/>
      <c r="M105" s="1264"/>
      <c r="N105" s="1263"/>
      <c r="O105" s="1263"/>
      <c r="P105" s="1263"/>
      <c r="Q105" s="1266"/>
      <c r="R105" s="1276"/>
      <c r="S105" s="1267">
        <f t="shared" si="18"/>
        <v>0</v>
      </c>
      <c r="T105" s="1276"/>
      <c r="U105" s="1267">
        <f t="shared" si="19"/>
        <v>0</v>
      </c>
      <c r="V105" s="1347"/>
      <c r="W105" s="1255"/>
      <c r="X105" s="1256"/>
    </row>
    <row r="106" spans="1:24" s="1257" customFormat="1" ht="12.75" hidden="1" customHeight="1">
      <c r="A106" s="1247"/>
      <c r="B106" s="1270" t="s">
        <v>473</v>
      </c>
      <c r="C106" s="1259">
        <v>0</v>
      </c>
      <c r="D106" s="1259">
        <v>0</v>
      </c>
      <c r="E106" s="1259">
        <v>0</v>
      </c>
      <c r="F106" s="1259">
        <v>0</v>
      </c>
      <c r="G106" s="1235">
        <f t="shared" ref="G106:G111" si="20">C106+D106+E106-F106</f>
        <v>0</v>
      </c>
      <c r="H106" s="1292">
        <v>0</v>
      </c>
      <c r="I106" s="1292">
        <v>0</v>
      </c>
      <c r="J106" s="1293">
        <f t="shared" ref="J106:J112" si="21">I106-H106</f>
        <v>0</v>
      </c>
      <c r="K106" s="1359">
        <f>I106/$X$40</f>
        <v>0</v>
      </c>
      <c r="L106" s="1294">
        <f>I106/$X$41</f>
        <v>0</v>
      </c>
      <c r="M106" s="1295">
        <f>G106*10/Q106</f>
        <v>0</v>
      </c>
      <c r="N106" s="1263"/>
      <c r="O106" s="1264">
        <f t="shared" ref="O106:O113" si="22">I106/$Q$8</f>
        <v>0</v>
      </c>
      <c r="P106" s="1265"/>
      <c r="Q106" s="1266">
        <v>1448150400</v>
      </c>
      <c r="R106" s="1267">
        <v>36225150</v>
      </c>
      <c r="S106" s="1267">
        <f t="shared" si="18"/>
        <v>36225.15</v>
      </c>
      <c r="T106" s="1267">
        <v>33557914</v>
      </c>
      <c r="U106" s="1267">
        <f t="shared" si="19"/>
        <v>33557.913999999997</v>
      </c>
      <c r="V106" s="1268">
        <v>1206792</v>
      </c>
      <c r="W106" s="1255"/>
      <c r="X106" s="1256"/>
    </row>
    <row r="107" spans="1:24" s="1257" customFormat="1" ht="13.8">
      <c r="A107" s="1247"/>
      <c r="B107" s="1270" t="s">
        <v>1171</v>
      </c>
      <c r="C107" s="1259">
        <v>2150</v>
      </c>
      <c r="D107" s="1259">
        <v>430</v>
      </c>
      <c r="E107" s="1259">
        <v>0</v>
      </c>
      <c r="F107" s="1259">
        <v>2551</v>
      </c>
      <c r="G107" s="1235">
        <f t="shared" si="20"/>
        <v>29</v>
      </c>
      <c r="H107" s="1260">
        <f>14252.7131782946/1000</f>
        <v>14.2527131782946</v>
      </c>
      <c r="I107" s="1260">
        <f>12512.92/1000</f>
        <v>12.512919999999999</v>
      </c>
      <c r="J107" s="1330">
        <f t="shared" si="21"/>
        <v>-1.739793178294601</v>
      </c>
      <c r="K107" s="1261">
        <v>0</v>
      </c>
      <c r="L107" s="1262">
        <v>0</v>
      </c>
      <c r="M107" s="1355">
        <v>0</v>
      </c>
      <c r="N107" s="1263"/>
      <c r="O107" s="1264">
        <f t="shared" si="22"/>
        <v>1.0593149906290131E-6</v>
      </c>
      <c r="P107" s="1265"/>
      <c r="Q107" s="1266">
        <v>829440000</v>
      </c>
      <c r="R107" s="1267">
        <v>1346825</v>
      </c>
      <c r="S107" s="1267">
        <f t="shared" si="18"/>
        <v>1346.825</v>
      </c>
      <c r="T107" s="1267">
        <v>1124622</v>
      </c>
      <c r="U107" s="1267">
        <f t="shared" si="19"/>
        <v>1124.6220000000001</v>
      </c>
      <c r="V107" s="1268">
        <v>1160040</v>
      </c>
      <c r="W107" s="1255"/>
      <c r="X107" s="1256"/>
    </row>
    <row r="108" spans="1:24" s="1257" customFormat="1" ht="13.8">
      <c r="A108" s="1247"/>
      <c r="B108" s="1322" t="s">
        <v>1050</v>
      </c>
      <c r="C108" s="1259">
        <v>283100</v>
      </c>
      <c r="D108" s="1259">
        <v>445500</v>
      </c>
      <c r="E108" s="1300">
        <v>0</v>
      </c>
      <c r="F108" s="1259">
        <v>77000</v>
      </c>
      <c r="G108" s="1235">
        <f t="shared" si="20"/>
        <v>651600</v>
      </c>
      <c r="H108" s="1271">
        <f>51051046.1664815/1000</f>
        <v>51051.046166481501</v>
      </c>
      <c r="I108" s="1271">
        <f>43070760/1000</f>
        <v>43070.76</v>
      </c>
      <c r="J108" s="1333">
        <f t="shared" si="21"/>
        <v>-7980.2861664814991</v>
      </c>
      <c r="K108" s="1274">
        <f>I108/$X$40</f>
        <v>3.6462713575496678E-3</v>
      </c>
      <c r="L108" s="1275">
        <f>I108/$X$41</f>
        <v>3.8250351280693659E-3</v>
      </c>
      <c r="M108" s="1356">
        <f>G108*10/Q108</f>
        <v>5.6170476880107586E-3</v>
      </c>
      <c r="N108" s="1263"/>
      <c r="O108" s="1264">
        <f t="shared" si="22"/>
        <v>3.6462713519933381E-3</v>
      </c>
      <c r="P108" s="1265"/>
      <c r="Q108" s="1266">
        <v>1160040000</v>
      </c>
      <c r="R108" s="1267">
        <v>30257058</v>
      </c>
      <c r="S108" s="1267">
        <f t="shared" si="18"/>
        <v>30257.058000000001</v>
      </c>
      <c r="T108" s="1267">
        <v>20100100</v>
      </c>
      <c r="U108" s="1267">
        <f t="shared" si="19"/>
        <v>20100.099999999999</v>
      </c>
      <c r="V108" s="1268">
        <v>2716859</v>
      </c>
      <c r="W108" s="1254"/>
      <c r="X108" s="1256"/>
    </row>
    <row r="109" spans="1:24" s="1257" customFormat="1" ht="13.8">
      <c r="A109" s="1247"/>
      <c r="B109" s="1322" t="s">
        <v>169</v>
      </c>
      <c r="C109" s="1259">
        <v>0</v>
      </c>
      <c r="D109" s="1259">
        <v>1492040</v>
      </c>
      <c r="E109" s="1300"/>
      <c r="F109" s="1259">
        <v>0</v>
      </c>
      <c r="G109" s="1235">
        <f t="shared" si="20"/>
        <v>1492040</v>
      </c>
      <c r="H109" s="1271">
        <f>410305861.2218/1000</f>
        <v>410305.86122180003</v>
      </c>
      <c r="I109" s="1271">
        <f>336350577.2/1000</f>
        <v>336350.5772</v>
      </c>
      <c r="J109" s="1333">
        <f t="shared" si="21"/>
        <v>-73955.284021800035</v>
      </c>
      <c r="K109" s="1272">
        <f>I109/$X$40</f>
        <v>2.8474665312143512E-2</v>
      </c>
      <c r="L109" s="1273">
        <f>I109/$X$41</f>
        <v>2.9870677302569239E-2</v>
      </c>
      <c r="M109" s="1360">
        <f>G109*10/Q109</f>
        <v>4.5764851803073783E-3</v>
      </c>
      <c r="N109" s="1263"/>
      <c r="O109" s="1264">
        <f t="shared" si="22"/>
        <v>2.8474665268752711E-2</v>
      </c>
      <c r="P109" s="1265"/>
      <c r="Q109" s="1266">
        <v>3260231250</v>
      </c>
      <c r="R109" s="1267">
        <v>0</v>
      </c>
      <c r="S109" s="1267">
        <f t="shared" si="18"/>
        <v>0</v>
      </c>
      <c r="T109" s="1267">
        <v>0</v>
      </c>
      <c r="U109" s="1267">
        <f t="shared" si="19"/>
        <v>0</v>
      </c>
      <c r="V109" s="1268"/>
      <c r="W109" s="1254"/>
      <c r="X109" s="1256"/>
    </row>
    <row r="110" spans="1:24" s="1257" customFormat="1" ht="13.8">
      <c r="A110" s="1247"/>
      <c r="B110" s="1322" t="s">
        <v>330</v>
      </c>
      <c r="C110" s="1259">
        <v>22200</v>
      </c>
      <c r="D110" s="1259">
        <v>0</v>
      </c>
      <c r="E110" s="1300"/>
      <c r="F110" s="1259">
        <v>300</v>
      </c>
      <c r="G110" s="1235">
        <f t="shared" si="20"/>
        <v>21900</v>
      </c>
      <c r="H110" s="1271">
        <f>6922175.67567567/1000</f>
        <v>6922.1756756756695</v>
      </c>
      <c r="I110" s="1271">
        <f>6714540/1000</f>
        <v>6714.54</v>
      </c>
      <c r="J110" s="1333">
        <f t="shared" si="21"/>
        <v>-207.63567567566952</v>
      </c>
      <c r="K110" s="1274">
        <f>I110/$X$40</f>
        <v>5.6843749404750568E-4</v>
      </c>
      <c r="L110" s="1275">
        <f>I110/$X$41</f>
        <v>5.9630597112349259E-4</v>
      </c>
      <c r="M110" s="1356">
        <f>G110*10/Q110</f>
        <v>2.0464931470980962E-4</v>
      </c>
      <c r="N110" s="1263"/>
      <c r="O110" s="1264">
        <f t="shared" si="22"/>
        <v>5.6843749318129851E-4</v>
      </c>
      <c r="P110" s="1265"/>
      <c r="Q110" s="1266">
        <v>1070123300</v>
      </c>
      <c r="R110" s="1267">
        <v>12773214</v>
      </c>
      <c r="S110" s="1267">
        <f t="shared" si="18"/>
        <v>12773.214</v>
      </c>
      <c r="T110" s="1267">
        <v>6819396</v>
      </c>
      <c r="U110" s="1267">
        <f t="shared" si="19"/>
        <v>6819.3959999999997</v>
      </c>
      <c r="V110" s="1268"/>
      <c r="W110" s="1254"/>
      <c r="X110" s="1256"/>
    </row>
    <row r="111" spans="1:24" s="1257" customFormat="1" ht="13.8">
      <c r="A111" s="1303" t="s">
        <v>1104</v>
      </c>
      <c r="B111" s="1285" t="s">
        <v>2434</v>
      </c>
      <c r="C111" s="1259">
        <v>1984800</v>
      </c>
      <c r="D111" s="1259">
        <v>2554000</v>
      </c>
      <c r="E111" s="1259">
        <v>0</v>
      </c>
      <c r="F111" s="1259">
        <v>1160500</v>
      </c>
      <c r="G111" s="1235">
        <f t="shared" si="20"/>
        <v>3378300</v>
      </c>
      <c r="H111" s="1271">
        <f>307596253.643938/1000</f>
        <v>307596.25364393799</v>
      </c>
      <c r="I111" s="1271">
        <f>260365581/1000</f>
        <v>260365.58100000001</v>
      </c>
      <c r="J111" s="1333">
        <f t="shared" si="21"/>
        <v>-47230.672643937985</v>
      </c>
      <c r="K111" s="1272">
        <f>I111/$X$40</f>
        <v>2.2041950513343112E-2</v>
      </c>
      <c r="L111" s="1273">
        <f>I111/$X$41</f>
        <v>2.3122589280179635E-2</v>
      </c>
      <c r="M111" s="1360">
        <f>G111*10/Q111</f>
        <v>5.3267285158349973E-3</v>
      </c>
      <c r="N111" s="1263"/>
      <c r="O111" s="1264">
        <f t="shared" si="22"/>
        <v>2.2041950479754734E-2</v>
      </c>
      <c r="P111" s="1265"/>
      <c r="Q111" s="1266">
        <v>6342166660</v>
      </c>
      <c r="R111" s="1267">
        <v>0</v>
      </c>
      <c r="S111" s="1267">
        <f t="shared" si="18"/>
        <v>0</v>
      </c>
      <c r="T111" s="1267">
        <v>0</v>
      </c>
      <c r="U111" s="1267">
        <f t="shared" si="19"/>
        <v>0</v>
      </c>
      <c r="V111" s="1268">
        <v>6342166</v>
      </c>
      <c r="W111" s="1254"/>
      <c r="X111" s="1256"/>
    </row>
    <row r="112" spans="1:24" s="1257" customFormat="1" ht="13.8">
      <c r="A112" s="1303" t="s">
        <v>1104</v>
      </c>
      <c r="B112" s="1285" t="s">
        <v>2435</v>
      </c>
      <c r="C112" s="1259">
        <v>9500</v>
      </c>
      <c r="D112" s="1259">
        <v>0</v>
      </c>
      <c r="E112" s="1259">
        <v>0</v>
      </c>
      <c r="F112" s="1235">
        <v>0</v>
      </c>
      <c r="G112" s="1235">
        <f>D112+E112-F112</f>
        <v>0</v>
      </c>
      <c r="H112" s="1296">
        <f>312000/1000</f>
        <v>312</v>
      </c>
      <c r="I112" s="1296">
        <f>219450/1000</f>
        <v>219.45</v>
      </c>
      <c r="J112" s="1297">
        <f t="shared" si="21"/>
        <v>-92.550000000000011</v>
      </c>
      <c r="K112" s="1361">
        <v>0</v>
      </c>
      <c r="L112" s="1298">
        <v>0</v>
      </c>
      <c r="M112" s="1299">
        <v>0</v>
      </c>
      <c r="N112" s="1263"/>
      <c r="O112" s="1264">
        <f t="shared" si="22"/>
        <v>1.8578131618641927E-5</v>
      </c>
      <c r="P112" s="1265"/>
      <c r="Q112" s="1266">
        <v>8809164000</v>
      </c>
      <c r="R112" s="1267">
        <v>365881</v>
      </c>
      <c r="S112" s="1267">
        <f t="shared" si="18"/>
        <v>365.88099999999997</v>
      </c>
      <c r="T112" s="1267">
        <v>289655</v>
      </c>
      <c r="U112" s="1267">
        <f t="shared" si="19"/>
        <v>289.65499999999997</v>
      </c>
      <c r="V112" s="1268">
        <v>8809164</v>
      </c>
      <c r="X112" s="1256"/>
    </row>
    <row r="113" spans="1:24" s="1257" customFormat="1" ht="13.8">
      <c r="B113" s="1247"/>
      <c r="C113" s="1259"/>
      <c r="D113" s="1235"/>
      <c r="E113" s="1235"/>
      <c r="F113" s="1235"/>
      <c r="G113" s="1235"/>
      <c r="H113" s="1235">
        <f>ROUND(SUM(H106:H112),0)</f>
        <v>776202</v>
      </c>
      <c r="I113" s="1235">
        <f>ROUND(SUM(I106:I112),0)</f>
        <v>646733</v>
      </c>
      <c r="J113" s="1235">
        <f>ROUND(SUM(J106:J112),0)</f>
        <v>-129468</v>
      </c>
      <c r="K113" s="1284">
        <f>SUM(K106:K112)</f>
        <v>5.473132467708379E-2</v>
      </c>
      <c r="L113" s="1362">
        <f>SUM(L106:L112)</f>
        <v>5.7414607681941732E-2</v>
      </c>
      <c r="M113" s="1362"/>
      <c r="N113" s="1358">
        <f>I113/'5.2'!$T$2</f>
        <v>5.4750926472673551E-2</v>
      </c>
      <c r="O113" s="1264">
        <f t="shared" si="22"/>
        <v>5.475092638924197E-2</v>
      </c>
      <c r="P113" s="1265"/>
      <c r="Q113" s="1363"/>
      <c r="R113" s="1364"/>
      <c r="S113" s="1267">
        <f t="shared" si="18"/>
        <v>0</v>
      </c>
      <c r="T113" s="1364"/>
      <c r="U113" s="1267">
        <f t="shared" si="19"/>
        <v>0</v>
      </c>
      <c r="V113" s="1340"/>
      <c r="X113" s="1256"/>
    </row>
    <row r="114" spans="1:24" s="1257" customFormat="1" ht="13.8">
      <c r="B114" s="1353" t="s">
        <v>1053</v>
      </c>
      <c r="C114" s="1235"/>
      <c r="D114" s="1235"/>
      <c r="E114" s="1235"/>
      <c r="F114" s="1235"/>
      <c r="G114" s="1235"/>
      <c r="H114" s="1235"/>
      <c r="I114" s="1235"/>
      <c r="J114" s="1235"/>
      <c r="K114" s="1284"/>
      <c r="L114" s="1362"/>
      <c r="M114" s="1362"/>
      <c r="N114" s="1358"/>
      <c r="O114" s="1358"/>
      <c r="P114" s="1358"/>
      <c r="Q114" s="1363"/>
      <c r="R114" s="1364"/>
      <c r="S114" s="1267">
        <f t="shared" si="18"/>
        <v>0</v>
      </c>
      <c r="T114" s="1364"/>
      <c r="U114" s="1267">
        <f t="shared" si="19"/>
        <v>0</v>
      </c>
      <c r="V114" s="1340"/>
      <c r="X114" s="1256"/>
    </row>
    <row r="115" spans="1:24" s="1257" customFormat="1" ht="13.8">
      <c r="B115" s="1257" t="s">
        <v>1172</v>
      </c>
      <c r="C115" s="1235">
        <v>49</v>
      </c>
      <c r="D115" s="1235">
        <v>1</v>
      </c>
      <c r="E115" s="1235">
        <v>0</v>
      </c>
      <c r="F115" s="1235">
        <v>50</v>
      </c>
      <c r="G115" s="1235">
        <f>C115+D115+E115-F115</f>
        <v>0</v>
      </c>
      <c r="H115" s="1335">
        <v>0</v>
      </c>
      <c r="I115" s="1335">
        <v>0</v>
      </c>
      <c r="J115" s="1335">
        <f>I115-H115</f>
        <v>0</v>
      </c>
      <c r="K115" s="1365">
        <f>I115/$X$40</f>
        <v>0</v>
      </c>
      <c r="L115" s="1365">
        <f>I115/$X$41</f>
        <v>0</v>
      </c>
      <c r="M115" s="1289">
        <f>G115*10/Q115</f>
        <v>0</v>
      </c>
      <c r="N115" s="1263"/>
      <c r="O115" s="1265">
        <f>I115/$Q$8</f>
        <v>0</v>
      </c>
      <c r="P115" s="1265"/>
      <c r="Q115" s="1266">
        <v>336022420</v>
      </c>
      <c r="R115" s="1267">
        <v>76676558</v>
      </c>
      <c r="S115" s="1267">
        <f t="shared" si="18"/>
        <v>76676.558000000005</v>
      </c>
      <c r="T115" s="1267">
        <v>68007952</v>
      </c>
      <c r="U115" s="1267">
        <f t="shared" si="19"/>
        <v>68007.952000000005</v>
      </c>
      <c r="V115" s="1340">
        <v>1470183</v>
      </c>
      <c r="X115" s="1256"/>
    </row>
    <row r="116" spans="1:24" s="1257" customFormat="1" ht="13.8">
      <c r="C116" s="1235"/>
      <c r="D116" s="1235"/>
      <c r="E116" s="1235"/>
      <c r="F116" s="1235"/>
      <c r="G116" s="1235"/>
      <c r="H116" s="1235">
        <f>SUM(H115:H115)</f>
        <v>0</v>
      </c>
      <c r="I116" s="1235">
        <f>ROUND(SUM(I115:I115),0)</f>
        <v>0</v>
      </c>
      <c r="J116" s="1235">
        <f>ROUND(SUM(J115:J115),0)</f>
        <v>0</v>
      </c>
      <c r="K116" s="1284">
        <f>SUM(K115:K115)</f>
        <v>0</v>
      </c>
      <c r="L116" s="1284">
        <f>SUM(L115:L115)</f>
        <v>0</v>
      </c>
      <c r="M116" s="1366"/>
      <c r="N116" s="1358">
        <f>I116/'5.2'!$T$2</f>
        <v>0</v>
      </c>
      <c r="O116" s="1265">
        <f>I116/$Q$8</f>
        <v>0</v>
      </c>
      <c r="P116" s="1265"/>
      <c r="Q116" s="1363"/>
      <c r="R116" s="1364"/>
      <c r="S116" s="1267">
        <f t="shared" si="18"/>
        <v>0</v>
      </c>
      <c r="T116" s="1364"/>
      <c r="U116" s="1267">
        <f t="shared" si="19"/>
        <v>0</v>
      </c>
      <c r="V116" s="1340"/>
      <c r="X116" s="1256"/>
    </row>
    <row r="117" spans="1:24" s="1257" customFormat="1" ht="13.8">
      <c r="B117" s="1353" t="s">
        <v>1054</v>
      </c>
      <c r="C117" s="1235"/>
      <c r="D117" s="1235"/>
      <c r="E117" s="1235"/>
      <c r="F117" s="1235"/>
      <c r="G117" s="1235"/>
      <c r="H117" s="1235"/>
      <c r="I117" s="1235"/>
      <c r="J117" s="1235"/>
      <c r="K117" s="1367"/>
      <c r="L117" s="1284"/>
      <c r="M117" s="1366"/>
      <c r="N117" s="1364"/>
      <c r="O117" s="1364"/>
      <c r="P117" s="1364"/>
      <c r="Q117" s="1363"/>
      <c r="R117" s="1364"/>
      <c r="S117" s="1267">
        <f t="shared" si="18"/>
        <v>0</v>
      </c>
      <c r="T117" s="1364"/>
      <c r="U117" s="1267">
        <f t="shared" si="19"/>
        <v>0</v>
      </c>
      <c r="V117" s="1340"/>
      <c r="X117" s="1256"/>
    </row>
    <row r="118" spans="1:24" s="1257" customFormat="1" ht="13.8">
      <c r="B118" s="1257" t="s">
        <v>2490</v>
      </c>
      <c r="C118" s="1235">
        <v>1159577</v>
      </c>
      <c r="D118" s="1235">
        <v>330000</v>
      </c>
      <c r="E118" s="1235">
        <v>0</v>
      </c>
      <c r="F118" s="1235">
        <v>1489000</v>
      </c>
      <c r="G118" s="1235">
        <f>C118+D118+E118-F118</f>
        <v>577</v>
      </c>
      <c r="H118" s="1260">
        <f>52656.3335817456/1000</f>
        <v>52.656333581745599</v>
      </c>
      <c r="I118" s="1260">
        <f>50447.11/1000</f>
        <v>50.447110000000002</v>
      </c>
      <c r="J118" s="1260">
        <f>I118-H118</f>
        <v>-2.2092235817455972</v>
      </c>
      <c r="K118" s="1262">
        <f>ROUND(I118/$X$40,2)</f>
        <v>0</v>
      </c>
      <c r="L118" s="1262">
        <f>ROUND(I118/$X$41,2)</f>
        <v>0</v>
      </c>
      <c r="M118" s="1262">
        <v>0</v>
      </c>
      <c r="N118" s="1263"/>
      <c r="O118" s="1265">
        <f>I118/$Q$8</f>
        <v>4.2707361556623717E-6</v>
      </c>
      <c r="P118" s="1265"/>
      <c r="Q118" s="1266">
        <v>979003020</v>
      </c>
      <c r="R118" s="1267">
        <v>1355170</v>
      </c>
      <c r="S118" s="1267">
        <f t="shared" ref="S118:S149" si="23">R118/1000</f>
        <v>1355.17</v>
      </c>
      <c r="T118" s="1267">
        <v>1011535</v>
      </c>
      <c r="U118" s="1267">
        <f t="shared" ref="U118:U149" si="24">T118/1000</f>
        <v>1011.535</v>
      </c>
      <c r="V118" s="1268">
        <v>979003</v>
      </c>
      <c r="X118" s="1256"/>
    </row>
    <row r="119" spans="1:24" s="1257" customFormat="1" ht="13.8">
      <c r="B119" s="1257" t="s">
        <v>498</v>
      </c>
      <c r="C119" s="1235">
        <v>0</v>
      </c>
      <c r="D119" s="1235">
        <v>24040</v>
      </c>
      <c r="E119" s="1235">
        <v>3606</v>
      </c>
      <c r="F119" s="1235">
        <v>0</v>
      </c>
      <c r="G119" s="1235">
        <f>C119+D119+E119-F119</f>
        <v>27646</v>
      </c>
      <c r="H119" s="1277">
        <f>8077145.001/1000</f>
        <v>8077.1450009999999</v>
      </c>
      <c r="I119" s="1277">
        <f>6789581.14/1000</f>
        <v>6789.5811399999993</v>
      </c>
      <c r="J119" s="1277">
        <f>I119-H119</f>
        <v>-1287.5638610000005</v>
      </c>
      <c r="K119" s="1368">
        <f>ROUND(I119/$X$40,2)</f>
        <v>0</v>
      </c>
      <c r="L119" s="1368">
        <f>ROUND(I119/$X$41,2)</f>
        <v>0</v>
      </c>
      <c r="M119" s="1298">
        <v>0</v>
      </c>
      <c r="N119" s="1263"/>
      <c r="O119" s="1265">
        <f>I119/$Q$8</f>
        <v>5.7479030327805376E-4</v>
      </c>
      <c r="P119" s="1265"/>
      <c r="Q119" s="1266">
        <v>3184672780</v>
      </c>
      <c r="R119" s="1267">
        <v>0</v>
      </c>
      <c r="S119" s="1267">
        <f t="shared" si="23"/>
        <v>0</v>
      </c>
      <c r="T119" s="1267">
        <v>0</v>
      </c>
      <c r="U119" s="1267">
        <f t="shared" si="24"/>
        <v>0</v>
      </c>
      <c r="V119" s="1268">
        <v>3184672</v>
      </c>
      <c r="W119" s="1268"/>
      <c r="X119" s="1256"/>
    </row>
    <row r="120" spans="1:24" s="1257" customFormat="1" ht="13.8">
      <c r="C120" s="1235"/>
      <c r="D120" s="1235"/>
      <c r="E120" s="1235"/>
      <c r="F120" s="1235"/>
      <c r="G120" s="1235"/>
      <c r="H120" s="1235">
        <f>SUM(H118:H119)</f>
        <v>8129.8013345817453</v>
      </c>
      <c r="I120" s="1235">
        <f>ROUND(SUM(I118:I119),0)</f>
        <v>6840</v>
      </c>
      <c r="J120" s="1235">
        <f>ROUND(SUM(J118:J119),0)</f>
        <v>-1290</v>
      </c>
      <c r="K120" s="1269">
        <f>SUM(K118:K119)</f>
        <v>0</v>
      </c>
      <c r="L120" s="1269">
        <f>SUM(L118:L119)</f>
        <v>0</v>
      </c>
      <c r="M120" s="1362"/>
      <c r="N120" s="1358">
        <f>I120/'5.2'!$T$2</f>
        <v>5.7905864873616637E-4</v>
      </c>
      <c r="O120" s="1265">
        <f>I120/$Q$8</f>
        <v>5.7905864785377434E-4</v>
      </c>
      <c r="P120" s="1265"/>
      <c r="Q120" s="1363"/>
      <c r="R120" s="1364"/>
      <c r="S120" s="1267">
        <f t="shared" si="23"/>
        <v>0</v>
      </c>
      <c r="T120" s="1364"/>
      <c r="U120" s="1267">
        <f t="shared" si="24"/>
        <v>0</v>
      </c>
      <c r="V120" s="1340"/>
      <c r="W120" s="1268"/>
      <c r="X120" s="1256"/>
    </row>
    <row r="121" spans="1:24" s="1257" customFormat="1" ht="13.8">
      <c r="B121" s="1353" t="s">
        <v>1055</v>
      </c>
      <c r="C121" s="1235"/>
      <c r="D121" s="1235"/>
      <c r="E121" s="1235"/>
      <c r="F121" s="1235"/>
      <c r="G121" s="1235"/>
      <c r="H121" s="1235"/>
      <c r="I121" s="1235"/>
      <c r="J121" s="1235"/>
      <c r="K121" s="1282"/>
      <c r="L121" s="1369"/>
      <c r="M121" s="1358"/>
      <c r="N121" s="1358"/>
      <c r="O121" s="1358"/>
      <c r="P121" s="1358"/>
      <c r="Q121" s="1363"/>
      <c r="R121" s="1364"/>
      <c r="S121" s="1267">
        <f t="shared" ref="S121:S129" si="25">R121/1000</f>
        <v>0</v>
      </c>
      <c r="T121" s="1364"/>
      <c r="U121" s="1267">
        <f t="shared" ref="U121:U129" si="26">T121/1000</f>
        <v>0</v>
      </c>
      <c r="V121" s="1340"/>
      <c r="W121" s="1268"/>
      <c r="X121" s="1256"/>
    </row>
    <row r="122" spans="1:24" s="1257" customFormat="1" ht="13.8">
      <c r="A122" s="1303" t="s">
        <v>1076</v>
      </c>
      <c r="B122" s="1257" t="s">
        <v>2436</v>
      </c>
      <c r="C122" s="1235">
        <v>2594100</v>
      </c>
      <c r="D122" s="1235">
        <v>3479400</v>
      </c>
      <c r="E122" s="1235">
        <v>0</v>
      </c>
      <c r="F122" s="1235">
        <v>413500</v>
      </c>
      <c r="G122" s="1235">
        <f>C122+D122+E122-F122</f>
        <v>5660000</v>
      </c>
      <c r="H122" s="1292">
        <f>518912087.721306/1000</f>
        <v>518912.08772130602</v>
      </c>
      <c r="I122" s="1292">
        <f>485571400/1000</f>
        <v>485571.4</v>
      </c>
      <c r="J122" s="1292">
        <f>I122-H122</f>
        <v>-33340.687721305992</v>
      </c>
      <c r="K122" s="1318">
        <f>I122/$X$40</f>
        <v>4.1107356542241021E-2</v>
      </c>
      <c r="L122" s="1359">
        <f>I122/$X$41</f>
        <v>4.3122704641984984E-2</v>
      </c>
      <c r="M122" s="1294">
        <f>G122*10/Q122</f>
        <v>4.8913092323721015E-3</v>
      </c>
      <c r="N122" s="1263"/>
      <c r="O122" s="1264">
        <f>I122/$Q$8</f>
        <v>4.1107356479600031E-2</v>
      </c>
      <c r="P122" s="1265"/>
      <c r="Q122" s="1266">
        <v>11571544000</v>
      </c>
      <c r="R122" s="1267">
        <v>349048646</v>
      </c>
      <c r="S122" s="1267">
        <f t="shared" si="25"/>
        <v>349048.64600000001</v>
      </c>
      <c r="T122" s="1267">
        <v>270925200</v>
      </c>
      <c r="U122" s="1267">
        <f t="shared" si="26"/>
        <v>270925.2</v>
      </c>
      <c r="V122" s="1370">
        <v>11571544</v>
      </c>
      <c r="W122" s="1268"/>
      <c r="X122" s="1256"/>
    </row>
    <row r="123" spans="1:24" s="1257" customFormat="1" ht="13.8">
      <c r="B123" s="1257" t="s">
        <v>2304</v>
      </c>
      <c r="C123" s="1235">
        <v>6700000</v>
      </c>
      <c r="D123" s="1235">
        <v>0</v>
      </c>
      <c r="E123" s="1235">
        <v>0</v>
      </c>
      <c r="F123" s="1235">
        <v>6700000</v>
      </c>
      <c r="G123" s="1235">
        <f>C123+D123+E123-F123</f>
        <v>0</v>
      </c>
      <c r="H123" s="1271">
        <v>0</v>
      </c>
      <c r="I123" s="1271">
        <v>0</v>
      </c>
      <c r="J123" s="1271">
        <f>I123-H123</f>
        <v>0</v>
      </c>
      <c r="K123" s="1273">
        <f>ROUND(I123/$X$40,2)</f>
        <v>0</v>
      </c>
      <c r="L123" s="1272">
        <f>ROUND(I123/$X$41,2)</f>
        <v>0</v>
      </c>
      <c r="M123" s="1273">
        <f>G123*3.5/Q123</f>
        <v>0</v>
      </c>
      <c r="N123" s="1263"/>
      <c r="O123" s="1264">
        <f>I123/$Q$8</f>
        <v>0</v>
      </c>
      <c r="P123" s="1265"/>
      <c r="Q123" s="1266">
        <v>96653179857.5</v>
      </c>
      <c r="R123" s="1267">
        <v>0</v>
      </c>
      <c r="S123" s="1267">
        <f t="shared" si="25"/>
        <v>0</v>
      </c>
      <c r="T123" s="1267"/>
      <c r="U123" s="1267">
        <f t="shared" si="26"/>
        <v>0</v>
      </c>
      <c r="V123" s="1370"/>
      <c r="W123" s="1268"/>
      <c r="X123" s="1256"/>
    </row>
    <row r="124" spans="1:24" s="1257" customFormat="1" ht="13.8">
      <c r="A124" s="1371"/>
      <c r="B124" s="1257" t="s">
        <v>2491</v>
      </c>
      <c r="C124" s="1235">
        <v>327000</v>
      </c>
      <c r="D124" s="1235">
        <v>0</v>
      </c>
      <c r="E124" s="1235">
        <v>0</v>
      </c>
      <c r="F124" s="1235">
        <v>0</v>
      </c>
      <c r="G124" s="1235">
        <f>C124+D124+E124-F124</f>
        <v>327000</v>
      </c>
      <c r="H124" s="1271">
        <f>12409650/1000</f>
        <v>12409.65</v>
      </c>
      <c r="I124" s="1271">
        <f>12099000/1000</f>
        <v>12099</v>
      </c>
      <c r="J124" s="1271">
        <f>I124-H124</f>
        <v>-310.64999999999964</v>
      </c>
      <c r="K124" s="1372">
        <f>ROUND(I124/$X$40,2)</f>
        <v>0</v>
      </c>
      <c r="L124" s="1373">
        <f>ROUND(I124/$X$41,2)</f>
        <v>0</v>
      </c>
      <c r="M124" s="1273">
        <f>G124*10/Q124</f>
        <v>3.7148401118956191E-4</v>
      </c>
      <c r="N124" s="1263"/>
      <c r="O124" s="1264">
        <f>I124/$Q$8</f>
        <v>1.0242734766641544E-3</v>
      </c>
      <c r="P124" s="1265"/>
      <c r="Q124" s="1266">
        <v>8802532280</v>
      </c>
      <c r="R124" s="1267">
        <v>0</v>
      </c>
      <c r="S124" s="1267">
        <f t="shared" si="25"/>
        <v>0</v>
      </c>
      <c r="T124" s="1267"/>
      <c r="U124" s="1267">
        <f t="shared" si="26"/>
        <v>0</v>
      </c>
      <c r="V124" s="1340">
        <v>8802532</v>
      </c>
      <c r="W124" s="1268"/>
      <c r="X124" s="1256"/>
    </row>
    <row r="125" spans="1:24" s="1257" customFormat="1" ht="13.8">
      <c r="A125" s="1303" t="s">
        <v>1104</v>
      </c>
      <c r="B125" s="1257" t="s">
        <v>2492</v>
      </c>
      <c r="C125" s="1235">
        <v>0</v>
      </c>
      <c r="D125" s="1235">
        <v>15500</v>
      </c>
      <c r="E125" s="1235">
        <v>0</v>
      </c>
      <c r="F125" s="1235">
        <v>15500</v>
      </c>
      <c r="G125" s="1235">
        <f>C125+D125+E125-F125</f>
        <v>0</v>
      </c>
      <c r="H125" s="1296">
        <v>0</v>
      </c>
      <c r="I125" s="1296">
        <v>0</v>
      </c>
      <c r="J125" s="1296">
        <f>I125-H125</f>
        <v>0</v>
      </c>
      <c r="K125" s="1374">
        <f>ROUND(I125/$X$40,2)</f>
        <v>0</v>
      </c>
      <c r="L125" s="1375">
        <f>ROUND(I125/$X$41,2)</f>
        <v>0</v>
      </c>
      <c r="M125" s="1298">
        <f>G125*10/Q125</f>
        <v>0</v>
      </c>
      <c r="N125" s="1263"/>
      <c r="O125" s="1264">
        <f>I125/$Q$8</f>
        <v>0</v>
      </c>
      <c r="P125" s="1265"/>
      <c r="Q125" s="1266">
        <v>3540885000</v>
      </c>
      <c r="R125" s="1267">
        <v>0</v>
      </c>
      <c r="S125" s="1267">
        <f t="shared" si="25"/>
        <v>0</v>
      </c>
      <c r="T125" s="1267"/>
      <c r="U125" s="1267">
        <f t="shared" si="26"/>
        <v>0</v>
      </c>
      <c r="V125" s="1340">
        <v>3540885</v>
      </c>
      <c r="W125" s="1268"/>
      <c r="X125" s="1256"/>
    </row>
    <row r="126" spans="1:24" s="1257" customFormat="1" ht="13.8">
      <c r="C126" s="1235"/>
      <c r="D126" s="1235"/>
      <c r="E126" s="1235"/>
      <c r="F126" s="1235"/>
      <c r="G126" s="1235"/>
      <c r="H126" s="1235">
        <f>ROUND(SUM(H122:H125),0)</f>
        <v>531322</v>
      </c>
      <c r="I126" s="1235">
        <f>ROUND(SUM(I122:I125),0)</f>
        <v>497670</v>
      </c>
      <c r="J126" s="1235">
        <f>ROUND(SUM(J122:J125),0)</f>
        <v>-33651</v>
      </c>
      <c r="K126" s="1284">
        <f>SUM(K122:K125)</f>
        <v>4.1107356542241021E-2</v>
      </c>
      <c r="L126" s="1284">
        <f>SUM(L122:L125)</f>
        <v>4.3122704641984984E-2</v>
      </c>
      <c r="M126" s="1362"/>
      <c r="N126" s="1358">
        <f>I126/'5.2'!$T$2</f>
        <v>4.2131596157387124E-2</v>
      </c>
      <c r="O126" s="1264">
        <f>I126/$Q$8</f>
        <v>4.2131596093185363E-2</v>
      </c>
      <c r="P126" s="1265"/>
      <c r="Q126" s="1363"/>
      <c r="R126" s="1364"/>
      <c r="S126" s="1267">
        <f t="shared" si="25"/>
        <v>0</v>
      </c>
      <c r="T126" s="1364"/>
      <c r="U126" s="1267">
        <f t="shared" si="26"/>
        <v>0</v>
      </c>
      <c r="V126" s="1340"/>
      <c r="W126" s="1268"/>
      <c r="X126" s="1256"/>
    </row>
    <row r="127" spans="1:24" s="1257" customFormat="1" ht="12.75" hidden="1" customHeight="1">
      <c r="B127" s="1353" t="s">
        <v>1057</v>
      </c>
      <c r="C127" s="1235"/>
      <c r="D127" s="1235"/>
      <c r="E127" s="1235"/>
      <c r="F127" s="1235"/>
      <c r="G127" s="1235"/>
      <c r="H127" s="1235"/>
      <c r="I127" s="1235"/>
      <c r="J127" s="1235"/>
      <c r="K127" s="1284"/>
      <c r="L127" s="1284"/>
      <c r="M127" s="1362"/>
      <c r="N127" s="1358"/>
      <c r="O127" s="1358"/>
      <c r="P127" s="1358"/>
      <c r="Q127" s="1363"/>
      <c r="R127" s="1364"/>
      <c r="S127" s="1267">
        <f t="shared" si="25"/>
        <v>0</v>
      </c>
      <c r="T127" s="1364"/>
      <c r="U127" s="1267">
        <f t="shared" si="26"/>
        <v>0</v>
      </c>
      <c r="V127" s="1340"/>
      <c r="W127" s="1268"/>
      <c r="X127" s="1256"/>
    </row>
    <row r="128" spans="1:24" s="1257" customFormat="1" ht="12.75" hidden="1" customHeight="1">
      <c r="B128" s="1257" t="s">
        <v>471</v>
      </c>
      <c r="C128" s="1235">
        <v>0</v>
      </c>
      <c r="D128" s="1235">
        <v>418400</v>
      </c>
      <c r="E128" s="1235">
        <v>0</v>
      </c>
      <c r="F128" s="1235">
        <v>328100</v>
      </c>
      <c r="G128" s="1235">
        <f>C128+D128+E128-F128</f>
        <v>90300</v>
      </c>
      <c r="H128" s="1335">
        <f>ROUND(137315.094,0)</f>
        <v>137315</v>
      </c>
      <c r="I128" s="1335">
        <v>90463.967999999993</v>
      </c>
      <c r="J128" s="1335">
        <f>I128-H128</f>
        <v>-46851.032000000007</v>
      </c>
      <c r="K128" s="1365">
        <f>I128/$X$40</f>
        <v>7.6584712089754082E-3</v>
      </c>
      <c r="L128" s="1365">
        <f>I128/$X$41</f>
        <v>8.0339389280463819E-3</v>
      </c>
      <c r="M128" s="1289">
        <f>G128*10/Q128</f>
        <v>1.0587035278393302E-3</v>
      </c>
      <c r="N128" s="1358"/>
      <c r="O128" s="1264">
        <f>I128/$Q$8</f>
        <v>7.6584711973051332E-3</v>
      </c>
      <c r="P128" s="1265"/>
      <c r="Q128" s="1266">
        <v>852930000</v>
      </c>
      <c r="R128" s="1364">
        <v>137315094</v>
      </c>
      <c r="S128" s="1267">
        <f t="shared" si="25"/>
        <v>137315.09400000001</v>
      </c>
      <c r="T128" s="1364">
        <v>90463968</v>
      </c>
      <c r="U128" s="1267">
        <f t="shared" si="26"/>
        <v>90463.967999999993</v>
      </c>
      <c r="V128" s="1340">
        <v>852930</v>
      </c>
      <c r="W128" s="1268"/>
      <c r="X128" s="1256"/>
    </row>
    <row r="129" spans="1:25" s="1257" customFormat="1" ht="12.75" hidden="1" customHeight="1">
      <c r="C129" s="1235"/>
      <c r="D129" s="1235"/>
      <c r="E129" s="1235"/>
      <c r="F129" s="1235"/>
      <c r="G129" s="1235"/>
      <c r="H129" s="1235">
        <f>SUM(H128:H128)</f>
        <v>137315</v>
      </c>
      <c r="I129" s="1235">
        <f>ROUND(SUM(I128:I128),0)</f>
        <v>90464</v>
      </c>
      <c r="J129" s="1235">
        <f>ROUND(SUM(J128:J128),0)</f>
        <v>-46851</v>
      </c>
      <c r="K129" s="1284">
        <f>SUM(K128:K128)</f>
        <v>7.6584712089754082E-3</v>
      </c>
      <c r="L129" s="1284">
        <f>SUM(L128:L128)</f>
        <v>8.0339389280463819E-3</v>
      </c>
      <c r="M129" s="1362"/>
      <c r="N129" s="1358">
        <f>I129/'5.2'!$T$2</f>
        <v>7.6584739180217192E-3</v>
      </c>
      <c r="O129" s="1264">
        <f>I129/$Q$8</f>
        <v>7.6584739063514391E-3</v>
      </c>
      <c r="P129" s="1265"/>
      <c r="Q129" s="1363"/>
      <c r="R129" s="1364"/>
      <c r="S129" s="1267">
        <f t="shared" si="25"/>
        <v>0</v>
      </c>
      <c r="T129" s="1364"/>
      <c r="U129" s="1267">
        <f t="shared" si="26"/>
        <v>0</v>
      </c>
      <c r="V129" s="1340"/>
      <c r="W129" s="1268"/>
      <c r="X129" s="1256"/>
    </row>
    <row r="130" spans="1:25" s="1257" customFormat="1" ht="12.75" hidden="1" customHeight="1">
      <c r="A130" s="1227"/>
      <c r="B130" s="1304"/>
      <c r="C130" s="1244"/>
      <c r="D130" s="1251"/>
      <c r="E130" s="1251"/>
      <c r="F130" s="1251"/>
      <c r="G130" s="1305"/>
      <c r="H130" s="1305"/>
      <c r="I130" s="1305"/>
      <c r="J130" s="1305"/>
      <c r="K130" s="1306"/>
      <c r="L130" s="1306"/>
      <c r="M130" s="1306"/>
      <c r="N130" s="1306"/>
      <c r="O130" s="1306"/>
      <c r="P130" s="1306"/>
      <c r="Q130" s="1253"/>
      <c r="R130" s="1306"/>
      <c r="S130" s="1267">
        <f t="shared" si="23"/>
        <v>0</v>
      </c>
      <c r="T130" s="1306"/>
      <c r="U130" s="1267">
        <f t="shared" si="24"/>
        <v>0</v>
      </c>
      <c r="V130" s="1254"/>
      <c r="W130" s="1256"/>
      <c r="X130" s="1256"/>
    </row>
    <row r="131" spans="1:25" ht="13.8">
      <c r="A131" s="1227"/>
      <c r="B131" s="1307"/>
      <c r="C131" s="1308"/>
      <c r="E131" s="1309"/>
      <c r="F131" s="1309"/>
      <c r="G131" s="1309"/>
      <c r="H131" s="1309"/>
      <c r="I131" s="1309"/>
      <c r="J131" s="1309"/>
      <c r="K131" s="1310"/>
      <c r="L131" s="1311"/>
      <c r="M131" s="1311"/>
      <c r="N131" s="1311"/>
      <c r="O131" s="1311"/>
      <c r="P131" s="1311"/>
      <c r="Q131" s="1312"/>
      <c r="R131" s="1311"/>
      <c r="S131" s="1267">
        <f t="shared" si="23"/>
        <v>0</v>
      </c>
      <c r="T131" s="1311"/>
      <c r="U131" s="1267">
        <f t="shared" si="24"/>
        <v>0</v>
      </c>
    </row>
    <row r="132" spans="1:25" s="1233" customFormat="1" ht="12.75" customHeight="1">
      <c r="A132" s="1230"/>
      <c r="B132" s="2490" t="s">
        <v>116</v>
      </c>
      <c r="C132" s="2490" t="s">
        <v>2449</v>
      </c>
      <c r="D132" s="2490" t="s">
        <v>130</v>
      </c>
      <c r="E132" s="2490" t="s">
        <v>119</v>
      </c>
      <c r="F132" s="2490" t="s">
        <v>2420</v>
      </c>
      <c r="G132" s="2490" t="s">
        <v>2450</v>
      </c>
      <c r="H132" s="2499" t="s">
        <v>2450</v>
      </c>
      <c r="I132" s="2500"/>
      <c r="J132" s="2501"/>
      <c r="K132" s="2493" t="s">
        <v>308</v>
      </c>
      <c r="L132" s="2494"/>
      <c r="M132" s="2497" t="s">
        <v>708</v>
      </c>
      <c r="N132" s="1231"/>
      <c r="O132" s="1231"/>
      <c r="P132" s="1231"/>
      <c r="Q132" s="1232"/>
      <c r="R132" s="1231"/>
      <c r="S132" s="1267">
        <f t="shared" si="23"/>
        <v>0</v>
      </c>
      <c r="T132" s="1231"/>
      <c r="U132" s="1267">
        <f t="shared" si="24"/>
        <v>0</v>
      </c>
      <c r="W132" s="1234" t="s">
        <v>166</v>
      </c>
      <c r="X132" s="1254">
        <f>ROUND(BS!$F$29,0)</f>
        <v>11812275</v>
      </c>
      <c r="Y132" s="1236"/>
    </row>
    <row r="133" spans="1:25" s="1233" customFormat="1" ht="12.75" customHeight="1">
      <c r="A133" s="1230"/>
      <c r="B133" s="2474"/>
      <c r="C133" s="2474"/>
      <c r="D133" s="2474"/>
      <c r="E133" s="2474"/>
      <c r="F133" s="2474"/>
      <c r="G133" s="2474"/>
      <c r="H133" s="2490" t="s">
        <v>984</v>
      </c>
      <c r="I133" s="2490" t="s">
        <v>2451</v>
      </c>
      <c r="J133" s="2490" t="s">
        <v>1028</v>
      </c>
      <c r="K133" s="2495"/>
      <c r="L133" s="2496"/>
      <c r="M133" s="2483"/>
      <c r="N133" s="1231"/>
      <c r="O133" s="1231"/>
      <c r="P133" s="1231"/>
      <c r="Q133" s="1232"/>
      <c r="R133" s="1231"/>
      <c r="S133" s="1267">
        <f t="shared" si="23"/>
        <v>0</v>
      </c>
      <c r="T133" s="1231"/>
      <c r="U133" s="1267">
        <f t="shared" si="24"/>
        <v>0</v>
      </c>
      <c r="W133" s="1237" t="s">
        <v>167</v>
      </c>
      <c r="X133" s="1253">
        <f>ROUND(BS!$F$12,0)</f>
        <v>11260226</v>
      </c>
      <c r="Y133" s="1236"/>
    </row>
    <row r="134" spans="1:25" s="1233" customFormat="1" ht="12.75" customHeight="1">
      <c r="A134" s="1230"/>
      <c r="B134" s="2474"/>
      <c r="C134" s="2474"/>
      <c r="D134" s="2474"/>
      <c r="E134" s="2474"/>
      <c r="F134" s="2474"/>
      <c r="G134" s="2474"/>
      <c r="H134" s="2474"/>
      <c r="I134" s="2474"/>
      <c r="J134" s="2474"/>
      <c r="K134" s="2497" t="s">
        <v>121</v>
      </c>
      <c r="L134" s="2497" t="s">
        <v>295</v>
      </c>
      <c r="M134" s="2483"/>
      <c r="N134" s="1231"/>
      <c r="O134" s="1231"/>
      <c r="P134" s="1231"/>
      <c r="Q134" s="1232"/>
      <c r="R134" s="1231"/>
      <c r="S134" s="1267">
        <f t="shared" si="23"/>
        <v>0</v>
      </c>
      <c r="T134" s="1231"/>
      <c r="U134" s="1267">
        <f t="shared" si="24"/>
        <v>0</v>
      </c>
      <c r="W134" s="1234"/>
      <c r="X134" s="1239"/>
      <c r="Y134" s="1236"/>
    </row>
    <row r="135" spans="1:25" s="1233" customFormat="1" ht="13.8">
      <c r="A135" s="1230"/>
      <c r="B135" s="2474"/>
      <c r="C135" s="2474"/>
      <c r="D135" s="2474"/>
      <c r="E135" s="2474"/>
      <c r="F135" s="2474"/>
      <c r="G135" s="2474"/>
      <c r="H135" s="2474"/>
      <c r="I135" s="2474"/>
      <c r="J135" s="2474"/>
      <c r="K135" s="2483"/>
      <c r="L135" s="2483"/>
      <c r="M135" s="2483"/>
      <c r="N135" s="1231"/>
      <c r="O135" s="1231"/>
      <c r="P135" s="1231"/>
      <c r="Q135" s="1232"/>
      <c r="R135" s="1231"/>
      <c r="S135" s="1267">
        <f t="shared" si="23"/>
        <v>0</v>
      </c>
      <c r="T135" s="1231"/>
      <c r="U135" s="1267">
        <f t="shared" si="24"/>
        <v>0</v>
      </c>
      <c r="X135" s="1240"/>
    </row>
    <row r="136" spans="1:25" s="1233" customFormat="1" ht="13.8">
      <c r="A136" s="1230"/>
      <c r="B136" s="2474"/>
      <c r="C136" s="2474"/>
      <c r="D136" s="2474"/>
      <c r="E136" s="2474"/>
      <c r="F136" s="2474"/>
      <c r="G136" s="2474"/>
      <c r="H136" s="2474"/>
      <c r="I136" s="2474"/>
      <c r="J136" s="2474"/>
      <c r="K136" s="2483"/>
      <c r="L136" s="2483"/>
      <c r="M136" s="2483"/>
      <c r="N136" s="1231"/>
      <c r="O136" s="1231"/>
      <c r="P136" s="1231"/>
      <c r="Q136" s="1232"/>
      <c r="R136" s="1231"/>
      <c r="S136" s="1267">
        <f t="shared" si="23"/>
        <v>0</v>
      </c>
      <c r="T136" s="1231"/>
      <c r="U136" s="1267">
        <f t="shared" si="24"/>
        <v>0</v>
      </c>
      <c r="X136" s="1240"/>
    </row>
    <row r="137" spans="1:25" s="1233" customFormat="1" ht="13.8">
      <c r="A137" s="1230"/>
      <c r="B137" s="2491"/>
      <c r="C137" s="2491"/>
      <c r="D137" s="2491"/>
      <c r="E137" s="2491"/>
      <c r="F137" s="2491"/>
      <c r="G137" s="2491"/>
      <c r="H137" s="2491"/>
      <c r="I137" s="2491"/>
      <c r="J137" s="2491"/>
      <c r="K137" s="2498"/>
      <c r="L137" s="2498"/>
      <c r="M137" s="2498"/>
      <c r="N137" s="1231"/>
      <c r="O137" s="1231"/>
      <c r="P137" s="1231"/>
      <c r="Q137" s="1232"/>
      <c r="R137" s="1231"/>
      <c r="S137" s="1267">
        <f t="shared" si="23"/>
        <v>0</v>
      </c>
      <c r="T137" s="1231"/>
      <c r="U137" s="1267">
        <f t="shared" si="24"/>
        <v>0</v>
      </c>
      <c r="X137" s="1240"/>
    </row>
    <row r="138" spans="1:25" s="1233" customFormat="1" ht="13.8">
      <c r="A138" s="1230"/>
      <c r="B138" s="1241"/>
      <c r="C138" s="2486" t="s">
        <v>2364</v>
      </c>
      <c r="D138" s="2486"/>
      <c r="E138" s="2486"/>
      <c r="F138" s="2486"/>
      <c r="G138" s="2486"/>
      <c r="H138" s="2486" t="s">
        <v>2365</v>
      </c>
      <c r="I138" s="2486"/>
      <c r="J138" s="2486"/>
      <c r="K138" s="2492" t="s">
        <v>2366</v>
      </c>
      <c r="L138" s="2492"/>
      <c r="M138" s="2492"/>
      <c r="N138" s="1242"/>
      <c r="O138" s="1242"/>
      <c r="P138" s="1242"/>
      <c r="Q138" s="1243"/>
      <c r="R138" s="1242"/>
      <c r="S138" s="1267">
        <f t="shared" si="23"/>
        <v>0</v>
      </c>
      <c r="T138" s="1242"/>
      <c r="U138" s="1267">
        <f t="shared" si="24"/>
        <v>0</v>
      </c>
      <c r="X138" s="1240"/>
    </row>
    <row r="139" spans="1:25" s="1257" customFormat="1" ht="13.8">
      <c r="B139" s="1353" t="s">
        <v>1058</v>
      </c>
      <c r="C139" s="1235"/>
      <c r="D139" s="1235"/>
      <c r="E139" s="1235"/>
      <c r="F139" s="1235"/>
      <c r="G139" s="1235"/>
      <c r="H139" s="1235"/>
      <c r="I139" s="1235"/>
      <c r="J139" s="1235"/>
      <c r="K139" s="1284"/>
      <c r="L139" s="1284"/>
      <c r="M139" s="1362"/>
      <c r="N139" s="1358"/>
      <c r="O139" s="1358"/>
      <c r="P139" s="1358"/>
      <c r="Q139" s="1363"/>
      <c r="R139" s="1364"/>
      <c r="S139" s="1267">
        <f t="shared" si="23"/>
        <v>0</v>
      </c>
      <c r="T139" s="1364"/>
      <c r="U139" s="1267">
        <f t="shared" si="24"/>
        <v>0</v>
      </c>
      <c r="V139" s="1340"/>
      <c r="W139" s="1268"/>
      <c r="X139" s="1256"/>
    </row>
    <row r="140" spans="1:25" s="1257" customFormat="1" ht="13.8">
      <c r="B140" s="1257" t="s">
        <v>2057</v>
      </c>
      <c r="C140" s="1235">
        <v>0</v>
      </c>
      <c r="D140" s="1235">
        <v>631500</v>
      </c>
      <c r="E140" s="1235">
        <v>0</v>
      </c>
      <c r="F140" s="1235">
        <v>631500</v>
      </c>
      <c r="G140" s="1235">
        <f>C140+D140+E140-F140</f>
        <v>0</v>
      </c>
      <c r="H140" s="1260">
        <v>0</v>
      </c>
      <c r="I140" s="1260">
        <v>0</v>
      </c>
      <c r="J140" s="1260">
        <f>I140-H140</f>
        <v>0</v>
      </c>
      <c r="K140" s="1376">
        <f>I140/$X$40</f>
        <v>0</v>
      </c>
      <c r="L140" s="1377">
        <f>I140/$X$41</f>
        <v>0</v>
      </c>
      <c r="M140" s="1376">
        <f>G140*10/Q140</f>
        <v>0</v>
      </c>
      <c r="N140" s="1358"/>
      <c r="O140" s="1264">
        <f>I140/$Q$8</f>
        <v>0</v>
      </c>
      <c r="P140" s="1265"/>
      <c r="Q140" s="1266">
        <v>896859230</v>
      </c>
      <c r="R140" s="1364">
        <v>53752985</v>
      </c>
      <c r="S140" s="1267">
        <f t="shared" si="23"/>
        <v>53752.985000000001</v>
      </c>
      <c r="T140" s="1364">
        <v>58883825</v>
      </c>
      <c r="U140" s="1267">
        <f t="shared" si="24"/>
        <v>58883.824999999997</v>
      </c>
      <c r="V140" s="1340">
        <v>1056993</v>
      </c>
      <c r="W140" s="1268"/>
      <c r="X140" s="1256"/>
    </row>
    <row r="141" spans="1:25" s="1257" customFormat="1" ht="13.8">
      <c r="B141" s="1257" t="s">
        <v>1067</v>
      </c>
      <c r="C141" s="1235">
        <v>1127500</v>
      </c>
      <c r="D141" s="1235">
        <v>267250</v>
      </c>
      <c r="E141" s="1235">
        <v>0</v>
      </c>
      <c r="F141" s="1235">
        <v>0</v>
      </c>
      <c r="G141" s="1235">
        <f>C141+D141+E141-F141</f>
        <v>1394750</v>
      </c>
      <c r="H141" s="1271">
        <f>143233915/1000</f>
        <v>143233.91500000001</v>
      </c>
      <c r="I141" s="1271">
        <f>153241182.5/1000</f>
        <v>153241.1825</v>
      </c>
      <c r="J141" s="1271">
        <f>I141-H141</f>
        <v>10007.267499999987</v>
      </c>
      <c r="K141" s="1378">
        <v>0</v>
      </c>
      <c r="L141" s="1378">
        <v>0</v>
      </c>
      <c r="M141" s="1372">
        <v>0</v>
      </c>
      <c r="N141" s="1358"/>
      <c r="O141" s="1264">
        <f>I141/$Q$8</f>
        <v>1.2973045604380624E-2</v>
      </c>
      <c r="P141" s="1265"/>
      <c r="Q141" s="1266">
        <v>1118276520</v>
      </c>
      <c r="R141" s="1364">
        <v>187500</v>
      </c>
      <c r="S141" s="1267">
        <f t="shared" si="23"/>
        <v>187.5</v>
      </c>
      <c r="T141" s="1364">
        <v>184800</v>
      </c>
      <c r="U141" s="1267">
        <f t="shared" si="24"/>
        <v>184.8</v>
      </c>
      <c r="V141" s="1340">
        <v>892444</v>
      </c>
      <c r="W141" s="1268"/>
      <c r="X141" s="1256"/>
    </row>
    <row r="142" spans="1:25" s="1257" customFormat="1" ht="13.8">
      <c r="B142" s="1257" t="s">
        <v>2305</v>
      </c>
      <c r="C142" s="1235">
        <v>9750000</v>
      </c>
      <c r="D142" s="1235">
        <v>1000000</v>
      </c>
      <c r="E142" s="1235">
        <v>0</v>
      </c>
      <c r="F142" s="1235">
        <v>0</v>
      </c>
      <c r="G142" s="1235">
        <f>C142+D142+E142-F142</f>
        <v>10750000</v>
      </c>
      <c r="H142" s="1277">
        <f>86127000/1000</f>
        <v>86127</v>
      </c>
      <c r="I142" s="1277">
        <f>47300000/1000</f>
        <v>47300</v>
      </c>
      <c r="J142" s="1277">
        <f>I142-H142</f>
        <v>-38827</v>
      </c>
      <c r="K142" s="1379">
        <f>I142/$X$40</f>
        <v>4.0043090767866475E-3</v>
      </c>
      <c r="L142" s="1380">
        <f>I142/$X$41</f>
        <v>4.2006261686044315E-3</v>
      </c>
      <c r="M142" s="1379">
        <f>G142*1/Q142</f>
        <v>1.1375661375661376E-2</v>
      </c>
      <c r="N142" s="1358"/>
      <c r="O142" s="1264">
        <f>I142/$Q$8</f>
        <v>4.0043090706847265E-3</v>
      </c>
      <c r="P142" s="1265"/>
      <c r="Q142" s="1266">
        <v>945000000</v>
      </c>
      <c r="R142" s="1364">
        <v>85777310</v>
      </c>
      <c r="S142" s="1267">
        <f t="shared" si="23"/>
        <v>85777.31</v>
      </c>
      <c r="T142" s="1364">
        <v>82108500</v>
      </c>
      <c r="U142" s="1267">
        <f t="shared" si="24"/>
        <v>82108.5</v>
      </c>
      <c r="V142" s="1340"/>
      <c r="W142" s="1268"/>
      <c r="X142" s="1256"/>
    </row>
    <row r="143" spans="1:25" s="1257" customFormat="1" ht="13.8">
      <c r="C143" s="1235"/>
      <c r="D143" s="1235"/>
      <c r="E143" s="1235"/>
      <c r="F143" s="1235"/>
      <c r="G143" s="1235"/>
      <c r="H143" s="1235">
        <f>SUM(H140:H142)</f>
        <v>229360.91500000001</v>
      </c>
      <c r="I143" s="1235">
        <f>ROUND(SUM(I140:I142),0)</f>
        <v>200541</v>
      </c>
      <c r="J143" s="1235">
        <f>ROUND(SUM(J140:J142),0)</f>
        <v>-28820</v>
      </c>
      <c r="K143" s="1326">
        <f>SUM(K140:K142)</f>
        <v>4.0043090767866475E-3</v>
      </c>
      <c r="L143" s="1326">
        <f>SUM(L140:L142)</f>
        <v>4.2006261686044315E-3</v>
      </c>
      <c r="M143" s="1362"/>
      <c r="N143" s="1358">
        <f>I143/'5.2'!$T$2</f>
        <v>1.6977339250906366E-2</v>
      </c>
      <c r="O143" s="1264">
        <f>I143/$Q$8</f>
        <v>1.6977339225035637E-2</v>
      </c>
      <c r="P143" s="1265"/>
      <c r="Q143" s="1363"/>
      <c r="R143" s="1364"/>
      <c r="S143" s="1267">
        <f t="shared" si="23"/>
        <v>0</v>
      </c>
      <c r="T143" s="1364"/>
      <c r="U143" s="1267">
        <f t="shared" si="24"/>
        <v>0</v>
      </c>
      <c r="V143" s="1340"/>
      <c r="W143" s="1268"/>
      <c r="X143" s="1256"/>
    </row>
    <row r="144" spans="1:25" s="1257" customFormat="1" ht="13.8">
      <c r="B144" s="1353" t="s">
        <v>1059</v>
      </c>
      <c r="C144" s="1235"/>
      <c r="D144" s="1235"/>
      <c r="E144" s="1235"/>
      <c r="F144" s="1235"/>
      <c r="G144" s="1235"/>
      <c r="H144" s="1235"/>
      <c r="I144" s="1235"/>
      <c r="J144" s="1235"/>
      <c r="K144" s="1284"/>
      <c r="L144" s="1284"/>
      <c r="M144" s="1362"/>
      <c r="N144" s="1358"/>
      <c r="O144" s="1358"/>
      <c r="P144" s="1358"/>
      <c r="Q144" s="1363"/>
      <c r="R144" s="1364"/>
      <c r="S144" s="1267">
        <f t="shared" si="23"/>
        <v>0</v>
      </c>
      <c r="T144" s="1364"/>
      <c r="U144" s="1267">
        <f t="shared" si="24"/>
        <v>0</v>
      </c>
      <c r="V144" s="1340"/>
      <c r="W144" s="1268"/>
      <c r="X144" s="1256"/>
    </row>
    <row r="145" spans="1:24" s="1257" customFormat="1" ht="13.8">
      <c r="B145" s="1257" t="s">
        <v>1175</v>
      </c>
      <c r="C145" s="1235">
        <v>1591378</v>
      </c>
      <c r="D145" s="1235">
        <v>995340</v>
      </c>
      <c r="E145" s="1235">
        <v>0</v>
      </c>
      <c r="F145" s="1235">
        <v>0</v>
      </c>
      <c r="G145" s="1235">
        <f>C145+D145+E145-F145</f>
        <v>2586718</v>
      </c>
      <c r="H145" s="1292">
        <f>142243746.6/1000</f>
        <v>142243.74659999998</v>
      </c>
      <c r="I145" s="1292">
        <f>116609247.44/1000</f>
        <v>116609.24743999999</v>
      </c>
      <c r="J145" s="1292">
        <f>I145-H145</f>
        <v>-25634.499159999992</v>
      </c>
      <c r="K145" s="1318">
        <f>I145/$X$40</f>
        <v>9.8718703585888405E-3</v>
      </c>
      <c r="L145" s="1318">
        <f>I145/$X$41</f>
        <v>1.0355853198683578E-2</v>
      </c>
      <c r="M145" s="1318">
        <f>G145*10/Q145</f>
        <v>8.6426616424753119E-3</v>
      </c>
      <c r="N145" s="1358"/>
      <c r="O145" s="1264">
        <f>I145/$Q$8</f>
        <v>9.8718703435457019E-3</v>
      </c>
      <c r="P145" s="1265"/>
      <c r="Q145" s="1266">
        <v>2992964560</v>
      </c>
      <c r="R145" s="1364">
        <v>156707686</v>
      </c>
      <c r="S145" s="1267">
        <f t="shared" si="23"/>
        <v>156707.68599999999</v>
      </c>
      <c r="T145" s="1364">
        <v>105428793</v>
      </c>
      <c r="U145" s="1267">
        <f t="shared" si="24"/>
        <v>105428.79300000001</v>
      </c>
      <c r="V145" s="1340">
        <v>2970801</v>
      </c>
      <c r="W145" s="1268"/>
      <c r="X145" s="1256"/>
    </row>
    <row r="146" spans="1:24" s="1257" customFormat="1" ht="13.8">
      <c r="B146" s="1257" t="s">
        <v>1060</v>
      </c>
      <c r="C146" s="1235">
        <v>3907400</v>
      </c>
      <c r="D146" s="1235">
        <v>2663500</v>
      </c>
      <c r="E146" s="1235">
        <v>0</v>
      </c>
      <c r="F146" s="1235">
        <v>645000</v>
      </c>
      <c r="G146" s="1235">
        <f>C146+D146+E146-F146</f>
        <v>5925900</v>
      </c>
      <c r="H146" s="1271">
        <f>265650693.881101/1000</f>
        <v>265650.69388110103</v>
      </c>
      <c r="I146" s="1271">
        <f>273539544/1000</f>
        <v>273539.54399999999</v>
      </c>
      <c r="J146" s="1271">
        <f>I146-H146</f>
        <v>7888.8501188989612</v>
      </c>
      <c r="K146" s="1275">
        <f>I146/$X$40</f>
        <v>2.3157227883705722E-2</v>
      </c>
      <c r="L146" s="1275">
        <f>I146/$X$41</f>
        <v>2.429254474998992E-2</v>
      </c>
      <c r="M146" s="1275">
        <f>G146*10/Q146</f>
        <v>1.6622649050082747E-2</v>
      </c>
      <c r="N146" s="1358"/>
      <c r="O146" s="1264">
        <f>I146/$Q$8</f>
        <v>2.3157227848417838E-2</v>
      </c>
      <c r="P146" s="1265"/>
      <c r="Q146" s="1266">
        <v>3564955250</v>
      </c>
      <c r="R146" s="1364">
        <v>110546756</v>
      </c>
      <c r="S146" s="1267">
        <f t="shared" si="23"/>
        <v>110546.75599999999</v>
      </c>
      <c r="T146" s="1364">
        <v>103041612</v>
      </c>
      <c r="U146" s="1267">
        <f t="shared" si="24"/>
        <v>103041.61199999999</v>
      </c>
      <c r="V146" s="1340"/>
      <c r="W146" s="1268"/>
      <c r="X146" s="1256"/>
    </row>
    <row r="147" spans="1:24" s="1257" customFormat="1" ht="13.8">
      <c r="A147" s="1303" t="s">
        <v>1104</v>
      </c>
      <c r="B147" s="1257" t="s">
        <v>2437</v>
      </c>
      <c r="C147" s="1235">
        <v>0</v>
      </c>
      <c r="D147" s="1235">
        <v>673500</v>
      </c>
      <c r="E147" s="1235">
        <v>0</v>
      </c>
      <c r="F147" s="1235">
        <v>0</v>
      </c>
      <c r="G147" s="1235">
        <f>C147+D147+E147-F147</f>
        <v>673500</v>
      </c>
      <c r="H147" s="1271">
        <f>38806679.9685/1000</f>
        <v>38806.679968500001</v>
      </c>
      <c r="I147" s="1271">
        <f>33392130/1000</f>
        <v>33392.129999999997</v>
      </c>
      <c r="J147" s="1271">
        <f>I147-H147</f>
        <v>-5414.5499685000032</v>
      </c>
      <c r="K147" s="1372">
        <f>ROUND(I147/$X$40,2)</f>
        <v>0</v>
      </c>
      <c r="L147" s="1372">
        <f>ROUND(I147/$X$41,2)</f>
        <v>0</v>
      </c>
      <c r="M147" s="1372">
        <f>G147*10/Q147</f>
        <v>2.8036617996096904E-3</v>
      </c>
      <c r="N147" s="1358"/>
      <c r="O147" s="1264">
        <f>I147/$Q$8</f>
        <v>2.8269008255493353E-3</v>
      </c>
      <c r="P147" s="1265"/>
      <c r="Q147" s="1266">
        <v>2402215560</v>
      </c>
      <c r="R147" s="1364">
        <v>0</v>
      </c>
      <c r="S147" s="1267">
        <f t="shared" si="23"/>
        <v>0</v>
      </c>
      <c r="T147" s="1364">
        <v>0</v>
      </c>
      <c r="U147" s="1267">
        <f t="shared" si="24"/>
        <v>0</v>
      </c>
      <c r="V147" s="1340">
        <v>2402215</v>
      </c>
      <c r="W147" s="1268"/>
      <c r="X147" s="1256"/>
    </row>
    <row r="148" spans="1:24" s="1257" customFormat="1" ht="13.8">
      <c r="A148" s="1303" t="s">
        <v>1104</v>
      </c>
      <c r="B148" s="1257" t="s">
        <v>2438</v>
      </c>
      <c r="C148" s="1235">
        <v>2290100</v>
      </c>
      <c r="D148" s="1235">
        <v>0</v>
      </c>
      <c r="E148" s="1235">
        <v>0</v>
      </c>
      <c r="F148" s="1235">
        <v>968500</v>
      </c>
      <c r="G148" s="1235">
        <f>C148+D148+E148-F148</f>
        <v>1321600</v>
      </c>
      <c r="H148" s="1296">
        <f>186239934.326012/1000</f>
        <v>186239.93432601198</v>
      </c>
      <c r="I148" s="1296">
        <f>167222048/1000</f>
        <v>167222.04800000001</v>
      </c>
      <c r="J148" s="1296">
        <f>I148-H148</f>
        <v>-19017.886326011969</v>
      </c>
      <c r="K148" s="1381">
        <f>I148/$X$40</f>
        <v>1.4156633502013795E-2</v>
      </c>
      <c r="L148" s="1381">
        <f>I148/$X$41</f>
        <v>1.4850683103518527E-2</v>
      </c>
      <c r="M148" s="1381">
        <f>G148*10/Q148</f>
        <v>3.7588184622878449E-3</v>
      </c>
      <c r="N148" s="1263"/>
      <c r="O148" s="1264">
        <f>I148/$Q$8</f>
        <v>1.4156633480441369E-2</v>
      </c>
      <c r="P148" s="1265"/>
      <c r="Q148" s="1266">
        <v>3515998480</v>
      </c>
      <c r="R148" s="1267">
        <v>283700906</v>
      </c>
      <c r="S148" s="1267">
        <f t="shared" si="23"/>
        <v>283700.90600000002</v>
      </c>
      <c r="T148" s="1267">
        <v>295202700</v>
      </c>
      <c r="U148" s="1267">
        <f t="shared" si="24"/>
        <v>295202.7</v>
      </c>
      <c r="V148" s="1340">
        <v>3515998</v>
      </c>
      <c r="W148" s="1268"/>
      <c r="X148" s="1256"/>
    </row>
    <row r="149" spans="1:24" s="1257" customFormat="1" ht="13.8">
      <c r="C149" s="1235"/>
      <c r="D149" s="1235"/>
      <c r="E149" s="1235"/>
      <c r="F149" s="1235"/>
      <c r="G149" s="1235"/>
      <c r="H149" s="1235">
        <f>SUM(H145:H148)</f>
        <v>632941.05477561301</v>
      </c>
      <c r="I149" s="1235">
        <f>ROUND(SUM(I145:I148),0)</f>
        <v>590763</v>
      </c>
      <c r="J149" s="1235">
        <f>ROUND(SUM(J145:J148),0)</f>
        <v>-42178</v>
      </c>
      <c r="K149" s="1284">
        <f>SUM(K145:K148)</f>
        <v>4.718573174430836E-2</v>
      </c>
      <c r="L149" s="1284">
        <f>SUM(L145:L148)</f>
        <v>4.9499081052192029E-2</v>
      </c>
      <c r="M149" s="1362"/>
      <c r="N149" s="1358">
        <f>I149/'5.2'!$T$2</f>
        <v>5.0012635161304657E-2</v>
      </c>
      <c r="O149" s="1264">
        <f>I149/$Q$8</f>
        <v>5.0012635085093467E-2</v>
      </c>
      <c r="P149" s="1265"/>
      <c r="Q149" s="1363"/>
      <c r="R149" s="1364"/>
      <c r="S149" s="1267">
        <f t="shared" si="23"/>
        <v>0</v>
      </c>
      <c r="T149" s="1364"/>
      <c r="U149" s="1267">
        <f t="shared" si="24"/>
        <v>0</v>
      </c>
      <c r="V149" s="1340"/>
      <c r="W149" s="1268"/>
      <c r="X149" s="1256"/>
    </row>
    <row r="150" spans="1:24" s="1257" customFormat="1" ht="6" customHeight="1">
      <c r="C150" s="1235"/>
      <c r="D150" s="1235"/>
      <c r="E150" s="1235"/>
      <c r="F150" s="1235"/>
      <c r="G150" s="1235"/>
      <c r="H150" s="1235"/>
      <c r="I150" s="1235"/>
      <c r="J150" s="1235"/>
      <c r="K150" s="1367"/>
      <c r="L150" s="1284"/>
      <c r="M150" s="1362"/>
      <c r="N150" s="1358"/>
      <c r="O150" s="1358"/>
      <c r="P150" s="1358"/>
      <c r="Q150" s="1363"/>
      <c r="R150" s="1364"/>
      <c r="S150" s="1267">
        <f>R150/1000</f>
        <v>0</v>
      </c>
      <c r="T150" s="1364"/>
      <c r="U150" s="1267">
        <f>T150/1000</f>
        <v>0</v>
      </c>
      <c r="V150" s="1340"/>
      <c r="W150" s="1268"/>
      <c r="X150" s="1256"/>
    </row>
    <row r="151" spans="1:24" s="1257" customFormat="1" ht="14.4" thickBot="1">
      <c r="A151" s="1382"/>
      <c r="B151" s="1382" t="s">
        <v>2452</v>
      </c>
      <c r="C151" s="1235"/>
      <c r="D151" s="1235"/>
      <c r="E151" s="1235"/>
      <c r="F151" s="1235"/>
      <c r="G151" s="1259"/>
      <c r="H151" s="1383">
        <f>ROUND((H20+H25+H29+H37+H51+H65+H71+H77+H89+H92+H95+H98+H104+H113+H116+H85+H120+H126+H129+H143+H149),0)</f>
        <v>10922183</v>
      </c>
      <c r="I151" s="1383">
        <f>I20+I25+I29+I37+I51+I65+I71+I77+I89+I92+I95+I98+I104+I113+I116+I85+I120+I126+I143+I149+I82-525</f>
        <v>9628876.8591499999</v>
      </c>
      <c r="J151" s="1383">
        <f>J20+J25+J29+J37+J51+J65+J71+J77+J89+J92+J95+J98+J104+J113+J116+J85+J120+J126+J143+J149+J82-537+0.5</f>
        <v>-1249948.1930140001</v>
      </c>
      <c r="K151" s="1384">
        <f>K20+K25+K29+K37+K51+K65+K71+K77+K89+K92+K95+K98+K104+K113+K116+K85+K120+K126+K129+K143+K149</f>
        <v>0.78780080553153398</v>
      </c>
      <c r="L151" s="1385">
        <f>L20+L25+L29+L37+L51+L65+L71+L77+L89+L92+L95+L98+L104+L113+L116+L85+L120+L126+L129+L143+L149</f>
        <v>0.82495309509418357</v>
      </c>
      <c r="M151" s="1264"/>
      <c r="N151" s="1264">
        <f>I151/BS!F29</f>
        <v>0.81515854011840594</v>
      </c>
      <c r="O151" s="1265">
        <f>I151/$Q$8</f>
        <v>0.81515854011840594</v>
      </c>
      <c r="P151" s="1265"/>
      <c r="Q151" s="1369">
        <f>I151/BS!F12</f>
        <v>0.85512287619784766</v>
      </c>
      <c r="R151" s="1276"/>
      <c r="S151" s="1267">
        <f>R151/1000</f>
        <v>0</v>
      </c>
      <c r="T151" s="1276"/>
      <c r="U151" s="1267">
        <f>T151/1000</f>
        <v>0</v>
      </c>
      <c r="X151" s="1256"/>
    </row>
    <row r="152" spans="1:24" s="1257" customFormat="1" ht="6" customHeight="1" thickTop="1">
      <c r="A152" s="1382"/>
      <c r="B152" s="1382"/>
      <c r="C152" s="1235"/>
      <c r="D152" s="1235"/>
      <c r="E152" s="1235"/>
      <c r="F152" s="1235"/>
      <c r="G152" s="1259"/>
      <c r="H152" s="1259"/>
      <c r="I152" s="1259"/>
      <c r="J152" s="1259"/>
      <c r="K152" s="1386"/>
      <c r="L152" s="1386"/>
      <c r="M152" s="1362"/>
      <c r="N152" s="1387"/>
      <c r="O152" s="1387"/>
      <c r="P152" s="1387"/>
      <c r="Q152" s="1363"/>
      <c r="R152" s="1340"/>
      <c r="S152" s="1267">
        <f>R152/1000</f>
        <v>0</v>
      </c>
      <c r="T152" s="1340"/>
      <c r="U152" s="1267">
        <f>T152/1000</f>
        <v>0</v>
      </c>
      <c r="W152" s="1268"/>
      <c r="X152" s="1256"/>
    </row>
    <row r="153" spans="1:24" s="1257" customFormat="1" ht="14.4" thickBot="1">
      <c r="A153" s="1382"/>
      <c r="B153" s="1382" t="s">
        <v>2453</v>
      </c>
      <c r="C153" s="1235"/>
      <c r="D153" s="1235"/>
      <c r="E153" s="1235"/>
      <c r="F153" s="1235"/>
      <c r="G153" s="1259"/>
      <c r="H153" s="1388">
        <v>7657790</v>
      </c>
      <c r="I153" s="1388">
        <v>7481528</v>
      </c>
      <c r="J153" s="1388">
        <v>-176262</v>
      </c>
      <c r="K153" s="1389">
        <v>0.6431</v>
      </c>
      <c r="L153" s="1390">
        <v>0.76239999999999997</v>
      </c>
      <c r="M153" s="1391"/>
      <c r="O153" s="1265"/>
      <c r="P153" s="1265"/>
      <c r="Q153" s="1256"/>
      <c r="S153" s="1267">
        <f>R153/1000</f>
        <v>0</v>
      </c>
      <c r="U153" s="1267">
        <f>T153/1000</f>
        <v>0</v>
      </c>
      <c r="X153" s="1256"/>
    </row>
    <row r="154" spans="1:24" s="1220" customFormat="1" ht="5.0999999999999996" customHeight="1" thickTop="1">
      <c r="A154" s="1392"/>
      <c r="B154" s="1408"/>
      <c r="C154" s="1222"/>
      <c r="D154" s="1393"/>
      <c r="E154" s="1393"/>
      <c r="F154" s="1393"/>
      <c r="G154" s="1222"/>
      <c r="H154" s="1235"/>
      <c r="I154" s="1235"/>
      <c r="J154" s="1235"/>
      <c r="K154" s="1282"/>
      <c r="L154" s="1301"/>
      <c r="Q154" s="1225"/>
    </row>
    <row r="155" spans="1:24" s="1220" customFormat="1" ht="10.199999999999999" customHeight="1">
      <c r="A155" s="1392"/>
      <c r="B155" s="1408"/>
      <c r="C155" s="1222"/>
      <c r="D155" s="1393"/>
      <c r="E155" s="1393"/>
      <c r="F155" s="1393"/>
      <c r="G155" s="1222"/>
      <c r="H155" s="1259"/>
      <c r="J155" s="1394"/>
      <c r="Q155" s="1225"/>
    </row>
    <row r="156" spans="1:24">
      <c r="H156" s="1219"/>
    </row>
    <row r="157" spans="1:24" ht="13.8">
      <c r="H157" s="1259"/>
    </row>
    <row r="158" spans="1:24">
      <c r="T158" s="1394">
        <f>9628877345/1000</f>
        <v>9628877.3450000007</v>
      </c>
      <c r="U158" s="1228">
        <f>-1249948500.98/1000</f>
        <v>-1249948.50098</v>
      </c>
    </row>
    <row r="159" spans="1:24">
      <c r="T159" s="1228"/>
      <c r="U159" s="1228"/>
    </row>
    <row r="160" spans="1:24">
      <c r="T160" s="1228">
        <f>I151-T158</f>
        <v>-0.48585000075399876</v>
      </c>
      <c r="U160" s="1228">
        <f>J151-U158</f>
        <v>0.30796599993482232</v>
      </c>
    </row>
    <row r="161" spans="20:21">
      <c r="T161" s="1228"/>
      <c r="U161" s="1228"/>
    </row>
    <row r="265" spans="2:10">
      <c r="G265" s="1228">
        <f>'5.2'!F41+G151</f>
        <v>0</v>
      </c>
      <c r="J265" s="1228">
        <v>208762976</v>
      </c>
    </row>
    <row r="266" spans="2:10">
      <c r="J266" s="1228">
        <f>J265/1000</f>
        <v>208762.976</v>
      </c>
    </row>
    <row r="267" spans="2:10">
      <c r="B267" s="1217">
        <v>162.79</v>
      </c>
      <c r="C267" s="1226">
        <f>B267*1000000</f>
        <v>162790000</v>
      </c>
    </row>
    <row r="268" spans="2:10">
      <c r="C268" s="1226"/>
      <c r="J268" s="1228" t="e">
        <f>'5.2'!#REF!-J266</f>
        <v>#REF!</v>
      </c>
    </row>
    <row r="269" spans="2:10">
      <c r="B269" s="1217">
        <v>91</v>
      </c>
      <c r="C269" s="1226">
        <f>B269*2000000</f>
        <v>182000000</v>
      </c>
    </row>
    <row r="558" spans="2:12" ht="12" customHeight="1">
      <c r="B558" s="2468" t="s">
        <v>2416</v>
      </c>
      <c r="C558" s="2468"/>
      <c r="D558" s="2468"/>
      <c r="E558" s="2468"/>
      <c r="F558" s="2468"/>
      <c r="G558" s="2468"/>
      <c r="H558" s="2468"/>
      <c r="I558" s="2468"/>
      <c r="J558" s="2468"/>
      <c r="K558" s="2468"/>
      <c r="L558" s="2468"/>
    </row>
    <row r="559" spans="2:12" ht="12" customHeight="1">
      <c r="B559" s="2468"/>
      <c r="C559" s="2468"/>
      <c r="D559" s="2468"/>
      <c r="E559" s="2468"/>
      <c r="F559" s="2468"/>
      <c r="G559" s="2468"/>
      <c r="H559" s="2468"/>
      <c r="I559" s="2468"/>
      <c r="J559" s="2468"/>
      <c r="K559" s="2468"/>
      <c r="L559" s="2468"/>
    </row>
    <row r="560" spans="2:12" ht="12" customHeight="1">
      <c r="B560" s="2468"/>
      <c r="C560" s="2468"/>
      <c r="D560" s="2468"/>
      <c r="E560" s="2468"/>
      <c r="F560" s="2468"/>
      <c r="G560" s="2468"/>
      <c r="H560" s="2468"/>
      <c r="I560" s="2468"/>
      <c r="J560" s="2468"/>
      <c r="K560" s="2468"/>
      <c r="L560" s="2468"/>
    </row>
    <row r="562" spans="1:1">
      <c r="A562" s="1217">
        <f>A558+0.1</f>
        <v>0.1</v>
      </c>
    </row>
    <row r="699" spans="3:3">
      <c r="C699" s="1228" t="s">
        <v>2417</v>
      </c>
    </row>
    <row r="713" spans="3:3">
      <c r="C713" s="1228" t="s">
        <v>2418</v>
      </c>
    </row>
  </sheetData>
  <mergeCells count="52">
    <mergeCell ref="M132:M137"/>
    <mergeCell ref="K132:L133"/>
    <mergeCell ref="H132:J132"/>
    <mergeCell ref="G132:G137"/>
    <mergeCell ref="K138:M138"/>
    <mergeCell ref="H138:J138"/>
    <mergeCell ref="C138:G138"/>
    <mergeCell ref="D132:D137"/>
    <mergeCell ref="C132:C137"/>
    <mergeCell ref="B132:B137"/>
    <mergeCell ref="L134:L137"/>
    <mergeCell ref="K134:K137"/>
    <mergeCell ref="J133:J137"/>
    <mergeCell ref="I133:I137"/>
    <mergeCell ref="H133:H137"/>
    <mergeCell ref="E132:E137"/>
    <mergeCell ref="F132:F137"/>
    <mergeCell ref="F40:F45"/>
    <mergeCell ref="G40:G45"/>
    <mergeCell ref="K46:M46"/>
    <mergeCell ref="K40:L41"/>
    <mergeCell ref="M40:M45"/>
    <mergeCell ref="H41:H45"/>
    <mergeCell ref="I41:I45"/>
    <mergeCell ref="J41:J45"/>
    <mergeCell ref="K42:K45"/>
    <mergeCell ref="H40:J40"/>
    <mergeCell ref="H46:J46"/>
    <mergeCell ref="L42:L45"/>
    <mergeCell ref="C6:C12"/>
    <mergeCell ref="D6:D12"/>
    <mergeCell ref="E6:E12"/>
    <mergeCell ref="B40:B45"/>
    <mergeCell ref="C40:C45"/>
    <mergeCell ref="D40:D45"/>
    <mergeCell ref="E40:E45"/>
    <mergeCell ref="B558:L560"/>
    <mergeCell ref="K13:M13"/>
    <mergeCell ref="C13:G13"/>
    <mergeCell ref="I7:I12"/>
    <mergeCell ref="F6:F12"/>
    <mergeCell ref="K6:L7"/>
    <mergeCell ref="M6:M12"/>
    <mergeCell ref="J7:J12"/>
    <mergeCell ref="H7:H12"/>
    <mergeCell ref="G6:G12"/>
    <mergeCell ref="H6:J6"/>
    <mergeCell ref="K8:K12"/>
    <mergeCell ref="L8:L12"/>
    <mergeCell ref="H13:J13"/>
    <mergeCell ref="C46:G46"/>
    <mergeCell ref="B6:B12"/>
  </mergeCells>
  <pageMargins left="0.75" right="0.5" top="0.7" bottom="0.4" header="0.45" footer="0.3"/>
  <pageSetup paperSize="9" fitToHeight="0" orientation="portrait" r:id="rId1"/>
  <rowBreaks count="1" manualBreakCount="1">
    <brk id="214" max="13" man="1"/>
  </rowBreaks>
  <ignoredErrors>
    <ignoredError sqref="K147:L14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5"/>
  <sheetViews>
    <sheetView topLeftCell="A112" zoomScale="85" zoomScaleNormal="85" workbookViewId="0">
      <selection activeCell="B136" sqref="B136"/>
    </sheetView>
  </sheetViews>
  <sheetFormatPr defaultRowHeight="15.6"/>
  <cols>
    <col min="3" max="3" width="13.59765625" customWidth="1"/>
  </cols>
  <sheetData>
    <row r="1" spans="1:9">
      <c r="A1" s="383" t="s">
        <v>1182</v>
      </c>
      <c r="B1" s="383"/>
      <c r="C1" s="383"/>
      <c r="D1" s="383"/>
      <c r="E1" s="383"/>
      <c r="F1" s="383"/>
      <c r="G1" s="383"/>
      <c r="H1" s="383"/>
      <c r="I1" s="383" t="s">
        <v>1183</v>
      </c>
    </row>
    <row r="2" spans="1:9">
      <c r="A2" s="383">
        <v>21490</v>
      </c>
      <c r="B2" s="383" t="s">
        <v>1184</v>
      </c>
      <c r="C2" s="383" t="s">
        <v>1185</v>
      </c>
      <c r="D2" s="383">
        <v>806</v>
      </c>
      <c r="E2" s="383" t="s">
        <v>1186</v>
      </c>
      <c r="F2" s="383">
        <v>5000000</v>
      </c>
      <c r="G2" s="383"/>
      <c r="H2" s="383">
        <v>10</v>
      </c>
      <c r="I2" s="383">
        <f>F2*H2</f>
        <v>50000000</v>
      </c>
    </row>
    <row r="3" spans="1:9">
      <c r="A3" s="383">
        <v>21498</v>
      </c>
      <c r="B3" s="383" t="s">
        <v>1187</v>
      </c>
      <c r="C3" s="383" t="s">
        <v>1188</v>
      </c>
      <c r="D3" s="383">
        <v>806</v>
      </c>
      <c r="E3" s="383" t="s">
        <v>1186</v>
      </c>
      <c r="F3" s="383">
        <v>58075000</v>
      </c>
      <c r="G3" s="383"/>
      <c r="H3" s="383">
        <v>10</v>
      </c>
      <c r="I3" s="383">
        <f t="shared" ref="I3:I66" si="0">F3*H3</f>
        <v>580750000</v>
      </c>
    </row>
    <row r="4" spans="1:9">
      <c r="A4" s="383">
        <v>21500</v>
      </c>
      <c r="B4" s="383" t="s">
        <v>1189</v>
      </c>
      <c r="C4" s="383" t="s">
        <v>1190</v>
      </c>
      <c r="D4" s="383">
        <v>806</v>
      </c>
      <c r="E4" s="383" t="s">
        <v>1186</v>
      </c>
      <c r="F4" s="383">
        <v>152098344</v>
      </c>
      <c r="G4" s="383"/>
      <c r="H4" s="383">
        <v>5</v>
      </c>
      <c r="I4" s="383">
        <f t="shared" si="0"/>
        <v>760491720</v>
      </c>
    </row>
    <row r="5" spans="1:9">
      <c r="A5" s="383">
        <v>21900</v>
      </c>
      <c r="B5" s="383" t="s">
        <v>1191</v>
      </c>
      <c r="C5" s="383" t="s">
        <v>1192</v>
      </c>
      <c r="D5" s="383">
        <v>806</v>
      </c>
      <c r="E5" s="383" t="s">
        <v>1186</v>
      </c>
      <c r="F5" s="383">
        <v>283500000</v>
      </c>
      <c r="G5" s="383"/>
      <c r="H5" s="383">
        <v>10</v>
      </c>
      <c r="I5" s="383">
        <f t="shared" si="0"/>
        <v>2835000000</v>
      </c>
    </row>
    <row r="6" spans="1:9">
      <c r="A6" s="383">
        <v>21902</v>
      </c>
      <c r="B6" s="383" t="s">
        <v>1193</v>
      </c>
      <c r="C6" s="383" t="s">
        <v>1194</v>
      </c>
      <c r="D6" s="383">
        <v>806</v>
      </c>
      <c r="E6" s="383" t="s">
        <v>1186</v>
      </c>
      <c r="F6" s="383">
        <v>10000000</v>
      </c>
      <c r="G6" s="383"/>
      <c r="H6" s="383">
        <v>10</v>
      </c>
      <c r="I6" s="383">
        <f t="shared" si="0"/>
        <v>100000000</v>
      </c>
    </row>
    <row r="7" spans="1:9">
      <c r="A7" s="383">
        <v>21903</v>
      </c>
      <c r="B7" s="383" t="s">
        <v>1195</v>
      </c>
      <c r="C7" s="383" t="s">
        <v>1196</v>
      </c>
      <c r="D7" s="383">
        <v>806</v>
      </c>
      <c r="E7" s="383" t="s">
        <v>1186</v>
      </c>
      <c r="F7" s="383">
        <v>284125000</v>
      </c>
      <c r="G7" s="383"/>
      <c r="H7" s="383">
        <v>10</v>
      </c>
      <c r="I7" s="383">
        <f t="shared" si="0"/>
        <v>2841250000</v>
      </c>
    </row>
    <row r="8" spans="1:9">
      <c r="A8" s="383">
        <v>21913</v>
      </c>
      <c r="B8" s="383" t="s">
        <v>1197</v>
      </c>
      <c r="C8" s="383" t="s">
        <v>1198</v>
      </c>
      <c r="D8" s="383">
        <v>819</v>
      </c>
      <c r="E8" s="383" t="s">
        <v>1199</v>
      </c>
      <c r="F8" s="383">
        <v>45000000</v>
      </c>
      <c r="G8" s="383"/>
      <c r="H8" s="383">
        <v>10</v>
      </c>
      <c r="I8" s="383">
        <f t="shared" si="0"/>
        <v>450000000</v>
      </c>
    </row>
    <row r="9" spans="1:9">
      <c r="A9" s="383">
        <v>21920</v>
      </c>
      <c r="B9" s="383" t="s">
        <v>1200</v>
      </c>
      <c r="C9" s="383" t="s">
        <v>1201</v>
      </c>
      <c r="D9" s="383">
        <v>806</v>
      </c>
      <c r="E9" s="383" t="s">
        <v>1186</v>
      </c>
      <c r="F9" s="383">
        <v>6000000</v>
      </c>
      <c r="G9" s="383"/>
      <c r="H9" s="383">
        <v>10</v>
      </c>
      <c r="I9" s="383">
        <f t="shared" si="0"/>
        <v>60000000</v>
      </c>
    </row>
    <row r="10" spans="1:9">
      <c r="A10" s="383">
        <v>21940</v>
      </c>
      <c r="B10" s="383" t="s">
        <v>1202</v>
      </c>
      <c r="C10" s="383" t="s">
        <v>1203</v>
      </c>
      <c r="D10" s="383">
        <v>806</v>
      </c>
      <c r="E10" s="383" t="s">
        <v>1186</v>
      </c>
      <c r="F10" s="383">
        <v>5000000</v>
      </c>
      <c r="G10" s="383"/>
      <c r="H10" s="383">
        <v>10</v>
      </c>
      <c r="I10" s="383">
        <f t="shared" si="0"/>
        <v>50000000</v>
      </c>
    </row>
    <row r="11" spans="1:9">
      <c r="A11" s="383">
        <v>30980</v>
      </c>
      <c r="B11" s="383" t="s">
        <v>1204</v>
      </c>
      <c r="C11" s="383" t="s">
        <v>1205</v>
      </c>
      <c r="D11" s="383">
        <v>819</v>
      </c>
      <c r="E11" s="383" t="s">
        <v>1199</v>
      </c>
      <c r="F11" s="383">
        <v>21000000</v>
      </c>
      <c r="G11" s="383"/>
      <c r="H11" s="383">
        <v>10</v>
      </c>
      <c r="I11" s="383">
        <f t="shared" si="0"/>
        <v>210000000</v>
      </c>
    </row>
    <row r="12" spans="1:9">
      <c r="A12" s="383">
        <v>31010</v>
      </c>
      <c r="B12" s="383" t="s">
        <v>1206</v>
      </c>
      <c r="C12" s="383" t="s">
        <v>1207</v>
      </c>
      <c r="D12" s="383">
        <v>819</v>
      </c>
      <c r="E12" s="383" t="s">
        <v>1199</v>
      </c>
      <c r="F12" s="383">
        <v>175500000</v>
      </c>
      <c r="G12" s="383"/>
      <c r="H12" s="383">
        <v>10</v>
      </c>
      <c r="I12" s="383">
        <f t="shared" si="0"/>
        <v>1755000000</v>
      </c>
    </row>
    <row r="13" spans="1:9">
      <c r="A13" s="383">
        <v>31013</v>
      </c>
      <c r="B13" s="383" t="s">
        <v>1208</v>
      </c>
      <c r="C13" s="383" t="s">
        <v>1209</v>
      </c>
      <c r="D13" s="383">
        <v>819</v>
      </c>
      <c r="E13" s="383" t="s">
        <v>1199</v>
      </c>
      <c r="F13" s="383">
        <v>24500000</v>
      </c>
      <c r="G13" s="383"/>
      <c r="H13" s="383">
        <v>10</v>
      </c>
      <c r="I13" s="383">
        <f t="shared" si="0"/>
        <v>245000000</v>
      </c>
    </row>
    <row r="14" spans="1:9">
      <c r="A14" s="383">
        <v>31040</v>
      </c>
      <c r="B14" s="383" t="s">
        <v>1210</v>
      </c>
      <c r="C14" s="383" t="s">
        <v>1211</v>
      </c>
      <c r="D14" s="383">
        <v>819</v>
      </c>
      <c r="E14" s="383" t="s">
        <v>1199</v>
      </c>
      <c r="F14" s="383">
        <v>7515158</v>
      </c>
      <c r="G14" s="383"/>
      <c r="H14" s="383">
        <v>10</v>
      </c>
      <c r="I14" s="383">
        <f t="shared" si="0"/>
        <v>75151580</v>
      </c>
    </row>
    <row r="15" spans="1:9">
      <c r="A15" s="383">
        <v>31060</v>
      </c>
      <c r="B15" s="383" t="s">
        <v>1212</v>
      </c>
      <c r="C15" s="383" t="s">
        <v>1213</v>
      </c>
      <c r="D15" s="383">
        <v>819</v>
      </c>
      <c r="E15" s="383" t="s">
        <v>1199</v>
      </c>
      <c r="F15" s="383">
        <v>78046255</v>
      </c>
      <c r="G15" s="383"/>
      <c r="H15" s="383">
        <v>10</v>
      </c>
      <c r="I15" s="383">
        <f t="shared" si="0"/>
        <v>780462550</v>
      </c>
    </row>
    <row r="16" spans="1:9">
      <c r="A16" s="383">
        <v>31120</v>
      </c>
      <c r="B16" s="383" t="s">
        <v>1214</v>
      </c>
      <c r="C16" s="383" t="s">
        <v>1215</v>
      </c>
      <c r="D16" s="383">
        <v>819</v>
      </c>
      <c r="E16" s="383" t="s">
        <v>1199</v>
      </c>
      <c r="F16" s="383">
        <v>6462500</v>
      </c>
      <c r="G16" s="383"/>
      <c r="H16" s="383">
        <v>10</v>
      </c>
      <c r="I16" s="383">
        <f t="shared" si="0"/>
        <v>64625000</v>
      </c>
    </row>
    <row r="17" spans="1:9">
      <c r="A17" s="383">
        <v>31150</v>
      </c>
      <c r="B17" s="383" t="s">
        <v>1216</v>
      </c>
      <c r="C17" s="383" t="s">
        <v>1217</v>
      </c>
      <c r="D17" s="383">
        <v>819</v>
      </c>
      <c r="E17" s="383" t="s">
        <v>1199</v>
      </c>
      <c r="F17" s="383">
        <v>3000000</v>
      </c>
      <c r="G17" s="383"/>
      <c r="H17" s="383">
        <v>10</v>
      </c>
      <c r="I17" s="383">
        <f t="shared" si="0"/>
        <v>30000000</v>
      </c>
    </row>
    <row r="18" spans="1:9">
      <c r="A18" s="383">
        <v>31180</v>
      </c>
      <c r="B18" s="383" t="s">
        <v>1218</v>
      </c>
      <c r="C18" s="383" t="s">
        <v>1219</v>
      </c>
      <c r="D18" s="383">
        <v>819</v>
      </c>
      <c r="E18" s="383" t="s">
        <v>1199</v>
      </c>
      <c r="F18" s="383">
        <v>11340000</v>
      </c>
      <c r="G18" s="383"/>
      <c r="H18" s="383">
        <v>10</v>
      </c>
      <c r="I18" s="383">
        <f t="shared" si="0"/>
        <v>113400000</v>
      </c>
    </row>
    <row r="19" spans="1:9">
      <c r="A19" s="383">
        <v>31220</v>
      </c>
      <c r="B19" s="383" t="s">
        <v>1220</v>
      </c>
      <c r="C19" s="383" t="s">
        <v>1221</v>
      </c>
      <c r="D19" s="383">
        <v>819</v>
      </c>
      <c r="E19" s="383" t="s">
        <v>1199</v>
      </c>
      <c r="F19" s="383">
        <v>52440000</v>
      </c>
      <c r="G19" s="383"/>
      <c r="H19" s="383">
        <v>10</v>
      </c>
      <c r="I19" s="383">
        <f t="shared" si="0"/>
        <v>524400000</v>
      </c>
    </row>
    <row r="20" spans="1:9">
      <c r="A20" s="383">
        <v>31230</v>
      </c>
      <c r="B20" s="383" t="s">
        <v>1222</v>
      </c>
      <c r="C20" s="383" t="s">
        <v>1223</v>
      </c>
      <c r="D20" s="383">
        <v>819</v>
      </c>
      <c r="E20" s="383" t="s">
        <v>1199</v>
      </c>
      <c r="F20" s="383">
        <v>20000000</v>
      </c>
      <c r="G20" s="383"/>
      <c r="H20" s="383">
        <v>10</v>
      </c>
      <c r="I20" s="383">
        <f t="shared" si="0"/>
        <v>200000000</v>
      </c>
    </row>
    <row r="21" spans="1:9">
      <c r="A21" s="383">
        <v>31235</v>
      </c>
      <c r="B21" s="383" t="s">
        <v>1224</v>
      </c>
      <c r="C21" s="383" t="s">
        <v>1225</v>
      </c>
      <c r="D21" s="383">
        <v>819</v>
      </c>
      <c r="E21" s="383" t="s">
        <v>1199</v>
      </c>
      <c r="F21" s="383">
        <v>26413804</v>
      </c>
      <c r="G21" s="383"/>
      <c r="H21" s="383">
        <v>10</v>
      </c>
      <c r="I21" s="383">
        <f t="shared" si="0"/>
        <v>264138040</v>
      </c>
    </row>
    <row r="22" spans="1:9">
      <c r="A22" s="383">
        <v>31260</v>
      </c>
      <c r="B22" s="383" t="s">
        <v>1226</v>
      </c>
      <c r="C22" s="383" t="s">
        <v>1227</v>
      </c>
      <c r="D22" s="383">
        <v>819</v>
      </c>
      <c r="E22" s="383" t="s">
        <v>1199</v>
      </c>
      <c r="F22" s="383">
        <v>45383530</v>
      </c>
      <c r="G22" s="383"/>
      <c r="H22" s="383">
        <v>10</v>
      </c>
      <c r="I22" s="383">
        <f t="shared" si="0"/>
        <v>453835300</v>
      </c>
    </row>
    <row r="23" spans="1:9">
      <c r="A23" s="383">
        <v>31300</v>
      </c>
      <c r="B23" s="383" t="s">
        <v>1228</v>
      </c>
      <c r="C23" s="383" t="s">
        <v>1229</v>
      </c>
      <c r="D23" s="383">
        <v>819</v>
      </c>
      <c r="E23" s="383" t="s">
        <v>1199</v>
      </c>
      <c r="F23" s="383">
        <v>201600000</v>
      </c>
      <c r="G23" s="383"/>
      <c r="H23" s="383">
        <v>10</v>
      </c>
      <c r="I23" s="383">
        <f t="shared" si="0"/>
        <v>2016000000</v>
      </c>
    </row>
    <row r="24" spans="1:9">
      <c r="A24" s="383">
        <v>31305</v>
      </c>
      <c r="B24" s="383" t="s">
        <v>1230</v>
      </c>
      <c r="C24" s="383" t="s">
        <v>1231</v>
      </c>
      <c r="D24" s="383">
        <v>819</v>
      </c>
      <c r="E24" s="383" t="s">
        <v>1199</v>
      </c>
      <c r="F24" s="383">
        <v>30000000</v>
      </c>
      <c r="G24" s="383"/>
      <c r="H24" s="383">
        <v>10</v>
      </c>
      <c r="I24" s="383">
        <f t="shared" si="0"/>
        <v>300000000</v>
      </c>
    </row>
    <row r="25" spans="1:9">
      <c r="A25" s="383">
        <v>31310</v>
      </c>
      <c r="B25" s="383" t="s">
        <v>1232</v>
      </c>
      <c r="C25" s="383" t="s">
        <v>1233</v>
      </c>
      <c r="D25" s="383">
        <v>819</v>
      </c>
      <c r="E25" s="383" t="s">
        <v>1199</v>
      </c>
      <c r="F25" s="383">
        <v>195599994</v>
      </c>
      <c r="G25" s="383"/>
      <c r="H25" s="383">
        <v>10</v>
      </c>
      <c r="I25" s="383">
        <f t="shared" si="0"/>
        <v>1955999940</v>
      </c>
    </row>
    <row r="26" spans="1:9">
      <c r="A26" s="383">
        <v>31330</v>
      </c>
      <c r="B26" s="383" t="s">
        <v>1234</v>
      </c>
      <c r="C26" s="383" t="s">
        <v>1235</v>
      </c>
      <c r="D26" s="383">
        <v>819</v>
      </c>
      <c r="E26" s="383" t="s">
        <v>1199</v>
      </c>
      <c r="F26" s="383">
        <v>20187500</v>
      </c>
      <c r="G26" s="383"/>
      <c r="H26" s="383">
        <v>10</v>
      </c>
      <c r="I26" s="383">
        <f t="shared" si="0"/>
        <v>201875000</v>
      </c>
    </row>
    <row r="27" spans="1:9">
      <c r="A27" s="383">
        <v>31350</v>
      </c>
      <c r="B27" s="383" t="s">
        <v>1236</v>
      </c>
      <c r="C27" s="383" t="s">
        <v>1237</v>
      </c>
      <c r="D27" s="383">
        <v>819</v>
      </c>
      <c r="E27" s="383" t="s">
        <v>1199</v>
      </c>
      <c r="F27" s="383">
        <v>3000000</v>
      </c>
      <c r="G27" s="383"/>
      <c r="H27" s="383">
        <v>10</v>
      </c>
      <c r="I27" s="383">
        <f t="shared" si="0"/>
        <v>30000000</v>
      </c>
    </row>
    <row r="28" spans="1:9">
      <c r="A28" s="383">
        <v>31355</v>
      </c>
      <c r="B28" s="383" t="s">
        <v>1238</v>
      </c>
      <c r="C28" s="383" t="s">
        <v>1239</v>
      </c>
      <c r="D28" s="383">
        <v>819</v>
      </c>
      <c r="E28" s="383" t="s">
        <v>1199</v>
      </c>
      <c r="F28" s="383">
        <v>10000000</v>
      </c>
      <c r="G28" s="383"/>
      <c r="H28" s="383">
        <v>10</v>
      </c>
      <c r="I28" s="383">
        <f t="shared" si="0"/>
        <v>100000000</v>
      </c>
    </row>
    <row r="29" spans="1:9">
      <c r="A29" s="383">
        <v>31420</v>
      </c>
      <c r="B29" s="383" t="s">
        <v>1240</v>
      </c>
      <c r="C29" s="383" t="s">
        <v>1241</v>
      </c>
      <c r="D29" s="383">
        <v>819</v>
      </c>
      <c r="E29" s="383" t="s">
        <v>1199</v>
      </c>
      <c r="F29" s="383">
        <v>48066480</v>
      </c>
      <c r="G29" s="383"/>
      <c r="H29" s="383">
        <v>10</v>
      </c>
      <c r="I29" s="383">
        <f t="shared" si="0"/>
        <v>480664800</v>
      </c>
    </row>
    <row r="30" spans="1:9">
      <c r="A30" s="383">
        <v>31430</v>
      </c>
      <c r="B30" s="383" t="s">
        <v>1242</v>
      </c>
      <c r="C30" s="383" t="s">
        <v>1243</v>
      </c>
      <c r="D30" s="383">
        <v>819</v>
      </c>
      <c r="E30" s="383" t="s">
        <v>1199</v>
      </c>
      <c r="F30" s="383">
        <v>18423945</v>
      </c>
      <c r="G30" s="383"/>
      <c r="H30" s="383">
        <v>10</v>
      </c>
      <c r="I30" s="383">
        <f t="shared" si="0"/>
        <v>184239450</v>
      </c>
    </row>
    <row r="31" spans="1:9">
      <c r="A31" s="383">
        <v>31435</v>
      </c>
      <c r="B31" s="383" t="s">
        <v>1244</v>
      </c>
      <c r="C31" s="383" t="s">
        <v>1245</v>
      </c>
      <c r="D31" s="383">
        <v>819</v>
      </c>
      <c r="E31" s="383" t="s">
        <v>1199</v>
      </c>
      <c r="F31" s="383">
        <v>75000000</v>
      </c>
      <c r="G31" s="383"/>
      <c r="H31" s="383">
        <v>10</v>
      </c>
      <c r="I31" s="383">
        <f t="shared" si="0"/>
        <v>750000000</v>
      </c>
    </row>
    <row r="32" spans="1:9">
      <c r="A32" s="383">
        <v>31450</v>
      </c>
      <c r="B32" s="383" t="s">
        <v>1246</v>
      </c>
      <c r="C32" s="383" t="s">
        <v>1247</v>
      </c>
      <c r="D32" s="383">
        <v>819</v>
      </c>
      <c r="E32" s="383" t="s">
        <v>1199</v>
      </c>
      <c r="F32" s="383">
        <v>25000000</v>
      </c>
      <c r="G32" s="383"/>
      <c r="H32" s="383">
        <v>10</v>
      </c>
      <c r="I32" s="383">
        <f t="shared" si="0"/>
        <v>250000000</v>
      </c>
    </row>
    <row r="33" spans="1:9">
      <c r="A33" s="383">
        <v>31500</v>
      </c>
      <c r="B33" s="383" t="s">
        <v>1248</v>
      </c>
      <c r="C33" s="383" t="s">
        <v>1249</v>
      </c>
      <c r="D33" s="383">
        <v>819</v>
      </c>
      <c r="E33" s="383" t="s">
        <v>1199</v>
      </c>
      <c r="F33" s="383">
        <v>12540000</v>
      </c>
      <c r="G33" s="383"/>
      <c r="H33" s="383">
        <v>10</v>
      </c>
      <c r="I33" s="383">
        <f t="shared" si="0"/>
        <v>125400000</v>
      </c>
    </row>
    <row r="34" spans="1:9">
      <c r="A34" s="383">
        <v>31510</v>
      </c>
      <c r="B34" s="383" t="s">
        <v>1250</v>
      </c>
      <c r="C34" s="383" t="s">
        <v>1251</v>
      </c>
      <c r="D34" s="383">
        <v>819</v>
      </c>
      <c r="E34" s="383" t="s">
        <v>1199</v>
      </c>
      <c r="F34" s="383">
        <v>13788418</v>
      </c>
      <c r="G34" s="383"/>
      <c r="H34" s="383">
        <v>10</v>
      </c>
      <c r="I34" s="383">
        <f t="shared" si="0"/>
        <v>137884180</v>
      </c>
    </row>
    <row r="35" spans="1:9">
      <c r="A35" s="383">
        <v>31580</v>
      </c>
      <c r="B35" s="383" t="s">
        <v>1252</v>
      </c>
      <c r="C35" s="383" t="s">
        <v>1253</v>
      </c>
      <c r="D35" s="383">
        <v>819</v>
      </c>
      <c r="E35" s="383" t="s">
        <v>1199</v>
      </c>
      <c r="F35" s="383">
        <v>87217660</v>
      </c>
      <c r="G35" s="383"/>
      <c r="H35" s="383">
        <v>10</v>
      </c>
      <c r="I35" s="383">
        <f t="shared" si="0"/>
        <v>872176600</v>
      </c>
    </row>
    <row r="36" spans="1:9">
      <c r="A36" s="383">
        <v>31640</v>
      </c>
      <c r="B36" s="383" t="s">
        <v>1254</v>
      </c>
      <c r="C36" s="383" t="s">
        <v>1255</v>
      </c>
      <c r="D36" s="383">
        <v>819</v>
      </c>
      <c r="E36" s="383" t="s">
        <v>1199</v>
      </c>
      <c r="F36" s="383">
        <v>34020000</v>
      </c>
      <c r="G36" s="383"/>
      <c r="H36" s="383">
        <v>10</v>
      </c>
      <c r="I36" s="383">
        <f t="shared" si="0"/>
        <v>340200000</v>
      </c>
    </row>
    <row r="37" spans="1:9">
      <c r="A37" s="383">
        <v>31720</v>
      </c>
      <c r="B37" s="383" t="s">
        <v>1256</v>
      </c>
      <c r="C37" s="383" t="s">
        <v>1257</v>
      </c>
      <c r="D37" s="383">
        <v>819</v>
      </c>
      <c r="E37" s="383" t="s">
        <v>1199</v>
      </c>
      <c r="F37" s="383">
        <v>21163104</v>
      </c>
      <c r="G37" s="383"/>
      <c r="H37" s="383">
        <v>10</v>
      </c>
      <c r="I37" s="383">
        <f t="shared" si="0"/>
        <v>211631040</v>
      </c>
    </row>
    <row r="38" spans="1:9">
      <c r="A38" s="383">
        <v>31760</v>
      </c>
      <c r="B38" s="383" t="s">
        <v>1258</v>
      </c>
      <c r="C38" s="383" t="s">
        <v>1259</v>
      </c>
      <c r="D38" s="383">
        <v>819</v>
      </c>
      <c r="E38" s="383" t="s">
        <v>1199</v>
      </c>
      <c r="F38" s="383">
        <v>29800000</v>
      </c>
      <c r="G38" s="383"/>
      <c r="H38" s="383">
        <v>10</v>
      </c>
      <c r="I38" s="383">
        <f t="shared" si="0"/>
        <v>298000000</v>
      </c>
    </row>
    <row r="39" spans="1:9">
      <c r="A39" s="383">
        <v>31780</v>
      </c>
      <c r="B39" s="383" t="s">
        <v>1260</v>
      </c>
      <c r="C39" s="383" t="s">
        <v>1261</v>
      </c>
      <c r="D39" s="383">
        <v>819</v>
      </c>
      <c r="E39" s="383" t="s">
        <v>1199</v>
      </c>
      <c r="F39" s="383">
        <v>26386600</v>
      </c>
      <c r="G39" s="383"/>
      <c r="H39" s="383">
        <v>10</v>
      </c>
      <c r="I39" s="383">
        <f t="shared" si="0"/>
        <v>263866000</v>
      </c>
    </row>
    <row r="40" spans="1:9">
      <c r="A40" s="383">
        <v>31800</v>
      </c>
      <c r="B40" s="383" t="s">
        <v>1262</v>
      </c>
      <c r="C40" s="383" t="s">
        <v>1263</v>
      </c>
      <c r="D40" s="383">
        <v>819</v>
      </c>
      <c r="E40" s="383" t="s">
        <v>1199</v>
      </c>
      <c r="F40" s="383">
        <v>23640000</v>
      </c>
      <c r="G40" s="383"/>
      <c r="H40" s="383">
        <v>10</v>
      </c>
      <c r="I40" s="383">
        <f t="shared" si="0"/>
        <v>236400000</v>
      </c>
    </row>
    <row r="41" spans="1:9">
      <c r="A41" s="383">
        <v>41018</v>
      </c>
      <c r="B41" s="383" t="s">
        <v>1264</v>
      </c>
      <c r="C41" s="383" t="s">
        <v>1265</v>
      </c>
      <c r="D41" s="383">
        <v>815</v>
      </c>
      <c r="E41" s="383" t="s">
        <v>1266</v>
      </c>
      <c r="F41" s="383">
        <v>10744413</v>
      </c>
      <c r="G41" s="383"/>
      <c r="H41" s="383">
        <v>10</v>
      </c>
      <c r="I41" s="383">
        <f t="shared" si="0"/>
        <v>107444130</v>
      </c>
    </row>
    <row r="42" spans="1:9">
      <c r="A42" s="383">
        <v>41022</v>
      </c>
      <c r="B42" s="383" t="s">
        <v>1267</v>
      </c>
      <c r="C42" s="383" t="s">
        <v>1268</v>
      </c>
      <c r="D42" s="383">
        <v>815</v>
      </c>
      <c r="E42" s="383" t="s">
        <v>1266</v>
      </c>
      <c r="F42" s="383">
        <v>8000000</v>
      </c>
      <c r="G42" s="383"/>
      <c r="H42" s="383">
        <v>10</v>
      </c>
      <c r="I42" s="383">
        <f t="shared" si="0"/>
        <v>80000000</v>
      </c>
    </row>
    <row r="43" spans="1:9">
      <c r="A43" s="383">
        <v>41032</v>
      </c>
      <c r="B43" s="383" t="s">
        <v>1269</v>
      </c>
      <c r="C43" s="383" t="s">
        <v>1270</v>
      </c>
      <c r="D43" s="383">
        <v>815</v>
      </c>
      <c r="E43" s="383" t="s">
        <v>1266</v>
      </c>
      <c r="F43" s="383">
        <v>21500000</v>
      </c>
      <c r="G43" s="383"/>
      <c r="H43" s="383">
        <v>10</v>
      </c>
      <c r="I43" s="383">
        <f t="shared" si="0"/>
        <v>215000000</v>
      </c>
    </row>
    <row r="44" spans="1:9">
      <c r="A44" s="383">
        <v>41080</v>
      </c>
      <c r="B44" s="383" t="s">
        <v>1271</v>
      </c>
      <c r="C44" s="383" t="s">
        <v>1272</v>
      </c>
      <c r="D44" s="383">
        <v>815</v>
      </c>
      <c r="E44" s="383" t="s">
        <v>1266</v>
      </c>
      <c r="F44" s="383">
        <v>139212419</v>
      </c>
      <c r="G44" s="383"/>
      <c r="H44" s="383">
        <v>10</v>
      </c>
      <c r="I44" s="383">
        <f t="shared" si="0"/>
        <v>1392124190</v>
      </c>
    </row>
    <row r="45" spans="1:9">
      <c r="A45" s="383">
        <v>41097</v>
      </c>
      <c r="B45" s="383" t="s">
        <v>1273</v>
      </c>
      <c r="C45" s="383" t="s">
        <v>1274</v>
      </c>
      <c r="D45" s="383">
        <v>815</v>
      </c>
      <c r="E45" s="383" t="s">
        <v>1266</v>
      </c>
      <c r="F45" s="383">
        <v>25369800</v>
      </c>
      <c r="G45" s="383"/>
      <c r="H45" s="383">
        <v>10</v>
      </c>
      <c r="I45" s="383">
        <f t="shared" si="0"/>
        <v>253698000</v>
      </c>
    </row>
    <row r="46" spans="1:9">
      <c r="A46" s="383">
        <v>41100</v>
      </c>
      <c r="B46" s="383" t="s">
        <v>1275</v>
      </c>
      <c r="C46" s="383" t="s">
        <v>1276</v>
      </c>
      <c r="D46" s="383">
        <v>815</v>
      </c>
      <c r="E46" s="383" t="s">
        <v>1266</v>
      </c>
      <c r="F46" s="383">
        <v>39398933</v>
      </c>
      <c r="G46" s="383"/>
      <c r="H46" s="383">
        <v>10</v>
      </c>
      <c r="I46" s="383">
        <f t="shared" si="0"/>
        <v>393989330</v>
      </c>
    </row>
    <row r="47" spans="1:9">
      <c r="A47" s="383">
        <v>41110</v>
      </c>
      <c r="B47" s="383" t="s">
        <v>1277</v>
      </c>
      <c r="C47" s="383" t="s">
        <v>1278</v>
      </c>
      <c r="D47" s="383">
        <v>815</v>
      </c>
      <c r="E47" s="383" t="s">
        <v>1266</v>
      </c>
      <c r="F47" s="383">
        <v>32000000</v>
      </c>
      <c r="G47" s="383"/>
      <c r="H47" s="383">
        <v>10</v>
      </c>
      <c r="I47" s="383">
        <f t="shared" si="0"/>
        <v>320000000</v>
      </c>
    </row>
    <row r="48" spans="1:9">
      <c r="A48" s="383">
        <v>41135</v>
      </c>
      <c r="B48" s="383" t="s">
        <v>1279</v>
      </c>
      <c r="C48" s="383" t="s">
        <v>1280</v>
      </c>
      <c r="D48" s="383">
        <v>815</v>
      </c>
      <c r="E48" s="383" t="s">
        <v>1266</v>
      </c>
      <c r="F48" s="383">
        <v>36300000</v>
      </c>
      <c r="G48" s="383"/>
      <c r="H48" s="383">
        <v>10</v>
      </c>
      <c r="I48" s="383">
        <f t="shared" si="0"/>
        <v>363000000</v>
      </c>
    </row>
    <row r="49" spans="1:9">
      <c r="A49" s="383">
        <v>41140</v>
      </c>
      <c r="B49" s="383" t="s">
        <v>1281</v>
      </c>
      <c r="C49" s="383" t="s">
        <v>1282</v>
      </c>
      <c r="D49" s="383">
        <v>815</v>
      </c>
      <c r="E49" s="383" t="s">
        <v>1266</v>
      </c>
      <c r="F49" s="383">
        <v>45160500</v>
      </c>
      <c r="G49" s="383"/>
      <c r="H49" s="383">
        <v>10</v>
      </c>
      <c r="I49" s="383">
        <f t="shared" si="0"/>
        <v>451605000</v>
      </c>
    </row>
    <row r="50" spans="1:9">
      <c r="A50" s="383">
        <v>41146</v>
      </c>
      <c r="B50" s="383" t="s">
        <v>1283</v>
      </c>
      <c r="C50" s="383" t="s">
        <v>1284</v>
      </c>
      <c r="D50" s="383">
        <v>815</v>
      </c>
      <c r="E50" s="383" t="s">
        <v>1266</v>
      </c>
      <c r="F50" s="383">
        <v>11250000</v>
      </c>
      <c r="G50" s="383"/>
      <c r="H50" s="383">
        <v>10</v>
      </c>
      <c r="I50" s="383">
        <f t="shared" si="0"/>
        <v>112500000</v>
      </c>
    </row>
    <row r="51" spans="1:9">
      <c r="A51" s="383">
        <v>50950</v>
      </c>
      <c r="B51" s="383" t="s">
        <v>1285</v>
      </c>
      <c r="C51" s="383" t="s">
        <v>1286</v>
      </c>
      <c r="D51" s="383">
        <v>813</v>
      </c>
      <c r="E51" s="383" t="s">
        <v>1287</v>
      </c>
      <c r="F51" s="383">
        <v>5000000</v>
      </c>
      <c r="G51" s="383"/>
      <c r="H51" s="383">
        <v>10</v>
      </c>
      <c r="I51" s="383">
        <f t="shared" si="0"/>
        <v>50000000</v>
      </c>
    </row>
    <row r="52" spans="1:9">
      <c r="A52" s="383">
        <v>50955</v>
      </c>
      <c r="B52" s="383" t="s">
        <v>1288</v>
      </c>
      <c r="C52" s="383" t="s">
        <v>1078</v>
      </c>
      <c r="D52" s="383">
        <v>813</v>
      </c>
      <c r="E52" s="383" t="s">
        <v>1287</v>
      </c>
      <c r="F52" s="383">
        <v>72000000</v>
      </c>
      <c r="G52" s="383"/>
      <c r="H52" s="383">
        <v>10</v>
      </c>
      <c r="I52" s="383">
        <f t="shared" si="0"/>
        <v>720000000</v>
      </c>
    </row>
    <row r="53" spans="1:9">
      <c r="A53" s="383">
        <v>50960</v>
      </c>
      <c r="B53" s="383" t="s">
        <v>1289</v>
      </c>
      <c r="C53" s="383" t="s">
        <v>1077</v>
      </c>
      <c r="D53" s="383">
        <v>813</v>
      </c>
      <c r="E53" s="383" t="s">
        <v>1287</v>
      </c>
      <c r="F53" s="383">
        <v>55000000</v>
      </c>
      <c r="G53" s="383"/>
      <c r="H53" s="383">
        <v>10</v>
      </c>
      <c r="I53" s="383">
        <f t="shared" si="0"/>
        <v>550000000</v>
      </c>
    </row>
    <row r="54" spans="1:9">
      <c r="A54" s="383">
        <v>50970</v>
      </c>
      <c r="B54" s="383" t="s">
        <v>1290</v>
      </c>
      <c r="C54" s="383" t="s">
        <v>1291</v>
      </c>
      <c r="D54" s="383">
        <v>809</v>
      </c>
      <c r="E54" s="383" t="s">
        <v>1292</v>
      </c>
      <c r="F54" s="383">
        <v>453750000</v>
      </c>
      <c r="G54" s="383"/>
      <c r="H54" s="383">
        <v>10</v>
      </c>
      <c r="I54" s="383">
        <f t="shared" si="0"/>
        <v>4537500000</v>
      </c>
    </row>
    <row r="55" spans="1:9">
      <c r="A55" s="383">
        <v>50990</v>
      </c>
      <c r="B55" s="383" t="s">
        <v>1293</v>
      </c>
      <c r="C55" s="383" t="s">
        <v>1294</v>
      </c>
      <c r="D55" s="383">
        <v>813</v>
      </c>
      <c r="E55" s="383" t="s">
        <v>1287</v>
      </c>
      <c r="F55" s="383">
        <v>284866896</v>
      </c>
      <c r="G55" s="383"/>
      <c r="H55" s="383">
        <v>10</v>
      </c>
      <c r="I55" s="383">
        <f t="shared" si="0"/>
        <v>2848668960</v>
      </c>
    </row>
    <row r="56" spans="1:9">
      <c r="A56" s="383">
        <v>51023</v>
      </c>
      <c r="B56" s="383" t="s">
        <v>1295</v>
      </c>
      <c r="C56" s="383" t="s">
        <v>1296</v>
      </c>
      <c r="D56" s="383">
        <v>813</v>
      </c>
      <c r="E56" s="383" t="s">
        <v>1287</v>
      </c>
      <c r="F56" s="383">
        <v>148390023</v>
      </c>
      <c r="G56" s="383"/>
      <c r="H56" s="383">
        <v>10</v>
      </c>
      <c r="I56" s="383">
        <f t="shared" si="0"/>
        <v>1483900230</v>
      </c>
    </row>
    <row r="57" spans="1:9">
      <c r="A57" s="383">
        <v>51033</v>
      </c>
      <c r="B57" s="383" t="s">
        <v>1297</v>
      </c>
      <c r="C57" s="383" t="s">
        <v>1298</v>
      </c>
      <c r="D57" s="383">
        <v>813</v>
      </c>
      <c r="E57" s="383" t="s">
        <v>1287</v>
      </c>
      <c r="F57" s="383">
        <v>915942388</v>
      </c>
      <c r="G57" s="383"/>
      <c r="H57" s="383">
        <v>10</v>
      </c>
      <c r="I57" s="383">
        <f t="shared" si="0"/>
        <v>9159423880</v>
      </c>
    </row>
    <row r="58" spans="1:9">
      <c r="A58" s="383">
        <v>51034</v>
      </c>
      <c r="B58" s="383" t="s">
        <v>1299</v>
      </c>
      <c r="C58" s="383" t="s">
        <v>1300</v>
      </c>
      <c r="D58" s="383">
        <v>813</v>
      </c>
      <c r="E58" s="383" t="s">
        <v>1287</v>
      </c>
      <c r="F58" s="383">
        <v>100000000</v>
      </c>
      <c r="G58" s="383"/>
      <c r="H58" s="383">
        <v>10</v>
      </c>
      <c r="I58" s="383">
        <f t="shared" si="0"/>
        <v>1000000000</v>
      </c>
    </row>
    <row r="59" spans="1:9">
      <c r="A59" s="383">
        <v>51037</v>
      </c>
      <c r="B59" s="383" t="s">
        <v>1301</v>
      </c>
      <c r="C59" s="383" t="s">
        <v>1071</v>
      </c>
      <c r="D59" s="383">
        <v>813</v>
      </c>
      <c r="E59" s="383" t="s">
        <v>1287</v>
      </c>
      <c r="F59" s="383">
        <v>45000000</v>
      </c>
      <c r="G59" s="383"/>
      <c r="H59" s="383">
        <v>10</v>
      </c>
      <c r="I59" s="383">
        <f t="shared" si="0"/>
        <v>450000000</v>
      </c>
    </row>
    <row r="60" spans="1:9">
      <c r="A60" s="383">
        <v>51040</v>
      </c>
      <c r="B60" s="383" t="s">
        <v>1302</v>
      </c>
      <c r="C60" s="383" t="s">
        <v>1303</v>
      </c>
      <c r="D60" s="383">
        <v>813</v>
      </c>
      <c r="E60" s="383" t="s">
        <v>1287</v>
      </c>
      <c r="F60" s="383">
        <v>250000000</v>
      </c>
      <c r="G60" s="383"/>
      <c r="H60" s="383">
        <v>10</v>
      </c>
      <c r="I60" s="383">
        <f t="shared" si="0"/>
        <v>2500000000</v>
      </c>
    </row>
    <row r="61" spans="1:9">
      <c r="A61" s="383">
        <v>51042</v>
      </c>
      <c r="B61" s="383" t="s">
        <v>1304</v>
      </c>
      <c r="C61" s="383" t="s">
        <v>1305</v>
      </c>
      <c r="D61" s="383">
        <v>813</v>
      </c>
      <c r="E61" s="383" t="s">
        <v>1287</v>
      </c>
      <c r="F61" s="383">
        <v>44100000</v>
      </c>
      <c r="G61" s="383"/>
      <c r="H61" s="383">
        <v>10</v>
      </c>
      <c r="I61" s="383">
        <f t="shared" si="0"/>
        <v>441000000</v>
      </c>
    </row>
    <row r="62" spans="1:9">
      <c r="A62" s="383">
        <v>51046</v>
      </c>
      <c r="B62" s="383" t="s">
        <v>1306</v>
      </c>
      <c r="C62" s="383" t="s">
        <v>1307</v>
      </c>
      <c r="D62" s="383">
        <v>813</v>
      </c>
      <c r="E62" s="383" t="s">
        <v>1287</v>
      </c>
      <c r="F62" s="383">
        <v>141335500</v>
      </c>
      <c r="G62" s="383"/>
      <c r="H62" s="383">
        <v>10</v>
      </c>
      <c r="I62" s="383">
        <f t="shared" si="0"/>
        <v>1413355000</v>
      </c>
    </row>
    <row r="63" spans="1:9">
      <c r="A63" s="383">
        <v>51047</v>
      </c>
      <c r="B63" s="383" t="s">
        <v>1308</v>
      </c>
      <c r="C63" s="383" t="s">
        <v>1309</v>
      </c>
      <c r="D63" s="383">
        <v>813</v>
      </c>
      <c r="E63" s="383" t="s">
        <v>1287</v>
      </c>
      <c r="F63" s="383">
        <v>801476600</v>
      </c>
      <c r="G63" s="383"/>
      <c r="H63" s="383">
        <v>10</v>
      </c>
      <c r="I63" s="383">
        <f t="shared" si="0"/>
        <v>8014766000</v>
      </c>
    </row>
    <row r="64" spans="1:9">
      <c r="A64" s="383">
        <v>51055</v>
      </c>
      <c r="B64" s="383" t="s">
        <v>1310</v>
      </c>
      <c r="C64" s="383" t="s">
        <v>1311</v>
      </c>
      <c r="D64" s="383">
        <v>813</v>
      </c>
      <c r="E64" s="383" t="s">
        <v>1287</v>
      </c>
      <c r="F64" s="383">
        <v>316610115</v>
      </c>
      <c r="G64" s="383"/>
      <c r="H64" s="383">
        <v>10</v>
      </c>
      <c r="I64" s="383">
        <f t="shared" si="0"/>
        <v>3166101150</v>
      </c>
    </row>
    <row r="65" spans="1:9">
      <c r="A65" s="383">
        <v>51058</v>
      </c>
      <c r="B65" s="383" t="s">
        <v>1312</v>
      </c>
      <c r="C65" s="383" t="s">
        <v>1313</v>
      </c>
      <c r="D65" s="383">
        <v>813</v>
      </c>
      <c r="E65" s="383" t="s">
        <v>1287</v>
      </c>
      <c r="F65" s="383">
        <v>65000000</v>
      </c>
      <c r="G65" s="383"/>
      <c r="H65" s="383">
        <v>10</v>
      </c>
      <c r="I65" s="383">
        <f t="shared" si="0"/>
        <v>650000000</v>
      </c>
    </row>
    <row r="66" spans="1:9">
      <c r="A66" s="383">
        <v>51060</v>
      </c>
      <c r="B66" s="383" t="s">
        <v>1314</v>
      </c>
      <c r="C66" s="383" t="s">
        <v>1315</v>
      </c>
      <c r="D66" s="383">
        <v>813</v>
      </c>
      <c r="E66" s="383" t="s">
        <v>1287</v>
      </c>
      <c r="F66" s="383">
        <v>212102550</v>
      </c>
      <c r="G66" s="383"/>
      <c r="H66" s="383">
        <v>10</v>
      </c>
      <c r="I66" s="383">
        <f t="shared" si="0"/>
        <v>2121025500</v>
      </c>
    </row>
    <row r="67" spans="1:9">
      <c r="A67" s="383">
        <v>51065</v>
      </c>
      <c r="B67" s="383" t="s">
        <v>1316</v>
      </c>
      <c r="C67" s="383" t="s">
        <v>1317</v>
      </c>
      <c r="D67" s="383">
        <v>813</v>
      </c>
      <c r="E67" s="383" t="s">
        <v>1287</v>
      </c>
      <c r="F67" s="383">
        <v>20015650</v>
      </c>
      <c r="G67" s="383"/>
      <c r="H67" s="383">
        <v>10</v>
      </c>
      <c r="I67" s="383">
        <f t="shared" ref="I67:I130" si="1">F67*H67</f>
        <v>200156500</v>
      </c>
    </row>
    <row r="68" spans="1:9">
      <c r="A68" s="383">
        <v>51070</v>
      </c>
      <c r="B68" s="383" t="s">
        <v>1318</v>
      </c>
      <c r="C68" s="383" t="s">
        <v>1319</v>
      </c>
      <c r="D68" s="383">
        <v>813</v>
      </c>
      <c r="E68" s="383" t="s">
        <v>1287</v>
      </c>
      <c r="F68" s="383">
        <v>141809831</v>
      </c>
      <c r="G68" s="383"/>
      <c r="H68" s="383">
        <v>10</v>
      </c>
      <c r="I68" s="383">
        <f t="shared" si="1"/>
        <v>1418098310</v>
      </c>
    </row>
    <row r="69" spans="1:9">
      <c r="A69" s="383">
        <v>51076</v>
      </c>
      <c r="B69" s="383" t="s">
        <v>1320</v>
      </c>
      <c r="C69" s="383" t="s">
        <v>1321</v>
      </c>
      <c r="D69" s="383">
        <v>813</v>
      </c>
      <c r="E69" s="383" t="s">
        <v>1287</v>
      </c>
      <c r="F69" s="383">
        <v>16333333</v>
      </c>
      <c r="G69" s="383"/>
      <c r="H69" s="383">
        <v>10</v>
      </c>
      <c r="I69" s="383">
        <f t="shared" si="1"/>
        <v>163333330</v>
      </c>
    </row>
    <row r="70" spans="1:9">
      <c r="A70" s="383">
        <v>51085</v>
      </c>
      <c r="B70" s="383" t="s">
        <v>1322</v>
      </c>
      <c r="C70" s="383" t="s">
        <v>1323</v>
      </c>
      <c r="D70" s="383">
        <v>813</v>
      </c>
      <c r="E70" s="383" t="s">
        <v>1287</v>
      </c>
      <c r="F70" s="383">
        <v>50820000</v>
      </c>
      <c r="G70" s="383"/>
      <c r="H70" s="383">
        <v>10</v>
      </c>
      <c r="I70" s="383">
        <f t="shared" si="1"/>
        <v>508200000</v>
      </c>
    </row>
    <row r="71" spans="1:9">
      <c r="A71" s="383">
        <v>51087</v>
      </c>
      <c r="B71" s="383" t="s">
        <v>1324</v>
      </c>
      <c r="C71" s="383" t="s">
        <v>1325</v>
      </c>
      <c r="D71" s="383">
        <v>813</v>
      </c>
      <c r="E71" s="383" t="s">
        <v>1287</v>
      </c>
      <c r="F71" s="383">
        <v>80171818</v>
      </c>
      <c r="G71" s="383"/>
      <c r="H71" s="383">
        <v>10</v>
      </c>
      <c r="I71" s="383">
        <f t="shared" si="1"/>
        <v>801718180</v>
      </c>
    </row>
    <row r="72" spans="1:9">
      <c r="A72" s="383">
        <v>51090</v>
      </c>
      <c r="B72" s="383" t="s">
        <v>1326</v>
      </c>
      <c r="C72" s="383" t="s">
        <v>1327</v>
      </c>
      <c r="D72" s="383">
        <v>813</v>
      </c>
      <c r="E72" s="383" t="s">
        <v>1287</v>
      </c>
      <c r="F72" s="383">
        <v>38007000</v>
      </c>
      <c r="G72" s="383"/>
      <c r="H72" s="383">
        <v>10</v>
      </c>
      <c r="I72" s="383">
        <f t="shared" si="1"/>
        <v>380070000</v>
      </c>
    </row>
    <row r="73" spans="1:9">
      <c r="A73" s="383">
        <v>51099</v>
      </c>
      <c r="B73" s="383">
        <v>786</v>
      </c>
      <c r="C73" s="383" t="s">
        <v>1328</v>
      </c>
      <c r="D73" s="383">
        <v>813</v>
      </c>
      <c r="E73" s="383" t="s">
        <v>1287</v>
      </c>
      <c r="F73" s="383">
        <v>14973750</v>
      </c>
      <c r="G73" s="383"/>
      <c r="H73" s="383">
        <v>10</v>
      </c>
      <c r="I73" s="383">
        <f t="shared" si="1"/>
        <v>149737500</v>
      </c>
    </row>
    <row r="74" spans="1:9">
      <c r="A74" s="383">
        <v>51102</v>
      </c>
      <c r="B74" s="383" t="s">
        <v>1329</v>
      </c>
      <c r="C74" s="383" t="s">
        <v>1330</v>
      </c>
      <c r="D74" s="383">
        <v>813</v>
      </c>
      <c r="E74" s="383" t="s">
        <v>1287</v>
      </c>
      <c r="F74" s="383">
        <v>25000000</v>
      </c>
      <c r="G74" s="383"/>
      <c r="H74" s="383">
        <v>10</v>
      </c>
      <c r="I74" s="383">
        <f t="shared" si="1"/>
        <v>250000000</v>
      </c>
    </row>
    <row r="75" spans="1:9">
      <c r="A75" s="383">
        <v>51105</v>
      </c>
      <c r="B75" s="383" t="s">
        <v>1331</v>
      </c>
      <c r="C75" s="383" t="s">
        <v>1332</v>
      </c>
      <c r="D75" s="383">
        <v>813</v>
      </c>
      <c r="E75" s="383" t="s">
        <v>1287</v>
      </c>
      <c r="F75" s="383">
        <v>186568487</v>
      </c>
      <c r="G75" s="383"/>
      <c r="H75" s="383">
        <v>10</v>
      </c>
      <c r="I75" s="383">
        <f t="shared" si="1"/>
        <v>1865684870</v>
      </c>
    </row>
    <row r="76" spans="1:9">
      <c r="A76" s="383">
        <v>51110</v>
      </c>
      <c r="B76" s="383" t="s">
        <v>1333</v>
      </c>
      <c r="C76" s="383" t="s">
        <v>1334</v>
      </c>
      <c r="D76" s="383">
        <v>813</v>
      </c>
      <c r="E76" s="383" t="s">
        <v>1287</v>
      </c>
      <c r="F76" s="383">
        <v>10000000</v>
      </c>
      <c r="G76" s="383"/>
      <c r="H76" s="383">
        <v>10</v>
      </c>
      <c r="I76" s="383">
        <f t="shared" si="1"/>
        <v>100000000</v>
      </c>
    </row>
    <row r="77" spans="1:9">
      <c r="A77" s="383">
        <v>51120</v>
      </c>
      <c r="B77" s="383" t="s">
        <v>1335</v>
      </c>
      <c r="C77" s="383" t="s">
        <v>1336</v>
      </c>
      <c r="D77" s="383">
        <v>813</v>
      </c>
      <c r="E77" s="383" t="s">
        <v>1287</v>
      </c>
      <c r="F77" s="383">
        <v>10000000</v>
      </c>
      <c r="G77" s="383"/>
      <c r="H77" s="383">
        <v>10</v>
      </c>
      <c r="I77" s="383">
        <f t="shared" si="1"/>
        <v>100000000</v>
      </c>
    </row>
    <row r="78" spans="1:9">
      <c r="A78" s="383">
        <v>51140</v>
      </c>
      <c r="B78" s="383" t="s">
        <v>1337</v>
      </c>
      <c r="C78" s="383" t="s">
        <v>1338</v>
      </c>
      <c r="D78" s="383">
        <v>813</v>
      </c>
      <c r="E78" s="383" t="s">
        <v>1287</v>
      </c>
      <c r="F78" s="383">
        <v>51433559</v>
      </c>
      <c r="G78" s="383"/>
      <c r="H78" s="383">
        <v>10</v>
      </c>
      <c r="I78" s="383">
        <f t="shared" si="1"/>
        <v>514335590</v>
      </c>
    </row>
    <row r="79" spans="1:9">
      <c r="A79" s="383">
        <v>51150</v>
      </c>
      <c r="B79" s="383" t="s">
        <v>1339</v>
      </c>
      <c r="C79" s="383" t="s">
        <v>1340</v>
      </c>
      <c r="D79" s="383">
        <v>813</v>
      </c>
      <c r="E79" s="383" t="s">
        <v>1287</v>
      </c>
      <c r="F79" s="383">
        <v>119885111</v>
      </c>
      <c r="G79" s="383"/>
      <c r="H79" s="383">
        <v>10</v>
      </c>
      <c r="I79" s="383">
        <f t="shared" si="1"/>
        <v>1198851110</v>
      </c>
    </row>
    <row r="80" spans="1:9">
      <c r="A80" s="383">
        <v>51155</v>
      </c>
      <c r="B80" s="383" t="s">
        <v>1341</v>
      </c>
      <c r="C80" s="383" t="s">
        <v>1342</v>
      </c>
      <c r="D80" s="383">
        <v>813</v>
      </c>
      <c r="E80" s="383" t="s">
        <v>1287</v>
      </c>
      <c r="F80" s="383">
        <v>10000000</v>
      </c>
      <c r="G80" s="383"/>
      <c r="H80" s="383">
        <v>10</v>
      </c>
      <c r="I80" s="383">
        <f t="shared" si="1"/>
        <v>100000000</v>
      </c>
    </row>
    <row r="81" spans="1:9">
      <c r="A81" s="383">
        <v>60960</v>
      </c>
      <c r="B81" s="383" t="s">
        <v>1343</v>
      </c>
      <c r="C81" s="383" t="s">
        <v>1034</v>
      </c>
      <c r="D81" s="383">
        <v>807</v>
      </c>
      <c r="E81" s="383" t="s">
        <v>502</v>
      </c>
      <c r="F81" s="383">
        <v>1145073830</v>
      </c>
      <c r="G81" s="383"/>
      <c r="H81" s="383">
        <v>10</v>
      </c>
      <c r="I81" s="383">
        <f t="shared" si="1"/>
        <v>11450738300</v>
      </c>
    </row>
    <row r="82" spans="1:9">
      <c r="A82" s="383">
        <v>60970</v>
      </c>
      <c r="B82" s="383" t="s">
        <v>1344</v>
      </c>
      <c r="C82" s="383" t="s">
        <v>389</v>
      </c>
      <c r="D82" s="383">
        <v>807</v>
      </c>
      <c r="E82" s="383" t="s">
        <v>502</v>
      </c>
      <c r="F82" s="383">
        <v>1778666303</v>
      </c>
      <c r="G82" s="383"/>
      <c r="H82" s="383">
        <v>10</v>
      </c>
      <c r="I82" s="383">
        <f t="shared" si="1"/>
        <v>17786663030</v>
      </c>
    </row>
    <row r="83" spans="1:9">
      <c r="A83" s="383">
        <v>60973</v>
      </c>
      <c r="B83" s="383" t="s">
        <v>1345</v>
      </c>
      <c r="C83" s="383" t="s">
        <v>1346</v>
      </c>
      <c r="D83" s="383">
        <v>807</v>
      </c>
      <c r="E83" s="383" t="s">
        <v>502</v>
      </c>
      <c r="F83" s="383">
        <v>110942434</v>
      </c>
      <c r="G83" s="383"/>
      <c r="H83" s="383">
        <v>10</v>
      </c>
      <c r="I83" s="383">
        <f t="shared" si="1"/>
        <v>1109424340</v>
      </c>
    </row>
    <row r="84" spans="1:9">
      <c r="A84" s="383">
        <v>60974</v>
      </c>
      <c r="B84" s="383" t="s">
        <v>1347</v>
      </c>
      <c r="C84" s="383" t="s">
        <v>1348</v>
      </c>
      <c r="D84" s="383">
        <v>807</v>
      </c>
      <c r="E84" s="383" t="s">
        <v>502</v>
      </c>
      <c r="F84" s="383">
        <v>104653482</v>
      </c>
      <c r="G84" s="383"/>
      <c r="H84" s="383">
        <v>10</v>
      </c>
      <c r="I84" s="383">
        <f t="shared" si="1"/>
        <v>1046534820</v>
      </c>
    </row>
    <row r="85" spans="1:9">
      <c r="A85" s="383">
        <v>60980</v>
      </c>
      <c r="B85" s="383" t="s">
        <v>1349</v>
      </c>
      <c r="C85" s="383" t="s">
        <v>1165</v>
      </c>
      <c r="D85" s="383">
        <v>807</v>
      </c>
      <c r="E85" s="383" t="s">
        <v>502</v>
      </c>
      <c r="F85" s="383">
        <v>1260260180</v>
      </c>
      <c r="G85" s="383"/>
      <c r="H85" s="383">
        <v>10</v>
      </c>
      <c r="I85" s="383">
        <f t="shared" si="1"/>
        <v>12602601800</v>
      </c>
    </row>
    <row r="86" spans="1:9">
      <c r="A86" s="383">
        <v>61000</v>
      </c>
      <c r="B86" s="383" t="s">
        <v>1350</v>
      </c>
      <c r="C86" s="383" t="s">
        <v>395</v>
      </c>
      <c r="D86" s="383">
        <v>807</v>
      </c>
      <c r="E86" s="383" t="s">
        <v>502</v>
      </c>
      <c r="F86" s="383">
        <v>1607571974</v>
      </c>
      <c r="G86" s="383"/>
      <c r="H86" s="383">
        <v>10</v>
      </c>
      <c r="I86" s="383">
        <f t="shared" si="1"/>
        <v>16075719740</v>
      </c>
    </row>
    <row r="87" spans="1:9">
      <c r="A87" s="383">
        <v>61004</v>
      </c>
      <c r="B87" s="383" t="s">
        <v>1351</v>
      </c>
      <c r="C87" s="383" t="s">
        <v>618</v>
      </c>
      <c r="D87" s="383">
        <v>807</v>
      </c>
      <c r="E87" s="383" t="s">
        <v>502</v>
      </c>
      <c r="F87" s="383">
        <v>1007912192</v>
      </c>
      <c r="G87" s="383"/>
      <c r="H87" s="383">
        <v>10</v>
      </c>
      <c r="I87" s="383">
        <f t="shared" si="1"/>
        <v>10079121920</v>
      </c>
    </row>
    <row r="88" spans="1:9">
      <c r="A88" s="383">
        <v>61005</v>
      </c>
      <c r="B88" s="383" t="s">
        <v>1352</v>
      </c>
      <c r="C88" s="383" t="s">
        <v>1353</v>
      </c>
      <c r="D88" s="383">
        <v>807</v>
      </c>
      <c r="E88" s="383" t="s">
        <v>502</v>
      </c>
      <c r="F88" s="383">
        <v>1000371168</v>
      </c>
      <c r="G88" s="383"/>
      <c r="H88" s="383">
        <v>10</v>
      </c>
      <c r="I88" s="383">
        <f t="shared" si="1"/>
        <v>10003711680</v>
      </c>
    </row>
    <row r="89" spans="1:9">
      <c r="A89" s="383">
        <v>61010</v>
      </c>
      <c r="B89" s="383" t="s">
        <v>1354</v>
      </c>
      <c r="C89" s="383" t="s">
        <v>1355</v>
      </c>
      <c r="D89" s="383">
        <v>807</v>
      </c>
      <c r="E89" s="383" t="s">
        <v>502</v>
      </c>
      <c r="F89" s="383">
        <v>1111425419</v>
      </c>
      <c r="G89" s="383"/>
      <c r="H89" s="383">
        <v>10</v>
      </c>
      <c r="I89" s="383">
        <f t="shared" si="1"/>
        <v>11114254190</v>
      </c>
    </row>
    <row r="90" spans="1:9">
      <c r="A90" s="383">
        <v>61030</v>
      </c>
      <c r="B90" s="383" t="s">
        <v>1356</v>
      </c>
      <c r="C90" s="383" t="s">
        <v>1357</v>
      </c>
      <c r="D90" s="383">
        <v>807</v>
      </c>
      <c r="E90" s="383" t="s">
        <v>502</v>
      </c>
      <c r="F90" s="383">
        <v>2643692380</v>
      </c>
      <c r="G90" s="383"/>
      <c r="H90" s="383">
        <v>10</v>
      </c>
      <c r="I90" s="383">
        <f t="shared" si="1"/>
        <v>26436923800</v>
      </c>
    </row>
    <row r="91" spans="1:9">
      <c r="A91" s="383">
        <v>61045</v>
      </c>
      <c r="B91" s="383" t="s">
        <v>1358</v>
      </c>
      <c r="C91" s="383" t="s">
        <v>1035</v>
      </c>
      <c r="D91" s="383">
        <v>807</v>
      </c>
      <c r="E91" s="383" t="s">
        <v>502</v>
      </c>
      <c r="F91" s="383">
        <v>1319736110</v>
      </c>
      <c r="G91" s="383"/>
      <c r="H91" s="383">
        <v>10</v>
      </c>
      <c r="I91" s="383">
        <f t="shared" si="1"/>
        <v>13197361100</v>
      </c>
    </row>
    <row r="92" spans="1:9">
      <c r="A92" s="383">
        <v>61050</v>
      </c>
      <c r="B92" s="383" t="s">
        <v>1359</v>
      </c>
      <c r="C92" s="383" t="s">
        <v>393</v>
      </c>
      <c r="D92" s="383">
        <v>807</v>
      </c>
      <c r="E92" s="383" t="s">
        <v>502</v>
      </c>
      <c r="F92" s="383">
        <v>1466852508</v>
      </c>
      <c r="G92" s="383"/>
      <c r="H92" s="383">
        <v>10</v>
      </c>
      <c r="I92" s="383">
        <f t="shared" si="1"/>
        <v>14668525080</v>
      </c>
    </row>
    <row r="93" spans="1:9">
      <c r="A93" s="383">
        <v>61094</v>
      </c>
      <c r="B93" s="383" t="s">
        <v>1360</v>
      </c>
      <c r="C93" s="383" t="s">
        <v>340</v>
      </c>
      <c r="D93" s="383">
        <v>807</v>
      </c>
      <c r="E93" s="383" t="s">
        <v>502</v>
      </c>
      <c r="F93" s="383">
        <v>1062902140</v>
      </c>
      <c r="G93" s="383"/>
      <c r="H93" s="383">
        <v>10</v>
      </c>
      <c r="I93" s="383">
        <f t="shared" si="1"/>
        <v>10629021400</v>
      </c>
    </row>
    <row r="94" spans="1:9">
      <c r="A94" s="383">
        <v>61095</v>
      </c>
      <c r="B94" s="383" t="s">
        <v>1361</v>
      </c>
      <c r="C94" s="383" t="s">
        <v>1362</v>
      </c>
      <c r="D94" s="383">
        <v>807</v>
      </c>
      <c r="E94" s="383" t="s">
        <v>502</v>
      </c>
      <c r="F94" s="383">
        <v>2127512862</v>
      </c>
      <c r="G94" s="383"/>
      <c r="H94" s="383">
        <v>10</v>
      </c>
      <c r="I94" s="383">
        <f t="shared" si="1"/>
        <v>21275128620</v>
      </c>
    </row>
    <row r="95" spans="1:9">
      <c r="A95" s="383">
        <v>61097</v>
      </c>
      <c r="B95" s="383" t="s">
        <v>1363</v>
      </c>
      <c r="C95" s="383" t="s">
        <v>1036</v>
      </c>
      <c r="D95" s="383">
        <v>807</v>
      </c>
      <c r="E95" s="383" t="s">
        <v>502</v>
      </c>
      <c r="F95" s="383">
        <v>1047831480</v>
      </c>
      <c r="G95" s="383"/>
      <c r="H95" s="383">
        <v>10</v>
      </c>
      <c r="I95" s="383">
        <f t="shared" si="1"/>
        <v>10478314800</v>
      </c>
    </row>
    <row r="96" spans="1:9">
      <c r="A96" s="383">
        <v>61098</v>
      </c>
      <c r="B96" s="383" t="s">
        <v>1364</v>
      </c>
      <c r="C96" s="383" t="s">
        <v>1037</v>
      </c>
      <c r="D96" s="383">
        <v>807</v>
      </c>
      <c r="E96" s="383" t="s">
        <v>502</v>
      </c>
      <c r="F96" s="383">
        <v>1185060006</v>
      </c>
      <c r="G96" s="383"/>
      <c r="H96" s="383">
        <v>10</v>
      </c>
      <c r="I96" s="383">
        <f t="shared" si="1"/>
        <v>11850600060</v>
      </c>
    </row>
    <row r="97" spans="1:9">
      <c r="A97" s="383">
        <v>61104</v>
      </c>
      <c r="B97" s="383" t="s">
        <v>1365</v>
      </c>
      <c r="C97" s="383" t="s">
        <v>1366</v>
      </c>
      <c r="D97" s="383">
        <v>807</v>
      </c>
      <c r="E97" s="383" t="s">
        <v>502</v>
      </c>
      <c r="F97" s="383">
        <v>1072464262</v>
      </c>
      <c r="G97" s="383"/>
      <c r="H97" s="383">
        <v>10</v>
      </c>
      <c r="I97" s="383">
        <f t="shared" si="1"/>
        <v>10724642620</v>
      </c>
    </row>
    <row r="98" spans="1:9">
      <c r="A98" s="383">
        <v>61114</v>
      </c>
      <c r="B98" s="383" t="s">
        <v>1367</v>
      </c>
      <c r="C98" s="383" t="s">
        <v>1368</v>
      </c>
      <c r="D98" s="383">
        <v>807</v>
      </c>
      <c r="E98" s="383" t="s">
        <v>502</v>
      </c>
      <c r="F98" s="383">
        <v>1008238648</v>
      </c>
      <c r="G98" s="383"/>
      <c r="H98" s="383">
        <v>10</v>
      </c>
      <c r="I98" s="383">
        <f t="shared" si="1"/>
        <v>10082386480</v>
      </c>
    </row>
    <row r="99" spans="1:9">
      <c r="A99" s="383">
        <v>61135</v>
      </c>
      <c r="B99" s="383" t="s">
        <v>1369</v>
      </c>
      <c r="C99" s="383" t="s">
        <v>1370</v>
      </c>
      <c r="D99" s="383">
        <v>807</v>
      </c>
      <c r="E99" s="383" t="s">
        <v>502</v>
      </c>
      <c r="F99" s="383">
        <v>9081861237</v>
      </c>
      <c r="G99" s="383"/>
      <c r="H99" s="383">
        <v>10</v>
      </c>
      <c r="I99" s="383">
        <f t="shared" si="1"/>
        <v>90818612370</v>
      </c>
    </row>
    <row r="100" spans="1:9">
      <c r="A100" s="383">
        <v>61137</v>
      </c>
      <c r="B100" s="383" t="s">
        <v>1371</v>
      </c>
      <c r="C100" s="383" t="s">
        <v>1372</v>
      </c>
      <c r="D100" s="383">
        <v>807</v>
      </c>
      <c r="E100" s="383" t="s">
        <v>502</v>
      </c>
      <c r="F100" s="383">
        <v>6410256410</v>
      </c>
      <c r="G100" s="383"/>
      <c r="H100" s="383">
        <v>10</v>
      </c>
      <c r="I100" s="383">
        <f t="shared" si="1"/>
        <v>64102564100</v>
      </c>
    </row>
    <row r="101" spans="1:9">
      <c r="A101" s="383">
        <v>61150</v>
      </c>
      <c r="B101" s="383" t="s">
        <v>1373</v>
      </c>
      <c r="C101" s="383" t="s">
        <v>1374</v>
      </c>
      <c r="D101" s="383">
        <v>807</v>
      </c>
      <c r="E101" s="383" t="s">
        <v>502</v>
      </c>
      <c r="F101" s="383">
        <v>1102463503</v>
      </c>
      <c r="G101" s="383"/>
      <c r="H101" s="383">
        <v>10</v>
      </c>
      <c r="I101" s="383">
        <f t="shared" si="1"/>
        <v>11024635030</v>
      </c>
    </row>
    <row r="102" spans="1:9">
      <c r="A102" s="383">
        <v>61153</v>
      </c>
      <c r="B102" s="383" t="s">
        <v>1375</v>
      </c>
      <c r="C102" s="383" t="s">
        <v>1376</v>
      </c>
      <c r="D102" s="383">
        <v>807</v>
      </c>
      <c r="E102" s="383" t="s">
        <v>502</v>
      </c>
      <c r="F102" s="383">
        <v>3871585021</v>
      </c>
      <c r="G102" s="383"/>
      <c r="H102" s="383">
        <v>10</v>
      </c>
      <c r="I102" s="383">
        <f t="shared" si="1"/>
        <v>38715850210</v>
      </c>
    </row>
    <row r="103" spans="1:9">
      <c r="A103" s="383">
        <v>61180</v>
      </c>
      <c r="B103" s="383" t="s">
        <v>1377</v>
      </c>
      <c r="C103" s="383" t="s">
        <v>1038</v>
      </c>
      <c r="D103" s="383">
        <v>807</v>
      </c>
      <c r="E103" s="383" t="s">
        <v>502</v>
      </c>
      <c r="F103" s="383">
        <v>1224179688</v>
      </c>
      <c r="G103" s="383"/>
      <c r="H103" s="383">
        <v>10</v>
      </c>
      <c r="I103" s="383">
        <f t="shared" si="1"/>
        <v>12241796880</v>
      </c>
    </row>
    <row r="104" spans="1:9">
      <c r="A104" s="383">
        <v>71000</v>
      </c>
      <c r="B104" s="383" t="s">
        <v>1378</v>
      </c>
      <c r="C104" s="383" t="s">
        <v>1168</v>
      </c>
      <c r="D104" s="383">
        <v>812</v>
      </c>
      <c r="E104" s="383" t="s">
        <v>1379</v>
      </c>
      <c r="F104" s="383">
        <v>350000000</v>
      </c>
      <c r="G104" s="383"/>
      <c r="H104" s="383">
        <v>10</v>
      </c>
      <c r="I104" s="383">
        <f t="shared" si="1"/>
        <v>3500000000</v>
      </c>
    </row>
    <row r="105" spans="1:9">
      <c r="A105" s="383">
        <v>71010</v>
      </c>
      <c r="B105" s="383" t="s">
        <v>1380</v>
      </c>
      <c r="C105" s="383" t="s">
        <v>1381</v>
      </c>
      <c r="D105" s="383">
        <v>812</v>
      </c>
      <c r="E105" s="383" t="s">
        <v>1379</v>
      </c>
      <c r="F105" s="383">
        <v>70567200</v>
      </c>
      <c r="G105" s="383"/>
      <c r="H105" s="383">
        <v>10</v>
      </c>
      <c r="I105" s="383">
        <f t="shared" si="1"/>
        <v>705672000</v>
      </c>
    </row>
    <row r="106" spans="1:9">
      <c r="A106" s="383">
        <v>71020</v>
      </c>
      <c r="B106" s="383" t="s">
        <v>1382</v>
      </c>
      <c r="C106" s="383" t="s">
        <v>1383</v>
      </c>
      <c r="D106" s="383">
        <v>812</v>
      </c>
      <c r="E106" s="383" t="s">
        <v>1379</v>
      </c>
      <c r="F106" s="383">
        <v>45000000</v>
      </c>
      <c r="G106" s="383"/>
      <c r="H106" s="383">
        <v>10</v>
      </c>
      <c r="I106" s="383">
        <f t="shared" si="1"/>
        <v>450000000</v>
      </c>
    </row>
    <row r="107" spans="1:9">
      <c r="A107" s="383">
        <v>71025</v>
      </c>
      <c r="B107" s="383" t="s">
        <v>1384</v>
      </c>
      <c r="C107" s="383" t="s">
        <v>1385</v>
      </c>
      <c r="D107" s="383">
        <v>812</v>
      </c>
      <c r="E107" s="383" t="s">
        <v>1379</v>
      </c>
      <c r="F107" s="383">
        <v>62523390</v>
      </c>
      <c r="G107" s="383"/>
      <c r="H107" s="383">
        <v>10</v>
      </c>
      <c r="I107" s="383">
        <f t="shared" si="1"/>
        <v>625233900</v>
      </c>
    </row>
    <row r="108" spans="1:9">
      <c r="A108" s="383">
        <v>71027</v>
      </c>
      <c r="B108" s="383" t="s">
        <v>1386</v>
      </c>
      <c r="C108" s="383" t="s">
        <v>1387</v>
      </c>
      <c r="D108" s="383">
        <v>812</v>
      </c>
      <c r="E108" s="383" t="s">
        <v>1379</v>
      </c>
      <c r="F108" s="383">
        <v>41683700</v>
      </c>
      <c r="G108" s="383"/>
      <c r="H108" s="383">
        <v>10</v>
      </c>
      <c r="I108" s="383">
        <f t="shared" si="1"/>
        <v>416837000</v>
      </c>
    </row>
    <row r="109" spans="1:9">
      <c r="A109" s="383">
        <v>71030</v>
      </c>
      <c r="B109" s="383" t="s">
        <v>1388</v>
      </c>
      <c r="C109" s="383" t="s">
        <v>1389</v>
      </c>
      <c r="D109" s="383">
        <v>812</v>
      </c>
      <c r="E109" s="383" t="s">
        <v>1379</v>
      </c>
      <c r="F109" s="383">
        <v>8554376</v>
      </c>
      <c r="G109" s="383"/>
      <c r="H109" s="383">
        <v>10</v>
      </c>
      <c r="I109" s="383">
        <f t="shared" si="1"/>
        <v>85543760</v>
      </c>
    </row>
    <row r="110" spans="1:9">
      <c r="A110" s="383">
        <v>71040</v>
      </c>
      <c r="B110" s="383" t="s">
        <v>1390</v>
      </c>
      <c r="C110" s="383" t="s">
        <v>1391</v>
      </c>
      <c r="D110" s="383">
        <v>812</v>
      </c>
      <c r="E110" s="383" t="s">
        <v>1379</v>
      </c>
      <c r="F110" s="383">
        <v>58627584</v>
      </c>
      <c r="G110" s="383"/>
      <c r="H110" s="383">
        <v>10</v>
      </c>
      <c r="I110" s="383">
        <f t="shared" si="1"/>
        <v>586275840</v>
      </c>
    </row>
    <row r="111" spans="1:9">
      <c r="A111" s="383">
        <v>71060</v>
      </c>
      <c r="B111" s="383" t="s">
        <v>1392</v>
      </c>
      <c r="C111" s="383" t="s">
        <v>1393</v>
      </c>
      <c r="D111" s="383">
        <v>812</v>
      </c>
      <c r="E111" s="383" t="s">
        <v>1379</v>
      </c>
      <c r="F111" s="383">
        <v>50296803</v>
      </c>
      <c r="G111" s="383"/>
      <c r="H111" s="383">
        <v>10</v>
      </c>
      <c r="I111" s="383">
        <f t="shared" si="1"/>
        <v>502968030</v>
      </c>
    </row>
    <row r="112" spans="1:9">
      <c r="A112" s="383">
        <v>71070</v>
      </c>
      <c r="B112" s="383" t="s">
        <v>1394</v>
      </c>
      <c r="C112" s="383" t="s">
        <v>1395</v>
      </c>
      <c r="D112" s="383">
        <v>812</v>
      </c>
      <c r="E112" s="383" t="s">
        <v>1379</v>
      </c>
      <c r="F112" s="383">
        <v>79330680</v>
      </c>
      <c r="G112" s="383"/>
      <c r="H112" s="383">
        <v>10</v>
      </c>
      <c r="I112" s="383">
        <f t="shared" si="1"/>
        <v>793306800</v>
      </c>
    </row>
    <row r="113" spans="1:9">
      <c r="A113" s="383">
        <v>71080</v>
      </c>
      <c r="B113" s="383" t="s">
        <v>1396</v>
      </c>
      <c r="C113" s="383" t="s">
        <v>1397</v>
      </c>
      <c r="D113" s="383">
        <v>812</v>
      </c>
      <c r="E113" s="383" t="s">
        <v>1379</v>
      </c>
      <c r="F113" s="383">
        <v>82683333</v>
      </c>
      <c r="G113" s="383"/>
      <c r="H113" s="383">
        <v>10</v>
      </c>
      <c r="I113" s="383">
        <f t="shared" si="1"/>
        <v>826833330</v>
      </c>
    </row>
    <row r="114" spans="1:9">
      <c r="A114" s="383">
        <v>71081</v>
      </c>
      <c r="B114" s="383" t="s">
        <v>1398</v>
      </c>
      <c r="C114" s="383" t="s">
        <v>1399</v>
      </c>
      <c r="D114" s="383">
        <v>812</v>
      </c>
      <c r="E114" s="383" t="s">
        <v>1379</v>
      </c>
      <c r="F114" s="383">
        <v>25011708</v>
      </c>
      <c r="G114" s="383"/>
      <c r="H114" s="383">
        <v>10</v>
      </c>
      <c r="I114" s="383">
        <f t="shared" si="1"/>
        <v>250117080</v>
      </c>
    </row>
    <row r="115" spans="1:9">
      <c r="A115" s="383">
        <v>71100</v>
      </c>
      <c r="B115" s="383" t="s">
        <v>1400</v>
      </c>
      <c r="C115" s="383" t="s">
        <v>1401</v>
      </c>
      <c r="D115" s="383">
        <v>812</v>
      </c>
      <c r="E115" s="383" t="s">
        <v>1379</v>
      </c>
      <c r="F115" s="383">
        <v>200000000</v>
      </c>
      <c r="G115" s="383"/>
      <c r="H115" s="383">
        <v>10</v>
      </c>
      <c r="I115" s="383">
        <f t="shared" si="1"/>
        <v>2000000000</v>
      </c>
    </row>
    <row r="116" spans="1:9">
      <c r="A116" s="383">
        <v>71110</v>
      </c>
      <c r="B116" s="383" t="s">
        <v>1402</v>
      </c>
      <c r="C116" s="383" t="s">
        <v>1403</v>
      </c>
      <c r="D116" s="383">
        <v>812</v>
      </c>
      <c r="E116" s="383" t="s">
        <v>1379</v>
      </c>
      <c r="F116" s="383">
        <v>100000001</v>
      </c>
      <c r="G116" s="383"/>
      <c r="H116" s="383">
        <v>10</v>
      </c>
      <c r="I116" s="383">
        <f t="shared" si="1"/>
        <v>1000000010</v>
      </c>
    </row>
    <row r="117" spans="1:9">
      <c r="A117" s="383">
        <v>71120</v>
      </c>
      <c r="B117" s="383" t="s">
        <v>1404</v>
      </c>
      <c r="C117" s="383" t="s">
        <v>1405</v>
      </c>
      <c r="D117" s="383">
        <v>812</v>
      </c>
      <c r="E117" s="383" t="s">
        <v>1379</v>
      </c>
      <c r="F117" s="383">
        <v>60978201</v>
      </c>
      <c r="G117" s="383"/>
      <c r="H117" s="383">
        <v>10</v>
      </c>
      <c r="I117" s="383">
        <f t="shared" si="1"/>
        <v>609782010</v>
      </c>
    </row>
    <row r="118" spans="1:9">
      <c r="A118" s="383">
        <v>71140</v>
      </c>
      <c r="B118" s="383" t="s">
        <v>1406</v>
      </c>
      <c r="C118" s="383" t="s">
        <v>1407</v>
      </c>
      <c r="D118" s="383">
        <v>812</v>
      </c>
      <c r="E118" s="383" t="s">
        <v>1379</v>
      </c>
      <c r="F118" s="383">
        <v>123874755</v>
      </c>
      <c r="G118" s="383"/>
      <c r="H118" s="383">
        <v>5</v>
      </c>
      <c r="I118" s="383">
        <f t="shared" si="1"/>
        <v>619373775</v>
      </c>
    </row>
    <row r="119" spans="1:9">
      <c r="A119" s="383">
        <v>71160</v>
      </c>
      <c r="B119" s="383" t="s">
        <v>1408</v>
      </c>
      <c r="C119" s="383" t="s">
        <v>1409</v>
      </c>
      <c r="D119" s="383">
        <v>812</v>
      </c>
      <c r="E119" s="383" t="s">
        <v>1379</v>
      </c>
      <c r="F119" s="383">
        <v>122689530</v>
      </c>
      <c r="G119" s="383"/>
      <c r="H119" s="383">
        <v>10</v>
      </c>
      <c r="I119" s="383">
        <f t="shared" si="1"/>
        <v>1226895300</v>
      </c>
    </row>
    <row r="120" spans="1:9">
      <c r="A120" s="383">
        <v>71210</v>
      </c>
      <c r="B120" s="383" t="s">
        <v>1410</v>
      </c>
      <c r="C120" s="383" t="s">
        <v>1411</v>
      </c>
      <c r="D120" s="383">
        <v>812</v>
      </c>
      <c r="E120" s="383" t="s">
        <v>1379</v>
      </c>
      <c r="F120" s="383">
        <v>60172014</v>
      </c>
      <c r="G120" s="383"/>
      <c r="H120" s="383">
        <v>10</v>
      </c>
      <c r="I120" s="383">
        <f t="shared" si="1"/>
        <v>601720140</v>
      </c>
    </row>
    <row r="121" spans="1:9">
      <c r="A121" s="383">
        <v>71220</v>
      </c>
      <c r="B121" s="383" t="s">
        <v>1412</v>
      </c>
      <c r="C121" s="383" t="s">
        <v>1413</v>
      </c>
      <c r="D121" s="383">
        <v>812</v>
      </c>
      <c r="E121" s="383" t="s">
        <v>1379</v>
      </c>
      <c r="F121" s="383">
        <v>70161388</v>
      </c>
      <c r="G121" s="383"/>
      <c r="H121" s="383">
        <v>10</v>
      </c>
      <c r="I121" s="383">
        <f t="shared" si="1"/>
        <v>701613880</v>
      </c>
    </row>
    <row r="122" spans="1:9">
      <c r="A122" s="383">
        <v>71260</v>
      </c>
      <c r="B122" s="383" t="s">
        <v>1414</v>
      </c>
      <c r="C122" s="383" t="s">
        <v>1415</v>
      </c>
      <c r="D122" s="383">
        <v>812</v>
      </c>
      <c r="E122" s="383" t="s">
        <v>1379</v>
      </c>
      <c r="F122" s="383">
        <v>180446708</v>
      </c>
      <c r="G122" s="383"/>
      <c r="H122" s="383">
        <v>10</v>
      </c>
      <c r="I122" s="383">
        <f t="shared" si="1"/>
        <v>1804467080</v>
      </c>
    </row>
    <row r="123" spans="1:9">
      <c r="A123" s="383">
        <v>71265</v>
      </c>
      <c r="B123" s="383" t="s">
        <v>1416</v>
      </c>
      <c r="C123" s="383" t="s">
        <v>1417</v>
      </c>
      <c r="D123" s="383">
        <v>812</v>
      </c>
      <c r="E123" s="383" t="s">
        <v>1379</v>
      </c>
      <c r="F123" s="383">
        <v>35000000</v>
      </c>
      <c r="G123" s="383"/>
      <c r="H123" s="383">
        <v>10</v>
      </c>
      <c r="I123" s="383">
        <f t="shared" si="1"/>
        <v>350000000</v>
      </c>
    </row>
    <row r="124" spans="1:9">
      <c r="A124" s="383">
        <v>71275</v>
      </c>
      <c r="B124" s="383" t="s">
        <v>1418</v>
      </c>
      <c r="C124" s="383" t="s">
        <v>1419</v>
      </c>
      <c r="D124" s="383">
        <v>812</v>
      </c>
      <c r="E124" s="383" t="s">
        <v>1379</v>
      </c>
      <c r="F124" s="383">
        <v>46401450</v>
      </c>
      <c r="G124" s="383"/>
      <c r="H124" s="383">
        <v>10</v>
      </c>
      <c r="I124" s="383">
        <f t="shared" si="1"/>
        <v>464014500</v>
      </c>
    </row>
    <row r="125" spans="1:9">
      <c r="A125" s="383">
        <v>71310</v>
      </c>
      <c r="B125" s="383" t="s">
        <v>1420</v>
      </c>
      <c r="C125" s="383" t="s">
        <v>1169</v>
      </c>
      <c r="D125" s="383">
        <v>812</v>
      </c>
      <c r="E125" s="383" t="s">
        <v>1379</v>
      </c>
      <c r="F125" s="383">
        <v>300000000</v>
      </c>
      <c r="G125" s="383"/>
      <c r="H125" s="383">
        <v>10</v>
      </c>
      <c r="I125" s="383">
        <f t="shared" si="1"/>
        <v>3000000000</v>
      </c>
    </row>
    <row r="126" spans="1:9">
      <c r="A126" s="383">
        <v>71400</v>
      </c>
      <c r="B126" s="383" t="s">
        <v>1421</v>
      </c>
      <c r="C126" s="383" t="s">
        <v>1422</v>
      </c>
      <c r="D126" s="383">
        <v>812</v>
      </c>
      <c r="E126" s="383" t="s">
        <v>1379</v>
      </c>
      <c r="F126" s="383">
        <v>50565105</v>
      </c>
      <c r="G126" s="383"/>
      <c r="H126" s="383">
        <v>10</v>
      </c>
      <c r="I126" s="383">
        <f t="shared" si="1"/>
        <v>505651050</v>
      </c>
    </row>
    <row r="127" spans="1:9">
      <c r="A127" s="383">
        <v>71420</v>
      </c>
      <c r="B127" s="383" t="s">
        <v>1423</v>
      </c>
      <c r="C127" s="383" t="s">
        <v>1424</v>
      </c>
      <c r="D127" s="383">
        <v>812</v>
      </c>
      <c r="E127" s="383" t="s">
        <v>1379</v>
      </c>
      <c r="F127" s="383">
        <v>8500000</v>
      </c>
      <c r="G127" s="383"/>
      <c r="H127" s="383">
        <v>10</v>
      </c>
      <c r="I127" s="383">
        <f t="shared" si="1"/>
        <v>85000000</v>
      </c>
    </row>
    <row r="128" spans="1:9">
      <c r="A128" s="383">
        <v>71440</v>
      </c>
      <c r="B128" s="383" t="s">
        <v>1425</v>
      </c>
      <c r="C128" s="383" t="s">
        <v>1426</v>
      </c>
      <c r="D128" s="383">
        <v>812</v>
      </c>
      <c r="E128" s="383" t="s">
        <v>1379</v>
      </c>
      <c r="F128" s="383">
        <v>500000</v>
      </c>
      <c r="G128" s="383"/>
      <c r="H128" s="383">
        <v>10</v>
      </c>
      <c r="I128" s="383">
        <f t="shared" si="1"/>
        <v>5000000</v>
      </c>
    </row>
    <row r="129" spans="1:9">
      <c r="A129" s="383">
        <v>71460</v>
      </c>
      <c r="B129" s="383" t="s">
        <v>1427</v>
      </c>
      <c r="C129" s="383" t="s">
        <v>1428</v>
      </c>
      <c r="D129" s="383">
        <v>812</v>
      </c>
      <c r="E129" s="383" t="s">
        <v>1379</v>
      </c>
      <c r="F129" s="383">
        <v>56141284</v>
      </c>
      <c r="G129" s="383"/>
      <c r="H129" s="383">
        <v>10</v>
      </c>
      <c r="I129" s="383">
        <f t="shared" si="1"/>
        <v>561412840</v>
      </c>
    </row>
    <row r="130" spans="1:9">
      <c r="A130" s="383">
        <v>71470</v>
      </c>
      <c r="B130" s="383" t="s">
        <v>1429</v>
      </c>
      <c r="C130" s="383" t="s">
        <v>1430</v>
      </c>
      <c r="D130" s="383">
        <v>812</v>
      </c>
      <c r="E130" s="383" t="s">
        <v>1379</v>
      </c>
      <c r="F130" s="383">
        <v>60000000</v>
      </c>
      <c r="G130" s="383"/>
      <c r="H130" s="383">
        <v>10</v>
      </c>
      <c r="I130" s="383">
        <f t="shared" si="1"/>
        <v>600000000</v>
      </c>
    </row>
    <row r="131" spans="1:9">
      <c r="A131" s="383">
        <v>71480</v>
      </c>
      <c r="B131" s="383" t="s">
        <v>1431</v>
      </c>
      <c r="C131" s="383" t="s">
        <v>1432</v>
      </c>
      <c r="D131" s="383">
        <v>812</v>
      </c>
      <c r="E131" s="383" t="s">
        <v>1379</v>
      </c>
      <c r="F131" s="383">
        <v>30564844</v>
      </c>
      <c r="G131" s="383"/>
      <c r="H131" s="383">
        <v>10</v>
      </c>
      <c r="I131" s="383">
        <f t="shared" ref="I131:I194" si="2">F131*H131</f>
        <v>305648440</v>
      </c>
    </row>
    <row r="132" spans="1:9">
      <c r="A132" s="383">
        <v>71490</v>
      </c>
      <c r="B132" s="383" t="s">
        <v>1433</v>
      </c>
      <c r="C132" s="383" t="s">
        <v>1434</v>
      </c>
      <c r="D132" s="383">
        <v>812</v>
      </c>
      <c r="E132" s="383" t="s">
        <v>1379</v>
      </c>
      <c r="F132" s="383">
        <v>75515899</v>
      </c>
      <c r="G132" s="383"/>
      <c r="H132" s="383">
        <v>10</v>
      </c>
      <c r="I132" s="383">
        <f t="shared" si="2"/>
        <v>755158990</v>
      </c>
    </row>
    <row r="133" spans="1:9">
      <c r="A133" s="383">
        <v>71500</v>
      </c>
      <c r="B133" s="383" t="s">
        <v>1435</v>
      </c>
      <c r="C133" s="383" t="s">
        <v>1436</v>
      </c>
      <c r="D133" s="383">
        <v>812</v>
      </c>
      <c r="E133" s="383" t="s">
        <v>1379</v>
      </c>
      <c r="F133" s="383">
        <v>750000</v>
      </c>
      <c r="G133" s="383"/>
      <c r="H133" s="383">
        <v>10</v>
      </c>
      <c r="I133" s="383">
        <f t="shared" si="2"/>
        <v>7500000</v>
      </c>
    </row>
    <row r="134" spans="1:9">
      <c r="A134" s="383">
        <v>71560</v>
      </c>
      <c r="B134" s="383" t="s">
        <v>1437</v>
      </c>
      <c r="C134" s="383" t="s">
        <v>1438</v>
      </c>
      <c r="D134" s="383">
        <v>812</v>
      </c>
      <c r="E134" s="383" t="s">
        <v>1379</v>
      </c>
      <c r="F134" s="383">
        <v>200155200</v>
      </c>
      <c r="G134" s="383"/>
      <c r="H134" s="383">
        <v>10</v>
      </c>
      <c r="I134" s="383">
        <f t="shared" si="2"/>
        <v>2001552000</v>
      </c>
    </row>
    <row r="135" spans="1:9">
      <c r="A135" s="383">
        <v>71580</v>
      </c>
      <c r="B135" s="383" t="s">
        <v>1439</v>
      </c>
      <c r="C135" s="383" t="s">
        <v>1440</v>
      </c>
      <c r="D135" s="383">
        <v>812</v>
      </c>
      <c r="E135" s="383" t="s">
        <v>1379</v>
      </c>
      <c r="F135" s="383">
        <v>50000000</v>
      </c>
      <c r="G135" s="383"/>
      <c r="H135" s="383">
        <v>10</v>
      </c>
      <c r="I135" s="383">
        <f t="shared" si="2"/>
        <v>500000000</v>
      </c>
    </row>
    <row r="136" spans="1:9">
      <c r="A136" s="383">
        <v>81008</v>
      </c>
      <c r="B136" s="383" t="s">
        <v>1441</v>
      </c>
      <c r="C136" s="383" t="s">
        <v>1442</v>
      </c>
      <c r="D136" s="383">
        <v>830</v>
      </c>
      <c r="E136" s="383" t="s">
        <v>1443</v>
      </c>
      <c r="F136" s="383">
        <v>7725800</v>
      </c>
      <c r="G136" s="383"/>
      <c r="H136" s="383">
        <v>10</v>
      </c>
      <c r="I136" s="383">
        <f t="shared" si="2"/>
        <v>77258000</v>
      </c>
    </row>
    <row r="137" spans="1:9">
      <c r="A137" s="383">
        <v>81070</v>
      </c>
      <c r="B137" s="383" t="s">
        <v>1444</v>
      </c>
      <c r="C137" s="383" t="s">
        <v>1445</v>
      </c>
      <c r="D137" s="383">
        <v>830</v>
      </c>
      <c r="E137" s="383" t="s">
        <v>1443</v>
      </c>
      <c r="F137" s="383">
        <v>8550400</v>
      </c>
      <c r="G137" s="383"/>
      <c r="H137" s="383">
        <v>10</v>
      </c>
      <c r="I137" s="383">
        <f t="shared" si="2"/>
        <v>85504000</v>
      </c>
    </row>
    <row r="138" spans="1:9">
      <c r="A138" s="383">
        <v>81080</v>
      </c>
      <c r="B138" s="383" t="s">
        <v>1446</v>
      </c>
      <c r="C138" s="383" t="s">
        <v>1447</v>
      </c>
      <c r="D138" s="383">
        <v>830</v>
      </c>
      <c r="E138" s="383" t="s">
        <v>1443</v>
      </c>
      <c r="F138" s="383">
        <v>44426694</v>
      </c>
      <c r="G138" s="383"/>
      <c r="H138" s="383">
        <v>10</v>
      </c>
      <c r="I138" s="383">
        <f t="shared" si="2"/>
        <v>444266940</v>
      </c>
    </row>
    <row r="139" spans="1:9">
      <c r="A139" s="383">
        <v>81090</v>
      </c>
      <c r="B139" s="383" t="s">
        <v>1448</v>
      </c>
      <c r="C139" s="383" t="s">
        <v>1449</v>
      </c>
      <c r="D139" s="383">
        <v>830</v>
      </c>
      <c r="E139" s="383" t="s">
        <v>1443</v>
      </c>
      <c r="F139" s="383">
        <v>259430134</v>
      </c>
      <c r="G139" s="383"/>
      <c r="H139" s="383">
        <v>10</v>
      </c>
      <c r="I139" s="383">
        <f t="shared" si="2"/>
        <v>2594301340</v>
      </c>
    </row>
    <row r="140" spans="1:9">
      <c r="A140" s="383">
        <v>81100</v>
      </c>
      <c r="B140" s="383" t="s">
        <v>1450</v>
      </c>
      <c r="C140" s="383" t="s">
        <v>1451</v>
      </c>
      <c r="D140" s="383">
        <v>830</v>
      </c>
      <c r="E140" s="383" t="s">
        <v>1443</v>
      </c>
      <c r="F140" s="383">
        <v>800000</v>
      </c>
      <c r="G140" s="383"/>
      <c r="H140" s="383">
        <v>10</v>
      </c>
      <c r="I140" s="383">
        <f t="shared" si="2"/>
        <v>8000000</v>
      </c>
    </row>
    <row r="141" spans="1:9">
      <c r="A141" s="383">
        <v>81155</v>
      </c>
      <c r="B141" s="383" t="s">
        <v>1452</v>
      </c>
      <c r="C141" s="383" t="s">
        <v>1453</v>
      </c>
      <c r="D141" s="383">
        <v>830</v>
      </c>
      <c r="E141" s="383" t="s">
        <v>1443</v>
      </c>
      <c r="F141" s="383">
        <v>7453000</v>
      </c>
      <c r="G141" s="383"/>
      <c r="H141" s="383">
        <v>10</v>
      </c>
      <c r="I141" s="383">
        <f t="shared" si="2"/>
        <v>74530000</v>
      </c>
    </row>
    <row r="142" spans="1:9">
      <c r="A142" s="383">
        <v>81180</v>
      </c>
      <c r="B142" s="383" t="s">
        <v>1454</v>
      </c>
      <c r="C142" s="383" t="s">
        <v>1455</v>
      </c>
      <c r="D142" s="383">
        <v>830</v>
      </c>
      <c r="E142" s="383" t="s">
        <v>1443</v>
      </c>
      <c r="F142" s="383">
        <v>1742400</v>
      </c>
      <c r="G142" s="383"/>
      <c r="H142" s="383">
        <v>10</v>
      </c>
      <c r="I142" s="383">
        <f t="shared" si="2"/>
        <v>17424000</v>
      </c>
    </row>
    <row r="143" spans="1:9">
      <c r="A143" s="383">
        <v>81220</v>
      </c>
      <c r="B143" s="383" t="s">
        <v>1456</v>
      </c>
      <c r="C143" s="383" t="s">
        <v>1457</v>
      </c>
      <c r="D143" s="383">
        <v>830</v>
      </c>
      <c r="E143" s="383" t="s">
        <v>1443</v>
      </c>
      <c r="F143" s="383">
        <v>8284700</v>
      </c>
      <c r="G143" s="383"/>
      <c r="H143" s="383">
        <v>10</v>
      </c>
      <c r="I143" s="383">
        <f t="shared" si="2"/>
        <v>82847000</v>
      </c>
    </row>
    <row r="144" spans="1:9">
      <c r="A144" s="383">
        <v>81225</v>
      </c>
      <c r="B144" s="383" t="s">
        <v>1458</v>
      </c>
      <c r="C144" s="383" t="s">
        <v>1459</v>
      </c>
      <c r="D144" s="383">
        <v>830</v>
      </c>
      <c r="E144" s="383" t="s">
        <v>1443</v>
      </c>
      <c r="F144" s="383">
        <v>15177000</v>
      </c>
      <c r="G144" s="383"/>
      <c r="H144" s="383">
        <v>10</v>
      </c>
      <c r="I144" s="383">
        <f t="shared" si="2"/>
        <v>151770000</v>
      </c>
    </row>
    <row r="145" spans="1:9">
      <c r="A145" s="383">
        <v>81240</v>
      </c>
      <c r="B145" s="383" t="s">
        <v>1460</v>
      </c>
      <c r="C145" s="383" t="s">
        <v>1461</v>
      </c>
      <c r="D145" s="383">
        <v>830</v>
      </c>
      <c r="E145" s="383" t="s">
        <v>1443</v>
      </c>
      <c r="F145" s="383">
        <v>1400000</v>
      </c>
      <c r="G145" s="383"/>
      <c r="H145" s="383">
        <v>10</v>
      </c>
      <c r="I145" s="383">
        <f t="shared" si="2"/>
        <v>14000000</v>
      </c>
    </row>
    <row r="146" spans="1:9">
      <c r="A146" s="383">
        <v>81280</v>
      </c>
      <c r="B146" s="383" t="s">
        <v>1462</v>
      </c>
      <c r="C146" s="383" t="s">
        <v>1463</v>
      </c>
      <c r="D146" s="383">
        <v>830</v>
      </c>
      <c r="E146" s="383" t="s">
        <v>1443</v>
      </c>
      <c r="F146" s="383">
        <v>950000</v>
      </c>
      <c r="G146" s="383"/>
      <c r="H146" s="383">
        <v>10</v>
      </c>
      <c r="I146" s="383">
        <f t="shared" si="2"/>
        <v>9500000</v>
      </c>
    </row>
    <row r="147" spans="1:9">
      <c r="A147" s="383">
        <v>81300</v>
      </c>
      <c r="B147" s="383" t="s">
        <v>1464</v>
      </c>
      <c r="C147" s="383" t="s">
        <v>1465</v>
      </c>
      <c r="D147" s="383">
        <v>830</v>
      </c>
      <c r="E147" s="383" t="s">
        <v>1443</v>
      </c>
      <c r="F147" s="383">
        <v>3652178</v>
      </c>
      <c r="G147" s="383"/>
      <c r="H147" s="383">
        <v>10</v>
      </c>
      <c r="I147" s="383">
        <f t="shared" si="2"/>
        <v>36521780</v>
      </c>
    </row>
    <row r="148" spans="1:9">
      <c r="A148" s="383">
        <v>81325</v>
      </c>
      <c r="B148" s="383" t="s">
        <v>1466</v>
      </c>
      <c r="C148" s="383" t="s">
        <v>1467</v>
      </c>
      <c r="D148" s="383">
        <v>830</v>
      </c>
      <c r="E148" s="383" t="s">
        <v>1443</v>
      </c>
      <c r="F148" s="383">
        <v>14100000</v>
      </c>
      <c r="G148" s="383"/>
      <c r="H148" s="383">
        <v>10</v>
      </c>
      <c r="I148" s="383">
        <f t="shared" si="2"/>
        <v>141000000</v>
      </c>
    </row>
    <row r="149" spans="1:9">
      <c r="A149" s="383">
        <v>81360</v>
      </c>
      <c r="B149" s="383" t="s">
        <v>1468</v>
      </c>
      <c r="C149" s="383" t="s">
        <v>1469</v>
      </c>
      <c r="D149" s="383">
        <v>830</v>
      </c>
      <c r="E149" s="383" t="s">
        <v>1443</v>
      </c>
      <c r="F149" s="383">
        <v>9801000</v>
      </c>
      <c r="G149" s="383"/>
      <c r="H149" s="383">
        <v>10</v>
      </c>
      <c r="I149" s="383">
        <f t="shared" si="2"/>
        <v>98010000</v>
      </c>
    </row>
    <row r="150" spans="1:9">
      <c r="A150" s="383">
        <v>81420</v>
      </c>
      <c r="B150" s="383" t="s">
        <v>1470</v>
      </c>
      <c r="C150" s="383" t="s">
        <v>1471</v>
      </c>
      <c r="D150" s="383">
        <v>830</v>
      </c>
      <c r="E150" s="383" t="s">
        <v>1443</v>
      </c>
      <c r="F150" s="383">
        <v>40000000</v>
      </c>
      <c r="G150" s="383"/>
      <c r="H150" s="383">
        <v>5</v>
      </c>
      <c r="I150" s="383">
        <f t="shared" si="2"/>
        <v>200000000</v>
      </c>
    </row>
    <row r="151" spans="1:9">
      <c r="A151" s="383">
        <v>81450</v>
      </c>
      <c r="B151" s="383" t="s">
        <v>1472</v>
      </c>
      <c r="C151" s="383" t="s">
        <v>1473</v>
      </c>
      <c r="D151" s="383">
        <v>830</v>
      </c>
      <c r="E151" s="383" t="s">
        <v>1443</v>
      </c>
      <c r="F151" s="383">
        <v>86577920</v>
      </c>
      <c r="G151" s="383"/>
      <c r="H151" s="383">
        <v>10</v>
      </c>
      <c r="I151" s="383">
        <f t="shared" si="2"/>
        <v>865779200</v>
      </c>
    </row>
    <row r="152" spans="1:9">
      <c r="A152" s="383">
        <v>81470</v>
      </c>
      <c r="B152" s="383" t="s">
        <v>1474</v>
      </c>
      <c r="C152" s="383" t="s">
        <v>1475</v>
      </c>
      <c r="D152" s="383">
        <v>830</v>
      </c>
      <c r="E152" s="383" t="s">
        <v>1443</v>
      </c>
      <c r="F152" s="383">
        <v>12417876</v>
      </c>
      <c r="G152" s="383"/>
      <c r="H152" s="383">
        <v>10</v>
      </c>
      <c r="I152" s="383">
        <f t="shared" si="2"/>
        <v>124178760</v>
      </c>
    </row>
    <row r="153" spans="1:9">
      <c r="A153" s="383">
        <v>81502</v>
      </c>
      <c r="B153" s="383" t="s">
        <v>1476</v>
      </c>
      <c r="C153" s="383" t="s">
        <v>1477</v>
      </c>
      <c r="D153" s="383">
        <v>830</v>
      </c>
      <c r="E153" s="383" t="s">
        <v>1443</v>
      </c>
      <c r="F153" s="383">
        <v>8000000</v>
      </c>
      <c r="G153" s="383"/>
      <c r="H153" s="383">
        <v>10</v>
      </c>
      <c r="I153" s="383">
        <f t="shared" si="2"/>
        <v>80000000</v>
      </c>
    </row>
    <row r="154" spans="1:9">
      <c r="A154" s="383">
        <v>81503</v>
      </c>
      <c r="B154" s="383" t="s">
        <v>1478</v>
      </c>
      <c r="C154" s="383" t="s">
        <v>1479</v>
      </c>
      <c r="D154" s="383">
        <v>830</v>
      </c>
      <c r="E154" s="383" t="s">
        <v>1443</v>
      </c>
      <c r="F154" s="383">
        <v>9909600</v>
      </c>
      <c r="G154" s="383"/>
      <c r="H154" s="383">
        <v>10</v>
      </c>
      <c r="I154" s="383">
        <f t="shared" si="2"/>
        <v>99096000</v>
      </c>
    </row>
    <row r="155" spans="1:9">
      <c r="A155" s="383">
        <v>81504</v>
      </c>
      <c r="B155" s="383" t="s">
        <v>1480</v>
      </c>
      <c r="C155" s="383" t="s">
        <v>1481</v>
      </c>
      <c r="D155" s="383">
        <v>830</v>
      </c>
      <c r="E155" s="383" t="s">
        <v>1443</v>
      </c>
      <c r="F155" s="383">
        <v>97750726</v>
      </c>
      <c r="G155" s="383"/>
      <c r="H155" s="383">
        <v>10</v>
      </c>
      <c r="I155" s="383">
        <f t="shared" si="2"/>
        <v>977507260</v>
      </c>
    </row>
    <row r="156" spans="1:9">
      <c r="A156" s="383">
        <v>81505</v>
      </c>
      <c r="B156" s="383" t="s">
        <v>1482</v>
      </c>
      <c r="C156" s="383" t="s">
        <v>1483</v>
      </c>
      <c r="D156" s="383">
        <v>830</v>
      </c>
      <c r="E156" s="383" t="s">
        <v>1443</v>
      </c>
      <c r="F156" s="383">
        <v>9610759</v>
      </c>
      <c r="G156" s="383"/>
      <c r="H156" s="383">
        <v>10</v>
      </c>
      <c r="I156" s="383">
        <f t="shared" si="2"/>
        <v>96107590</v>
      </c>
    </row>
    <row r="157" spans="1:9">
      <c r="A157" s="383">
        <v>81510</v>
      </c>
      <c r="B157" s="383" t="s">
        <v>1484</v>
      </c>
      <c r="C157" s="383" t="s">
        <v>1485</v>
      </c>
      <c r="D157" s="383">
        <v>830</v>
      </c>
      <c r="E157" s="383" t="s">
        <v>1443</v>
      </c>
      <c r="F157" s="383">
        <v>6561028</v>
      </c>
      <c r="G157" s="383"/>
      <c r="H157" s="383">
        <v>10</v>
      </c>
      <c r="I157" s="383">
        <f t="shared" si="2"/>
        <v>65610280</v>
      </c>
    </row>
    <row r="158" spans="1:9">
      <c r="A158" s="383">
        <v>81520</v>
      </c>
      <c r="B158" s="383" t="s">
        <v>1486</v>
      </c>
      <c r="C158" s="383" t="s">
        <v>1487</v>
      </c>
      <c r="D158" s="383">
        <v>830</v>
      </c>
      <c r="E158" s="383" t="s">
        <v>1443</v>
      </c>
      <c r="F158" s="383">
        <v>46064609</v>
      </c>
      <c r="G158" s="383"/>
      <c r="H158" s="383">
        <v>10</v>
      </c>
      <c r="I158" s="383">
        <f t="shared" si="2"/>
        <v>460646090</v>
      </c>
    </row>
    <row r="159" spans="1:9">
      <c r="A159" s="383">
        <v>81530</v>
      </c>
      <c r="B159" s="383" t="s">
        <v>1488</v>
      </c>
      <c r="C159" s="383" t="s">
        <v>1489</v>
      </c>
      <c r="D159" s="383">
        <v>830</v>
      </c>
      <c r="E159" s="383" t="s">
        <v>1443</v>
      </c>
      <c r="F159" s="383">
        <v>22421689</v>
      </c>
      <c r="G159" s="383"/>
      <c r="H159" s="383">
        <v>10</v>
      </c>
      <c r="I159" s="383">
        <f t="shared" si="2"/>
        <v>224216890</v>
      </c>
    </row>
    <row r="160" spans="1:9">
      <c r="A160" s="383">
        <v>81560</v>
      </c>
      <c r="B160" s="383" t="s">
        <v>1490</v>
      </c>
      <c r="C160" s="383" t="s">
        <v>1491</v>
      </c>
      <c r="D160" s="383">
        <v>830</v>
      </c>
      <c r="E160" s="383" t="s">
        <v>1443</v>
      </c>
      <c r="F160" s="383">
        <v>3052400</v>
      </c>
      <c r="G160" s="383"/>
      <c r="H160" s="383">
        <v>10</v>
      </c>
      <c r="I160" s="383">
        <f t="shared" si="2"/>
        <v>30524000</v>
      </c>
    </row>
    <row r="161" spans="1:9">
      <c r="A161" s="383">
        <v>81565</v>
      </c>
      <c r="B161" s="383" t="s">
        <v>1492</v>
      </c>
      <c r="C161" s="383" t="s">
        <v>1493</v>
      </c>
      <c r="D161" s="383">
        <v>830</v>
      </c>
      <c r="E161" s="383" t="s">
        <v>1443</v>
      </c>
      <c r="F161" s="383">
        <v>83685631</v>
      </c>
      <c r="G161" s="383"/>
      <c r="H161" s="383">
        <v>10</v>
      </c>
      <c r="I161" s="383">
        <f t="shared" si="2"/>
        <v>836856310</v>
      </c>
    </row>
    <row r="162" spans="1:9">
      <c r="A162" s="383">
        <v>81580</v>
      </c>
      <c r="B162" s="383" t="s">
        <v>1494</v>
      </c>
      <c r="C162" s="383" t="s">
        <v>1495</v>
      </c>
      <c r="D162" s="383">
        <v>830</v>
      </c>
      <c r="E162" s="383" t="s">
        <v>1443</v>
      </c>
      <c r="F162" s="383">
        <v>1300000</v>
      </c>
      <c r="G162" s="383"/>
      <c r="H162" s="383">
        <v>10</v>
      </c>
      <c r="I162" s="383">
        <f t="shared" si="2"/>
        <v>13000000</v>
      </c>
    </row>
    <row r="163" spans="1:9">
      <c r="A163" s="383">
        <v>81600</v>
      </c>
      <c r="B163" s="383" t="s">
        <v>1496</v>
      </c>
      <c r="C163" s="383" t="s">
        <v>1497</v>
      </c>
      <c r="D163" s="383">
        <v>830</v>
      </c>
      <c r="E163" s="383" t="s">
        <v>1443</v>
      </c>
      <c r="F163" s="383">
        <v>10950000</v>
      </c>
      <c r="G163" s="383"/>
      <c r="H163" s="383">
        <v>10</v>
      </c>
      <c r="I163" s="383">
        <f t="shared" si="2"/>
        <v>109500000</v>
      </c>
    </row>
    <row r="164" spans="1:9">
      <c r="A164" s="383">
        <v>81630</v>
      </c>
      <c r="B164" s="383" t="s">
        <v>1498</v>
      </c>
      <c r="C164" s="383" t="s">
        <v>1499</v>
      </c>
      <c r="D164" s="383">
        <v>830</v>
      </c>
      <c r="E164" s="383" t="s">
        <v>1443</v>
      </c>
      <c r="F164" s="383">
        <v>14231000</v>
      </c>
      <c r="G164" s="383"/>
      <c r="H164" s="383">
        <v>10</v>
      </c>
      <c r="I164" s="383">
        <f t="shared" si="2"/>
        <v>142310000</v>
      </c>
    </row>
    <row r="165" spans="1:9">
      <c r="A165" s="383">
        <v>81680</v>
      </c>
      <c r="B165" s="383" t="s">
        <v>1500</v>
      </c>
      <c r="C165" s="383" t="s">
        <v>1501</v>
      </c>
      <c r="D165" s="383">
        <v>830</v>
      </c>
      <c r="E165" s="383" t="s">
        <v>1443</v>
      </c>
      <c r="F165" s="383">
        <v>30000000</v>
      </c>
      <c r="G165" s="383"/>
      <c r="H165" s="383">
        <v>10</v>
      </c>
      <c r="I165" s="383">
        <f t="shared" si="2"/>
        <v>300000000</v>
      </c>
    </row>
    <row r="166" spans="1:9">
      <c r="A166" s="383">
        <v>81725</v>
      </c>
      <c r="B166" s="383" t="s">
        <v>1502</v>
      </c>
      <c r="C166" s="383" t="s">
        <v>1503</v>
      </c>
      <c r="D166" s="383">
        <v>830</v>
      </c>
      <c r="E166" s="383" t="s">
        <v>1443</v>
      </c>
      <c r="F166" s="383">
        <v>28029583</v>
      </c>
      <c r="G166" s="383"/>
      <c r="H166" s="383">
        <v>10</v>
      </c>
      <c r="I166" s="383">
        <f t="shared" si="2"/>
        <v>280295830</v>
      </c>
    </row>
    <row r="167" spans="1:9">
      <c r="A167" s="383">
        <v>81730</v>
      </c>
      <c r="B167" s="383" t="s">
        <v>1504</v>
      </c>
      <c r="C167" s="383" t="s">
        <v>1505</v>
      </c>
      <c r="D167" s="383">
        <v>830</v>
      </c>
      <c r="E167" s="383" t="s">
        <v>1443</v>
      </c>
      <c r="F167" s="383">
        <v>26640000</v>
      </c>
      <c r="G167" s="383"/>
      <c r="H167" s="383">
        <v>10</v>
      </c>
      <c r="I167" s="383">
        <f t="shared" si="2"/>
        <v>266400000</v>
      </c>
    </row>
    <row r="168" spans="1:9">
      <c r="A168" s="383">
        <v>81740</v>
      </c>
      <c r="B168" s="383" t="s">
        <v>1506</v>
      </c>
      <c r="C168" s="383" t="s">
        <v>1507</v>
      </c>
      <c r="D168" s="383">
        <v>830</v>
      </c>
      <c r="E168" s="383" t="s">
        <v>1443</v>
      </c>
      <c r="F168" s="383">
        <v>16367085</v>
      </c>
      <c r="G168" s="383"/>
      <c r="H168" s="383">
        <v>10</v>
      </c>
      <c r="I168" s="383">
        <f t="shared" si="2"/>
        <v>163670850</v>
      </c>
    </row>
    <row r="169" spans="1:9">
      <c r="A169" s="383">
        <v>81760</v>
      </c>
      <c r="B169" s="383" t="s">
        <v>1508</v>
      </c>
      <c r="C169" s="383" t="s">
        <v>1509</v>
      </c>
      <c r="D169" s="383">
        <v>830</v>
      </c>
      <c r="E169" s="383" t="s">
        <v>1443</v>
      </c>
      <c r="F169" s="383">
        <v>4662210</v>
      </c>
      <c r="G169" s="383"/>
      <c r="H169" s="383">
        <v>10</v>
      </c>
      <c r="I169" s="383">
        <f t="shared" si="2"/>
        <v>46622100</v>
      </c>
    </row>
    <row r="170" spans="1:9">
      <c r="A170" s="383">
        <v>81790</v>
      </c>
      <c r="B170" s="383" t="s">
        <v>1510</v>
      </c>
      <c r="C170" s="383" t="s">
        <v>1511</v>
      </c>
      <c r="D170" s="383">
        <v>830</v>
      </c>
      <c r="E170" s="383" t="s">
        <v>1443</v>
      </c>
      <c r="F170" s="383">
        <v>14641000</v>
      </c>
      <c r="G170" s="383"/>
      <c r="H170" s="383">
        <v>10</v>
      </c>
      <c r="I170" s="383">
        <f t="shared" si="2"/>
        <v>146410000</v>
      </c>
    </row>
    <row r="171" spans="1:9">
      <c r="A171" s="383">
        <v>81800</v>
      </c>
      <c r="B171" s="383" t="s">
        <v>1512</v>
      </c>
      <c r="C171" s="383" t="s">
        <v>1513</v>
      </c>
      <c r="D171" s="383">
        <v>830</v>
      </c>
      <c r="E171" s="383" t="s">
        <v>1443</v>
      </c>
      <c r="F171" s="383">
        <v>18983872</v>
      </c>
      <c r="G171" s="383"/>
      <c r="H171" s="383">
        <v>10</v>
      </c>
      <c r="I171" s="383">
        <f t="shared" si="2"/>
        <v>189838720</v>
      </c>
    </row>
    <row r="172" spans="1:9">
      <c r="A172" s="383">
        <v>81820</v>
      </c>
      <c r="B172" s="383" t="s">
        <v>1514</v>
      </c>
      <c r="C172" s="383" t="s">
        <v>1515</v>
      </c>
      <c r="D172" s="383">
        <v>830</v>
      </c>
      <c r="E172" s="383" t="s">
        <v>1443</v>
      </c>
      <c r="F172" s="383">
        <v>22225038</v>
      </c>
      <c r="G172" s="383"/>
      <c r="H172" s="383">
        <v>10</v>
      </c>
      <c r="I172" s="383">
        <f t="shared" si="2"/>
        <v>222250380</v>
      </c>
    </row>
    <row r="173" spans="1:9">
      <c r="A173" s="383">
        <v>81825</v>
      </c>
      <c r="B173" s="383" t="s">
        <v>1516</v>
      </c>
      <c r="C173" s="383" t="s">
        <v>1517</v>
      </c>
      <c r="D173" s="383">
        <v>830</v>
      </c>
      <c r="E173" s="383" t="s">
        <v>1443</v>
      </c>
      <c r="F173" s="383">
        <v>11975040</v>
      </c>
      <c r="G173" s="383"/>
      <c r="H173" s="383">
        <v>10</v>
      </c>
      <c r="I173" s="383">
        <f t="shared" si="2"/>
        <v>119750400</v>
      </c>
    </row>
    <row r="174" spans="1:9">
      <c r="A174" s="383">
        <v>81840</v>
      </c>
      <c r="B174" s="383" t="s">
        <v>1518</v>
      </c>
      <c r="C174" s="383" t="s">
        <v>1519</v>
      </c>
      <c r="D174" s="383">
        <v>830</v>
      </c>
      <c r="E174" s="383" t="s">
        <v>1443</v>
      </c>
      <c r="F174" s="383">
        <v>13750000</v>
      </c>
      <c r="G174" s="383"/>
      <c r="H174" s="383">
        <v>10</v>
      </c>
      <c r="I174" s="383">
        <f t="shared" si="2"/>
        <v>137500000</v>
      </c>
    </row>
    <row r="175" spans="1:9">
      <c r="A175" s="383">
        <v>81910</v>
      </c>
      <c r="B175" s="383" t="s">
        <v>1520</v>
      </c>
      <c r="C175" s="383" t="s">
        <v>1521</v>
      </c>
      <c r="D175" s="383">
        <v>830</v>
      </c>
      <c r="E175" s="383" t="s">
        <v>1443</v>
      </c>
      <c r="F175" s="383">
        <v>9920000</v>
      </c>
      <c r="G175" s="383"/>
      <c r="H175" s="383">
        <v>10</v>
      </c>
      <c r="I175" s="383">
        <f t="shared" si="2"/>
        <v>99200000</v>
      </c>
    </row>
    <row r="176" spans="1:9">
      <c r="A176" s="383">
        <v>81913</v>
      </c>
      <c r="B176" s="383" t="s">
        <v>1522</v>
      </c>
      <c r="C176" s="383" t="s">
        <v>1523</v>
      </c>
      <c r="D176" s="383">
        <v>830</v>
      </c>
      <c r="E176" s="383" t="s">
        <v>1443</v>
      </c>
      <c r="F176" s="383">
        <v>18048000</v>
      </c>
      <c r="G176" s="383"/>
      <c r="H176" s="383">
        <v>10</v>
      </c>
      <c r="I176" s="383">
        <f t="shared" si="2"/>
        <v>180480000</v>
      </c>
    </row>
    <row r="177" spans="1:9">
      <c r="A177" s="383">
        <v>81920</v>
      </c>
      <c r="B177" s="383" t="s">
        <v>1524</v>
      </c>
      <c r="C177" s="383" t="s">
        <v>1525</v>
      </c>
      <c r="D177" s="383">
        <v>830</v>
      </c>
      <c r="E177" s="383" t="s">
        <v>1443</v>
      </c>
      <c r="F177" s="383">
        <v>18073731</v>
      </c>
      <c r="G177" s="383"/>
      <c r="H177" s="383">
        <v>10</v>
      </c>
      <c r="I177" s="383">
        <f t="shared" si="2"/>
        <v>180737310</v>
      </c>
    </row>
    <row r="178" spans="1:9">
      <c r="A178" s="383">
        <v>81940</v>
      </c>
      <c r="B178" s="383" t="s">
        <v>1526</v>
      </c>
      <c r="C178" s="383" t="s">
        <v>1527</v>
      </c>
      <c r="D178" s="383">
        <v>830</v>
      </c>
      <c r="E178" s="383" t="s">
        <v>1443</v>
      </c>
      <c r="F178" s="383">
        <v>4250000</v>
      </c>
      <c r="G178" s="383"/>
      <c r="H178" s="383">
        <v>10</v>
      </c>
      <c r="I178" s="383">
        <f t="shared" si="2"/>
        <v>42500000</v>
      </c>
    </row>
    <row r="179" spans="1:9">
      <c r="A179" s="383">
        <v>81960</v>
      </c>
      <c r="B179" s="383" t="s">
        <v>1528</v>
      </c>
      <c r="C179" s="383" t="s">
        <v>1529</v>
      </c>
      <c r="D179" s="383">
        <v>830</v>
      </c>
      <c r="E179" s="383" t="s">
        <v>1443</v>
      </c>
      <c r="F179" s="383">
        <v>500000</v>
      </c>
      <c r="G179" s="383"/>
      <c r="H179" s="383">
        <v>10</v>
      </c>
      <c r="I179" s="383">
        <f t="shared" si="2"/>
        <v>5000000</v>
      </c>
    </row>
    <row r="180" spans="1:9">
      <c r="A180" s="383">
        <v>81990</v>
      </c>
      <c r="B180" s="383" t="s">
        <v>1530</v>
      </c>
      <c r="C180" s="383" t="s">
        <v>1531</v>
      </c>
      <c r="D180" s="383">
        <v>830</v>
      </c>
      <c r="E180" s="383" t="s">
        <v>1443</v>
      </c>
      <c r="F180" s="383">
        <v>12601200</v>
      </c>
      <c r="G180" s="383"/>
      <c r="H180" s="383">
        <v>10</v>
      </c>
      <c r="I180" s="383">
        <f t="shared" si="2"/>
        <v>126012000</v>
      </c>
    </row>
    <row r="181" spans="1:9">
      <c r="A181" s="383">
        <v>81995</v>
      </c>
      <c r="B181" s="383" t="s">
        <v>1532</v>
      </c>
      <c r="C181" s="383" t="s">
        <v>1533</v>
      </c>
      <c r="D181" s="383">
        <v>830</v>
      </c>
      <c r="E181" s="383" t="s">
        <v>1443</v>
      </c>
      <c r="F181" s="383">
        <v>73083930</v>
      </c>
      <c r="G181" s="383"/>
      <c r="H181" s="383">
        <v>10</v>
      </c>
      <c r="I181" s="383">
        <f t="shared" si="2"/>
        <v>730839300</v>
      </c>
    </row>
    <row r="182" spans="1:9">
      <c r="A182" s="383">
        <v>82000</v>
      </c>
      <c r="B182" s="383" t="s">
        <v>1534</v>
      </c>
      <c r="C182" s="383" t="s">
        <v>1535</v>
      </c>
      <c r="D182" s="383">
        <v>830</v>
      </c>
      <c r="E182" s="383" t="s">
        <v>1443</v>
      </c>
      <c r="F182" s="383">
        <v>4784850</v>
      </c>
      <c r="G182" s="383"/>
      <c r="H182" s="383">
        <v>10</v>
      </c>
      <c r="I182" s="383">
        <f t="shared" si="2"/>
        <v>47848500</v>
      </c>
    </row>
    <row r="183" spans="1:9">
      <c r="A183" s="383">
        <v>82080</v>
      </c>
      <c r="B183" s="383" t="s">
        <v>1536</v>
      </c>
      <c r="C183" s="383" t="s">
        <v>1537</v>
      </c>
      <c r="D183" s="383">
        <v>830</v>
      </c>
      <c r="E183" s="383" t="s">
        <v>1443</v>
      </c>
      <c r="F183" s="383">
        <v>1183200</v>
      </c>
      <c r="G183" s="383"/>
      <c r="H183" s="383">
        <v>10</v>
      </c>
      <c r="I183" s="383">
        <f t="shared" si="2"/>
        <v>11832000</v>
      </c>
    </row>
    <row r="184" spans="1:9">
      <c r="A184" s="383">
        <v>82120</v>
      </c>
      <c r="B184" s="383" t="s">
        <v>1538</v>
      </c>
      <c r="C184" s="383" t="s">
        <v>1539</v>
      </c>
      <c r="D184" s="383">
        <v>830</v>
      </c>
      <c r="E184" s="383" t="s">
        <v>1443</v>
      </c>
      <c r="F184" s="383">
        <v>10700000</v>
      </c>
      <c r="G184" s="383"/>
      <c r="H184" s="383">
        <v>10</v>
      </c>
      <c r="I184" s="383">
        <f t="shared" si="2"/>
        <v>107000000</v>
      </c>
    </row>
    <row r="185" spans="1:9">
      <c r="A185" s="383">
        <v>82140</v>
      </c>
      <c r="B185" s="383" t="s">
        <v>1540</v>
      </c>
      <c r="C185" s="383" t="s">
        <v>1541</v>
      </c>
      <c r="D185" s="383">
        <v>830</v>
      </c>
      <c r="E185" s="383" t="s">
        <v>1443</v>
      </c>
      <c r="F185" s="383">
        <v>13174800</v>
      </c>
      <c r="G185" s="383"/>
      <c r="H185" s="383">
        <v>10</v>
      </c>
      <c r="I185" s="383">
        <f t="shared" si="2"/>
        <v>131748000</v>
      </c>
    </row>
    <row r="186" spans="1:9">
      <c r="A186" s="383">
        <v>82160</v>
      </c>
      <c r="B186" s="383" t="s">
        <v>1542</v>
      </c>
      <c r="C186" s="383" t="s">
        <v>1543</v>
      </c>
      <c r="D186" s="383">
        <v>830</v>
      </c>
      <c r="E186" s="383" t="s">
        <v>1443</v>
      </c>
      <c r="F186" s="383">
        <v>20800000</v>
      </c>
      <c r="G186" s="383"/>
      <c r="H186" s="383">
        <v>10</v>
      </c>
      <c r="I186" s="383">
        <f t="shared" si="2"/>
        <v>208000000</v>
      </c>
    </row>
    <row r="187" spans="1:9">
      <c r="A187" s="383">
        <v>82200</v>
      </c>
      <c r="B187" s="383" t="s">
        <v>1544</v>
      </c>
      <c r="C187" s="383" t="s">
        <v>1545</v>
      </c>
      <c r="D187" s="383">
        <v>830</v>
      </c>
      <c r="E187" s="383" t="s">
        <v>1443</v>
      </c>
      <c r="F187" s="383">
        <v>215714285</v>
      </c>
      <c r="G187" s="383"/>
      <c r="H187" s="383">
        <v>5</v>
      </c>
      <c r="I187" s="383">
        <f t="shared" si="2"/>
        <v>1078571425</v>
      </c>
    </row>
    <row r="188" spans="1:9">
      <c r="A188" s="383">
        <v>82230</v>
      </c>
      <c r="B188" s="383" t="s">
        <v>1546</v>
      </c>
      <c r="C188" s="383" t="s">
        <v>1547</v>
      </c>
      <c r="D188" s="383">
        <v>830</v>
      </c>
      <c r="E188" s="383" t="s">
        <v>1443</v>
      </c>
      <c r="F188" s="383">
        <v>12123700</v>
      </c>
      <c r="G188" s="383"/>
      <c r="H188" s="383">
        <v>10</v>
      </c>
      <c r="I188" s="383">
        <f t="shared" si="2"/>
        <v>121237000</v>
      </c>
    </row>
    <row r="189" spans="1:9">
      <c r="A189" s="383">
        <v>82240</v>
      </c>
      <c r="B189" s="383" t="s">
        <v>1548</v>
      </c>
      <c r="C189" s="383" t="s">
        <v>1549</v>
      </c>
      <c r="D189" s="383">
        <v>830</v>
      </c>
      <c r="E189" s="383" t="s">
        <v>1443</v>
      </c>
      <c r="F189" s="383">
        <v>16800000</v>
      </c>
      <c r="G189" s="383"/>
      <c r="H189" s="383">
        <v>10</v>
      </c>
      <c r="I189" s="383">
        <f t="shared" si="2"/>
        <v>168000000</v>
      </c>
    </row>
    <row r="190" spans="1:9">
      <c r="A190" s="383">
        <v>82270</v>
      </c>
      <c r="B190" s="383" t="s">
        <v>1550</v>
      </c>
      <c r="C190" s="383" t="s">
        <v>1551</v>
      </c>
      <c r="D190" s="383">
        <v>830</v>
      </c>
      <c r="E190" s="383" t="s">
        <v>1443</v>
      </c>
      <c r="F190" s="383">
        <v>9200000</v>
      </c>
      <c r="G190" s="383"/>
      <c r="H190" s="383">
        <v>10</v>
      </c>
      <c r="I190" s="383">
        <f t="shared" si="2"/>
        <v>92000000</v>
      </c>
    </row>
    <row r="191" spans="1:9">
      <c r="A191" s="383">
        <v>82305</v>
      </c>
      <c r="B191" s="383" t="s">
        <v>1552</v>
      </c>
      <c r="C191" s="383" t="s">
        <v>1553</v>
      </c>
      <c r="D191" s="383">
        <v>830</v>
      </c>
      <c r="E191" s="383" t="s">
        <v>1443</v>
      </c>
      <c r="F191" s="383">
        <v>14500000</v>
      </c>
      <c r="G191" s="383"/>
      <c r="H191" s="383">
        <v>10</v>
      </c>
      <c r="I191" s="383">
        <f t="shared" si="2"/>
        <v>145000000</v>
      </c>
    </row>
    <row r="192" spans="1:9">
      <c r="A192" s="383">
        <v>82320</v>
      </c>
      <c r="B192" s="383" t="s">
        <v>1554</v>
      </c>
      <c r="C192" s="383" t="s">
        <v>1555</v>
      </c>
      <c r="D192" s="383">
        <v>830</v>
      </c>
      <c r="E192" s="383" t="s">
        <v>1443</v>
      </c>
      <c r="F192" s="383">
        <v>14700000</v>
      </c>
      <c r="G192" s="383"/>
      <c r="H192" s="383">
        <v>10</v>
      </c>
      <c r="I192" s="383">
        <f t="shared" si="2"/>
        <v>147000000</v>
      </c>
    </row>
    <row r="193" spans="1:9">
      <c r="A193" s="383">
        <v>82325</v>
      </c>
      <c r="B193" s="383" t="s">
        <v>1556</v>
      </c>
      <c r="C193" s="383" t="s">
        <v>1557</v>
      </c>
      <c r="D193" s="383">
        <v>830</v>
      </c>
      <c r="E193" s="383" t="s">
        <v>1443</v>
      </c>
      <c r="F193" s="383">
        <v>19211985</v>
      </c>
      <c r="G193" s="383"/>
      <c r="H193" s="383">
        <v>10</v>
      </c>
      <c r="I193" s="383">
        <f t="shared" si="2"/>
        <v>192119850</v>
      </c>
    </row>
    <row r="194" spans="1:9">
      <c r="A194" s="383">
        <v>82340</v>
      </c>
      <c r="B194" s="383" t="s">
        <v>1558</v>
      </c>
      <c r="C194" s="383" t="s">
        <v>1559</v>
      </c>
      <c r="D194" s="383">
        <v>830</v>
      </c>
      <c r="E194" s="383" t="s">
        <v>1443</v>
      </c>
      <c r="F194" s="383">
        <v>18700000</v>
      </c>
      <c r="G194" s="383"/>
      <c r="H194" s="383">
        <v>10</v>
      </c>
      <c r="I194" s="383">
        <f t="shared" si="2"/>
        <v>187000000</v>
      </c>
    </row>
    <row r="195" spans="1:9">
      <c r="A195" s="383">
        <v>82365</v>
      </c>
      <c r="B195" s="383" t="s">
        <v>1560</v>
      </c>
      <c r="C195" s="383" t="s">
        <v>1561</v>
      </c>
      <c r="D195" s="383">
        <v>830</v>
      </c>
      <c r="E195" s="383" t="s">
        <v>1443</v>
      </c>
      <c r="F195" s="383">
        <v>23000000</v>
      </c>
      <c r="G195" s="383"/>
      <c r="H195" s="383">
        <v>10</v>
      </c>
      <c r="I195" s="383">
        <f t="shared" ref="I195:I258" si="3">F195*H195</f>
        <v>230000000</v>
      </c>
    </row>
    <row r="196" spans="1:9">
      <c r="A196" s="383">
        <v>82440</v>
      </c>
      <c r="B196" s="383" t="s">
        <v>1562</v>
      </c>
      <c r="C196" s="383" t="s">
        <v>1563</v>
      </c>
      <c r="D196" s="383">
        <v>830</v>
      </c>
      <c r="E196" s="383" t="s">
        <v>1443</v>
      </c>
      <c r="F196" s="383">
        <v>12000000</v>
      </c>
      <c r="G196" s="383"/>
      <c r="H196" s="383">
        <v>10</v>
      </c>
      <c r="I196" s="383">
        <f t="shared" si="3"/>
        <v>120000000</v>
      </c>
    </row>
    <row r="197" spans="1:9">
      <c r="A197" s="383">
        <v>82446</v>
      </c>
      <c r="B197" s="383" t="s">
        <v>1564</v>
      </c>
      <c r="C197" s="383" t="s">
        <v>1565</v>
      </c>
      <c r="D197" s="383">
        <v>831</v>
      </c>
      <c r="E197" s="383" t="s">
        <v>1566</v>
      </c>
      <c r="F197" s="383">
        <v>11500000</v>
      </c>
      <c r="G197" s="383"/>
      <c r="H197" s="383">
        <v>10</v>
      </c>
      <c r="I197" s="383">
        <f t="shared" si="3"/>
        <v>115000000</v>
      </c>
    </row>
    <row r="198" spans="1:9">
      <c r="A198" s="383">
        <v>82460</v>
      </c>
      <c r="B198" s="383" t="s">
        <v>1567</v>
      </c>
      <c r="C198" s="383" t="s">
        <v>1568</v>
      </c>
      <c r="D198" s="383">
        <v>830</v>
      </c>
      <c r="E198" s="383" t="s">
        <v>1443</v>
      </c>
      <c r="F198" s="383">
        <v>6163000</v>
      </c>
      <c r="G198" s="383"/>
      <c r="H198" s="383">
        <v>10</v>
      </c>
      <c r="I198" s="383">
        <f t="shared" si="3"/>
        <v>61630000</v>
      </c>
    </row>
    <row r="199" spans="1:9">
      <c r="A199" s="383">
        <v>82500</v>
      </c>
      <c r="B199" s="383" t="s">
        <v>1569</v>
      </c>
      <c r="C199" s="383" t="s">
        <v>1570</v>
      </c>
      <c r="D199" s="383">
        <v>830</v>
      </c>
      <c r="E199" s="383" t="s">
        <v>1443</v>
      </c>
      <c r="F199" s="383">
        <v>25000000</v>
      </c>
      <c r="G199" s="383"/>
      <c r="H199" s="383">
        <v>10</v>
      </c>
      <c r="I199" s="383">
        <f t="shared" si="3"/>
        <v>250000000</v>
      </c>
    </row>
    <row r="200" spans="1:9">
      <c r="A200" s="383">
        <v>82545</v>
      </c>
      <c r="B200" s="383" t="s">
        <v>1571</v>
      </c>
      <c r="C200" s="383" t="s">
        <v>1572</v>
      </c>
      <c r="D200" s="383">
        <v>830</v>
      </c>
      <c r="E200" s="383" t="s">
        <v>1443</v>
      </c>
      <c r="F200" s="383">
        <v>10292000</v>
      </c>
      <c r="G200" s="383"/>
      <c r="H200" s="383">
        <v>10</v>
      </c>
      <c r="I200" s="383">
        <f t="shared" si="3"/>
        <v>102920000</v>
      </c>
    </row>
    <row r="201" spans="1:9">
      <c r="A201" s="383">
        <v>82550</v>
      </c>
      <c r="B201" s="383" t="s">
        <v>1573</v>
      </c>
      <c r="C201" s="383" t="s">
        <v>1574</v>
      </c>
      <c r="D201" s="383">
        <v>830</v>
      </c>
      <c r="E201" s="383" t="s">
        <v>1443</v>
      </c>
      <c r="F201" s="383">
        <v>52214400</v>
      </c>
      <c r="G201" s="383"/>
      <c r="H201" s="383">
        <v>10</v>
      </c>
      <c r="I201" s="383">
        <f t="shared" si="3"/>
        <v>522144000</v>
      </c>
    </row>
    <row r="202" spans="1:9">
      <c r="A202" s="383">
        <v>82570</v>
      </c>
      <c r="B202" s="383" t="s">
        <v>1575</v>
      </c>
      <c r="C202" s="383" t="s">
        <v>1576</v>
      </c>
      <c r="D202" s="383">
        <v>830</v>
      </c>
      <c r="E202" s="383" t="s">
        <v>1443</v>
      </c>
      <c r="F202" s="383">
        <v>26412900</v>
      </c>
      <c r="G202" s="383"/>
      <c r="H202" s="383">
        <v>10</v>
      </c>
      <c r="I202" s="383">
        <f t="shared" si="3"/>
        <v>264129000</v>
      </c>
    </row>
    <row r="203" spans="1:9">
      <c r="A203" s="383">
        <v>82600</v>
      </c>
      <c r="B203" s="383" t="s">
        <v>1577</v>
      </c>
      <c r="C203" s="383" t="s">
        <v>1578</v>
      </c>
      <c r="D203" s="383">
        <v>830</v>
      </c>
      <c r="E203" s="383" t="s">
        <v>1443</v>
      </c>
      <c r="F203" s="383">
        <v>21267800</v>
      </c>
      <c r="G203" s="383"/>
      <c r="H203" s="383">
        <v>10</v>
      </c>
      <c r="I203" s="383">
        <f t="shared" si="3"/>
        <v>212678000</v>
      </c>
    </row>
    <row r="204" spans="1:9">
      <c r="A204" s="383">
        <v>82620</v>
      </c>
      <c r="B204" s="383" t="s">
        <v>1579</v>
      </c>
      <c r="C204" s="383" t="s">
        <v>1580</v>
      </c>
      <c r="D204" s="383">
        <v>830</v>
      </c>
      <c r="E204" s="383" t="s">
        <v>1443</v>
      </c>
      <c r="F204" s="383">
        <v>3342570</v>
      </c>
      <c r="G204" s="383"/>
      <c r="H204" s="383">
        <v>10</v>
      </c>
      <c r="I204" s="383">
        <f t="shared" si="3"/>
        <v>33425700</v>
      </c>
    </row>
    <row r="205" spans="1:9">
      <c r="A205" s="383">
        <v>82640</v>
      </c>
      <c r="B205" s="383" t="s">
        <v>1581</v>
      </c>
      <c r="C205" s="383" t="s">
        <v>1582</v>
      </c>
      <c r="D205" s="383">
        <v>830</v>
      </c>
      <c r="E205" s="383" t="s">
        <v>1443</v>
      </c>
      <c r="F205" s="383">
        <v>8775000</v>
      </c>
      <c r="G205" s="383"/>
      <c r="H205" s="383">
        <v>10</v>
      </c>
      <c r="I205" s="383">
        <f t="shared" si="3"/>
        <v>87750000</v>
      </c>
    </row>
    <row r="206" spans="1:9">
      <c r="A206" s="383">
        <v>82650</v>
      </c>
      <c r="B206" s="383" t="s">
        <v>1583</v>
      </c>
      <c r="C206" s="383" t="s">
        <v>1584</v>
      </c>
      <c r="D206" s="383">
        <v>830</v>
      </c>
      <c r="E206" s="383" t="s">
        <v>1443</v>
      </c>
      <c r="F206" s="383">
        <v>4467036</v>
      </c>
      <c r="G206" s="383"/>
      <c r="H206" s="383">
        <v>10</v>
      </c>
      <c r="I206" s="383">
        <f t="shared" si="3"/>
        <v>44670360</v>
      </c>
    </row>
    <row r="207" spans="1:9">
      <c r="A207" s="383">
        <v>82660</v>
      </c>
      <c r="B207" s="383" t="s">
        <v>1585</v>
      </c>
      <c r="C207" s="383" t="s">
        <v>1586</v>
      </c>
      <c r="D207" s="383">
        <v>830</v>
      </c>
      <c r="E207" s="383" t="s">
        <v>1443</v>
      </c>
      <c r="F207" s="383">
        <v>8593750</v>
      </c>
      <c r="G207" s="383"/>
      <c r="H207" s="383">
        <v>10</v>
      </c>
      <c r="I207" s="383">
        <f t="shared" si="3"/>
        <v>85937500</v>
      </c>
    </row>
    <row r="208" spans="1:9">
      <c r="A208" s="383">
        <v>82710</v>
      </c>
      <c r="B208" s="383" t="s">
        <v>1587</v>
      </c>
      <c r="C208" s="383" t="s">
        <v>1588</v>
      </c>
      <c r="D208" s="383">
        <v>830</v>
      </c>
      <c r="E208" s="383" t="s">
        <v>1443</v>
      </c>
      <c r="F208" s="383">
        <v>31200000</v>
      </c>
      <c r="G208" s="383"/>
      <c r="H208" s="383">
        <v>10</v>
      </c>
      <c r="I208" s="383">
        <f t="shared" si="3"/>
        <v>312000000</v>
      </c>
    </row>
    <row r="209" spans="1:9">
      <c r="A209" s="383">
        <v>82720</v>
      </c>
      <c r="B209" s="383" t="s">
        <v>1589</v>
      </c>
      <c r="C209" s="383" t="s">
        <v>1590</v>
      </c>
      <c r="D209" s="383">
        <v>830</v>
      </c>
      <c r="E209" s="383" t="s">
        <v>1443</v>
      </c>
      <c r="F209" s="383">
        <v>29840607</v>
      </c>
      <c r="G209" s="383"/>
      <c r="H209" s="383">
        <v>10</v>
      </c>
      <c r="I209" s="383">
        <f t="shared" si="3"/>
        <v>298406070</v>
      </c>
    </row>
    <row r="210" spans="1:9">
      <c r="A210" s="383">
        <v>82740</v>
      </c>
      <c r="B210" s="383" t="s">
        <v>1591</v>
      </c>
      <c r="C210" s="383" t="s">
        <v>1592</v>
      </c>
      <c r="D210" s="383">
        <v>830</v>
      </c>
      <c r="E210" s="383" t="s">
        <v>1443</v>
      </c>
      <c r="F210" s="383">
        <v>4449200</v>
      </c>
      <c r="G210" s="383"/>
      <c r="H210" s="383">
        <v>10</v>
      </c>
      <c r="I210" s="383">
        <f t="shared" si="3"/>
        <v>44492000</v>
      </c>
    </row>
    <row r="211" spans="1:9">
      <c r="A211" s="383">
        <v>82780</v>
      </c>
      <c r="B211" s="383" t="s">
        <v>1593</v>
      </c>
      <c r="C211" s="383" t="s">
        <v>1594</v>
      </c>
      <c r="D211" s="383">
        <v>830</v>
      </c>
      <c r="E211" s="383" t="s">
        <v>1443</v>
      </c>
      <c r="F211" s="383">
        <v>3000000</v>
      </c>
      <c r="G211" s="383"/>
      <c r="H211" s="383">
        <v>10</v>
      </c>
      <c r="I211" s="383">
        <f t="shared" si="3"/>
        <v>30000000</v>
      </c>
    </row>
    <row r="212" spans="1:9">
      <c r="A212" s="383">
        <v>82800</v>
      </c>
      <c r="B212" s="383" t="s">
        <v>1595</v>
      </c>
      <c r="C212" s="383" t="s">
        <v>1596</v>
      </c>
      <c r="D212" s="383">
        <v>830</v>
      </c>
      <c r="E212" s="383" t="s">
        <v>1443</v>
      </c>
      <c r="F212" s="383">
        <v>17636800</v>
      </c>
      <c r="G212" s="383"/>
      <c r="H212" s="383">
        <v>10</v>
      </c>
      <c r="I212" s="383">
        <f t="shared" si="3"/>
        <v>176368000</v>
      </c>
    </row>
    <row r="213" spans="1:9">
      <c r="A213" s="383">
        <v>82860</v>
      </c>
      <c r="B213" s="383" t="s">
        <v>1597</v>
      </c>
      <c r="C213" s="383" t="s">
        <v>1598</v>
      </c>
      <c r="D213" s="383">
        <v>830</v>
      </c>
      <c r="E213" s="383" t="s">
        <v>1443</v>
      </c>
      <c r="F213" s="383">
        <v>17971372</v>
      </c>
      <c r="G213" s="383"/>
      <c r="H213" s="383">
        <v>10</v>
      </c>
      <c r="I213" s="383">
        <f t="shared" si="3"/>
        <v>179713720</v>
      </c>
    </row>
    <row r="214" spans="1:9">
      <c r="A214" s="383">
        <v>82950</v>
      </c>
      <c r="B214" s="383" t="s">
        <v>1599</v>
      </c>
      <c r="C214" s="383" t="s">
        <v>1600</v>
      </c>
      <c r="D214" s="383">
        <v>830</v>
      </c>
      <c r="E214" s="383" t="s">
        <v>1443</v>
      </c>
      <c r="F214" s="383">
        <v>6900000</v>
      </c>
      <c r="G214" s="383"/>
      <c r="H214" s="383">
        <v>10</v>
      </c>
      <c r="I214" s="383">
        <f t="shared" si="3"/>
        <v>69000000</v>
      </c>
    </row>
    <row r="215" spans="1:9">
      <c r="A215" s="383">
        <v>82960</v>
      </c>
      <c r="B215" s="383" t="s">
        <v>1601</v>
      </c>
      <c r="C215" s="383" t="s">
        <v>1602</v>
      </c>
      <c r="D215" s="383">
        <v>830</v>
      </c>
      <c r="E215" s="383" t="s">
        <v>1443</v>
      </c>
      <c r="F215" s="383">
        <v>7851100</v>
      </c>
      <c r="G215" s="383"/>
      <c r="H215" s="383">
        <v>10</v>
      </c>
      <c r="I215" s="383">
        <f t="shared" si="3"/>
        <v>78511000</v>
      </c>
    </row>
    <row r="216" spans="1:9">
      <c r="A216" s="383">
        <v>82985</v>
      </c>
      <c r="B216" s="383" t="s">
        <v>1603</v>
      </c>
      <c r="C216" s="383" t="s">
        <v>1604</v>
      </c>
      <c r="D216" s="383">
        <v>830</v>
      </c>
      <c r="E216" s="383" t="s">
        <v>1443</v>
      </c>
      <c r="F216" s="383">
        <v>169050000</v>
      </c>
      <c r="G216" s="383"/>
      <c r="H216" s="383">
        <v>10</v>
      </c>
      <c r="I216" s="383">
        <f t="shared" si="3"/>
        <v>1690500000</v>
      </c>
    </row>
    <row r="217" spans="1:9">
      <c r="A217" s="383">
        <v>82990</v>
      </c>
      <c r="B217" s="383" t="s">
        <v>1605</v>
      </c>
      <c r="C217" s="383" t="s">
        <v>1606</v>
      </c>
      <c r="D217" s="383">
        <v>830</v>
      </c>
      <c r="E217" s="383" t="s">
        <v>1443</v>
      </c>
      <c r="F217" s="383">
        <v>17324750</v>
      </c>
      <c r="G217" s="383"/>
      <c r="H217" s="383">
        <v>10</v>
      </c>
      <c r="I217" s="383">
        <f t="shared" si="3"/>
        <v>173247500</v>
      </c>
    </row>
    <row r="218" spans="1:9">
      <c r="A218" s="383">
        <v>91010</v>
      </c>
      <c r="B218" s="383" t="s">
        <v>1607</v>
      </c>
      <c r="C218" s="383" t="s">
        <v>1608</v>
      </c>
      <c r="D218" s="383">
        <v>831</v>
      </c>
      <c r="E218" s="383" t="s">
        <v>1566</v>
      </c>
      <c r="F218" s="383">
        <v>34985000</v>
      </c>
      <c r="G218" s="383"/>
      <c r="H218" s="383">
        <v>10</v>
      </c>
      <c r="I218" s="383">
        <f t="shared" si="3"/>
        <v>349850000</v>
      </c>
    </row>
    <row r="219" spans="1:9">
      <c r="A219" s="383">
        <v>91060</v>
      </c>
      <c r="B219" s="383" t="s">
        <v>1609</v>
      </c>
      <c r="C219" s="383" t="s">
        <v>1610</v>
      </c>
      <c r="D219" s="383">
        <v>831</v>
      </c>
      <c r="E219" s="383" t="s">
        <v>1566</v>
      </c>
      <c r="F219" s="383">
        <v>5394800</v>
      </c>
      <c r="G219" s="383"/>
      <c r="H219" s="383">
        <v>10</v>
      </c>
      <c r="I219" s="383">
        <f t="shared" si="3"/>
        <v>53948000</v>
      </c>
    </row>
    <row r="220" spans="1:9">
      <c r="A220" s="383">
        <v>91070</v>
      </c>
      <c r="B220" s="383" t="s">
        <v>1611</v>
      </c>
      <c r="C220" s="383" t="s">
        <v>1612</v>
      </c>
      <c r="D220" s="383">
        <v>831</v>
      </c>
      <c r="E220" s="383" t="s">
        <v>1566</v>
      </c>
      <c r="F220" s="383">
        <v>30001120</v>
      </c>
      <c r="G220" s="383"/>
      <c r="H220" s="383">
        <v>10</v>
      </c>
      <c r="I220" s="383">
        <f t="shared" si="3"/>
        <v>300011200</v>
      </c>
    </row>
    <row r="221" spans="1:9">
      <c r="A221" s="383">
        <v>91130</v>
      </c>
      <c r="B221" s="383" t="s">
        <v>1613</v>
      </c>
      <c r="C221" s="383" t="s">
        <v>1614</v>
      </c>
      <c r="D221" s="383">
        <v>831</v>
      </c>
      <c r="E221" s="383" t="s">
        <v>1566</v>
      </c>
      <c r="F221" s="383">
        <v>15180000</v>
      </c>
      <c r="G221" s="383"/>
      <c r="H221" s="383">
        <v>10</v>
      </c>
      <c r="I221" s="383">
        <f t="shared" si="3"/>
        <v>151800000</v>
      </c>
    </row>
    <row r="222" spans="1:9">
      <c r="A222" s="383">
        <v>91160</v>
      </c>
      <c r="B222" s="383" t="s">
        <v>1615</v>
      </c>
      <c r="C222" s="383" t="s">
        <v>1616</v>
      </c>
      <c r="D222" s="383">
        <v>831</v>
      </c>
      <c r="E222" s="383" t="s">
        <v>1566</v>
      </c>
      <c r="F222" s="383">
        <v>376800968</v>
      </c>
      <c r="G222" s="383"/>
      <c r="H222" s="383">
        <v>10</v>
      </c>
      <c r="I222" s="383">
        <f t="shared" si="3"/>
        <v>3768009680</v>
      </c>
    </row>
    <row r="223" spans="1:9">
      <c r="A223" s="383">
        <v>91183</v>
      </c>
      <c r="B223" s="383" t="s">
        <v>1617</v>
      </c>
      <c r="C223" s="383" t="s">
        <v>1618</v>
      </c>
      <c r="D223" s="383">
        <v>831</v>
      </c>
      <c r="E223" s="383" t="s">
        <v>1566</v>
      </c>
      <c r="F223" s="383">
        <v>18480000</v>
      </c>
      <c r="G223" s="383"/>
      <c r="H223" s="383">
        <v>10</v>
      </c>
      <c r="I223" s="383">
        <f t="shared" si="3"/>
        <v>184800000</v>
      </c>
    </row>
    <row r="224" spans="1:9">
      <c r="A224" s="383">
        <v>91190</v>
      </c>
      <c r="B224" s="383" t="s">
        <v>1619</v>
      </c>
      <c r="C224" s="383" t="s">
        <v>1620</v>
      </c>
      <c r="D224" s="383">
        <v>831</v>
      </c>
      <c r="E224" s="383" t="s">
        <v>1566</v>
      </c>
      <c r="F224" s="383">
        <v>3000000</v>
      </c>
      <c r="G224" s="383"/>
      <c r="H224" s="383">
        <v>10</v>
      </c>
      <c r="I224" s="383">
        <f t="shared" si="3"/>
        <v>30000000</v>
      </c>
    </row>
    <row r="225" spans="1:9">
      <c r="A225" s="383">
        <v>91195</v>
      </c>
      <c r="B225" s="383" t="s">
        <v>1621</v>
      </c>
      <c r="C225" s="383" t="s">
        <v>1622</v>
      </c>
      <c r="D225" s="383">
        <v>831</v>
      </c>
      <c r="E225" s="383" t="s">
        <v>1566</v>
      </c>
      <c r="F225" s="383">
        <v>3901800</v>
      </c>
      <c r="G225" s="383"/>
      <c r="H225" s="383">
        <v>10</v>
      </c>
      <c r="I225" s="383">
        <f t="shared" si="3"/>
        <v>39018000</v>
      </c>
    </row>
    <row r="226" spans="1:9">
      <c r="A226" s="383">
        <v>91198</v>
      </c>
      <c r="B226" s="383" t="s">
        <v>1623</v>
      </c>
      <c r="C226" s="383" t="s">
        <v>1624</v>
      </c>
      <c r="D226" s="383">
        <v>831</v>
      </c>
      <c r="E226" s="383" t="s">
        <v>1566</v>
      </c>
      <c r="F226" s="383">
        <v>26728000</v>
      </c>
      <c r="G226" s="383"/>
      <c r="H226" s="383">
        <v>10</v>
      </c>
      <c r="I226" s="383">
        <f t="shared" si="3"/>
        <v>267280000</v>
      </c>
    </row>
    <row r="227" spans="1:9">
      <c r="A227" s="383">
        <v>91200</v>
      </c>
      <c r="B227" s="383" t="s">
        <v>1625</v>
      </c>
      <c r="C227" s="383" t="s">
        <v>1626</v>
      </c>
      <c r="D227" s="383">
        <v>831</v>
      </c>
      <c r="E227" s="383" t="s">
        <v>1566</v>
      </c>
      <c r="F227" s="383">
        <v>15754800</v>
      </c>
      <c r="G227" s="383"/>
      <c r="H227" s="383">
        <v>10</v>
      </c>
      <c r="I227" s="383">
        <f t="shared" si="3"/>
        <v>157548000</v>
      </c>
    </row>
    <row r="228" spans="1:9">
      <c r="A228" s="383">
        <v>91205</v>
      </c>
      <c r="B228" s="383" t="s">
        <v>1627</v>
      </c>
      <c r="C228" s="383" t="s">
        <v>1628</v>
      </c>
      <c r="D228" s="383">
        <v>831</v>
      </c>
      <c r="E228" s="383" t="s">
        <v>1566</v>
      </c>
      <c r="F228" s="383">
        <v>9660000</v>
      </c>
      <c r="G228" s="383"/>
      <c r="H228" s="383">
        <v>10</v>
      </c>
      <c r="I228" s="383">
        <f t="shared" si="3"/>
        <v>96600000</v>
      </c>
    </row>
    <row r="229" spans="1:9">
      <c r="A229" s="383">
        <v>91220</v>
      </c>
      <c r="B229" s="383" t="s">
        <v>1629</v>
      </c>
      <c r="C229" s="383" t="s">
        <v>1630</v>
      </c>
      <c r="D229" s="383">
        <v>831</v>
      </c>
      <c r="E229" s="383" t="s">
        <v>1566</v>
      </c>
      <c r="F229" s="383">
        <v>90000000</v>
      </c>
      <c r="G229" s="383"/>
      <c r="H229" s="383">
        <v>10</v>
      </c>
      <c r="I229" s="383">
        <f t="shared" si="3"/>
        <v>900000000</v>
      </c>
    </row>
    <row r="230" spans="1:9">
      <c r="A230" s="383">
        <v>91240</v>
      </c>
      <c r="B230" s="383" t="s">
        <v>1631</v>
      </c>
      <c r="C230" s="383" t="s">
        <v>1632</v>
      </c>
      <c r="D230" s="383">
        <v>831</v>
      </c>
      <c r="E230" s="383" t="s">
        <v>1566</v>
      </c>
      <c r="F230" s="383">
        <v>59428729</v>
      </c>
      <c r="G230" s="383"/>
      <c r="H230" s="383">
        <v>10</v>
      </c>
      <c r="I230" s="383">
        <f t="shared" si="3"/>
        <v>594287290</v>
      </c>
    </row>
    <row r="231" spans="1:9">
      <c r="A231" s="383">
        <v>101010</v>
      </c>
      <c r="B231" s="383" t="s">
        <v>1633</v>
      </c>
      <c r="C231" s="383" t="s">
        <v>1634</v>
      </c>
      <c r="D231" s="383">
        <v>829</v>
      </c>
      <c r="E231" s="383" t="s">
        <v>1635</v>
      </c>
      <c r="F231" s="383">
        <v>14408260</v>
      </c>
      <c r="G231" s="383"/>
      <c r="H231" s="383">
        <v>10</v>
      </c>
      <c r="I231" s="383">
        <f t="shared" si="3"/>
        <v>144082600</v>
      </c>
    </row>
    <row r="232" spans="1:9">
      <c r="A232" s="383">
        <v>101025</v>
      </c>
      <c r="B232" s="383" t="s">
        <v>1636</v>
      </c>
      <c r="C232" s="383" t="s">
        <v>1637</v>
      </c>
      <c r="D232" s="383">
        <v>829</v>
      </c>
      <c r="E232" s="383" t="s">
        <v>1635</v>
      </c>
      <c r="F232" s="383">
        <v>84000000</v>
      </c>
      <c r="G232" s="383"/>
      <c r="H232" s="383">
        <v>10</v>
      </c>
      <c r="I232" s="383">
        <f t="shared" si="3"/>
        <v>840000000</v>
      </c>
    </row>
    <row r="233" spans="1:9">
      <c r="A233" s="383">
        <v>101030</v>
      </c>
      <c r="B233" s="383" t="s">
        <v>1638</v>
      </c>
      <c r="C233" s="383" t="s">
        <v>1639</v>
      </c>
      <c r="D233" s="383">
        <v>829</v>
      </c>
      <c r="E233" s="383" t="s">
        <v>1635</v>
      </c>
      <c r="F233" s="383">
        <v>10457890</v>
      </c>
      <c r="G233" s="383"/>
      <c r="H233" s="383">
        <v>10</v>
      </c>
      <c r="I233" s="383">
        <f t="shared" si="3"/>
        <v>104578900</v>
      </c>
    </row>
    <row r="234" spans="1:9">
      <c r="A234" s="383">
        <v>101070</v>
      </c>
      <c r="B234" s="383" t="s">
        <v>1640</v>
      </c>
      <c r="C234" s="383" t="s">
        <v>1641</v>
      </c>
      <c r="D234" s="383">
        <v>829</v>
      </c>
      <c r="E234" s="383" t="s">
        <v>1635</v>
      </c>
      <c r="F234" s="383">
        <v>3000000</v>
      </c>
      <c r="G234" s="383"/>
      <c r="H234" s="383">
        <v>10</v>
      </c>
      <c r="I234" s="383">
        <f t="shared" si="3"/>
        <v>30000000</v>
      </c>
    </row>
    <row r="235" spans="1:9">
      <c r="A235" s="383">
        <v>101092</v>
      </c>
      <c r="B235" s="383" t="s">
        <v>1642</v>
      </c>
      <c r="C235" s="383" t="s">
        <v>1643</v>
      </c>
      <c r="D235" s="383">
        <v>829</v>
      </c>
      <c r="E235" s="383" t="s">
        <v>1635</v>
      </c>
      <c r="F235" s="383">
        <v>115000000</v>
      </c>
      <c r="G235" s="383"/>
      <c r="H235" s="383">
        <v>10</v>
      </c>
      <c r="I235" s="383">
        <f t="shared" si="3"/>
        <v>1150000000</v>
      </c>
    </row>
    <row r="236" spans="1:9">
      <c r="A236" s="383">
        <v>101095</v>
      </c>
      <c r="B236" s="383" t="s">
        <v>1644</v>
      </c>
      <c r="C236" s="383" t="s">
        <v>1645</v>
      </c>
      <c r="D236" s="383">
        <v>829</v>
      </c>
      <c r="E236" s="383" t="s">
        <v>1635</v>
      </c>
      <c r="F236" s="383">
        <v>80000000</v>
      </c>
      <c r="G236" s="383"/>
      <c r="H236" s="383">
        <v>10</v>
      </c>
      <c r="I236" s="383">
        <f t="shared" si="3"/>
        <v>800000000</v>
      </c>
    </row>
    <row r="237" spans="1:9">
      <c r="A237" s="383">
        <v>101120</v>
      </c>
      <c r="B237" s="383" t="s">
        <v>1646</v>
      </c>
      <c r="C237" s="383" t="s">
        <v>1647</v>
      </c>
      <c r="D237" s="383">
        <v>829</v>
      </c>
      <c r="E237" s="383" t="s">
        <v>1635</v>
      </c>
      <c r="F237" s="383">
        <v>4000000</v>
      </c>
      <c r="G237" s="383"/>
      <c r="H237" s="383">
        <v>10</v>
      </c>
      <c r="I237" s="383">
        <f t="shared" si="3"/>
        <v>40000000</v>
      </c>
    </row>
    <row r="238" spans="1:9">
      <c r="A238" s="383">
        <v>101140</v>
      </c>
      <c r="B238" s="383" t="s">
        <v>1648</v>
      </c>
      <c r="C238" s="383" t="s">
        <v>1649</v>
      </c>
      <c r="D238" s="383">
        <v>829</v>
      </c>
      <c r="E238" s="383" t="s">
        <v>1635</v>
      </c>
      <c r="F238" s="383">
        <v>5568800</v>
      </c>
      <c r="G238" s="383"/>
      <c r="H238" s="383">
        <v>5</v>
      </c>
      <c r="I238" s="383">
        <f t="shared" si="3"/>
        <v>27844000</v>
      </c>
    </row>
    <row r="239" spans="1:9">
      <c r="A239" s="383">
        <v>101160</v>
      </c>
      <c r="B239" s="383" t="s">
        <v>1650</v>
      </c>
      <c r="C239" s="383" t="s">
        <v>1651</v>
      </c>
      <c r="D239" s="383">
        <v>829</v>
      </c>
      <c r="E239" s="383" t="s">
        <v>1635</v>
      </c>
      <c r="F239" s="383">
        <v>80000000</v>
      </c>
      <c r="G239" s="383"/>
      <c r="H239" s="383">
        <v>10</v>
      </c>
      <c r="I239" s="383">
        <f t="shared" si="3"/>
        <v>800000000</v>
      </c>
    </row>
    <row r="240" spans="1:9">
      <c r="A240" s="383">
        <v>101165</v>
      </c>
      <c r="B240" s="383" t="s">
        <v>1652</v>
      </c>
      <c r="C240" s="383" t="s">
        <v>1073</v>
      </c>
      <c r="D240" s="383">
        <v>829</v>
      </c>
      <c r="E240" s="383" t="s">
        <v>1635</v>
      </c>
      <c r="F240" s="383">
        <v>240221556</v>
      </c>
      <c r="G240" s="383"/>
      <c r="H240" s="383">
        <v>10</v>
      </c>
      <c r="I240" s="383">
        <f t="shared" si="3"/>
        <v>2402215560</v>
      </c>
    </row>
    <row r="241" spans="1:9">
      <c r="A241" s="383">
        <v>101180</v>
      </c>
      <c r="B241" s="383" t="s">
        <v>1653</v>
      </c>
      <c r="C241" s="383" t="s">
        <v>1654</v>
      </c>
      <c r="D241" s="383">
        <v>829</v>
      </c>
      <c r="E241" s="383" t="s">
        <v>1635</v>
      </c>
      <c r="F241" s="383">
        <v>59057856</v>
      </c>
      <c r="G241" s="383"/>
      <c r="H241" s="383">
        <v>10</v>
      </c>
      <c r="I241" s="383">
        <f t="shared" si="3"/>
        <v>590578560</v>
      </c>
    </row>
    <row r="242" spans="1:9">
      <c r="A242" s="383">
        <v>101185</v>
      </c>
      <c r="B242" s="383" t="s">
        <v>1655</v>
      </c>
      <c r="C242" s="383" t="s">
        <v>1656</v>
      </c>
      <c r="D242" s="383">
        <v>829</v>
      </c>
      <c r="E242" s="383" t="s">
        <v>1635</v>
      </c>
      <c r="F242" s="383">
        <v>30810938</v>
      </c>
      <c r="G242" s="383"/>
      <c r="H242" s="383">
        <v>10</v>
      </c>
      <c r="I242" s="383">
        <f t="shared" si="3"/>
        <v>308109380</v>
      </c>
    </row>
    <row r="243" spans="1:9">
      <c r="A243" s="383">
        <v>101190</v>
      </c>
      <c r="B243" s="383" t="s">
        <v>1657</v>
      </c>
      <c r="C243" s="383" t="s">
        <v>1658</v>
      </c>
      <c r="D243" s="383">
        <v>829</v>
      </c>
      <c r="E243" s="383" t="s">
        <v>1635</v>
      </c>
      <c r="F243" s="383">
        <v>2000000</v>
      </c>
      <c r="G243" s="383"/>
      <c r="H243" s="383">
        <v>10</v>
      </c>
      <c r="I243" s="383">
        <f t="shared" si="3"/>
        <v>20000000</v>
      </c>
    </row>
    <row r="244" spans="1:9">
      <c r="A244" s="383">
        <v>101195</v>
      </c>
      <c r="B244" s="383" t="s">
        <v>1659</v>
      </c>
      <c r="C244" s="383" t="s">
        <v>1660</v>
      </c>
      <c r="D244" s="383">
        <v>829</v>
      </c>
      <c r="E244" s="383" t="s">
        <v>1635</v>
      </c>
      <c r="F244" s="383">
        <v>1250000</v>
      </c>
      <c r="G244" s="383"/>
      <c r="H244" s="383">
        <v>10</v>
      </c>
      <c r="I244" s="383">
        <f t="shared" si="3"/>
        <v>12500000</v>
      </c>
    </row>
    <row r="245" spans="1:9">
      <c r="A245" s="383">
        <v>101198</v>
      </c>
      <c r="B245" s="383" t="s">
        <v>1661</v>
      </c>
      <c r="C245" s="383" t="s">
        <v>1662</v>
      </c>
      <c r="D245" s="383">
        <v>829</v>
      </c>
      <c r="E245" s="383" t="s">
        <v>1635</v>
      </c>
      <c r="F245" s="383">
        <v>32635600</v>
      </c>
      <c r="G245" s="383"/>
      <c r="H245" s="383">
        <v>10</v>
      </c>
      <c r="I245" s="383">
        <f t="shared" si="3"/>
        <v>326356000</v>
      </c>
    </row>
    <row r="246" spans="1:9">
      <c r="A246" s="383">
        <v>101200</v>
      </c>
      <c r="B246" s="383" t="s">
        <v>1663</v>
      </c>
      <c r="C246" s="383" t="s">
        <v>1060</v>
      </c>
      <c r="D246" s="383">
        <v>829</v>
      </c>
      <c r="E246" s="383" t="s">
        <v>1635</v>
      </c>
      <c r="F246" s="383">
        <v>356495525</v>
      </c>
      <c r="G246" s="383"/>
      <c r="H246" s="383">
        <v>10</v>
      </c>
      <c r="I246" s="383">
        <f t="shared" si="3"/>
        <v>3564955250</v>
      </c>
    </row>
    <row r="247" spans="1:9">
      <c r="A247" s="383">
        <v>101220</v>
      </c>
      <c r="B247" s="383" t="s">
        <v>1664</v>
      </c>
      <c r="C247" s="383" t="s">
        <v>1665</v>
      </c>
      <c r="D247" s="383">
        <v>829</v>
      </c>
      <c r="E247" s="383" t="s">
        <v>1635</v>
      </c>
      <c r="F247" s="383">
        <v>1200000</v>
      </c>
      <c r="G247" s="383"/>
      <c r="H247" s="383">
        <v>10</v>
      </c>
      <c r="I247" s="383">
        <f t="shared" si="3"/>
        <v>12000000</v>
      </c>
    </row>
    <row r="248" spans="1:9">
      <c r="A248" s="383">
        <v>101230</v>
      </c>
      <c r="B248" s="383" t="s">
        <v>1666</v>
      </c>
      <c r="C248" s="383" t="s">
        <v>1667</v>
      </c>
      <c r="D248" s="383">
        <v>829</v>
      </c>
      <c r="E248" s="383" t="s">
        <v>1635</v>
      </c>
      <c r="F248" s="383">
        <v>6804000</v>
      </c>
      <c r="G248" s="383"/>
      <c r="H248" s="383">
        <v>10</v>
      </c>
      <c r="I248" s="383">
        <f t="shared" si="3"/>
        <v>68040000</v>
      </c>
    </row>
    <row r="249" spans="1:9">
      <c r="A249" s="383">
        <v>101240</v>
      </c>
      <c r="B249" s="383" t="s">
        <v>1668</v>
      </c>
      <c r="C249" s="383" t="s">
        <v>1669</v>
      </c>
      <c r="D249" s="383">
        <v>829</v>
      </c>
      <c r="E249" s="383" t="s">
        <v>1635</v>
      </c>
      <c r="F249" s="383">
        <v>13271600</v>
      </c>
      <c r="G249" s="383"/>
      <c r="H249" s="383">
        <v>10</v>
      </c>
      <c r="I249" s="383">
        <f t="shared" si="3"/>
        <v>132716000</v>
      </c>
    </row>
    <row r="250" spans="1:9">
      <c r="A250" s="383">
        <v>101260</v>
      </c>
      <c r="B250" s="383" t="s">
        <v>1670</v>
      </c>
      <c r="C250" s="383" t="s">
        <v>1671</v>
      </c>
      <c r="D250" s="383">
        <v>829</v>
      </c>
      <c r="E250" s="383" t="s">
        <v>1635</v>
      </c>
      <c r="F250" s="383">
        <v>10625852</v>
      </c>
      <c r="G250" s="383"/>
      <c r="H250" s="383">
        <v>10</v>
      </c>
      <c r="I250" s="383">
        <f t="shared" si="3"/>
        <v>106258520</v>
      </c>
    </row>
    <row r="251" spans="1:9">
      <c r="A251" s="383">
        <v>101270</v>
      </c>
      <c r="B251" s="383" t="s">
        <v>1672</v>
      </c>
      <c r="C251" s="383" t="s">
        <v>1673</v>
      </c>
      <c r="D251" s="383">
        <v>829</v>
      </c>
      <c r="E251" s="383" t="s">
        <v>1635</v>
      </c>
      <c r="F251" s="383">
        <v>9675000</v>
      </c>
      <c r="G251" s="383"/>
      <c r="H251" s="383">
        <v>10</v>
      </c>
      <c r="I251" s="383">
        <f t="shared" si="3"/>
        <v>96750000</v>
      </c>
    </row>
    <row r="252" spans="1:9">
      <c r="A252" s="383">
        <v>101280</v>
      </c>
      <c r="B252" s="383" t="s">
        <v>1674</v>
      </c>
      <c r="C252" s="383" t="s">
        <v>1675</v>
      </c>
      <c r="D252" s="383">
        <v>829</v>
      </c>
      <c r="E252" s="383" t="s">
        <v>1635</v>
      </c>
      <c r="F252" s="383">
        <v>9660000</v>
      </c>
      <c r="G252" s="383"/>
      <c r="H252" s="383">
        <v>10</v>
      </c>
      <c r="I252" s="383">
        <f t="shared" si="3"/>
        <v>96600000</v>
      </c>
    </row>
    <row r="253" spans="1:9">
      <c r="A253" s="383">
        <v>101300</v>
      </c>
      <c r="B253" s="383" t="s">
        <v>1676</v>
      </c>
      <c r="C253" s="383" t="s">
        <v>1677</v>
      </c>
      <c r="D253" s="383">
        <v>829</v>
      </c>
      <c r="E253" s="383" t="s">
        <v>1635</v>
      </c>
      <c r="F253" s="383">
        <v>32491205</v>
      </c>
      <c r="G253" s="383"/>
      <c r="H253" s="383">
        <v>10</v>
      </c>
      <c r="I253" s="383">
        <f t="shared" si="3"/>
        <v>324912050</v>
      </c>
    </row>
    <row r="254" spans="1:9">
      <c r="A254" s="383">
        <v>101310</v>
      </c>
      <c r="B254" s="383" t="s">
        <v>1678</v>
      </c>
      <c r="C254" s="383" t="s">
        <v>1679</v>
      </c>
      <c r="D254" s="383">
        <v>829</v>
      </c>
      <c r="E254" s="383" t="s">
        <v>1635</v>
      </c>
      <c r="F254" s="383">
        <v>8550000</v>
      </c>
      <c r="G254" s="383"/>
      <c r="H254" s="383">
        <v>10</v>
      </c>
      <c r="I254" s="383">
        <f t="shared" si="3"/>
        <v>85500000</v>
      </c>
    </row>
    <row r="255" spans="1:9">
      <c r="A255" s="383">
        <v>101320</v>
      </c>
      <c r="B255" s="383" t="s">
        <v>1680</v>
      </c>
      <c r="C255" s="383" t="s">
        <v>1681</v>
      </c>
      <c r="D255" s="383">
        <v>829</v>
      </c>
      <c r="E255" s="383" t="s">
        <v>1635</v>
      </c>
      <c r="F255" s="383">
        <v>1227500</v>
      </c>
      <c r="G255" s="383"/>
      <c r="H255" s="383">
        <v>10</v>
      </c>
      <c r="I255" s="383">
        <f t="shared" si="3"/>
        <v>12275000</v>
      </c>
    </row>
    <row r="256" spans="1:9">
      <c r="A256" s="383">
        <v>101330</v>
      </c>
      <c r="B256" s="383" t="s">
        <v>1682</v>
      </c>
      <c r="C256" s="383" t="s">
        <v>1683</v>
      </c>
      <c r="D256" s="383">
        <v>829</v>
      </c>
      <c r="E256" s="383" t="s">
        <v>1635</v>
      </c>
      <c r="F256" s="383">
        <v>50911011</v>
      </c>
      <c r="G256" s="383"/>
      <c r="H256" s="383">
        <v>10</v>
      </c>
      <c r="I256" s="383">
        <f t="shared" si="3"/>
        <v>509110110</v>
      </c>
    </row>
    <row r="257" spans="1:9">
      <c r="A257" s="383">
        <v>101340</v>
      </c>
      <c r="B257" s="383" t="s">
        <v>1684</v>
      </c>
      <c r="C257" s="383" t="s">
        <v>1685</v>
      </c>
      <c r="D257" s="383">
        <v>829</v>
      </c>
      <c r="E257" s="383" t="s">
        <v>1635</v>
      </c>
      <c r="F257" s="383">
        <v>30302580</v>
      </c>
      <c r="G257" s="383"/>
      <c r="H257" s="383">
        <v>10</v>
      </c>
      <c r="I257" s="383">
        <f t="shared" si="3"/>
        <v>303025800</v>
      </c>
    </row>
    <row r="258" spans="1:9">
      <c r="A258" s="383">
        <v>101350</v>
      </c>
      <c r="B258" s="383" t="s">
        <v>1686</v>
      </c>
      <c r="C258" s="383" t="s">
        <v>1687</v>
      </c>
      <c r="D258" s="383">
        <v>829</v>
      </c>
      <c r="E258" s="383" t="s">
        <v>1635</v>
      </c>
      <c r="F258" s="383">
        <v>6432000</v>
      </c>
      <c r="G258" s="383"/>
      <c r="H258" s="383">
        <v>10</v>
      </c>
      <c r="I258" s="383">
        <f t="shared" si="3"/>
        <v>64320000</v>
      </c>
    </row>
    <row r="259" spans="1:9">
      <c r="A259" s="383">
        <v>101360</v>
      </c>
      <c r="B259" s="383" t="s">
        <v>1688</v>
      </c>
      <c r="C259" s="383" t="s">
        <v>336</v>
      </c>
      <c r="D259" s="383">
        <v>829</v>
      </c>
      <c r="E259" s="383" t="s">
        <v>1635</v>
      </c>
      <c r="F259" s="383">
        <v>299296456</v>
      </c>
      <c r="G259" s="383"/>
      <c r="H259" s="383">
        <v>10</v>
      </c>
      <c r="I259" s="383">
        <f t="shared" ref="I259:I322" si="4">F259*H259</f>
        <v>2992964560</v>
      </c>
    </row>
    <row r="260" spans="1:9">
      <c r="A260" s="383">
        <v>101362</v>
      </c>
      <c r="B260" s="383" t="s">
        <v>1689</v>
      </c>
      <c r="C260" s="383" t="s">
        <v>1690</v>
      </c>
      <c r="D260" s="383">
        <v>829</v>
      </c>
      <c r="E260" s="383" t="s">
        <v>1635</v>
      </c>
      <c r="F260" s="383">
        <v>449349439</v>
      </c>
      <c r="G260" s="383"/>
      <c r="H260" s="383">
        <v>10</v>
      </c>
      <c r="I260" s="383">
        <f t="shared" si="4"/>
        <v>4493494390</v>
      </c>
    </row>
    <row r="261" spans="1:9">
      <c r="A261" s="383">
        <v>101365</v>
      </c>
      <c r="B261" s="383" t="s">
        <v>1691</v>
      </c>
      <c r="C261" s="383" t="s">
        <v>1692</v>
      </c>
      <c r="D261" s="383">
        <v>829</v>
      </c>
      <c r="E261" s="383" t="s">
        <v>1635</v>
      </c>
      <c r="F261" s="383">
        <v>15000020</v>
      </c>
      <c r="G261" s="383"/>
      <c r="H261" s="383">
        <v>10</v>
      </c>
      <c r="I261" s="383">
        <f t="shared" si="4"/>
        <v>150000200</v>
      </c>
    </row>
    <row r="262" spans="1:9">
      <c r="A262" s="383">
        <v>101367</v>
      </c>
      <c r="B262" s="383" t="s">
        <v>1693</v>
      </c>
      <c r="C262" s="383" t="s">
        <v>1694</v>
      </c>
      <c r="D262" s="383">
        <v>829</v>
      </c>
      <c r="E262" s="383" t="s">
        <v>1635</v>
      </c>
      <c r="F262" s="383">
        <v>66125083</v>
      </c>
      <c r="G262" s="383"/>
      <c r="H262" s="383">
        <v>10</v>
      </c>
      <c r="I262" s="383">
        <f t="shared" si="4"/>
        <v>661250830</v>
      </c>
    </row>
    <row r="263" spans="1:9">
      <c r="A263" s="383">
        <v>101369</v>
      </c>
      <c r="B263" s="383" t="s">
        <v>1695</v>
      </c>
      <c r="C263" s="383" t="s">
        <v>1696</v>
      </c>
      <c r="D263" s="383">
        <v>829</v>
      </c>
      <c r="E263" s="383" t="s">
        <v>1635</v>
      </c>
      <c r="F263" s="383">
        <v>5522433</v>
      </c>
      <c r="G263" s="383"/>
      <c r="H263" s="383">
        <v>10</v>
      </c>
      <c r="I263" s="383">
        <f t="shared" si="4"/>
        <v>55224330</v>
      </c>
    </row>
    <row r="264" spans="1:9">
      <c r="A264" s="383">
        <v>101375</v>
      </c>
      <c r="B264" s="383" t="s">
        <v>1697</v>
      </c>
      <c r="C264" s="383" t="s">
        <v>1698</v>
      </c>
      <c r="D264" s="383">
        <v>829</v>
      </c>
      <c r="E264" s="383" t="s">
        <v>1635</v>
      </c>
      <c r="F264" s="383">
        <v>22105200</v>
      </c>
      <c r="G264" s="383"/>
      <c r="H264" s="383">
        <v>10</v>
      </c>
      <c r="I264" s="383">
        <f t="shared" si="4"/>
        <v>221052000</v>
      </c>
    </row>
    <row r="265" spans="1:9">
      <c r="A265" s="383">
        <v>101400</v>
      </c>
      <c r="B265" s="383" t="s">
        <v>1699</v>
      </c>
      <c r="C265" s="383" t="s">
        <v>1700</v>
      </c>
      <c r="D265" s="383">
        <v>829</v>
      </c>
      <c r="E265" s="383" t="s">
        <v>1635</v>
      </c>
      <c r="F265" s="383">
        <v>18889200</v>
      </c>
      <c r="G265" s="383"/>
      <c r="H265" s="383">
        <v>10</v>
      </c>
      <c r="I265" s="383">
        <f t="shared" si="4"/>
        <v>188892000</v>
      </c>
    </row>
    <row r="266" spans="1:9">
      <c r="A266" s="383">
        <v>101410</v>
      </c>
      <c r="B266" s="383" t="s">
        <v>1701</v>
      </c>
      <c r="C266" s="383" t="s">
        <v>1702</v>
      </c>
      <c r="D266" s="383">
        <v>829</v>
      </c>
      <c r="E266" s="383" t="s">
        <v>1635</v>
      </c>
      <c r="F266" s="383">
        <v>5400000</v>
      </c>
      <c r="G266" s="383"/>
      <c r="H266" s="383">
        <v>10</v>
      </c>
      <c r="I266" s="383">
        <f t="shared" si="4"/>
        <v>54000000</v>
      </c>
    </row>
    <row r="267" spans="1:9">
      <c r="A267" s="383">
        <v>101425</v>
      </c>
      <c r="B267" s="383" t="s">
        <v>1703</v>
      </c>
      <c r="C267" s="383" t="s">
        <v>1704</v>
      </c>
      <c r="D267" s="383">
        <v>829</v>
      </c>
      <c r="E267" s="383" t="s">
        <v>1635</v>
      </c>
      <c r="F267" s="383">
        <v>24200000</v>
      </c>
      <c r="G267" s="383"/>
      <c r="H267" s="383">
        <v>10</v>
      </c>
      <c r="I267" s="383">
        <f t="shared" si="4"/>
        <v>242000000</v>
      </c>
    </row>
    <row r="268" spans="1:9">
      <c r="A268" s="383">
        <v>101440</v>
      </c>
      <c r="B268" s="383" t="s">
        <v>1705</v>
      </c>
      <c r="C268" s="383" t="s">
        <v>576</v>
      </c>
      <c r="D268" s="383">
        <v>829</v>
      </c>
      <c r="E268" s="383" t="s">
        <v>1635</v>
      </c>
      <c r="F268" s="383">
        <v>351599848</v>
      </c>
      <c r="G268" s="383"/>
      <c r="H268" s="383">
        <v>10</v>
      </c>
      <c r="I268" s="383">
        <f t="shared" si="4"/>
        <v>3515998480</v>
      </c>
    </row>
    <row r="269" spans="1:9">
      <c r="A269" s="383">
        <v>101465</v>
      </c>
      <c r="B269" s="383" t="s">
        <v>1706</v>
      </c>
      <c r="C269" s="383" t="s">
        <v>1707</v>
      </c>
      <c r="D269" s="383">
        <v>829</v>
      </c>
      <c r="E269" s="383" t="s">
        <v>1635</v>
      </c>
      <c r="F269" s="383">
        <v>49292600</v>
      </c>
      <c r="G269" s="383"/>
      <c r="H269" s="383">
        <v>10</v>
      </c>
      <c r="I269" s="383">
        <f t="shared" si="4"/>
        <v>492926000</v>
      </c>
    </row>
    <row r="270" spans="1:9">
      <c r="A270" s="383">
        <v>101468</v>
      </c>
      <c r="B270" s="383" t="s">
        <v>1708</v>
      </c>
      <c r="C270" s="383" t="s">
        <v>1709</v>
      </c>
      <c r="D270" s="383">
        <v>829</v>
      </c>
      <c r="E270" s="383" t="s">
        <v>1635</v>
      </c>
      <c r="F270" s="383">
        <v>4000000</v>
      </c>
      <c r="G270" s="383"/>
      <c r="H270" s="383">
        <v>10</v>
      </c>
      <c r="I270" s="383">
        <f t="shared" si="4"/>
        <v>40000000</v>
      </c>
    </row>
    <row r="271" spans="1:9">
      <c r="A271" s="383">
        <v>101469</v>
      </c>
      <c r="B271" s="383" t="s">
        <v>1710</v>
      </c>
      <c r="C271" s="383" t="s">
        <v>1711</v>
      </c>
      <c r="D271" s="383">
        <v>829</v>
      </c>
      <c r="E271" s="383" t="s">
        <v>1635</v>
      </c>
      <c r="F271" s="383">
        <v>19687500</v>
      </c>
      <c r="G271" s="383"/>
      <c r="H271" s="383">
        <v>10</v>
      </c>
      <c r="I271" s="383">
        <f t="shared" si="4"/>
        <v>196875000</v>
      </c>
    </row>
    <row r="272" spans="1:9">
      <c r="A272" s="383">
        <v>101470</v>
      </c>
      <c r="B272" s="383" t="s">
        <v>1712</v>
      </c>
      <c r="C272" s="383" t="s">
        <v>1713</v>
      </c>
      <c r="D272" s="383">
        <v>829</v>
      </c>
      <c r="E272" s="383" t="s">
        <v>1635</v>
      </c>
      <c r="F272" s="383">
        <v>11970000</v>
      </c>
      <c r="G272" s="383"/>
      <c r="H272" s="383">
        <v>10</v>
      </c>
      <c r="I272" s="383">
        <f t="shared" si="4"/>
        <v>119700000</v>
      </c>
    </row>
    <row r="273" spans="1:9">
      <c r="A273" s="383">
        <v>101475</v>
      </c>
      <c r="B273" s="383" t="s">
        <v>1714</v>
      </c>
      <c r="C273" s="383" t="s">
        <v>1715</v>
      </c>
      <c r="D273" s="383">
        <v>829</v>
      </c>
      <c r="E273" s="383" t="s">
        <v>1635</v>
      </c>
      <c r="F273" s="383">
        <v>20091450</v>
      </c>
      <c r="G273" s="383"/>
      <c r="H273" s="383">
        <v>10</v>
      </c>
      <c r="I273" s="383">
        <f t="shared" si="4"/>
        <v>200914500</v>
      </c>
    </row>
    <row r="274" spans="1:9">
      <c r="A274" s="383">
        <v>101480</v>
      </c>
      <c r="B274" s="383" t="s">
        <v>1716</v>
      </c>
      <c r="C274" s="383" t="s">
        <v>1717</v>
      </c>
      <c r="D274" s="383">
        <v>829</v>
      </c>
      <c r="E274" s="383" t="s">
        <v>1635</v>
      </c>
      <c r="F274" s="383">
        <v>8640000</v>
      </c>
      <c r="G274" s="383"/>
      <c r="H274" s="383">
        <v>10</v>
      </c>
      <c r="I274" s="383">
        <f t="shared" si="4"/>
        <v>86400000</v>
      </c>
    </row>
    <row r="275" spans="1:9">
      <c r="A275" s="383">
        <v>101510</v>
      </c>
      <c r="B275" s="383" t="s">
        <v>1718</v>
      </c>
      <c r="C275" s="383" t="s">
        <v>1719</v>
      </c>
      <c r="D275" s="383">
        <v>829</v>
      </c>
      <c r="E275" s="383" t="s">
        <v>1635</v>
      </c>
      <c r="F275" s="383">
        <v>31888098</v>
      </c>
      <c r="G275" s="383"/>
      <c r="H275" s="383">
        <v>10</v>
      </c>
      <c r="I275" s="383">
        <f t="shared" si="4"/>
        <v>318880980</v>
      </c>
    </row>
    <row r="276" spans="1:9">
      <c r="A276" s="383">
        <v>101515</v>
      </c>
      <c r="B276" s="383" t="s">
        <v>1720</v>
      </c>
      <c r="C276" s="383" t="s">
        <v>1721</v>
      </c>
      <c r="D276" s="383">
        <v>829</v>
      </c>
      <c r="E276" s="383" t="s">
        <v>1635</v>
      </c>
      <c r="F276" s="383">
        <v>33442000</v>
      </c>
      <c r="G276" s="383"/>
      <c r="H276" s="383">
        <v>10</v>
      </c>
      <c r="I276" s="383">
        <f t="shared" si="4"/>
        <v>334420000</v>
      </c>
    </row>
    <row r="277" spans="1:9">
      <c r="A277" s="383">
        <v>101522</v>
      </c>
      <c r="B277" s="383" t="s">
        <v>1722</v>
      </c>
      <c r="C277" s="383" t="s">
        <v>1723</v>
      </c>
      <c r="D277" s="383">
        <v>829</v>
      </c>
      <c r="E277" s="383" t="s">
        <v>1635</v>
      </c>
      <c r="F277" s="383">
        <v>17000000</v>
      </c>
      <c r="G277" s="383"/>
      <c r="H277" s="383">
        <v>10</v>
      </c>
      <c r="I277" s="383">
        <f t="shared" si="4"/>
        <v>170000000</v>
      </c>
    </row>
    <row r="278" spans="1:9">
      <c r="A278" s="383">
        <v>101525</v>
      </c>
      <c r="B278" s="383" t="s">
        <v>1724</v>
      </c>
      <c r="C278" s="383" t="s">
        <v>1725</v>
      </c>
      <c r="D278" s="383">
        <v>829</v>
      </c>
      <c r="E278" s="383" t="s">
        <v>1635</v>
      </c>
      <c r="F278" s="383">
        <v>3726300</v>
      </c>
      <c r="G278" s="383"/>
      <c r="H278" s="383">
        <v>10</v>
      </c>
      <c r="I278" s="383">
        <f t="shared" si="4"/>
        <v>37263000</v>
      </c>
    </row>
    <row r="279" spans="1:9">
      <c r="A279" s="383">
        <v>101527</v>
      </c>
      <c r="B279" s="383" t="s">
        <v>1726</v>
      </c>
      <c r="C279" s="383" t="s">
        <v>1727</v>
      </c>
      <c r="D279" s="383">
        <v>829</v>
      </c>
      <c r="E279" s="383" t="s">
        <v>1635</v>
      </c>
      <c r="F279" s="383">
        <v>191421102</v>
      </c>
      <c r="G279" s="383"/>
      <c r="H279" s="383">
        <v>10</v>
      </c>
      <c r="I279" s="383">
        <f t="shared" si="4"/>
        <v>1914211020</v>
      </c>
    </row>
    <row r="280" spans="1:9">
      <c r="A280" s="383">
        <v>101530</v>
      </c>
      <c r="B280" s="383" t="s">
        <v>1728</v>
      </c>
      <c r="C280" s="383" t="s">
        <v>1729</v>
      </c>
      <c r="D280" s="383">
        <v>829</v>
      </c>
      <c r="E280" s="383" t="s">
        <v>1635</v>
      </c>
      <c r="F280" s="383">
        <v>9860000</v>
      </c>
      <c r="G280" s="383"/>
      <c r="H280" s="383">
        <v>10</v>
      </c>
      <c r="I280" s="383">
        <f t="shared" si="4"/>
        <v>98600000</v>
      </c>
    </row>
    <row r="281" spans="1:9">
      <c r="A281" s="383">
        <v>101625</v>
      </c>
      <c r="B281" s="383" t="s">
        <v>1730</v>
      </c>
      <c r="C281" s="383" t="s">
        <v>1731</v>
      </c>
      <c r="D281" s="383">
        <v>829</v>
      </c>
      <c r="E281" s="383" t="s">
        <v>1635</v>
      </c>
      <c r="F281" s="383">
        <v>10000000</v>
      </c>
      <c r="G281" s="383"/>
      <c r="H281" s="383">
        <v>10</v>
      </c>
      <c r="I281" s="383">
        <f t="shared" si="4"/>
        <v>100000000</v>
      </c>
    </row>
    <row r="282" spans="1:9">
      <c r="A282" s="383">
        <v>102260</v>
      </c>
      <c r="B282" s="383" t="s">
        <v>1732</v>
      </c>
      <c r="C282" s="383" t="s">
        <v>1733</v>
      </c>
      <c r="D282" s="383">
        <v>829</v>
      </c>
      <c r="E282" s="383" t="s">
        <v>1635</v>
      </c>
      <c r="F282" s="383">
        <v>67500000</v>
      </c>
      <c r="G282" s="383"/>
      <c r="H282" s="383">
        <v>10</v>
      </c>
      <c r="I282" s="383">
        <f t="shared" si="4"/>
        <v>675000000</v>
      </c>
    </row>
    <row r="283" spans="1:9">
      <c r="A283" s="383">
        <v>102265</v>
      </c>
      <c r="B283" s="383" t="s">
        <v>1734</v>
      </c>
      <c r="C283" s="383" t="s">
        <v>1735</v>
      </c>
      <c r="D283" s="383">
        <v>829</v>
      </c>
      <c r="E283" s="383" t="s">
        <v>1635</v>
      </c>
      <c r="F283" s="383">
        <v>31166668</v>
      </c>
      <c r="G283" s="383"/>
      <c r="H283" s="383">
        <v>10</v>
      </c>
      <c r="I283" s="383">
        <f t="shared" si="4"/>
        <v>311666680</v>
      </c>
    </row>
    <row r="284" spans="1:9">
      <c r="A284" s="383">
        <v>102450</v>
      </c>
      <c r="B284" s="383" t="s">
        <v>1736</v>
      </c>
      <c r="C284" s="383" t="s">
        <v>1737</v>
      </c>
      <c r="D284" s="383">
        <v>829</v>
      </c>
      <c r="E284" s="383" t="s">
        <v>1635</v>
      </c>
      <c r="F284" s="383">
        <v>17352330</v>
      </c>
      <c r="G284" s="383"/>
      <c r="H284" s="383">
        <v>10</v>
      </c>
      <c r="I284" s="383">
        <f t="shared" si="4"/>
        <v>173523300</v>
      </c>
    </row>
    <row r="285" spans="1:9">
      <c r="A285" s="383">
        <v>102480</v>
      </c>
      <c r="B285" s="383" t="s">
        <v>1738</v>
      </c>
      <c r="C285" s="383" t="s">
        <v>1739</v>
      </c>
      <c r="D285" s="383">
        <v>829</v>
      </c>
      <c r="E285" s="383" t="s">
        <v>1635</v>
      </c>
      <c r="F285" s="383">
        <v>13000000</v>
      </c>
      <c r="G285" s="383"/>
      <c r="H285" s="383">
        <v>10</v>
      </c>
      <c r="I285" s="383">
        <f t="shared" si="4"/>
        <v>130000000</v>
      </c>
    </row>
    <row r="286" spans="1:9">
      <c r="A286" s="383">
        <v>102700</v>
      </c>
      <c r="B286" s="383" t="s">
        <v>1740</v>
      </c>
      <c r="C286" s="383" t="s">
        <v>1741</v>
      </c>
      <c r="D286" s="383">
        <v>829</v>
      </c>
      <c r="E286" s="383" t="s">
        <v>1635</v>
      </c>
      <c r="F286" s="383">
        <v>20083140</v>
      </c>
      <c r="G286" s="383"/>
      <c r="H286" s="383">
        <v>10</v>
      </c>
      <c r="I286" s="383">
        <f t="shared" si="4"/>
        <v>200831400</v>
      </c>
    </row>
    <row r="287" spans="1:9">
      <c r="A287" s="383">
        <v>110980</v>
      </c>
      <c r="B287" s="383" t="s">
        <v>1742</v>
      </c>
      <c r="C287" s="383" t="s">
        <v>1743</v>
      </c>
      <c r="D287" s="383">
        <v>835</v>
      </c>
      <c r="E287" s="383" t="s">
        <v>1744</v>
      </c>
      <c r="F287" s="383">
        <v>9506250</v>
      </c>
      <c r="G287" s="383"/>
      <c r="H287" s="383">
        <v>10</v>
      </c>
      <c r="I287" s="383">
        <f t="shared" si="4"/>
        <v>95062500</v>
      </c>
    </row>
    <row r="288" spans="1:9">
      <c r="A288" s="383">
        <v>111080</v>
      </c>
      <c r="B288" s="383" t="s">
        <v>1745</v>
      </c>
      <c r="C288" s="383" t="s">
        <v>1746</v>
      </c>
      <c r="D288" s="383">
        <v>835</v>
      </c>
      <c r="E288" s="383" t="s">
        <v>1744</v>
      </c>
      <c r="F288" s="383">
        <v>2159600</v>
      </c>
      <c r="G288" s="383"/>
      <c r="H288" s="383">
        <v>10</v>
      </c>
      <c r="I288" s="383">
        <f t="shared" si="4"/>
        <v>21596000</v>
      </c>
    </row>
    <row r="289" spans="1:9">
      <c r="A289" s="383">
        <v>120960</v>
      </c>
      <c r="B289" s="383" t="s">
        <v>1747</v>
      </c>
      <c r="C289" s="383" t="s">
        <v>1748</v>
      </c>
      <c r="D289" s="383">
        <v>805</v>
      </c>
      <c r="E289" s="383" t="s">
        <v>1749</v>
      </c>
      <c r="F289" s="383">
        <v>392430000</v>
      </c>
      <c r="G289" s="383"/>
      <c r="H289" s="383">
        <v>10</v>
      </c>
      <c r="I289" s="383">
        <f t="shared" si="4"/>
        <v>3924300000</v>
      </c>
    </row>
    <row r="290" spans="1:9">
      <c r="A290" s="383">
        <v>120965</v>
      </c>
      <c r="B290" s="383" t="s">
        <v>1750</v>
      </c>
      <c r="C290" s="383" t="s">
        <v>1751</v>
      </c>
      <c r="D290" s="383">
        <v>805</v>
      </c>
      <c r="E290" s="383" t="s">
        <v>1749</v>
      </c>
      <c r="F290" s="383">
        <v>159334269</v>
      </c>
      <c r="G290" s="383"/>
      <c r="H290" s="383">
        <v>10</v>
      </c>
      <c r="I290" s="383">
        <f t="shared" si="4"/>
        <v>1593342690</v>
      </c>
    </row>
    <row r="291" spans="1:9">
      <c r="A291" s="383">
        <v>121000</v>
      </c>
      <c r="B291" s="383" t="s">
        <v>1752</v>
      </c>
      <c r="C291" s="383" t="s">
        <v>1753</v>
      </c>
      <c r="D291" s="383">
        <v>827</v>
      </c>
      <c r="E291" s="383" t="s">
        <v>1754</v>
      </c>
      <c r="F291" s="383">
        <v>13409550</v>
      </c>
      <c r="G291" s="383"/>
      <c r="H291" s="383">
        <v>10</v>
      </c>
      <c r="I291" s="383">
        <f t="shared" si="4"/>
        <v>134095500</v>
      </c>
    </row>
    <row r="292" spans="1:9">
      <c r="A292" s="383">
        <v>121040</v>
      </c>
      <c r="B292" s="383" t="s">
        <v>1755</v>
      </c>
      <c r="C292" s="383" t="s">
        <v>1756</v>
      </c>
      <c r="D292" s="383">
        <v>827</v>
      </c>
      <c r="E292" s="383" t="s">
        <v>1754</v>
      </c>
      <c r="F292" s="383">
        <v>366321085</v>
      </c>
      <c r="G292" s="383"/>
      <c r="H292" s="383">
        <v>10</v>
      </c>
      <c r="I292" s="383">
        <f t="shared" si="4"/>
        <v>3663210850</v>
      </c>
    </row>
    <row r="293" spans="1:9">
      <c r="A293" s="383">
        <v>121070</v>
      </c>
      <c r="B293" s="383" t="s">
        <v>1757</v>
      </c>
      <c r="C293" s="383" t="s">
        <v>1758</v>
      </c>
      <c r="D293" s="383">
        <v>827</v>
      </c>
      <c r="E293" s="383" t="s">
        <v>1754</v>
      </c>
      <c r="F293" s="383">
        <v>38364500</v>
      </c>
      <c r="G293" s="383"/>
      <c r="H293" s="383">
        <v>10</v>
      </c>
      <c r="I293" s="383">
        <f t="shared" si="4"/>
        <v>383645000</v>
      </c>
    </row>
    <row r="294" spans="1:9">
      <c r="A294" s="383">
        <v>121074</v>
      </c>
      <c r="B294" s="383" t="s">
        <v>1759</v>
      </c>
      <c r="C294" s="383" t="s">
        <v>1760</v>
      </c>
      <c r="D294" s="383">
        <v>827</v>
      </c>
      <c r="E294" s="383" t="s">
        <v>1754</v>
      </c>
      <c r="F294" s="383">
        <v>310506995</v>
      </c>
      <c r="G294" s="383"/>
      <c r="H294" s="383">
        <v>10</v>
      </c>
      <c r="I294" s="383">
        <f t="shared" si="4"/>
        <v>3105069950</v>
      </c>
    </row>
    <row r="295" spans="1:9">
      <c r="A295" s="383">
        <v>121110</v>
      </c>
      <c r="B295" s="383" t="s">
        <v>1761</v>
      </c>
      <c r="C295" s="383" t="s">
        <v>1762</v>
      </c>
      <c r="D295" s="383">
        <v>827</v>
      </c>
      <c r="E295" s="383" t="s">
        <v>1754</v>
      </c>
      <c r="F295" s="383">
        <v>84777800</v>
      </c>
      <c r="G295" s="383"/>
      <c r="H295" s="383">
        <v>10</v>
      </c>
      <c r="I295" s="383">
        <f t="shared" si="4"/>
        <v>847778000</v>
      </c>
    </row>
    <row r="296" spans="1:9">
      <c r="A296" s="383">
        <v>121120</v>
      </c>
      <c r="B296" s="383" t="s">
        <v>1763</v>
      </c>
      <c r="C296" s="383" t="s">
        <v>1764</v>
      </c>
      <c r="D296" s="383">
        <v>827</v>
      </c>
      <c r="E296" s="383" t="s">
        <v>1754</v>
      </c>
      <c r="F296" s="383">
        <v>15553133</v>
      </c>
      <c r="G296" s="383"/>
      <c r="H296" s="383">
        <v>10</v>
      </c>
      <c r="I296" s="383">
        <f t="shared" si="4"/>
        <v>155531330</v>
      </c>
    </row>
    <row r="297" spans="1:9">
      <c r="A297" s="383">
        <v>121160</v>
      </c>
      <c r="B297" s="383" t="s">
        <v>1765</v>
      </c>
      <c r="C297" s="383" t="s">
        <v>1766</v>
      </c>
      <c r="D297" s="383">
        <v>827</v>
      </c>
      <c r="E297" s="383" t="s">
        <v>1754</v>
      </c>
      <c r="F297" s="383">
        <v>400000</v>
      </c>
      <c r="G297" s="383"/>
      <c r="H297" s="383">
        <v>10</v>
      </c>
      <c r="I297" s="383">
        <f t="shared" si="4"/>
        <v>4000000</v>
      </c>
    </row>
    <row r="298" spans="1:9">
      <c r="A298" s="383">
        <v>121180</v>
      </c>
      <c r="B298" s="383" t="s">
        <v>1767</v>
      </c>
      <c r="C298" s="383" t="s">
        <v>1768</v>
      </c>
      <c r="D298" s="383">
        <v>827</v>
      </c>
      <c r="E298" s="383" t="s">
        <v>1754</v>
      </c>
      <c r="F298" s="383">
        <v>56040000</v>
      </c>
      <c r="G298" s="383"/>
      <c r="H298" s="383">
        <v>10</v>
      </c>
      <c r="I298" s="383">
        <f t="shared" si="4"/>
        <v>560400000</v>
      </c>
    </row>
    <row r="299" spans="1:9">
      <c r="A299" s="383">
        <v>121240</v>
      </c>
      <c r="B299" s="383" t="s">
        <v>1769</v>
      </c>
      <c r="C299" s="383" t="s">
        <v>1770</v>
      </c>
      <c r="D299" s="383">
        <v>827</v>
      </c>
      <c r="E299" s="383" t="s">
        <v>1754</v>
      </c>
      <c r="F299" s="383">
        <v>34068500</v>
      </c>
      <c r="G299" s="383"/>
      <c r="H299" s="383">
        <v>10</v>
      </c>
      <c r="I299" s="383">
        <f t="shared" si="4"/>
        <v>340685000</v>
      </c>
    </row>
    <row r="300" spans="1:9">
      <c r="A300" s="383">
        <v>121242</v>
      </c>
      <c r="B300" s="383" t="s">
        <v>1771</v>
      </c>
      <c r="C300" s="383" t="s">
        <v>1772</v>
      </c>
      <c r="D300" s="383">
        <v>827</v>
      </c>
      <c r="E300" s="383" t="s">
        <v>1754</v>
      </c>
      <c r="F300" s="383">
        <v>15000000</v>
      </c>
      <c r="G300" s="383"/>
      <c r="H300" s="383">
        <v>10</v>
      </c>
      <c r="I300" s="383">
        <f t="shared" si="4"/>
        <v>150000000</v>
      </c>
    </row>
    <row r="301" spans="1:9">
      <c r="A301" s="383">
        <v>121251</v>
      </c>
      <c r="B301" s="383" t="s">
        <v>1773</v>
      </c>
      <c r="C301" s="383" t="s">
        <v>1774</v>
      </c>
      <c r="D301" s="383">
        <v>827</v>
      </c>
      <c r="E301" s="383" t="s">
        <v>1754</v>
      </c>
      <c r="F301" s="383">
        <v>23612270</v>
      </c>
      <c r="G301" s="383"/>
      <c r="H301" s="383">
        <v>10</v>
      </c>
      <c r="I301" s="383">
        <f t="shared" si="4"/>
        <v>236122700</v>
      </c>
    </row>
    <row r="302" spans="1:9">
      <c r="A302" s="383">
        <v>131020</v>
      </c>
      <c r="B302" s="383" t="s">
        <v>1775</v>
      </c>
      <c r="C302" s="383" t="s">
        <v>1776</v>
      </c>
      <c r="D302" s="383">
        <v>814</v>
      </c>
      <c r="E302" s="383" t="s">
        <v>1777</v>
      </c>
      <c r="F302" s="383">
        <v>23763468</v>
      </c>
      <c r="G302" s="383"/>
      <c r="H302" s="383">
        <v>10</v>
      </c>
      <c r="I302" s="383">
        <f t="shared" si="4"/>
        <v>237634680</v>
      </c>
    </row>
    <row r="303" spans="1:9">
      <c r="A303" s="383">
        <v>131140</v>
      </c>
      <c r="B303" s="383" t="s">
        <v>1778</v>
      </c>
      <c r="C303" s="383" t="s">
        <v>1779</v>
      </c>
      <c r="D303" s="383">
        <v>814</v>
      </c>
      <c r="E303" s="383" t="s">
        <v>1777</v>
      </c>
      <c r="F303" s="383">
        <v>3745000</v>
      </c>
      <c r="G303" s="383"/>
      <c r="H303" s="383">
        <v>10</v>
      </c>
      <c r="I303" s="383">
        <f t="shared" si="4"/>
        <v>37450000</v>
      </c>
    </row>
    <row r="304" spans="1:9">
      <c r="A304" s="383">
        <v>131160</v>
      </c>
      <c r="B304" s="383" t="s">
        <v>1780</v>
      </c>
      <c r="C304" s="383" t="s">
        <v>1781</v>
      </c>
      <c r="D304" s="383">
        <v>802</v>
      </c>
      <c r="E304" s="383" t="s">
        <v>1782</v>
      </c>
      <c r="F304" s="383">
        <v>81029917</v>
      </c>
      <c r="G304" s="383"/>
      <c r="H304" s="383">
        <v>10</v>
      </c>
      <c r="I304" s="383">
        <f t="shared" si="4"/>
        <v>810299170</v>
      </c>
    </row>
    <row r="305" spans="1:9">
      <c r="A305" s="383">
        <v>141000</v>
      </c>
      <c r="B305" s="383" t="s">
        <v>1783</v>
      </c>
      <c r="C305" s="383" t="s">
        <v>1784</v>
      </c>
      <c r="D305" s="383">
        <v>826</v>
      </c>
      <c r="E305" s="383" t="s">
        <v>1785</v>
      </c>
      <c r="F305" s="383">
        <v>17291008</v>
      </c>
      <c r="G305" s="383"/>
      <c r="H305" s="383">
        <v>10</v>
      </c>
      <c r="I305" s="383">
        <f t="shared" si="4"/>
        <v>172910080</v>
      </c>
    </row>
    <row r="306" spans="1:9">
      <c r="A306" s="383">
        <v>141010</v>
      </c>
      <c r="B306" s="383" t="s">
        <v>1786</v>
      </c>
      <c r="C306" s="383" t="s">
        <v>1787</v>
      </c>
      <c r="D306" s="383">
        <v>826</v>
      </c>
      <c r="E306" s="383" t="s">
        <v>1785</v>
      </c>
      <c r="F306" s="383">
        <v>17362300</v>
      </c>
      <c r="G306" s="383"/>
      <c r="H306" s="383">
        <v>10</v>
      </c>
      <c r="I306" s="383">
        <f t="shared" si="4"/>
        <v>173623000</v>
      </c>
    </row>
    <row r="307" spans="1:9">
      <c r="A307" s="383">
        <v>141020</v>
      </c>
      <c r="B307" s="383" t="s">
        <v>1788</v>
      </c>
      <c r="C307" s="383" t="s">
        <v>1789</v>
      </c>
      <c r="D307" s="383">
        <v>826</v>
      </c>
      <c r="E307" s="383" t="s">
        <v>1785</v>
      </c>
      <c r="F307" s="383">
        <v>79261700</v>
      </c>
      <c r="G307" s="383"/>
      <c r="H307" s="383">
        <v>10</v>
      </c>
      <c r="I307" s="383">
        <f t="shared" si="4"/>
        <v>792617000</v>
      </c>
    </row>
    <row r="308" spans="1:9">
      <c r="A308" s="383">
        <v>141040</v>
      </c>
      <c r="B308" s="383" t="s">
        <v>1790</v>
      </c>
      <c r="C308" s="383" t="s">
        <v>1791</v>
      </c>
      <c r="D308" s="383">
        <v>826</v>
      </c>
      <c r="E308" s="383" t="s">
        <v>1785</v>
      </c>
      <c r="F308" s="383">
        <v>20473755</v>
      </c>
      <c r="G308" s="383"/>
      <c r="H308" s="383">
        <v>10</v>
      </c>
      <c r="I308" s="383">
        <f t="shared" si="4"/>
        <v>204737550</v>
      </c>
    </row>
    <row r="309" spans="1:9">
      <c r="A309" s="383">
        <v>141060</v>
      </c>
      <c r="B309" s="383" t="s">
        <v>1792</v>
      </c>
      <c r="C309" s="383" t="s">
        <v>1793</v>
      </c>
      <c r="D309" s="383">
        <v>826</v>
      </c>
      <c r="E309" s="383" t="s">
        <v>1785</v>
      </c>
      <c r="F309" s="383">
        <v>24407300</v>
      </c>
      <c r="G309" s="383"/>
      <c r="H309" s="383">
        <v>10</v>
      </c>
      <c r="I309" s="383">
        <f t="shared" si="4"/>
        <v>244073000</v>
      </c>
    </row>
    <row r="310" spans="1:9">
      <c r="A310" s="383">
        <v>141080</v>
      </c>
      <c r="B310" s="383" t="s">
        <v>1794</v>
      </c>
      <c r="C310" s="383" t="s">
        <v>1795</v>
      </c>
      <c r="D310" s="383">
        <v>826</v>
      </c>
      <c r="E310" s="383" t="s">
        <v>1785</v>
      </c>
      <c r="F310" s="383">
        <v>9450000</v>
      </c>
      <c r="G310" s="383"/>
      <c r="H310" s="383">
        <v>10</v>
      </c>
      <c r="I310" s="383">
        <f t="shared" si="4"/>
        <v>94500000</v>
      </c>
    </row>
    <row r="311" spans="1:9">
      <c r="A311" s="383">
        <v>141120</v>
      </c>
      <c r="B311" s="383" t="s">
        <v>1796</v>
      </c>
      <c r="C311" s="383" t="s">
        <v>1797</v>
      </c>
      <c r="D311" s="383">
        <v>826</v>
      </c>
      <c r="E311" s="383" t="s">
        <v>1785</v>
      </c>
      <c r="F311" s="383">
        <v>1121600</v>
      </c>
      <c r="G311" s="383"/>
      <c r="H311" s="383">
        <v>10</v>
      </c>
      <c r="I311" s="383">
        <f t="shared" si="4"/>
        <v>11216000</v>
      </c>
    </row>
    <row r="312" spans="1:9">
      <c r="A312" s="383">
        <v>141140</v>
      </c>
      <c r="B312" s="383" t="s">
        <v>1798</v>
      </c>
      <c r="C312" s="383" t="s">
        <v>1799</v>
      </c>
      <c r="D312" s="383">
        <v>826</v>
      </c>
      <c r="E312" s="383" t="s">
        <v>1785</v>
      </c>
      <c r="F312" s="383">
        <v>50000</v>
      </c>
      <c r="G312" s="383"/>
      <c r="H312" s="383">
        <v>10</v>
      </c>
      <c r="I312" s="383">
        <f t="shared" si="4"/>
        <v>500000</v>
      </c>
    </row>
    <row r="313" spans="1:9">
      <c r="A313" s="383">
        <v>141160</v>
      </c>
      <c r="B313" s="383" t="s">
        <v>1800</v>
      </c>
      <c r="C313" s="383" t="s">
        <v>1801</v>
      </c>
      <c r="D313" s="383">
        <v>826</v>
      </c>
      <c r="E313" s="383" t="s">
        <v>1785</v>
      </c>
      <c r="F313" s="383">
        <v>160000</v>
      </c>
      <c r="G313" s="383"/>
      <c r="H313" s="383">
        <v>10</v>
      </c>
      <c r="I313" s="383">
        <f t="shared" si="4"/>
        <v>1600000</v>
      </c>
    </row>
    <row r="314" spans="1:9">
      <c r="A314" s="383">
        <v>141170</v>
      </c>
      <c r="B314" s="383" t="s">
        <v>1802</v>
      </c>
      <c r="C314" s="383" t="s">
        <v>1803</v>
      </c>
      <c r="D314" s="383">
        <v>826</v>
      </c>
      <c r="E314" s="383" t="s">
        <v>1785</v>
      </c>
      <c r="F314" s="383">
        <v>28692000</v>
      </c>
      <c r="G314" s="383"/>
      <c r="H314" s="383">
        <v>10</v>
      </c>
      <c r="I314" s="383">
        <f t="shared" si="4"/>
        <v>286920000</v>
      </c>
    </row>
    <row r="315" spans="1:9">
      <c r="A315" s="383">
        <v>141175</v>
      </c>
      <c r="B315" s="383" t="s">
        <v>1804</v>
      </c>
      <c r="C315" s="383" t="s">
        <v>1805</v>
      </c>
      <c r="D315" s="383">
        <v>826</v>
      </c>
      <c r="E315" s="383" t="s">
        <v>1785</v>
      </c>
      <c r="F315" s="383">
        <v>99020000</v>
      </c>
      <c r="G315" s="383"/>
      <c r="H315" s="383">
        <v>10</v>
      </c>
      <c r="I315" s="383">
        <f t="shared" si="4"/>
        <v>990200000</v>
      </c>
    </row>
    <row r="316" spans="1:9">
      <c r="A316" s="383">
        <v>141180</v>
      </c>
      <c r="B316" s="383" t="s">
        <v>1806</v>
      </c>
      <c r="C316" s="383" t="s">
        <v>1807</v>
      </c>
      <c r="D316" s="383">
        <v>830</v>
      </c>
      <c r="E316" s="383" t="s">
        <v>1443</v>
      </c>
      <c r="F316" s="383">
        <v>22660123</v>
      </c>
      <c r="G316" s="383"/>
      <c r="H316" s="383">
        <v>10</v>
      </c>
      <c r="I316" s="383">
        <f t="shared" si="4"/>
        <v>226601230</v>
      </c>
    </row>
    <row r="317" spans="1:9">
      <c r="A317" s="383">
        <v>141200</v>
      </c>
      <c r="B317" s="383" t="s">
        <v>1808</v>
      </c>
      <c r="C317" s="383" t="s">
        <v>1809</v>
      </c>
      <c r="D317" s="383">
        <v>826</v>
      </c>
      <c r="E317" s="383" t="s">
        <v>1785</v>
      </c>
      <c r="F317" s="383">
        <v>66511992</v>
      </c>
      <c r="G317" s="383"/>
      <c r="H317" s="383">
        <v>10</v>
      </c>
      <c r="I317" s="383">
        <f t="shared" si="4"/>
        <v>665119920</v>
      </c>
    </row>
    <row r="318" spans="1:9">
      <c r="A318" s="383">
        <v>141210</v>
      </c>
      <c r="B318" s="383" t="s">
        <v>1810</v>
      </c>
      <c r="C318" s="383" t="s">
        <v>1811</v>
      </c>
      <c r="D318" s="383">
        <v>810</v>
      </c>
      <c r="E318" s="383" t="s">
        <v>1812</v>
      </c>
      <c r="F318" s="383">
        <v>766596075</v>
      </c>
      <c r="G318" s="383"/>
      <c r="H318" s="383">
        <v>10</v>
      </c>
      <c r="I318" s="383">
        <f t="shared" si="4"/>
        <v>7665960750</v>
      </c>
    </row>
    <row r="319" spans="1:9">
      <c r="A319" s="383">
        <v>141220</v>
      </c>
      <c r="B319" s="383" t="s">
        <v>1813</v>
      </c>
      <c r="C319" s="383" t="s">
        <v>1814</v>
      </c>
      <c r="D319" s="383">
        <v>826</v>
      </c>
      <c r="E319" s="383" t="s">
        <v>1785</v>
      </c>
      <c r="F319" s="383">
        <v>25007151</v>
      </c>
      <c r="G319" s="383"/>
      <c r="H319" s="383">
        <v>10</v>
      </c>
      <c r="I319" s="383">
        <f t="shared" si="4"/>
        <v>250071510</v>
      </c>
    </row>
    <row r="320" spans="1:9">
      <c r="A320" s="383">
        <v>141320</v>
      </c>
      <c r="B320" s="383" t="s">
        <v>1815</v>
      </c>
      <c r="C320" s="383" t="s">
        <v>1816</v>
      </c>
      <c r="D320" s="383">
        <v>826</v>
      </c>
      <c r="E320" s="383" t="s">
        <v>1785</v>
      </c>
      <c r="F320" s="383">
        <v>150000000</v>
      </c>
      <c r="G320" s="383"/>
      <c r="H320" s="383">
        <v>5</v>
      </c>
      <c r="I320" s="383">
        <f t="shared" si="4"/>
        <v>750000000</v>
      </c>
    </row>
    <row r="321" spans="1:9">
      <c r="A321" s="383">
        <v>141340</v>
      </c>
      <c r="B321" s="383" t="s">
        <v>1817</v>
      </c>
      <c r="C321" s="383" t="s">
        <v>1818</v>
      </c>
      <c r="D321" s="383">
        <v>826</v>
      </c>
      <c r="E321" s="383" t="s">
        <v>1785</v>
      </c>
      <c r="F321" s="383">
        <v>40000000</v>
      </c>
      <c r="G321" s="383"/>
      <c r="H321" s="383">
        <v>5</v>
      </c>
      <c r="I321" s="383">
        <f t="shared" si="4"/>
        <v>200000000</v>
      </c>
    </row>
    <row r="322" spans="1:9">
      <c r="A322" s="383">
        <v>141350</v>
      </c>
      <c r="B322" s="383" t="s">
        <v>1819</v>
      </c>
      <c r="C322" s="383" t="s">
        <v>1820</v>
      </c>
      <c r="D322" s="383">
        <v>826</v>
      </c>
      <c r="E322" s="383" t="s">
        <v>1785</v>
      </c>
      <c r="F322" s="383">
        <v>32400000</v>
      </c>
      <c r="G322" s="383"/>
      <c r="H322" s="383">
        <v>10</v>
      </c>
      <c r="I322" s="383">
        <f t="shared" si="4"/>
        <v>324000000</v>
      </c>
    </row>
    <row r="323" spans="1:9">
      <c r="A323" s="383">
        <v>141360</v>
      </c>
      <c r="B323" s="383" t="s">
        <v>1821</v>
      </c>
      <c r="C323" s="383" t="s">
        <v>1822</v>
      </c>
      <c r="D323" s="383">
        <v>826</v>
      </c>
      <c r="E323" s="383" t="s">
        <v>1785</v>
      </c>
      <c r="F323" s="383">
        <v>25000000</v>
      </c>
      <c r="G323" s="383"/>
      <c r="H323" s="383">
        <v>10</v>
      </c>
      <c r="I323" s="383">
        <f t="shared" ref="I323:I386" si="5">F323*H323</f>
        <v>250000000</v>
      </c>
    </row>
    <row r="324" spans="1:9">
      <c r="A324" s="383">
        <v>141390</v>
      </c>
      <c r="B324" s="383" t="s">
        <v>1823</v>
      </c>
      <c r="C324" s="383" t="s">
        <v>1824</v>
      </c>
      <c r="D324" s="383">
        <v>826</v>
      </c>
      <c r="E324" s="383" t="s">
        <v>1785</v>
      </c>
      <c r="F324" s="383">
        <v>59776661</v>
      </c>
      <c r="G324" s="383"/>
      <c r="H324" s="383">
        <v>10</v>
      </c>
      <c r="I324" s="383">
        <f t="shared" si="5"/>
        <v>597766610</v>
      </c>
    </row>
    <row r="325" spans="1:9">
      <c r="A325" s="383">
        <v>141395</v>
      </c>
      <c r="B325" s="383" t="s">
        <v>1825</v>
      </c>
      <c r="C325" s="383" t="s">
        <v>1826</v>
      </c>
      <c r="D325" s="383">
        <v>826</v>
      </c>
      <c r="E325" s="383" t="s">
        <v>1785</v>
      </c>
      <c r="F325" s="383">
        <v>16017500</v>
      </c>
      <c r="G325" s="383"/>
      <c r="H325" s="383">
        <v>10</v>
      </c>
      <c r="I325" s="383">
        <f t="shared" si="5"/>
        <v>160175000</v>
      </c>
    </row>
    <row r="326" spans="1:9">
      <c r="A326" s="383">
        <v>141400</v>
      </c>
      <c r="B326" s="383" t="s">
        <v>1827</v>
      </c>
      <c r="C326" s="383" t="s">
        <v>1828</v>
      </c>
      <c r="D326" s="383">
        <v>826</v>
      </c>
      <c r="E326" s="383" t="s">
        <v>1785</v>
      </c>
      <c r="F326" s="383">
        <v>24730764</v>
      </c>
      <c r="G326" s="383"/>
      <c r="H326" s="383">
        <v>10</v>
      </c>
      <c r="I326" s="383">
        <f t="shared" si="5"/>
        <v>247307640</v>
      </c>
    </row>
    <row r="327" spans="1:9">
      <c r="A327" s="383">
        <v>141420</v>
      </c>
      <c r="B327" s="383" t="s">
        <v>1829</v>
      </c>
      <c r="C327" s="383" t="s">
        <v>1830</v>
      </c>
      <c r="D327" s="383">
        <v>826</v>
      </c>
      <c r="E327" s="383" t="s">
        <v>1785</v>
      </c>
      <c r="F327" s="383">
        <v>32031407</v>
      </c>
      <c r="G327" s="383"/>
      <c r="H327" s="383">
        <v>10</v>
      </c>
      <c r="I327" s="383">
        <f t="shared" si="5"/>
        <v>320314070</v>
      </c>
    </row>
    <row r="328" spans="1:9">
      <c r="A328" s="383">
        <v>141440</v>
      </c>
      <c r="B328" s="383" t="s">
        <v>1831</v>
      </c>
      <c r="C328" s="383" t="s">
        <v>1832</v>
      </c>
      <c r="D328" s="383">
        <v>826</v>
      </c>
      <c r="E328" s="383" t="s">
        <v>1785</v>
      </c>
      <c r="F328" s="383">
        <v>12268219</v>
      </c>
      <c r="G328" s="383"/>
      <c r="H328" s="383">
        <v>10</v>
      </c>
      <c r="I328" s="383">
        <f t="shared" si="5"/>
        <v>122682190</v>
      </c>
    </row>
    <row r="329" spans="1:9">
      <c r="A329" s="383">
        <v>141450</v>
      </c>
      <c r="B329" s="383" t="s">
        <v>1833</v>
      </c>
      <c r="C329" s="383" t="s">
        <v>1834</v>
      </c>
      <c r="D329" s="383">
        <v>826</v>
      </c>
      <c r="E329" s="383" t="s">
        <v>1785</v>
      </c>
      <c r="F329" s="383">
        <v>14100000</v>
      </c>
      <c r="G329" s="383"/>
      <c r="H329" s="383">
        <v>10</v>
      </c>
      <c r="I329" s="383">
        <f t="shared" si="5"/>
        <v>141000000</v>
      </c>
    </row>
    <row r="330" spans="1:9">
      <c r="A330" s="383">
        <v>141460</v>
      </c>
      <c r="B330" s="383" t="s">
        <v>1835</v>
      </c>
      <c r="C330" s="383" t="s">
        <v>1836</v>
      </c>
      <c r="D330" s="383">
        <v>826</v>
      </c>
      <c r="E330" s="383" t="s">
        <v>1785</v>
      </c>
      <c r="F330" s="383">
        <v>16517456</v>
      </c>
      <c r="G330" s="383"/>
      <c r="H330" s="383">
        <v>10</v>
      </c>
      <c r="I330" s="383">
        <f t="shared" si="5"/>
        <v>165174560</v>
      </c>
    </row>
    <row r="331" spans="1:9">
      <c r="A331" s="383">
        <v>141480</v>
      </c>
      <c r="B331" s="383" t="s">
        <v>1837</v>
      </c>
      <c r="C331" s="383" t="s">
        <v>1838</v>
      </c>
      <c r="D331" s="383">
        <v>826</v>
      </c>
      <c r="E331" s="383" t="s">
        <v>1785</v>
      </c>
      <c r="F331" s="383">
        <v>10850000</v>
      </c>
      <c r="G331" s="383"/>
      <c r="H331" s="383">
        <v>10</v>
      </c>
      <c r="I331" s="383">
        <f t="shared" si="5"/>
        <v>108500000</v>
      </c>
    </row>
    <row r="332" spans="1:9">
      <c r="A332" s="383">
        <v>141500</v>
      </c>
      <c r="B332" s="383" t="s">
        <v>1839</v>
      </c>
      <c r="C332" s="383" t="s">
        <v>1840</v>
      </c>
      <c r="D332" s="383">
        <v>826</v>
      </c>
      <c r="E332" s="383" t="s">
        <v>1785</v>
      </c>
      <c r="F332" s="383">
        <v>3750000</v>
      </c>
      <c r="G332" s="383"/>
      <c r="H332" s="383">
        <v>10</v>
      </c>
      <c r="I332" s="383">
        <f t="shared" si="5"/>
        <v>37500000</v>
      </c>
    </row>
    <row r="333" spans="1:9">
      <c r="A333" s="383">
        <v>141520</v>
      </c>
      <c r="B333" s="383" t="s">
        <v>1841</v>
      </c>
      <c r="C333" s="383" t="s">
        <v>1842</v>
      </c>
      <c r="D333" s="383">
        <v>826</v>
      </c>
      <c r="E333" s="383" t="s">
        <v>1785</v>
      </c>
      <c r="F333" s="383">
        <v>44616000</v>
      </c>
      <c r="G333" s="383"/>
      <c r="H333" s="383">
        <v>10</v>
      </c>
      <c r="I333" s="383">
        <f t="shared" si="5"/>
        <v>446160000</v>
      </c>
    </row>
    <row r="334" spans="1:9">
      <c r="A334" s="383">
        <v>141540</v>
      </c>
      <c r="B334" s="383" t="s">
        <v>1843</v>
      </c>
      <c r="C334" s="383" t="s">
        <v>1844</v>
      </c>
      <c r="D334" s="383">
        <v>826</v>
      </c>
      <c r="E334" s="383" t="s">
        <v>1785</v>
      </c>
      <c r="F334" s="383">
        <v>11946000</v>
      </c>
      <c r="G334" s="383"/>
      <c r="H334" s="383">
        <v>10</v>
      </c>
      <c r="I334" s="383">
        <f t="shared" si="5"/>
        <v>119460000</v>
      </c>
    </row>
    <row r="335" spans="1:9">
      <c r="A335" s="383">
        <v>141560</v>
      </c>
      <c r="B335" s="383" t="s">
        <v>1845</v>
      </c>
      <c r="C335" s="383" t="s">
        <v>1846</v>
      </c>
      <c r="D335" s="383">
        <v>826</v>
      </c>
      <c r="E335" s="383" t="s">
        <v>1785</v>
      </c>
      <c r="F335" s="383">
        <v>12011200</v>
      </c>
      <c r="G335" s="383"/>
      <c r="H335" s="383">
        <v>10</v>
      </c>
      <c r="I335" s="383">
        <f t="shared" si="5"/>
        <v>120112000</v>
      </c>
    </row>
    <row r="336" spans="1:9">
      <c r="A336" s="383">
        <v>141580</v>
      </c>
      <c r="B336" s="383" t="s">
        <v>1847</v>
      </c>
      <c r="C336" s="383" t="s">
        <v>1848</v>
      </c>
      <c r="D336" s="383">
        <v>826</v>
      </c>
      <c r="E336" s="383" t="s">
        <v>1785</v>
      </c>
      <c r="F336" s="383">
        <v>21118800</v>
      </c>
      <c r="G336" s="383"/>
      <c r="H336" s="383">
        <v>10</v>
      </c>
      <c r="I336" s="383">
        <f t="shared" si="5"/>
        <v>211188000</v>
      </c>
    </row>
    <row r="337" spans="1:9">
      <c r="A337" s="383">
        <v>141600</v>
      </c>
      <c r="B337" s="383" t="s">
        <v>1849</v>
      </c>
      <c r="C337" s="383" t="s">
        <v>1850</v>
      </c>
      <c r="D337" s="383">
        <v>826</v>
      </c>
      <c r="E337" s="383" t="s">
        <v>1785</v>
      </c>
      <c r="F337" s="383">
        <v>125000000</v>
      </c>
      <c r="G337" s="383"/>
      <c r="H337" s="383">
        <v>10</v>
      </c>
      <c r="I337" s="383">
        <f t="shared" si="5"/>
        <v>1250000000</v>
      </c>
    </row>
    <row r="338" spans="1:9">
      <c r="A338" s="383">
        <v>141620</v>
      </c>
      <c r="B338" s="383" t="s">
        <v>1851</v>
      </c>
      <c r="C338" s="383" t="s">
        <v>1852</v>
      </c>
      <c r="D338" s="383">
        <v>826</v>
      </c>
      <c r="E338" s="383" t="s">
        <v>1785</v>
      </c>
      <c r="F338" s="383">
        <v>10425000</v>
      </c>
      <c r="G338" s="383"/>
      <c r="H338" s="383">
        <v>10</v>
      </c>
      <c r="I338" s="383">
        <f t="shared" si="5"/>
        <v>104250000</v>
      </c>
    </row>
    <row r="339" spans="1:9">
      <c r="A339" s="383">
        <v>141630</v>
      </c>
      <c r="B339" s="383" t="s">
        <v>1853</v>
      </c>
      <c r="C339" s="383" t="s">
        <v>1854</v>
      </c>
      <c r="D339" s="383">
        <v>826</v>
      </c>
      <c r="E339" s="383" t="s">
        <v>1785</v>
      </c>
      <c r="F339" s="383">
        <v>117706300</v>
      </c>
      <c r="G339" s="383"/>
      <c r="H339" s="383">
        <v>10</v>
      </c>
      <c r="I339" s="383">
        <f t="shared" si="5"/>
        <v>1177063000</v>
      </c>
    </row>
    <row r="340" spans="1:9">
      <c r="A340" s="383">
        <v>141640</v>
      </c>
      <c r="B340" s="383" t="s">
        <v>1855</v>
      </c>
      <c r="C340" s="383" t="s">
        <v>1856</v>
      </c>
      <c r="D340" s="383">
        <v>826</v>
      </c>
      <c r="E340" s="383" t="s">
        <v>1785</v>
      </c>
      <c r="F340" s="383">
        <v>15023200</v>
      </c>
      <c r="G340" s="383"/>
      <c r="H340" s="383">
        <v>10</v>
      </c>
      <c r="I340" s="383">
        <f t="shared" si="5"/>
        <v>150232000</v>
      </c>
    </row>
    <row r="341" spans="1:9">
      <c r="A341" s="383">
        <v>150940</v>
      </c>
      <c r="B341" s="383" t="s">
        <v>1857</v>
      </c>
      <c r="C341" s="383" t="s">
        <v>483</v>
      </c>
      <c r="D341" s="383">
        <v>804</v>
      </c>
      <c r="E341" s="383" t="s">
        <v>1858</v>
      </c>
      <c r="F341" s="383">
        <v>114522468</v>
      </c>
      <c r="G341" s="383"/>
      <c r="H341" s="383">
        <v>10</v>
      </c>
      <c r="I341" s="383">
        <f t="shared" si="5"/>
        <v>1145224680</v>
      </c>
    </row>
    <row r="342" spans="1:9">
      <c r="A342" s="383">
        <v>150960</v>
      </c>
      <c r="B342" s="383" t="s">
        <v>1859</v>
      </c>
      <c r="C342" s="383" t="s">
        <v>1860</v>
      </c>
      <c r="D342" s="383">
        <v>804</v>
      </c>
      <c r="E342" s="383" t="s">
        <v>1858</v>
      </c>
      <c r="F342" s="383">
        <v>596252783</v>
      </c>
      <c r="G342" s="383"/>
      <c r="H342" s="383">
        <v>10</v>
      </c>
      <c r="I342" s="383">
        <f t="shared" si="5"/>
        <v>5962527830</v>
      </c>
    </row>
    <row r="343" spans="1:9">
      <c r="A343" s="383">
        <v>151000</v>
      </c>
      <c r="B343" s="383" t="s">
        <v>1861</v>
      </c>
      <c r="C343" s="383" t="s">
        <v>1062</v>
      </c>
      <c r="D343" s="383">
        <v>804</v>
      </c>
      <c r="E343" s="383" t="s">
        <v>1858</v>
      </c>
      <c r="F343" s="383">
        <v>176631853</v>
      </c>
      <c r="G343" s="383"/>
      <c r="H343" s="383">
        <v>10</v>
      </c>
      <c r="I343" s="383">
        <f t="shared" si="5"/>
        <v>1766318530</v>
      </c>
    </row>
    <row r="344" spans="1:9">
      <c r="A344" s="383">
        <v>151010</v>
      </c>
      <c r="B344" s="383" t="s">
        <v>1862</v>
      </c>
      <c r="C344" s="383" t="s">
        <v>1863</v>
      </c>
      <c r="D344" s="383">
        <v>804</v>
      </c>
      <c r="E344" s="383" t="s">
        <v>1858</v>
      </c>
      <c r="F344" s="383">
        <v>98236644</v>
      </c>
      <c r="G344" s="383"/>
      <c r="H344" s="383">
        <v>10</v>
      </c>
      <c r="I344" s="383">
        <f t="shared" si="5"/>
        <v>982366440</v>
      </c>
    </row>
    <row r="345" spans="1:9">
      <c r="A345" s="383">
        <v>151040</v>
      </c>
      <c r="B345" s="383" t="s">
        <v>1864</v>
      </c>
      <c r="C345" s="383" t="s">
        <v>1865</v>
      </c>
      <c r="D345" s="383">
        <v>804</v>
      </c>
      <c r="E345" s="383" t="s">
        <v>1858</v>
      </c>
      <c r="F345" s="383">
        <v>94840000</v>
      </c>
      <c r="G345" s="383"/>
      <c r="H345" s="383">
        <v>10</v>
      </c>
      <c r="I345" s="383">
        <f t="shared" si="5"/>
        <v>948400000</v>
      </c>
    </row>
    <row r="346" spans="1:9">
      <c r="A346" s="383">
        <v>151050</v>
      </c>
      <c r="B346" s="383" t="s">
        <v>1866</v>
      </c>
      <c r="C346" s="383" t="s">
        <v>481</v>
      </c>
      <c r="D346" s="383">
        <v>804</v>
      </c>
      <c r="E346" s="383" t="s">
        <v>1858</v>
      </c>
      <c r="F346" s="383">
        <v>438119097</v>
      </c>
      <c r="G346" s="383"/>
      <c r="H346" s="383">
        <v>10</v>
      </c>
      <c r="I346" s="383">
        <f t="shared" si="5"/>
        <v>4381190970</v>
      </c>
    </row>
    <row r="347" spans="1:9">
      <c r="A347" s="383">
        <v>151056</v>
      </c>
      <c r="B347" s="383" t="s">
        <v>1867</v>
      </c>
      <c r="C347" s="383" t="s">
        <v>1868</v>
      </c>
      <c r="D347" s="383">
        <v>805</v>
      </c>
      <c r="E347" s="383" t="s">
        <v>1749</v>
      </c>
      <c r="F347" s="383">
        <v>46443250</v>
      </c>
      <c r="G347" s="383"/>
      <c r="H347" s="383">
        <v>10</v>
      </c>
      <c r="I347" s="383">
        <f t="shared" si="5"/>
        <v>464432500</v>
      </c>
    </row>
    <row r="348" spans="1:9">
      <c r="A348" s="383">
        <v>151060</v>
      </c>
      <c r="B348" s="383" t="s">
        <v>1869</v>
      </c>
      <c r="C348" s="383" t="s">
        <v>1870</v>
      </c>
      <c r="D348" s="383">
        <v>804</v>
      </c>
      <c r="E348" s="383" t="s">
        <v>1858</v>
      </c>
      <c r="F348" s="383">
        <v>958755764</v>
      </c>
      <c r="G348" s="383"/>
      <c r="H348" s="383">
        <v>10</v>
      </c>
      <c r="I348" s="383">
        <f t="shared" si="5"/>
        <v>9587557640</v>
      </c>
    </row>
    <row r="349" spans="1:9">
      <c r="A349" s="383">
        <v>151065</v>
      </c>
      <c r="B349" s="383" t="s">
        <v>1871</v>
      </c>
      <c r="C349" s="383" t="s">
        <v>640</v>
      </c>
      <c r="D349" s="383">
        <v>804</v>
      </c>
      <c r="E349" s="383" t="s">
        <v>1858</v>
      </c>
      <c r="F349" s="383">
        <v>1379815025</v>
      </c>
      <c r="G349" s="383"/>
      <c r="H349" s="383">
        <v>10</v>
      </c>
      <c r="I349" s="383">
        <f t="shared" si="5"/>
        <v>13798150250</v>
      </c>
    </row>
    <row r="350" spans="1:9">
      <c r="A350" s="383">
        <v>151070</v>
      </c>
      <c r="B350" s="383" t="s">
        <v>1872</v>
      </c>
      <c r="C350" s="383" t="s">
        <v>1873</v>
      </c>
      <c r="D350" s="383">
        <v>804</v>
      </c>
      <c r="E350" s="383" t="s">
        <v>1858</v>
      </c>
      <c r="F350" s="383">
        <v>50160000</v>
      </c>
      <c r="G350" s="383"/>
      <c r="H350" s="383">
        <v>10</v>
      </c>
      <c r="I350" s="383">
        <f t="shared" si="5"/>
        <v>501600000</v>
      </c>
    </row>
    <row r="351" spans="1:9">
      <c r="A351" s="383">
        <v>151075</v>
      </c>
      <c r="B351" s="383" t="s">
        <v>1874</v>
      </c>
      <c r="C351" s="383" t="s">
        <v>1875</v>
      </c>
      <c r="D351" s="383">
        <v>804</v>
      </c>
      <c r="E351" s="383" t="s">
        <v>1858</v>
      </c>
      <c r="F351" s="383">
        <v>176000000</v>
      </c>
      <c r="G351" s="383"/>
      <c r="H351" s="383">
        <v>10</v>
      </c>
      <c r="I351" s="383">
        <f t="shared" si="5"/>
        <v>1760000000</v>
      </c>
    </row>
    <row r="352" spans="1:9">
      <c r="A352" s="383">
        <v>151080</v>
      </c>
      <c r="B352" s="383" t="s">
        <v>1876</v>
      </c>
      <c r="C352" s="383" t="s">
        <v>1877</v>
      </c>
      <c r="D352" s="383">
        <v>804</v>
      </c>
      <c r="E352" s="383" t="s">
        <v>1858</v>
      </c>
      <c r="F352" s="383">
        <v>400273960</v>
      </c>
      <c r="G352" s="383"/>
      <c r="H352" s="383">
        <v>10</v>
      </c>
      <c r="I352" s="383">
        <f t="shared" si="5"/>
        <v>4002739600</v>
      </c>
    </row>
    <row r="353" spans="1:9">
      <c r="A353" s="383">
        <v>151100</v>
      </c>
      <c r="B353" s="383" t="s">
        <v>1878</v>
      </c>
      <c r="C353" s="383" t="s">
        <v>1879</v>
      </c>
      <c r="D353" s="383">
        <v>804</v>
      </c>
      <c r="E353" s="383" t="s">
        <v>1858</v>
      </c>
      <c r="F353" s="383">
        <v>157051028</v>
      </c>
      <c r="G353" s="383"/>
      <c r="H353" s="383">
        <v>10</v>
      </c>
      <c r="I353" s="383">
        <f t="shared" si="5"/>
        <v>1570510280</v>
      </c>
    </row>
    <row r="354" spans="1:9">
      <c r="A354" s="383">
        <v>151102</v>
      </c>
      <c r="B354" s="383" t="s">
        <v>1880</v>
      </c>
      <c r="C354" s="383" t="s">
        <v>1881</v>
      </c>
      <c r="D354" s="383">
        <v>804</v>
      </c>
      <c r="E354" s="383" t="s">
        <v>1858</v>
      </c>
      <c r="F354" s="383">
        <v>45150200</v>
      </c>
      <c r="G354" s="383"/>
      <c r="H354" s="383">
        <v>10</v>
      </c>
      <c r="I354" s="383">
        <f t="shared" si="5"/>
        <v>451502000</v>
      </c>
    </row>
    <row r="355" spans="1:9">
      <c r="A355" s="383">
        <v>151103</v>
      </c>
      <c r="B355" s="383" t="s">
        <v>1882</v>
      </c>
      <c r="C355" s="383" t="s">
        <v>334</v>
      </c>
      <c r="D355" s="383">
        <v>804</v>
      </c>
      <c r="E355" s="383" t="s">
        <v>1858</v>
      </c>
      <c r="F355" s="383">
        <v>154508688</v>
      </c>
      <c r="G355" s="383"/>
      <c r="H355" s="383">
        <v>10</v>
      </c>
      <c r="I355" s="383">
        <f t="shared" si="5"/>
        <v>1545086880</v>
      </c>
    </row>
    <row r="356" spans="1:9">
      <c r="A356" s="383">
        <v>151105</v>
      </c>
      <c r="B356" s="383" t="s">
        <v>1883</v>
      </c>
      <c r="C356" s="383" t="s">
        <v>125</v>
      </c>
      <c r="D356" s="383">
        <v>804</v>
      </c>
      <c r="E356" s="383" t="s">
        <v>1858</v>
      </c>
      <c r="F356" s="383">
        <v>323375000</v>
      </c>
      <c r="G356" s="383"/>
      <c r="H356" s="383">
        <v>10</v>
      </c>
      <c r="I356" s="383">
        <f t="shared" si="5"/>
        <v>3233750000</v>
      </c>
    </row>
    <row r="357" spans="1:9">
      <c r="A357" s="383">
        <v>151110</v>
      </c>
      <c r="B357" s="383" t="s">
        <v>1884</v>
      </c>
      <c r="C357" s="383" t="s">
        <v>170</v>
      </c>
      <c r="D357" s="383">
        <v>804</v>
      </c>
      <c r="E357" s="383" t="s">
        <v>1858</v>
      </c>
      <c r="F357" s="383">
        <v>593700666</v>
      </c>
      <c r="G357" s="383"/>
      <c r="H357" s="383">
        <v>10</v>
      </c>
      <c r="I357" s="383">
        <f t="shared" si="5"/>
        <v>5937006660</v>
      </c>
    </row>
    <row r="358" spans="1:9">
      <c r="A358" s="383">
        <v>151140</v>
      </c>
      <c r="B358" s="383" t="s">
        <v>1885</v>
      </c>
      <c r="C358" s="383" t="s">
        <v>1886</v>
      </c>
      <c r="D358" s="383">
        <v>804</v>
      </c>
      <c r="E358" s="383" t="s">
        <v>1858</v>
      </c>
      <c r="F358" s="383">
        <v>484113343</v>
      </c>
      <c r="G358" s="383"/>
      <c r="H358" s="383">
        <v>10</v>
      </c>
      <c r="I358" s="383">
        <f t="shared" si="5"/>
        <v>4841133430</v>
      </c>
    </row>
    <row r="359" spans="1:9">
      <c r="A359" s="383">
        <v>151150</v>
      </c>
      <c r="B359" s="383" t="s">
        <v>1887</v>
      </c>
      <c r="C359" s="383" t="s">
        <v>482</v>
      </c>
      <c r="D359" s="383">
        <v>804</v>
      </c>
      <c r="E359" s="383" t="s">
        <v>1858</v>
      </c>
      <c r="F359" s="383">
        <v>227148793</v>
      </c>
      <c r="G359" s="383"/>
      <c r="H359" s="383">
        <v>10</v>
      </c>
      <c r="I359" s="383">
        <f t="shared" si="5"/>
        <v>2271487930</v>
      </c>
    </row>
    <row r="360" spans="1:9">
      <c r="A360" s="383">
        <v>151155</v>
      </c>
      <c r="B360" s="383" t="s">
        <v>1888</v>
      </c>
      <c r="C360" s="383" t="s">
        <v>1889</v>
      </c>
      <c r="D360" s="383">
        <v>804</v>
      </c>
      <c r="E360" s="383" t="s">
        <v>1858</v>
      </c>
      <c r="F360" s="383">
        <v>25000000</v>
      </c>
      <c r="G360" s="383"/>
      <c r="H360" s="383">
        <v>10</v>
      </c>
      <c r="I360" s="383">
        <f t="shared" si="5"/>
        <v>250000000</v>
      </c>
    </row>
    <row r="361" spans="1:9">
      <c r="A361" s="383">
        <v>151160</v>
      </c>
      <c r="B361" s="383" t="s">
        <v>1890</v>
      </c>
      <c r="C361" s="383" t="s">
        <v>1164</v>
      </c>
      <c r="D361" s="383">
        <v>804</v>
      </c>
      <c r="E361" s="383" t="s">
        <v>1858</v>
      </c>
      <c r="F361" s="383">
        <v>99718125</v>
      </c>
      <c r="G361" s="383"/>
      <c r="H361" s="383">
        <v>10</v>
      </c>
      <c r="I361" s="383">
        <f t="shared" si="5"/>
        <v>997181250</v>
      </c>
    </row>
    <row r="362" spans="1:9">
      <c r="A362" s="383">
        <v>151180</v>
      </c>
      <c r="B362" s="383" t="s">
        <v>1891</v>
      </c>
      <c r="C362" s="383" t="s">
        <v>1892</v>
      </c>
      <c r="D362" s="383">
        <v>804</v>
      </c>
      <c r="E362" s="383" t="s">
        <v>1858</v>
      </c>
      <c r="F362" s="383">
        <v>427838526</v>
      </c>
      <c r="G362" s="383"/>
      <c r="H362" s="383">
        <v>10</v>
      </c>
      <c r="I362" s="383">
        <f t="shared" si="5"/>
        <v>4278385260</v>
      </c>
    </row>
    <row r="363" spans="1:9">
      <c r="A363" s="383">
        <v>161000</v>
      </c>
      <c r="B363" s="383" t="s">
        <v>1893</v>
      </c>
      <c r="C363" s="383" t="s">
        <v>1894</v>
      </c>
      <c r="D363" s="383">
        <v>832</v>
      </c>
      <c r="E363" s="383" t="s">
        <v>1895</v>
      </c>
      <c r="F363" s="383">
        <v>4807200</v>
      </c>
      <c r="G363" s="383"/>
      <c r="H363" s="383">
        <v>10</v>
      </c>
      <c r="I363" s="383">
        <f t="shared" si="5"/>
        <v>48072000</v>
      </c>
    </row>
    <row r="364" spans="1:9">
      <c r="A364" s="383">
        <v>161020</v>
      </c>
      <c r="B364" s="383" t="s">
        <v>1896</v>
      </c>
      <c r="C364" s="383" t="s">
        <v>1897</v>
      </c>
      <c r="D364" s="383">
        <v>832</v>
      </c>
      <c r="E364" s="383" t="s">
        <v>1895</v>
      </c>
      <c r="F364" s="383">
        <v>61580341</v>
      </c>
      <c r="G364" s="383"/>
      <c r="H364" s="383">
        <v>10</v>
      </c>
      <c r="I364" s="383">
        <f t="shared" si="5"/>
        <v>615803410</v>
      </c>
    </row>
    <row r="365" spans="1:9">
      <c r="A365" s="383">
        <v>161040</v>
      </c>
      <c r="B365" s="383" t="s">
        <v>1898</v>
      </c>
      <c r="C365" s="383" t="s">
        <v>1899</v>
      </c>
      <c r="D365" s="383">
        <v>832</v>
      </c>
      <c r="E365" s="383" t="s">
        <v>1895</v>
      </c>
      <c r="F365" s="383">
        <v>255493792</v>
      </c>
      <c r="G365" s="383"/>
      <c r="H365" s="383">
        <v>10</v>
      </c>
      <c r="I365" s="383">
        <f t="shared" si="5"/>
        <v>2554937920</v>
      </c>
    </row>
    <row r="366" spans="1:9">
      <c r="A366" s="383">
        <v>171000</v>
      </c>
      <c r="B366" s="383" t="s">
        <v>1900</v>
      </c>
      <c r="C366" s="383" t="s">
        <v>471</v>
      </c>
      <c r="D366" s="383">
        <v>825</v>
      </c>
      <c r="E366" s="383" t="s">
        <v>1901</v>
      </c>
      <c r="F366" s="383">
        <v>85293000</v>
      </c>
      <c r="G366" s="383"/>
      <c r="H366" s="383">
        <v>10</v>
      </c>
      <c r="I366" s="383">
        <f t="shared" si="5"/>
        <v>852930000</v>
      </c>
    </row>
    <row r="367" spans="1:9">
      <c r="A367" s="383">
        <v>171010</v>
      </c>
      <c r="B367" s="383" t="s">
        <v>1902</v>
      </c>
      <c r="C367" s="383" t="s">
        <v>1903</v>
      </c>
      <c r="D367" s="383">
        <v>825</v>
      </c>
      <c r="E367" s="383" t="s">
        <v>1901</v>
      </c>
      <c r="F367" s="383">
        <v>5329884706</v>
      </c>
      <c r="G367" s="383"/>
      <c r="H367" s="383">
        <v>10</v>
      </c>
      <c r="I367" s="383">
        <f t="shared" si="5"/>
        <v>53298847060</v>
      </c>
    </row>
    <row r="368" spans="1:9">
      <c r="A368" s="383">
        <v>171080</v>
      </c>
      <c r="B368" s="383" t="s">
        <v>1904</v>
      </c>
      <c r="C368" s="383" t="s">
        <v>472</v>
      </c>
      <c r="D368" s="383">
        <v>825</v>
      </c>
      <c r="E368" s="383" t="s">
        <v>1901</v>
      </c>
      <c r="F368" s="383">
        <v>79966560</v>
      </c>
      <c r="G368" s="383"/>
      <c r="H368" s="383">
        <v>10</v>
      </c>
      <c r="I368" s="383">
        <f t="shared" si="5"/>
        <v>799665600</v>
      </c>
    </row>
    <row r="369" spans="1:9">
      <c r="A369" s="383">
        <v>171140</v>
      </c>
      <c r="B369" s="383" t="s">
        <v>1905</v>
      </c>
      <c r="C369" s="383" t="s">
        <v>1906</v>
      </c>
      <c r="D369" s="383">
        <v>825</v>
      </c>
      <c r="E369" s="383" t="s">
        <v>1901</v>
      </c>
      <c r="F369" s="383">
        <v>294000000</v>
      </c>
      <c r="G369" s="383"/>
      <c r="H369" s="383">
        <v>10</v>
      </c>
      <c r="I369" s="383">
        <f t="shared" si="5"/>
        <v>2940000000</v>
      </c>
    </row>
    <row r="370" spans="1:9">
      <c r="A370" s="383">
        <v>180980</v>
      </c>
      <c r="B370" s="383" t="s">
        <v>1907</v>
      </c>
      <c r="C370" s="383" t="s">
        <v>1066</v>
      </c>
      <c r="D370" s="383">
        <v>824</v>
      </c>
      <c r="E370" s="383" t="s">
        <v>1908</v>
      </c>
      <c r="F370" s="383">
        <v>363380000</v>
      </c>
      <c r="G370" s="383"/>
      <c r="H370" s="383">
        <v>10</v>
      </c>
      <c r="I370" s="383">
        <f t="shared" si="5"/>
        <v>3633800000</v>
      </c>
    </row>
    <row r="371" spans="1:9">
      <c r="A371" s="383">
        <v>180990</v>
      </c>
      <c r="B371" s="383" t="s">
        <v>1909</v>
      </c>
      <c r="C371" s="383" t="s">
        <v>1910</v>
      </c>
      <c r="D371" s="383">
        <v>824</v>
      </c>
      <c r="E371" s="383" t="s">
        <v>1908</v>
      </c>
      <c r="F371" s="383">
        <v>323800000</v>
      </c>
      <c r="G371" s="383"/>
      <c r="H371" s="383">
        <v>10</v>
      </c>
      <c r="I371" s="383">
        <f t="shared" si="5"/>
        <v>3238000000</v>
      </c>
    </row>
    <row r="372" spans="1:9">
      <c r="A372" s="383">
        <v>181025</v>
      </c>
      <c r="B372" s="383" t="s">
        <v>1911</v>
      </c>
      <c r="C372" s="383" t="s">
        <v>1912</v>
      </c>
      <c r="D372" s="383">
        <v>824</v>
      </c>
      <c r="E372" s="383" t="s">
        <v>1908</v>
      </c>
      <c r="F372" s="383">
        <v>19800000</v>
      </c>
      <c r="G372" s="383"/>
      <c r="H372" s="383">
        <v>10</v>
      </c>
      <c r="I372" s="383">
        <f t="shared" si="5"/>
        <v>198000000</v>
      </c>
    </row>
    <row r="373" spans="1:9">
      <c r="A373" s="383">
        <v>181035</v>
      </c>
      <c r="B373" s="383" t="s">
        <v>1913</v>
      </c>
      <c r="C373" s="383" t="s">
        <v>1914</v>
      </c>
      <c r="D373" s="383">
        <v>824</v>
      </c>
      <c r="E373" s="383" t="s">
        <v>1908</v>
      </c>
      <c r="F373" s="383">
        <v>8000000</v>
      </c>
      <c r="G373" s="383"/>
      <c r="H373" s="383">
        <v>10</v>
      </c>
      <c r="I373" s="383">
        <f t="shared" si="5"/>
        <v>80000000</v>
      </c>
    </row>
    <row r="374" spans="1:9">
      <c r="A374" s="383">
        <v>181037</v>
      </c>
      <c r="B374" s="383" t="s">
        <v>1915</v>
      </c>
      <c r="C374" s="383" t="s">
        <v>1916</v>
      </c>
      <c r="D374" s="383">
        <v>824</v>
      </c>
      <c r="E374" s="383" t="s">
        <v>1908</v>
      </c>
      <c r="F374" s="383">
        <v>156037591</v>
      </c>
      <c r="G374" s="383"/>
      <c r="H374" s="383">
        <v>10</v>
      </c>
      <c r="I374" s="383">
        <f t="shared" si="5"/>
        <v>1560375910</v>
      </c>
    </row>
    <row r="375" spans="1:9">
      <c r="A375" s="383">
        <v>181050</v>
      </c>
      <c r="B375" s="383" t="s">
        <v>1917</v>
      </c>
      <c r="C375" s="383" t="s">
        <v>126</v>
      </c>
      <c r="D375" s="383">
        <v>824</v>
      </c>
      <c r="E375" s="383" t="s">
        <v>1908</v>
      </c>
      <c r="F375" s="383">
        <v>1157154400</v>
      </c>
      <c r="G375" s="383"/>
      <c r="H375" s="383">
        <v>10</v>
      </c>
      <c r="I375" s="383">
        <f t="shared" si="5"/>
        <v>11571544000</v>
      </c>
    </row>
    <row r="376" spans="1:9">
      <c r="A376" s="383">
        <v>181060</v>
      </c>
      <c r="B376" s="383" t="s">
        <v>1918</v>
      </c>
      <c r="C376" s="383" t="s">
        <v>1173</v>
      </c>
      <c r="D376" s="383">
        <v>824</v>
      </c>
      <c r="E376" s="383" t="s">
        <v>1908</v>
      </c>
      <c r="F376" s="383">
        <v>27615194245</v>
      </c>
      <c r="G376" s="383"/>
      <c r="H376" s="383">
        <v>3.5</v>
      </c>
      <c r="I376" s="383">
        <f t="shared" si="5"/>
        <v>96653179857.5</v>
      </c>
    </row>
    <row r="377" spans="1:9">
      <c r="A377" s="383">
        <v>181062</v>
      </c>
      <c r="B377" s="383" t="s">
        <v>1919</v>
      </c>
      <c r="C377" s="383" t="s">
        <v>1920</v>
      </c>
      <c r="D377" s="383">
        <v>824</v>
      </c>
      <c r="E377" s="383" t="s">
        <v>1908</v>
      </c>
      <c r="F377" s="383">
        <v>169458614</v>
      </c>
      <c r="G377" s="383"/>
      <c r="H377" s="383">
        <v>10</v>
      </c>
      <c r="I377" s="383">
        <f t="shared" si="5"/>
        <v>1694586140</v>
      </c>
    </row>
    <row r="378" spans="1:9">
      <c r="A378" s="383">
        <v>181070</v>
      </c>
      <c r="B378" s="383" t="s">
        <v>1921</v>
      </c>
      <c r="C378" s="383" t="s">
        <v>1922</v>
      </c>
      <c r="D378" s="383">
        <v>824</v>
      </c>
      <c r="E378" s="383" t="s">
        <v>1908</v>
      </c>
      <c r="F378" s="383">
        <v>12600000</v>
      </c>
      <c r="G378" s="383"/>
      <c r="H378" s="383">
        <v>10</v>
      </c>
      <c r="I378" s="383">
        <f t="shared" si="5"/>
        <v>126000000</v>
      </c>
    </row>
    <row r="379" spans="1:9">
      <c r="A379" s="383">
        <v>181075</v>
      </c>
      <c r="B379" s="383" t="s">
        <v>1923</v>
      </c>
      <c r="C379" s="383" t="s">
        <v>339</v>
      </c>
      <c r="D379" s="383">
        <v>824</v>
      </c>
      <c r="E379" s="383" t="s">
        <v>1908</v>
      </c>
      <c r="F379" s="383">
        <v>379838732</v>
      </c>
      <c r="G379" s="383"/>
      <c r="H379" s="383">
        <v>10</v>
      </c>
      <c r="I379" s="383">
        <f t="shared" si="5"/>
        <v>3798387320</v>
      </c>
    </row>
    <row r="380" spans="1:9">
      <c r="A380" s="383">
        <v>181080</v>
      </c>
      <c r="B380" s="383" t="s">
        <v>1924</v>
      </c>
      <c r="C380" s="383" t="s">
        <v>181</v>
      </c>
      <c r="D380" s="383">
        <v>824</v>
      </c>
      <c r="E380" s="383" t="s">
        <v>1908</v>
      </c>
      <c r="F380" s="383">
        <v>880253228</v>
      </c>
      <c r="G380" s="383"/>
      <c r="H380" s="383">
        <v>10</v>
      </c>
      <c r="I380" s="383">
        <f t="shared" si="5"/>
        <v>8802532280</v>
      </c>
    </row>
    <row r="381" spans="1:9">
      <c r="A381" s="383">
        <v>181085</v>
      </c>
      <c r="B381" s="383" t="s">
        <v>1925</v>
      </c>
      <c r="C381" s="383" t="s">
        <v>1926</v>
      </c>
      <c r="D381" s="383">
        <v>824</v>
      </c>
      <c r="E381" s="383" t="s">
        <v>1908</v>
      </c>
      <c r="F381" s="383">
        <v>367346939</v>
      </c>
      <c r="G381" s="383"/>
      <c r="H381" s="383">
        <v>10</v>
      </c>
      <c r="I381" s="383">
        <f t="shared" si="5"/>
        <v>3673469390</v>
      </c>
    </row>
    <row r="382" spans="1:9">
      <c r="A382" s="383">
        <v>181090</v>
      </c>
      <c r="B382" s="383" t="s">
        <v>1927</v>
      </c>
      <c r="C382" s="383" t="s">
        <v>1056</v>
      </c>
      <c r="D382" s="383">
        <v>824</v>
      </c>
      <c r="E382" s="383" t="s">
        <v>1908</v>
      </c>
      <c r="F382" s="383">
        <v>354088500</v>
      </c>
      <c r="G382" s="383"/>
      <c r="H382" s="383">
        <v>10</v>
      </c>
      <c r="I382" s="383">
        <f t="shared" si="5"/>
        <v>3540885000</v>
      </c>
    </row>
    <row r="383" spans="1:9">
      <c r="A383" s="383">
        <v>181095</v>
      </c>
      <c r="B383" s="383" t="s">
        <v>1928</v>
      </c>
      <c r="C383" s="383" t="s">
        <v>501</v>
      </c>
      <c r="D383" s="383">
        <v>824</v>
      </c>
      <c r="E383" s="383" t="s">
        <v>1908</v>
      </c>
      <c r="F383" s="383">
        <v>372081591</v>
      </c>
      <c r="G383" s="383"/>
      <c r="H383" s="383">
        <v>10</v>
      </c>
      <c r="I383" s="383">
        <f t="shared" si="5"/>
        <v>3720815910</v>
      </c>
    </row>
    <row r="384" spans="1:9">
      <c r="A384" s="383">
        <v>181100</v>
      </c>
      <c r="B384" s="383" t="s">
        <v>1929</v>
      </c>
      <c r="C384" s="383" t="s">
        <v>1930</v>
      </c>
      <c r="D384" s="383">
        <v>824</v>
      </c>
      <c r="E384" s="383" t="s">
        <v>1908</v>
      </c>
      <c r="F384" s="383">
        <v>386471779</v>
      </c>
      <c r="G384" s="383"/>
      <c r="H384" s="383">
        <v>10</v>
      </c>
      <c r="I384" s="383">
        <f t="shared" si="5"/>
        <v>3864717790</v>
      </c>
    </row>
    <row r="385" spans="1:9">
      <c r="A385" s="383">
        <v>181165</v>
      </c>
      <c r="B385" s="383" t="s">
        <v>1931</v>
      </c>
      <c r="C385" s="383" t="s">
        <v>1932</v>
      </c>
      <c r="D385" s="383">
        <v>824</v>
      </c>
      <c r="E385" s="383" t="s">
        <v>1908</v>
      </c>
      <c r="F385" s="383">
        <v>17833200</v>
      </c>
      <c r="G385" s="383"/>
      <c r="H385" s="383">
        <v>10</v>
      </c>
      <c r="I385" s="383">
        <f t="shared" si="5"/>
        <v>178332000</v>
      </c>
    </row>
    <row r="386" spans="1:9">
      <c r="A386" s="383">
        <v>181175</v>
      </c>
      <c r="B386" s="383" t="s">
        <v>1933</v>
      </c>
      <c r="C386" s="383" t="s">
        <v>1934</v>
      </c>
      <c r="D386" s="383">
        <v>824</v>
      </c>
      <c r="E386" s="383" t="s">
        <v>1908</v>
      </c>
      <c r="F386" s="383">
        <v>19092000</v>
      </c>
      <c r="G386" s="383"/>
      <c r="H386" s="383">
        <v>10</v>
      </c>
      <c r="I386" s="383">
        <f t="shared" si="5"/>
        <v>190920000</v>
      </c>
    </row>
    <row r="387" spans="1:9">
      <c r="A387" s="383">
        <v>181190</v>
      </c>
      <c r="B387" s="383" t="s">
        <v>1935</v>
      </c>
      <c r="C387" s="383" t="s">
        <v>1936</v>
      </c>
      <c r="D387" s="383">
        <v>824</v>
      </c>
      <c r="E387" s="383" t="s">
        <v>1908</v>
      </c>
      <c r="F387" s="383">
        <v>136675752</v>
      </c>
      <c r="G387" s="383"/>
      <c r="H387" s="383">
        <v>10</v>
      </c>
      <c r="I387" s="383">
        <f t="shared" ref="I387:I450" si="6">F387*H387</f>
        <v>1366757520</v>
      </c>
    </row>
    <row r="388" spans="1:9">
      <c r="A388" s="383">
        <v>181220</v>
      </c>
      <c r="B388" s="383" t="s">
        <v>1937</v>
      </c>
      <c r="C388" s="383" t="s">
        <v>1938</v>
      </c>
      <c r="D388" s="383">
        <v>824</v>
      </c>
      <c r="E388" s="383" t="s">
        <v>1908</v>
      </c>
      <c r="F388" s="383">
        <v>15000000</v>
      </c>
      <c r="G388" s="383"/>
      <c r="H388" s="383">
        <v>10</v>
      </c>
      <c r="I388" s="383">
        <f t="shared" si="6"/>
        <v>150000000</v>
      </c>
    </row>
    <row r="389" spans="1:9">
      <c r="A389" s="383">
        <v>191000</v>
      </c>
      <c r="B389" s="383" t="s">
        <v>1939</v>
      </c>
      <c r="C389" s="383" t="s">
        <v>1171</v>
      </c>
      <c r="D389" s="383">
        <v>821</v>
      </c>
      <c r="E389" s="383" t="s">
        <v>1940</v>
      </c>
      <c r="F389" s="383">
        <v>82944000</v>
      </c>
      <c r="G389" s="383"/>
      <c r="H389" s="383">
        <v>10</v>
      </c>
      <c r="I389" s="383">
        <f t="shared" si="6"/>
        <v>829440000</v>
      </c>
    </row>
    <row r="390" spans="1:9">
      <c r="A390" s="383">
        <v>191160</v>
      </c>
      <c r="B390" s="383" t="s">
        <v>1941</v>
      </c>
      <c r="C390" s="383" t="s">
        <v>169</v>
      </c>
      <c r="D390" s="383">
        <v>821</v>
      </c>
      <c r="E390" s="383" t="s">
        <v>1940</v>
      </c>
      <c r="F390" s="383">
        <v>326023125</v>
      </c>
      <c r="G390" s="383"/>
      <c r="H390" s="383">
        <v>10</v>
      </c>
      <c r="I390" s="383">
        <f t="shared" si="6"/>
        <v>3260231250</v>
      </c>
    </row>
    <row r="391" spans="1:9">
      <c r="A391" s="383">
        <v>191168</v>
      </c>
      <c r="B391" s="383" t="s">
        <v>1942</v>
      </c>
      <c r="C391" s="383" t="s">
        <v>1943</v>
      </c>
      <c r="D391" s="383">
        <v>821</v>
      </c>
      <c r="E391" s="383" t="s">
        <v>1940</v>
      </c>
      <c r="F391" s="383">
        <v>22488890</v>
      </c>
      <c r="G391" s="383"/>
      <c r="H391" s="383">
        <v>10</v>
      </c>
      <c r="I391" s="383">
        <f t="shared" si="6"/>
        <v>224888900</v>
      </c>
    </row>
    <row r="392" spans="1:9">
      <c r="A392" s="383">
        <v>191170</v>
      </c>
      <c r="B392" s="383" t="s">
        <v>1944</v>
      </c>
      <c r="C392" s="383" t="s">
        <v>330</v>
      </c>
      <c r="D392" s="383">
        <v>821</v>
      </c>
      <c r="E392" s="383" t="s">
        <v>1940</v>
      </c>
      <c r="F392" s="383">
        <v>107012330</v>
      </c>
      <c r="G392" s="383"/>
      <c r="H392" s="383">
        <v>10</v>
      </c>
      <c r="I392" s="383">
        <f t="shared" si="6"/>
        <v>1070123300</v>
      </c>
    </row>
    <row r="393" spans="1:9">
      <c r="A393" s="383">
        <v>191180</v>
      </c>
      <c r="B393" s="383" t="s">
        <v>1945</v>
      </c>
      <c r="C393" s="383" t="s">
        <v>1052</v>
      </c>
      <c r="D393" s="383">
        <v>821</v>
      </c>
      <c r="E393" s="383" t="s">
        <v>1940</v>
      </c>
      <c r="F393" s="383">
        <v>880916400</v>
      </c>
      <c r="G393" s="383"/>
      <c r="H393" s="383">
        <v>10</v>
      </c>
      <c r="I393" s="383">
        <f t="shared" si="6"/>
        <v>8809164000</v>
      </c>
    </row>
    <row r="394" spans="1:9">
      <c r="A394" s="383">
        <v>191200</v>
      </c>
      <c r="B394" s="383" t="s">
        <v>1946</v>
      </c>
      <c r="C394" s="383" t="s">
        <v>1051</v>
      </c>
      <c r="D394" s="383">
        <v>821</v>
      </c>
      <c r="E394" s="383" t="s">
        <v>1940</v>
      </c>
      <c r="F394" s="383">
        <v>634216666</v>
      </c>
      <c r="G394" s="383"/>
      <c r="H394" s="383">
        <v>10</v>
      </c>
      <c r="I394" s="383">
        <f t="shared" si="6"/>
        <v>6342166660</v>
      </c>
    </row>
    <row r="395" spans="1:9">
      <c r="A395" s="383">
        <v>201040</v>
      </c>
      <c r="B395" s="383" t="s">
        <v>1947</v>
      </c>
      <c r="C395" s="383" t="s">
        <v>473</v>
      </c>
      <c r="D395" s="383">
        <v>821</v>
      </c>
      <c r="E395" s="383" t="s">
        <v>1940</v>
      </c>
      <c r="F395" s="383">
        <v>144815040</v>
      </c>
      <c r="G395" s="383"/>
      <c r="H395" s="383">
        <v>10</v>
      </c>
      <c r="I395" s="383">
        <f t="shared" si="6"/>
        <v>1448150400</v>
      </c>
    </row>
    <row r="396" spans="1:9">
      <c r="A396" s="383">
        <v>201050</v>
      </c>
      <c r="B396" s="383" t="s">
        <v>1948</v>
      </c>
      <c r="C396" s="383" t="s">
        <v>1050</v>
      </c>
      <c r="D396" s="383">
        <v>821</v>
      </c>
      <c r="E396" s="383" t="s">
        <v>1940</v>
      </c>
      <c r="F396" s="383">
        <v>116004000</v>
      </c>
      <c r="G396" s="383"/>
      <c r="H396" s="383">
        <v>10</v>
      </c>
      <c r="I396" s="383">
        <f t="shared" si="6"/>
        <v>1160040000</v>
      </c>
    </row>
    <row r="397" spans="1:9">
      <c r="A397" s="383">
        <v>201075</v>
      </c>
      <c r="B397" s="383" t="s">
        <v>1949</v>
      </c>
      <c r="C397" s="383" t="s">
        <v>1047</v>
      </c>
      <c r="D397" s="383">
        <v>820</v>
      </c>
      <c r="E397" s="383" t="s">
        <v>1950</v>
      </c>
      <c r="F397" s="383">
        <v>110250000</v>
      </c>
      <c r="G397" s="383"/>
      <c r="H397" s="383">
        <v>10</v>
      </c>
      <c r="I397" s="383">
        <f t="shared" si="6"/>
        <v>1102500000</v>
      </c>
    </row>
    <row r="398" spans="1:9">
      <c r="A398" s="383">
        <v>201080</v>
      </c>
      <c r="B398" s="383" t="s">
        <v>1951</v>
      </c>
      <c r="C398" s="383" t="s">
        <v>1048</v>
      </c>
      <c r="D398" s="383">
        <v>820</v>
      </c>
      <c r="E398" s="383" t="s">
        <v>1950</v>
      </c>
      <c r="F398" s="383">
        <v>4300928400</v>
      </c>
      <c r="G398" s="383"/>
      <c r="H398" s="383">
        <v>10</v>
      </c>
      <c r="I398" s="383">
        <f t="shared" si="6"/>
        <v>43009284000</v>
      </c>
    </row>
    <row r="399" spans="1:9">
      <c r="A399" s="383">
        <v>201120</v>
      </c>
      <c r="B399" s="383" t="s">
        <v>1952</v>
      </c>
      <c r="C399" s="383" t="s">
        <v>123</v>
      </c>
      <c r="D399" s="383">
        <v>820</v>
      </c>
      <c r="E399" s="383" t="s">
        <v>1950</v>
      </c>
      <c r="F399" s="383">
        <v>236545920</v>
      </c>
      <c r="G399" s="383"/>
      <c r="H399" s="383">
        <v>10</v>
      </c>
      <c r="I399" s="383">
        <f t="shared" si="6"/>
        <v>2365459200</v>
      </c>
    </row>
    <row r="400" spans="1:9">
      <c r="A400" s="383">
        <v>201130</v>
      </c>
      <c r="B400" s="383" t="s">
        <v>1953</v>
      </c>
      <c r="C400" s="383" t="s">
        <v>124</v>
      </c>
      <c r="D400" s="383">
        <v>820</v>
      </c>
      <c r="E400" s="383" t="s">
        <v>1950</v>
      </c>
      <c r="F400" s="383">
        <v>1971715615</v>
      </c>
      <c r="G400" s="383"/>
      <c r="H400" s="383">
        <v>10</v>
      </c>
      <c r="I400" s="383">
        <f t="shared" si="6"/>
        <v>19717156150</v>
      </c>
    </row>
    <row r="401" spans="1:9">
      <c r="A401" s="383">
        <v>210980</v>
      </c>
      <c r="B401" s="383" t="s">
        <v>1954</v>
      </c>
      <c r="C401" s="383" t="s">
        <v>1955</v>
      </c>
      <c r="D401" s="383">
        <v>808</v>
      </c>
      <c r="E401" s="383" t="s">
        <v>494</v>
      </c>
      <c r="F401" s="383">
        <v>6582600</v>
      </c>
      <c r="G401" s="383"/>
      <c r="H401" s="383">
        <v>10</v>
      </c>
      <c r="I401" s="383">
        <f t="shared" si="6"/>
        <v>65826000</v>
      </c>
    </row>
    <row r="402" spans="1:9">
      <c r="A402" s="383">
        <v>211010</v>
      </c>
      <c r="B402" s="383" t="s">
        <v>1956</v>
      </c>
      <c r="C402" s="383" t="s">
        <v>1957</v>
      </c>
      <c r="D402" s="383">
        <v>808</v>
      </c>
      <c r="E402" s="383" t="s">
        <v>494</v>
      </c>
      <c r="F402" s="383">
        <v>832141809</v>
      </c>
      <c r="G402" s="383"/>
      <c r="H402" s="383">
        <v>10</v>
      </c>
      <c r="I402" s="383">
        <f t="shared" si="6"/>
        <v>8321418090</v>
      </c>
    </row>
    <row r="403" spans="1:9">
      <c r="A403" s="383">
        <v>211011</v>
      </c>
      <c r="B403" s="383" t="s">
        <v>1958</v>
      </c>
      <c r="C403" s="383" t="s">
        <v>1959</v>
      </c>
      <c r="D403" s="383">
        <v>808</v>
      </c>
      <c r="E403" s="383" t="s">
        <v>494</v>
      </c>
      <c r="F403" s="383">
        <v>44418307</v>
      </c>
      <c r="G403" s="383"/>
      <c r="H403" s="383">
        <v>10</v>
      </c>
      <c r="I403" s="383">
        <f t="shared" si="6"/>
        <v>444183070</v>
      </c>
    </row>
    <row r="404" spans="1:9">
      <c r="A404" s="383">
        <v>211013</v>
      </c>
      <c r="B404" s="383" t="s">
        <v>1960</v>
      </c>
      <c r="C404" s="383" t="s">
        <v>1961</v>
      </c>
      <c r="D404" s="383">
        <v>808</v>
      </c>
      <c r="E404" s="383" t="s">
        <v>494</v>
      </c>
      <c r="F404" s="383">
        <v>2911583</v>
      </c>
      <c r="G404" s="383"/>
      <c r="H404" s="383">
        <v>10</v>
      </c>
      <c r="I404" s="383">
        <f t="shared" si="6"/>
        <v>29115830</v>
      </c>
    </row>
    <row r="405" spans="1:9">
      <c r="A405" s="383">
        <v>211014</v>
      </c>
      <c r="B405" s="383" t="s">
        <v>1962</v>
      </c>
      <c r="C405" s="383" t="s">
        <v>1963</v>
      </c>
      <c r="D405" s="383">
        <v>808</v>
      </c>
      <c r="E405" s="383" t="s">
        <v>494</v>
      </c>
      <c r="F405" s="383">
        <v>297011427</v>
      </c>
      <c r="G405" s="383"/>
      <c r="H405" s="383">
        <v>10</v>
      </c>
      <c r="I405" s="383">
        <f t="shared" si="6"/>
        <v>2970114270</v>
      </c>
    </row>
    <row r="406" spans="1:9">
      <c r="A406" s="383">
        <v>211020</v>
      </c>
      <c r="B406" s="383" t="s">
        <v>1964</v>
      </c>
      <c r="C406" s="383" t="s">
        <v>1965</v>
      </c>
      <c r="D406" s="383">
        <v>808</v>
      </c>
      <c r="E406" s="383" t="s">
        <v>494</v>
      </c>
      <c r="F406" s="383">
        <v>11472529</v>
      </c>
      <c r="G406" s="383"/>
      <c r="H406" s="383">
        <v>10</v>
      </c>
      <c r="I406" s="383">
        <f t="shared" si="6"/>
        <v>114725290</v>
      </c>
    </row>
    <row r="407" spans="1:9">
      <c r="A407" s="383">
        <v>211030</v>
      </c>
      <c r="B407" s="383" t="s">
        <v>1966</v>
      </c>
      <c r="C407" s="383" t="s">
        <v>1967</v>
      </c>
      <c r="D407" s="383">
        <v>808</v>
      </c>
      <c r="E407" s="383" t="s">
        <v>494</v>
      </c>
      <c r="F407" s="383">
        <v>10764000</v>
      </c>
      <c r="G407" s="383"/>
      <c r="H407" s="383">
        <v>10</v>
      </c>
      <c r="I407" s="383">
        <f t="shared" si="6"/>
        <v>107640000</v>
      </c>
    </row>
    <row r="408" spans="1:9">
      <c r="A408" s="383">
        <v>211035</v>
      </c>
      <c r="B408" s="383" t="s">
        <v>1968</v>
      </c>
      <c r="C408" s="383" t="s">
        <v>1969</v>
      </c>
      <c r="D408" s="383">
        <v>808</v>
      </c>
      <c r="E408" s="383" t="s">
        <v>494</v>
      </c>
      <c r="F408" s="383">
        <v>315733860</v>
      </c>
      <c r="G408" s="383"/>
      <c r="H408" s="383">
        <v>10</v>
      </c>
      <c r="I408" s="383">
        <f t="shared" si="6"/>
        <v>3157338600</v>
      </c>
    </row>
    <row r="409" spans="1:9">
      <c r="A409" s="383">
        <v>211040</v>
      </c>
      <c r="B409" s="383" t="s">
        <v>1970</v>
      </c>
      <c r="C409" s="383" t="s">
        <v>505</v>
      </c>
      <c r="D409" s="383">
        <v>808</v>
      </c>
      <c r="E409" s="383" t="s">
        <v>494</v>
      </c>
      <c r="F409" s="383">
        <v>77632491</v>
      </c>
      <c r="G409" s="383"/>
      <c r="H409" s="383">
        <v>10</v>
      </c>
      <c r="I409" s="383">
        <f t="shared" si="6"/>
        <v>776324910</v>
      </c>
    </row>
    <row r="410" spans="1:9">
      <c r="A410" s="383">
        <v>211050</v>
      </c>
      <c r="B410" s="383" t="s">
        <v>1971</v>
      </c>
      <c r="C410" s="383" t="s">
        <v>1972</v>
      </c>
      <c r="D410" s="383">
        <v>808</v>
      </c>
      <c r="E410" s="383" t="s">
        <v>494</v>
      </c>
      <c r="F410" s="383">
        <v>10000000</v>
      </c>
      <c r="G410" s="383"/>
      <c r="H410" s="383">
        <v>10</v>
      </c>
      <c r="I410" s="383">
        <f t="shared" si="6"/>
        <v>100000000</v>
      </c>
    </row>
    <row r="411" spans="1:9">
      <c r="A411" s="383">
        <v>211080</v>
      </c>
      <c r="B411" s="383" t="s">
        <v>1973</v>
      </c>
      <c r="C411" s="383" t="s">
        <v>1974</v>
      </c>
      <c r="D411" s="383">
        <v>808</v>
      </c>
      <c r="E411" s="383" t="s">
        <v>494</v>
      </c>
      <c r="F411" s="383">
        <v>55484300</v>
      </c>
      <c r="G411" s="383"/>
      <c r="H411" s="383">
        <v>10</v>
      </c>
      <c r="I411" s="383">
        <f t="shared" si="6"/>
        <v>554843000</v>
      </c>
    </row>
    <row r="412" spans="1:9">
      <c r="A412" s="383">
        <v>211100</v>
      </c>
      <c r="B412" s="383" t="s">
        <v>1975</v>
      </c>
      <c r="C412" s="383" t="s">
        <v>1040</v>
      </c>
      <c r="D412" s="383">
        <v>808</v>
      </c>
      <c r="E412" s="383" t="s">
        <v>494</v>
      </c>
      <c r="F412" s="383">
        <v>119892600</v>
      </c>
      <c r="G412" s="383"/>
      <c r="H412" s="383">
        <v>10</v>
      </c>
      <c r="I412" s="383">
        <f t="shared" si="6"/>
        <v>1198926000</v>
      </c>
    </row>
    <row r="413" spans="1:9">
      <c r="A413" s="383">
        <v>211110</v>
      </c>
      <c r="B413" s="383" t="s">
        <v>1976</v>
      </c>
      <c r="C413" s="383" t="s">
        <v>1166</v>
      </c>
      <c r="D413" s="383">
        <v>808</v>
      </c>
      <c r="E413" s="383" t="s">
        <v>494</v>
      </c>
      <c r="F413" s="383">
        <v>435000000</v>
      </c>
      <c r="G413" s="383"/>
      <c r="H413" s="383">
        <v>10</v>
      </c>
      <c r="I413" s="383">
        <f t="shared" si="6"/>
        <v>4350000000</v>
      </c>
    </row>
    <row r="414" spans="1:9">
      <c r="A414" s="383">
        <v>211115</v>
      </c>
      <c r="B414" s="383" t="s">
        <v>1977</v>
      </c>
      <c r="C414" s="383" t="s">
        <v>1167</v>
      </c>
      <c r="D414" s="383">
        <v>808</v>
      </c>
      <c r="E414" s="383" t="s">
        <v>494</v>
      </c>
      <c r="F414" s="383">
        <v>131221240</v>
      </c>
      <c r="G414" s="383"/>
      <c r="H414" s="383">
        <v>10</v>
      </c>
      <c r="I414" s="383">
        <f t="shared" si="6"/>
        <v>1312212400</v>
      </c>
    </row>
    <row r="415" spans="1:9">
      <c r="A415" s="383">
        <v>211140</v>
      </c>
      <c r="B415" s="383" t="s">
        <v>1978</v>
      </c>
      <c r="C415" s="383" t="s">
        <v>1979</v>
      </c>
      <c r="D415" s="383">
        <v>808</v>
      </c>
      <c r="E415" s="383" t="s">
        <v>494</v>
      </c>
      <c r="F415" s="383">
        <v>13200000</v>
      </c>
      <c r="G415" s="383"/>
      <c r="H415" s="383">
        <v>10</v>
      </c>
      <c r="I415" s="383">
        <f t="shared" si="6"/>
        <v>132000000</v>
      </c>
    </row>
    <row r="416" spans="1:9">
      <c r="A416" s="383">
        <v>211145</v>
      </c>
      <c r="B416" s="383" t="s">
        <v>1980</v>
      </c>
      <c r="C416" s="383" t="s">
        <v>1981</v>
      </c>
      <c r="D416" s="383">
        <v>808</v>
      </c>
      <c r="E416" s="383" t="s">
        <v>494</v>
      </c>
      <c r="F416" s="383">
        <v>251599650</v>
      </c>
      <c r="G416" s="383"/>
      <c r="H416" s="383">
        <v>10</v>
      </c>
      <c r="I416" s="383">
        <f t="shared" si="6"/>
        <v>2515996500</v>
      </c>
    </row>
    <row r="417" spans="1:9">
      <c r="A417" s="383">
        <v>211160</v>
      </c>
      <c r="B417" s="383" t="s">
        <v>1982</v>
      </c>
      <c r="C417" s="383" t="s">
        <v>1983</v>
      </c>
      <c r="D417" s="383">
        <v>808</v>
      </c>
      <c r="E417" s="383" t="s">
        <v>494</v>
      </c>
      <c r="F417" s="383">
        <v>30977500</v>
      </c>
      <c r="G417" s="383"/>
      <c r="H417" s="383">
        <v>10</v>
      </c>
      <c r="I417" s="383">
        <f t="shared" si="6"/>
        <v>309775000</v>
      </c>
    </row>
    <row r="418" spans="1:9">
      <c r="A418" s="383">
        <v>211200</v>
      </c>
      <c r="B418" s="383" t="s">
        <v>1984</v>
      </c>
      <c r="C418" s="383" t="s">
        <v>1985</v>
      </c>
      <c r="D418" s="383">
        <v>808</v>
      </c>
      <c r="E418" s="383" t="s">
        <v>494</v>
      </c>
      <c r="F418" s="383">
        <v>5690200</v>
      </c>
      <c r="G418" s="383"/>
      <c r="H418" s="383">
        <v>10</v>
      </c>
      <c r="I418" s="383">
        <f t="shared" si="6"/>
        <v>56902000</v>
      </c>
    </row>
    <row r="419" spans="1:9">
      <c r="A419" s="383">
        <v>211220</v>
      </c>
      <c r="B419" s="383" t="s">
        <v>1986</v>
      </c>
      <c r="C419" s="383" t="s">
        <v>1987</v>
      </c>
      <c r="D419" s="383">
        <v>808</v>
      </c>
      <c r="E419" s="383" t="s">
        <v>494</v>
      </c>
      <c r="F419" s="383">
        <v>1771800</v>
      </c>
      <c r="G419" s="383"/>
      <c r="H419" s="383">
        <v>10</v>
      </c>
      <c r="I419" s="383">
        <f t="shared" si="6"/>
        <v>17718000</v>
      </c>
    </row>
    <row r="420" spans="1:9">
      <c r="A420" s="383">
        <v>221020</v>
      </c>
      <c r="B420" s="383" t="s">
        <v>1988</v>
      </c>
      <c r="C420" s="383" t="s">
        <v>1989</v>
      </c>
      <c r="D420" s="383">
        <v>801</v>
      </c>
      <c r="E420" s="383" t="s">
        <v>985</v>
      </c>
      <c r="F420" s="383">
        <v>57964201</v>
      </c>
      <c r="G420" s="383"/>
      <c r="H420" s="383">
        <v>5</v>
      </c>
      <c r="I420" s="383">
        <f t="shared" si="6"/>
        <v>289821005</v>
      </c>
    </row>
    <row r="421" spans="1:9">
      <c r="A421" s="383">
        <v>221100</v>
      </c>
      <c r="B421" s="383" t="s">
        <v>1990</v>
      </c>
      <c r="C421" s="383" t="s">
        <v>1991</v>
      </c>
      <c r="D421" s="383">
        <v>801</v>
      </c>
      <c r="E421" s="383" t="s">
        <v>985</v>
      </c>
      <c r="F421" s="383">
        <v>103406613</v>
      </c>
      <c r="G421" s="383"/>
      <c r="H421" s="383">
        <v>10</v>
      </c>
      <c r="I421" s="383">
        <f t="shared" si="6"/>
        <v>1034066130</v>
      </c>
    </row>
    <row r="422" spans="1:9">
      <c r="A422" s="383">
        <v>221150</v>
      </c>
      <c r="B422" s="383" t="s">
        <v>1992</v>
      </c>
      <c r="C422" s="383" t="s">
        <v>1993</v>
      </c>
      <c r="D422" s="383">
        <v>801</v>
      </c>
      <c r="E422" s="383" t="s">
        <v>985</v>
      </c>
      <c r="F422" s="383">
        <v>138735242</v>
      </c>
      <c r="G422" s="383"/>
      <c r="H422" s="383">
        <v>10</v>
      </c>
      <c r="I422" s="383">
        <f t="shared" si="6"/>
        <v>1387352420</v>
      </c>
    </row>
    <row r="423" spans="1:9">
      <c r="A423" s="383">
        <v>221160</v>
      </c>
      <c r="B423" s="383" t="s">
        <v>1994</v>
      </c>
      <c r="C423" s="383" t="s">
        <v>1995</v>
      </c>
      <c r="D423" s="383">
        <v>801</v>
      </c>
      <c r="E423" s="383" t="s">
        <v>985</v>
      </c>
      <c r="F423" s="383">
        <v>50000000</v>
      </c>
      <c r="G423" s="383"/>
      <c r="H423" s="383">
        <v>10</v>
      </c>
      <c r="I423" s="383">
        <f t="shared" si="6"/>
        <v>500000000</v>
      </c>
    </row>
    <row r="424" spans="1:9">
      <c r="A424" s="383">
        <v>221175</v>
      </c>
      <c r="B424" s="383" t="s">
        <v>1996</v>
      </c>
      <c r="C424" s="383" t="s">
        <v>1997</v>
      </c>
      <c r="D424" s="383">
        <v>801</v>
      </c>
      <c r="E424" s="383" t="s">
        <v>985</v>
      </c>
      <c r="F424" s="383">
        <v>21304422</v>
      </c>
      <c r="G424" s="383"/>
      <c r="H424" s="383">
        <v>10</v>
      </c>
      <c r="I424" s="383">
        <f t="shared" si="6"/>
        <v>213044220</v>
      </c>
    </row>
    <row r="425" spans="1:9">
      <c r="A425" s="383">
        <v>221190</v>
      </c>
      <c r="B425" s="383" t="s">
        <v>1998</v>
      </c>
      <c r="C425" s="383" t="s">
        <v>488</v>
      </c>
      <c r="D425" s="383">
        <v>801</v>
      </c>
      <c r="E425" s="383" t="s">
        <v>985</v>
      </c>
      <c r="F425" s="383">
        <v>45002500</v>
      </c>
      <c r="G425" s="383"/>
      <c r="H425" s="383">
        <v>10</v>
      </c>
      <c r="I425" s="383">
        <f t="shared" si="6"/>
        <v>450025000</v>
      </c>
    </row>
    <row r="426" spans="1:9">
      <c r="A426" s="383">
        <v>221200</v>
      </c>
      <c r="B426" s="383" t="s">
        <v>1999</v>
      </c>
      <c r="C426" s="383" t="s">
        <v>2000</v>
      </c>
      <c r="D426" s="383">
        <v>801</v>
      </c>
      <c r="E426" s="383" t="s">
        <v>985</v>
      </c>
      <c r="F426" s="383">
        <v>12400600</v>
      </c>
      <c r="G426" s="383"/>
      <c r="H426" s="383">
        <v>10</v>
      </c>
      <c r="I426" s="383">
        <f t="shared" si="6"/>
        <v>124006000</v>
      </c>
    </row>
    <row r="427" spans="1:9">
      <c r="A427" s="383">
        <v>221205</v>
      </c>
      <c r="B427" s="383" t="s">
        <v>2001</v>
      </c>
      <c r="C427" s="383" t="s">
        <v>490</v>
      </c>
      <c r="D427" s="383">
        <v>801</v>
      </c>
      <c r="E427" s="383" t="s">
        <v>985</v>
      </c>
      <c r="F427" s="383">
        <v>142800000</v>
      </c>
      <c r="G427" s="383"/>
      <c r="H427" s="383">
        <v>10</v>
      </c>
      <c r="I427" s="383">
        <f t="shared" si="6"/>
        <v>1428000000</v>
      </c>
    </row>
    <row r="428" spans="1:9">
      <c r="A428" s="383">
        <v>221210</v>
      </c>
      <c r="B428" s="383" t="s">
        <v>2002</v>
      </c>
      <c r="C428" s="383" t="s">
        <v>335</v>
      </c>
      <c r="D428" s="383">
        <v>801</v>
      </c>
      <c r="E428" s="383" t="s">
        <v>985</v>
      </c>
      <c r="F428" s="383">
        <v>78600000</v>
      </c>
      <c r="G428" s="383"/>
      <c r="H428" s="383">
        <v>10</v>
      </c>
      <c r="I428" s="383">
        <f t="shared" si="6"/>
        <v>786000000</v>
      </c>
    </row>
    <row r="429" spans="1:9">
      <c r="A429" s="383">
        <v>221220</v>
      </c>
      <c r="B429" s="383" t="s">
        <v>2003</v>
      </c>
      <c r="C429" s="383" t="s">
        <v>2004</v>
      </c>
      <c r="D429" s="383">
        <v>801</v>
      </c>
      <c r="E429" s="383" t="s">
        <v>985</v>
      </c>
      <c r="F429" s="383">
        <v>44292541</v>
      </c>
      <c r="G429" s="383"/>
      <c r="H429" s="383">
        <v>10</v>
      </c>
      <c r="I429" s="383">
        <f t="shared" si="6"/>
        <v>442925410</v>
      </c>
    </row>
    <row r="430" spans="1:9">
      <c r="A430" s="383">
        <v>221260</v>
      </c>
      <c r="B430" s="383" t="s">
        <v>2005</v>
      </c>
      <c r="C430" s="383" t="s">
        <v>0</v>
      </c>
      <c r="D430" s="383">
        <v>801</v>
      </c>
      <c r="E430" s="383" t="s">
        <v>985</v>
      </c>
      <c r="F430" s="383">
        <v>82299851</v>
      </c>
      <c r="G430" s="383"/>
      <c r="H430" s="383">
        <v>10</v>
      </c>
      <c r="I430" s="383">
        <f t="shared" si="6"/>
        <v>822998510</v>
      </c>
    </row>
    <row r="431" spans="1:9">
      <c r="A431" s="383">
        <v>221270</v>
      </c>
      <c r="B431" s="383" t="s">
        <v>2006</v>
      </c>
      <c r="C431" s="383" t="s">
        <v>489</v>
      </c>
      <c r="D431" s="383">
        <v>801</v>
      </c>
      <c r="E431" s="383" t="s">
        <v>985</v>
      </c>
      <c r="F431" s="383">
        <v>21566841</v>
      </c>
      <c r="G431" s="383"/>
      <c r="H431" s="383">
        <v>10</v>
      </c>
      <c r="I431" s="383">
        <f t="shared" si="6"/>
        <v>215668410</v>
      </c>
    </row>
    <row r="432" spans="1:9">
      <c r="A432" s="383">
        <v>231000</v>
      </c>
      <c r="B432" s="383" t="s">
        <v>2007</v>
      </c>
      <c r="C432" s="383" t="s">
        <v>2008</v>
      </c>
      <c r="D432" s="383">
        <v>802</v>
      </c>
      <c r="E432" s="383" t="s">
        <v>1782</v>
      </c>
      <c r="F432" s="383">
        <v>28800000</v>
      </c>
      <c r="G432" s="383"/>
      <c r="H432" s="383">
        <v>5</v>
      </c>
      <c r="I432" s="383">
        <f t="shared" si="6"/>
        <v>144000000</v>
      </c>
    </row>
    <row r="433" spans="1:9">
      <c r="A433" s="383">
        <v>231040</v>
      </c>
      <c r="B433" s="383" t="s">
        <v>2009</v>
      </c>
      <c r="C433" s="383" t="s">
        <v>2010</v>
      </c>
      <c r="D433" s="383">
        <v>802</v>
      </c>
      <c r="E433" s="383" t="s">
        <v>1782</v>
      </c>
      <c r="F433" s="383">
        <v>21400000</v>
      </c>
      <c r="G433" s="383"/>
      <c r="H433" s="383">
        <v>10</v>
      </c>
      <c r="I433" s="383">
        <f t="shared" si="6"/>
        <v>214000000</v>
      </c>
    </row>
    <row r="434" spans="1:9">
      <c r="A434" s="383">
        <v>231080</v>
      </c>
      <c r="B434" s="383" t="s">
        <v>2011</v>
      </c>
      <c r="C434" s="383" t="s">
        <v>2012</v>
      </c>
      <c r="D434" s="383">
        <v>802</v>
      </c>
      <c r="E434" s="383" t="s">
        <v>1782</v>
      </c>
      <c r="F434" s="383">
        <v>17399769</v>
      </c>
      <c r="G434" s="383"/>
      <c r="H434" s="383">
        <v>10</v>
      </c>
      <c r="I434" s="383">
        <f t="shared" si="6"/>
        <v>173997690</v>
      </c>
    </row>
    <row r="435" spans="1:9">
      <c r="A435" s="383">
        <v>231130</v>
      </c>
      <c r="B435" s="383" t="s">
        <v>2013</v>
      </c>
      <c r="C435" s="383" t="s">
        <v>487</v>
      </c>
      <c r="D435" s="383">
        <v>802</v>
      </c>
      <c r="E435" s="383" t="s">
        <v>1782</v>
      </c>
      <c r="F435" s="383">
        <v>13334250</v>
      </c>
      <c r="G435" s="383"/>
      <c r="H435" s="383">
        <v>10</v>
      </c>
      <c r="I435" s="383">
        <f t="shared" si="6"/>
        <v>133342500</v>
      </c>
    </row>
    <row r="436" spans="1:9">
      <c r="A436" s="383">
        <v>231135</v>
      </c>
      <c r="B436" s="383" t="s">
        <v>2014</v>
      </c>
      <c r="C436" s="383" t="s">
        <v>2015</v>
      </c>
      <c r="D436" s="383">
        <v>802</v>
      </c>
      <c r="E436" s="383" t="s">
        <v>1782</v>
      </c>
      <c r="F436" s="383">
        <v>5800000</v>
      </c>
      <c r="G436" s="383"/>
      <c r="H436" s="383">
        <v>10</v>
      </c>
      <c r="I436" s="383">
        <f t="shared" si="6"/>
        <v>58000000</v>
      </c>
    </row>
    <row r="437" spans="1:9">
      <c r="A437" s="383">
        <v>231160</v>
      </c>
      <c r="B437" s="383" t="s">
        <v>2016</v>
      </c>
      <c r="C437" s="383" t="s">
        <v>2017</v>
      </c>
      <c r="D437" s="383">
        <v>802</v>
      </c>
      <c r="E437" s="383" t="s">
        <v>1782</v>
      </c>
      <c r="F437" s="383">
        <v>7768618</v>
      </c>
      <c r="G437" s="383"/>
      <c r="H437" s="383">
        <v>10</v>
      </c>
      <c r="I437" s="383">
        <f t="shared" si="6"/>
        <v>77686180</v>
      </c>
    </row>
    <row r="438" spans="1:9">
      <c r="A438" s="383">
        <v>231170</v>
      </c>
      <c r="B438" s="383" t="s">
        <v>2018</v>
      </c>
      <c r="C438" s="383" t="s">
        <v>2019</v>
      </c>
      <c r="D438" s="383">
        <v>802</v>
      </c>
      <c r="E438" s="383" t="s">
        <v>1782</v>
      </c>
      <c r="F438" s="383">
        <v>59771250</v>
      </c>
      <c r="G438" s="383"/>
      <c r="H438" s="383">
        <v>10</v>
      </c>
      <c r="I438" s="383">
        <f t="shared" si="6"/>
        <v>597712500</v>
      </c>
    </row>
    <row r="439" spans="1:9">
      <c r="A439" s="383">
        <v>231175</v>
      </c>
      <c r="B439" s="383" t="s">
        <v>2020</v>
      </c>
      <c r="C439" s="383" t="s">
        <v>2021</v>
      </c>
      <c r="D439" s="383">
        <v>802</v>
      </c>
      <c r="E439" s="383" t="s">
        <v>1782</v>
      </c>
      <c r="F439" s="383">
        <v>151250000</v>
      </c>
      <c r="G439" s="383"/>
      <c r="H439" s="383">
        <v>10</v>
      </c>
      <c r="I439" s="383">
        <f t="shared" si="6"/>
        <v>1512500000</v>
      </c>
    </row>
    <row r="440" spans="1:9">
      <c r="A440" s="383">
        <v>231280</v>
      </c>
      <c r="B440" s="383" t="s">
        <v>2022</v>
      </c>
      <c r="C440" s="383" t="s">
        <v>2023</v>
      </c>
      <c r="D440" s="383">
        <v>802</v>
      </c>
      <c r="E440" s="383" t="s">
        <v>1782</v>
      </c>
      <c r="F440" s="383">
        <v>11700000</v>
      </c>
      <c r="G440" s="383"/>
      <c r="H440" s="383">
        <v>10</v>
      </c>
      <c r="I440" s="383">
        <f t="shared" si="6"/>
        <v>117000000</v>
      </c>
    </row>
    <row r="441" spans="1:9">
      <c r="A441" s="383">
        <v>241030</v>
      </c>
      <c r="B441" s="383" t="s">
        <v>2024</v>
      </c>
      <c r="C441" s="383" t="s">
        <v>2025</v>
      </c>
      <c r="D441" s="383">
        <v>803</v>
      </c>
      <c r="E441" s="383" t="s">
        <v>2026</v>
      </c>
      <c r="F441" s="383">
        <v>3312000</v>
      </c>
      <c r="G441" s="383"/>
      <c r="H441" s="383">
        <v>10</v>
      </c>
      <c r="I441" s="383">
        <f t="shared" si="6"/>
        <v>33120000</v>
      </c>
    </row>
    <row r="442" spans="1:9">
      <c r="A442" s="383">
        <v>241080</v>
      </c>
      <c r="B442" s="383" t="s">
        <v>2027</v>
      </c>
      <c r="C442" s="383" t="s">
        <v>2028</v>
      </c>
      <c r="D442" s="383">
        <v>803</v>
      </c>
      <c r="E442" s="383" t="s">
        <v>2026</v>
      </c>
      <c r="F442" s="383">
        <v>5450000</v>
      </c>
      <c r="G442" s="383"/>
      <c r="H442" s="383">
        <v>10</v>
      </c>
      <c r="I442" s="383">
        <f t="shared" si="6"/>
        <v>54500000</v>
      </c>
    </row>
    <row r="443" spans="1:9">
      <c r="A443" s="383">
        <v>241100</v>
      </c>
      <c r="B443" s="383" t="s">
        <v>2029</v>
      </c>
      <c r="C443" s="383" t="s">
        <v>2030</v>
      </c>
      <c r="D443" s="383">
        <v>803</v>
      </c>
      <c r="E443" s="383" t="s">
        <v>2026</v>
      </c>
      <c r="F443" s="383">
        <v>28462376</v>
      </c>
      <c r="G443" s="383"/>
      <c r="H443" s="383">
        <v>10</v>
      </c>
      <c r="I443" s="383">
        <f t="shared" si="6"/>
        <v>284623760</v>
      </c>
    </row>
    <row r="444" spans="1:9">
      <c r="A444" s="383">
        <v>241120</v>
      </c>
      <c r="B444" s="383" t="s">
        <v>2031</v>
      </c>
      <c r="C444" s="383" t="s">
        <v>493</v>
      </c>
      <c r="D444" s="383">
        <v>803</v>
      </c>
      <c r="E444" s="383" t="s">
        <v>2026</v>
      </c>
      <c r="F444" s="383">
        <v>497681485</v>
      </c>
      <c r="G444" s="383"/>
      <c r="H444" s="383">
        <v>10</v>
      </c>
      <c r="I444" s="383">
        <f t="shared" si="6"/>
        <v>4976814850</v>
      </c>
    </row>
    <row r="445" spans="1:9">
      <c r="A445" s="383">
        <v>241125</v>
      </c>
      <c r="B445" s="383" t="s">
        <v>2032</v>
      </c>
      <c r="C445" s="383" t="s">
        <v>2033</v>
      </c>
      <c r="D445" s="383">
        <v>803</v>
      </c>
      <c r="E445" s="383" t="s">
        <v>2026</v>
      </c>
      <c r="F445" s="383">
        <v>44957592</v>
      </c>
      <c r="G445" s="383"/>
      <c r="H445" s="383">
        <v>10</v>
      </c>
      <c r="I445" s="383">
        <f t="shared" si="6"/>
        <v>449575920</v>
      </c>
    </row>
    <row r="446" spans="1:9">
      <c r="A446" s="383">
        <v>241150</v>
      </c>
      <c r="B446" s="383" t="s">
        <v>2034</v>
      </c>
      <c r="C446" s="383" t="s">
        <v>2035</v>
      </c>
      <c r="D446" s="383">
        <v>803</v>
      </c>
      <c r="E446" s="383" t="s">
        <v>2026</v>
      </c>
      <c r="F446" s="383">
        <v>217248963</v>
      </c>
      <c r="G446" s="383"/>
      <c r="H446" s="383">
        <v>10</v>
      </c>
      <c r="I446" s="383">
        <f t="shared" si="6"/>
        <v>2172489630</v>
      </c>
    </row>
    <row r="447" spans="1:9">
      <c r="A447" s="383">
        <v>241170</v>
      </c>
      <c r="B447" s="383" t="s">
        <v>2036</v>
      </c>
      <c r="C447" s="383" t="s">
        <v>338</v>
      </c>
      <c r="D447" s="383">
        <v>828</v>
      </c>
      <c r="E447" s="383" t="s">
        <v>2037</v>
      </c>
      <c r="F447" s="383">
        <v>132124125</v>
      </c>
      <c r="G447" s="383"/>
      <c r="H447" s="383">
        <v>10</v>
      </c>
      <c r="I447" s="383">
        <f t="shared" si="6"/>
        <v>1321241250</v>
      </c>
    </row>
    <row r="448" spans="1:9">
      <c r="A448" s="383">
        <v>241220</v>
      </c>
      <c r="B448" s="383" t="s">
        <v>2038</v>
      </c>
      <c r="C448" s="383" t="s">
        <v>2039</v>
      </c>
      <c r="D448" s="383">
        <v>803</v>
      </c>
      <c r="E448" s="383" t="s">
        <v>2026</v>
      </c>
      <c r="F448" s="383">
        <v>45405624</v>
      </c>
      <c r="G448" s="383"/>
      <c r="H448" s="383">
        <v>10</v>
      </c>
      <c r="I448" s="383">
        <f t="shared" si="6"/>
        <v>454056240</v>
      </c>
    </row>
    <row r="449" spans="1:9">
      <c r="A449" s="383">
        <v>241240</v>
      </c>
      <c r="B449" s="383" t="s">
        <v>2040</v>
      </c>
      <c r="C449" s="383" t="s">
        <v>2041</v>
      </c>
      <c r="D449" s="383">
        <v>803</v>
      </c>
      <c r="E449" s="383" t="s">
        <v>2026</v>
      </c>
      <c r="F449" s="383">
        <v>8247037</v>
      </c>
      <c r="G449" s="383"/>
      <c r="H449" s="383">
        <v>10</v>
      </c>
      <c r="I449" s="383">
        <f t="shared" si="6"/>
        <v>82470370</v>
      </c>
    </row>
    <row r="450" spans="1:9">
      <c r="A450" s="383">
        <v>241250</v>
      </c>
      <c r="B450" s="383" t="s">
        <v>2042</v>
      </c>
      <c r="C450" s="383" t="s">
        <v>2043</v>
      </c>
      <c r="D450" s="383">
        <v>818</v>
      </c>
      <c r="E450" s="383" t="s">
        <v>2044</v>
      </c>
      <c r="F450" s="383">
        <v>85085000</v>
      </c>
      <c r="G450" s="383"/>
      <c r="H450" s="383">
        <v>10</v>
      </c>
      <c r="I450" s="383">
        <f t="shared" si="6"/>
        <v>850850000</v>
      </c>
    </row>
    <row r="451" spans="1:9">
      <c r="A451" s="383">
        <v>251000</v>
      </c>
      <c r="B451" s="383" t="s">
        <v>2045</v>
      </c>
      <c r="C451" s="383" t="s">
        <v>2046</v>
      </c>
      <c r="D451" s="383">
        <v>833</v>
      </c>
      <c r="E451" s="383" t="s">
        <v>2047</v>
      </c>
      <c r="F451" s="383">
        <v>132063360</v>
      </c>
      <c r="G451" s="383"/>
      <c r="H451" s="383">
        <v>10</v>
      </c>
      <c r="I451" s="383">
        <f t="shared" ref="I451:I514" si="7">F451*H451</f>
        <v>1320633600</v>
      </c>
    </row>
    <row r="452" spans="1:9">
      <c r="A452" s="383">
        <v>251010</v>
      </c>
      <c r="B452" s="383" t="s">
        <v>2048</v>
      </c>
      <c r="C452" s="383" t="s">
        <v>2049</v>
      </c>
      <c r="D452" s="383">
        <v>833</v>
      </c>
      <c r="E452" s="383" t="s">
        <v>2047</v>
      </c>
      <c r="F452" s="383">
        <v>1485995900</v>
      </c>
      <c r="G452" s="383"/>
      <c r="H452" s="383">
        <v>10</v>
      </c>
      <c r="I452" s="383">
        <f t="shared" si="7"/>
        <v>14859959000</v>
      </c>
    </row>
    <row r="453" spans="1:9">
      <c r="A453" s="383">
        <v>251020</v>
      </c>
      <c r="B453" s="383" t="s">
        <v>2050</v>
      </c>
      <c r="C453" s="383" t="s">
        <v>2051</v>
      </c>
      <c r="D453" s="383">
        <v>833</v>
      </c>
      <c r="E453" s="383" t="s">
        <v>2047</v>
      </c>
      <c r="F453" s="383">
        <v>109153152</v>
      </c>
      <c r="G453" s="383"/>
      <c r="H453" s="383">
        <v>10</v>
      </c>
      <c r="I453" s="383">
        <f t="shared" si="7"/>
        <v>1091531520</v>
      </c>
    </row>
    <row r="454" spans="1:9">
      <c r="A454" s="383">
        <v>251040</v>
      </c>
      <c r="B454" s="383" t="s">
        <v>2052</v>
      </c>
      <c r="C454" s="383" t="s">
        <v>2053</v>
      </c>
      <c r="D454" s="383">
        <v>833</v>
      </c>
      <c r="E454" s="383" t="s">
        <v>2047</v>
      </c>
      <c r="F454" s="383">
        <v>2877217467</v>
      </c>
      <c r="G454" s="383"/>
      <c r="H454" s="383">
        <v>10</v>
      </c>
      <c r="I454" s="383">
        <f t="shared" si="7"/>
        <v>28772174670</v>
      </c>
    </row>
    <row r="455" spans="1:9">
      <c r="A455" s="383">
        <v>251060</v>
      </c>
      <c r="B455" s="383" t="s">
        <v>2054</v>
      </c>
      <c r="C455" s="383" t="s">
        <v>2053</v>
      </c>
      <c r="D455" s="383">
        <v>833</v>
      </c>
      <c r="E455" s="383" t="s">
        <v>2047</v>
      </c>
      <c r="F455" s="383">
        <v>1500000</v>
      </c>
      <c r="G455" s="383"/>
      <c r="H455" s="383">
        <v>10</v>
      </c>
      <c r="I455" s="383">
        <f t="shared" si="7"/>
        <v>15000000</v>
      </c>
    </row>
    <row r="456" spans="1:9">
      <c r="A456" s="383">
        <v>261008</v>
      </c>
      <c r="B456" s="383" t="s">
        <v>2055</v>
      </c>
      <c r="C456" s="383" t="s">
        <v>1174</v>
      </c>
      <c r="D456" s="383">
        <v>828</v>
      </c>
      <c r="E456" s="383" t="s">
        <v>2037</v>
      </c>
      <c r="F456" s="383">
        <v>945000000</v>
      </c>
      <c r="G456" s="383"/>
      <c r="H456" s="383">
        <v>1</v>
      </c>
      <c r="I456" s="383">
        <f t="shared" si="7"/>
        <v>945000000</v>
      </c>
    </row>
    <row r="457" spans="1:9">
      <c r="A457" s="383">
        <v>261009</v>
      </c>
      <c r="B457" s="383" t="s">
        <v>2056</v>
      </c>
      <c r="C457" s="383" t="s">
        <v>2057</v>
      </c>
      <c r="D457" s="383">
        <v>828</v>
      </c>
      <c r="E457" s="383" t="s">
        <v>2037</v>
      </c>
      <c r="F457" s="383">
        <v>89685923</v>
      </c>
      <c r="G457" s="383"/>
      <c r="H457" s="383">
        <v>10</v>
      </c>
      <c r="I457" s="383">
        <f t="shared" si="7"/>
        <v>896859230</v>
      </c>
    </row>
    <row r="458" spans="1:9">
      <c r="A458" s="383">
        <v>261010</v>
      </c>
      <c r="B458" s="383" t="s">
        <v>2058</v>
      </c>
      <c r="C458" s="383" t="s">
        <v>2059</v>
      </c>
      <c r="D458" s="383">
        <v>828</v>
      </c>
      <c r="E458" s="383" t="s">
        <v>2037</v>
      </c>
      <c r="F458" s="383">
        <v>9801000</v>
      </c>
      <c r="G458" s="383"/>
      <c r="H458" s="383">
        <v>10</v>
      </c>
      <c r="I458" s="383">
        <f t="shared" si="7"/>
        <v>98010000</v>
      </c>
    </row>
    <row r="459" spans="1:9">
      <c r="A459" s="383">
        <v>261015</v>
      </c>
      <c r="B459" s="383" t="s">
        <v>2060</v>
      </c>
      <c r="C459" s="383" t="s">
        <v>2061</v>
      </c>
      <c r="D459" s="383">
        <v>828</v>
      </c>
      <c r="E459" s="383" t="s">
        <v>2037</v>
      </c>
      <c r="F459" s="383">
        <v>178851010</v>
      </c>
      <c r="G459" s="383"/>
      <c r="H459" s="383">
        <v>10</v>
      </c>
      <c r="I459" s="383">
        <f t="shared" si="7"/>
        <v>1788510100</v>
      </c>
    </row>
    <row r="460" spans="1:9">
      <c r="A460" s="383">
        <v>261020</v>
      </c>
      <c r="B460" s="383" t="s">
        <v>2062</v>
      </c>
      <c r="C460" s="383" t="s">
        <v>1067</v>
      </c>
      <c r="D460" s="383">
        <v>828</v>
      </c>
      <c r="E460" s="383" t="s">
        <v>2037</v>
      </c>
      <c r="F460" s="383">
        <v>111827652</v>
      </c>
      <c r="G460" s="383"/>
      <c r="H460" s="383">
        <v>10</v>
      </c>
      <c r="I460" s="383">
        <f t="shared" si="7"/>
        <v>1118276520</v>
      </c>
    </row>
    <row r="461" spans="1:9">
      <c r="A461" s="383">
        <v>261070</v>
      </c>
      <c r="B461" s="383" t="s">
        <v>2063</v>
      </c>
      <c r="C461" s="383" t="s">
        <v>2064</v>
      </c>
      <c r="D461" s="383">
        <v>828</v>
      </c>
      <c r="E461" s="383" t="s">
        <v>2037</v>
      </c>
      <c r="F461" s="383">
        <v>3774000000</v>
      </c>
      <c r="G461" s="383"/>
      <c r="H461" s="383">
        <v>10</v>
      </c>
      <c r="I461" s="383">
        <f t="shared" si="7"/>
        <v>37740000000</v>
      </c>
    </row>
    <row r="462" spans="1:9">
      <c r="A462" s="383">
        <v>261073</v>
      </c>
      <c r="B462" s="383" t="s">
        <v>2065</v>
      </c>
      <c r="C462" s="383" t="s">
        <v>2066</v>
      </c>
      <c r="D462" s="383">
        <v>828</v>
      </c>
      <c r="E462" s="383" t="s">
        <v>2037</v>
      </c>
      <c r="F462" s="383">
        <v>545390665</v>
      </c>
      <c r="G462" s="383"/>
      <c r="H462" s="383">
        <v>10</v>
      </c>
      <c r="I462" s="383">
        <f t="shared" si="7"/>
        <v>5453906650</v>
      </c>
    </row>
    <row r="463" spans="1:9">
      <c r="A463" s="383">
        <v>261075</v>
      </c>
      <c r="B463" s="383" t="s">
        <v>2067</v>
      </c>
      <c r="C463" s="383" t="s">
        <v>2068</v>
      </c>
      <c r="D463" s="383">
        <v>828</v>
      </c>
      <c r="E463" s="383" t="s">
        <v>2037</v>
      </c>
      <c r="F463" s="383">
        <v>300000000</v>
      </c>
      <c r="G463" s="383"/>
      <c r="H463" s="383">
        <v>10</v>
      </c>
      <c r="I463" s="383">
        <f t="shared" si="7"/>
        <v>3000000000</v>
      </c>
    </row>
    <row r="464" spans="1:9">
      <c r="A464" s="383">
        <v>261088</v>
      </c>
      <c r="B464" s="383" t="s">
        <v>2069</v>
      </c>
      <c r="C464" s="383" t="s">
        <v>2070</v>
      </c>
      <c r="D464" s="383">
        <v>828</v>
      </c>
      <c r="E464" s="383" t="s">
        <v>2037</v>
      </c>
      <c r="F464" s="383">
        <v>1022742099</v>
      </c>
      <c r="G464" s="383"/>
      <c r="H464" s="383">
        <v>10</v>
      </c>
      <c r="I464" s="383">
        <f t="shared" si="7"/>
        <v>10227420990</v>
      </c>
    </row>
    <row r="465" spans="1:9">
      <c r="A465" s="383">
        <v>271160</v>
      </c>
      <c r="B465" s="383" t="s">
        <v>2071</v>
      </c>
      <c r="C465" s="383" t="s">
        <v>478</v>
      </c>
      <c r="D465" s="383">
        <v>809</v>
      </c>
      <c r="E465" s="383" t="s">
        <v>1292</v>
      </c>
      <c r="F465" s="383">
        <v>481287116</v>
      </c>
      <c r="G465" s="383"/>
      <c r="H465" s="383">
        <v>10</v>
      </c>
      <c r="I465" s="383">
        <f t="shared" si="7"/>
        <v>4812871160</v>
      </c>
    </row>
    <row r="466" spans="1:9">
      <c r="A466" s="383">
        <v>271200</v>
      </c>
      <c r="B466" s="383" t="s">
        <v>2072</v>
      </c>
      <c r="C466" s="383" t="s">
        <v>332</v>
      </c>
      <c r="D466" s="383">
        <v>809</v>
      </c>
      <c r="E466" s="383" t="s">
        <v>1292</v>
      </c>
      <c r="F466" s="383">
        <v>523784755</v>
      </c>
      <c r="G466" s="383"/>
      <c r="H466" s="383">
        <v>10</v>
      </c>
      <c r="I466" s="383">
        <f t="shared" si="7"/>
        <v>5237847550</v>
      </c>
    </row>
    <row r="467" spans="1:9">
      <c r="A467" s="383">
        <v>271202</v>
      </c>
      <c r="B467" s="383" t="s">
        <v>2073</v>
      </c>
      <c r="C467" s="383" t="s">
        <v>477</v>
      </c>
      <c r="D467" s="383">
        <v>809</v>
      </c>
      <c r="E467" s="383" t="s">
        <v>1292</v>
      </c>
      <c r="F467" s="383">
        <v>1335299375</v>
      </c>
      <c r="G467" s="383"/>
      <c r="H467" s="383">
        <v>10</v>
      </c>
      <c r="I467" s="383">
        <f t="shared" si="7"/>
        <v>13352993750</v>
      </c>
    </row>
    <row r="468" spans="1:9">
      <c r="A468" s="383">
        <v>271205</v>
      </c>
      <c r="B468" s="383" t="s">
        <v>2074</v>
      </c>
      <c r="C468" s="383" t="s">
        <v>2075</v>
      </c>
      <c r="D468" s="383">
        <v>809</v>
      </c>
      <c r="E468" s="383" t="s">
        <v>1292</v>
      </c>
      <c r="F468" s="383">
        <v>934110000</v>
      </c>
      <c r="G468" s="383"/>
      <c r="H468" s="383">
        <v>10</v>
      </c>
      <c r="I468" s="383">
        <f t="shared" si="7"/>
        <v>9341100000</v>
      </c>
    </row>
    <row r="469" spans="1:9">
      <c r="A469" s="383">
        <v>271210</v>
      </c>
      <c r="B469" s="383" t="s">
        <v>2076</v>
      </c>
      <c r="C469" s="383" t="s">
        <v>479</v>
      </c>
      <c r="D469" s="383">
        <v>809</v>
      </c>
      <c r="E469" s="383" t="s">
        <v>1292</v>
      </c>
      <c r="F469" s="383">
        <v>1272238147</v>
      </c>
      <c r="G469" s="383"/>
      <c r="H469" s="383">
        <v>10</v>
      </c>
      <c r="I469" s="383">
        <f t="shared" si="7"/>
        <v>12722381470</v>
      </c>
    </row>
    <row r="470" spans="1:9">
      <c r="A470" s="383">
        <v>281000</v>
      </c>
      <c r="B470" s="383" t="s">
        <v>2077</v>
      </c>
      <c r="C470" s="383" t="s">
        <v>2078</v>
      </c>
      <c r="D470" s="383">
        <v>823</v>
      </c>
      <c r="E470" s="383" t="s">
        <v>2079</v>
      </c>
      <c r="F470" s="383">
        <v>97900302</v>
      </c>
      <c r="G470" s="383"/>
      <c r="H470" s="383">
        <v>10</v>
      </c>
      <c r="I470" s="383">
        <f t="shared" si="7"/>
        <v>979003020</v>
      </c>
    </row>
    <row r="471" spans="1:9">
      <c r="A471" s="383">
        <v>281220</v>
      </c>
      <c r="B471" s="383" t="s">
        <v>2080</v>
      </c>
      <c r="C471" s="383" t="s">
        <v>337</v>
      </c>
      <c r="D471" s="383">
        <v>823</v>
      </c>
      <c r="E471" s="383" t="s">
        <v>2079</v>
      </c>
      <c r="F471" s="383">
        <v>30186841</v>
      </c>
      <c r="G471" s="383"/>
      <c r="H471" s="383">
        <v>10</v>
      </c>
      <c r="I471" s="383">
        <f t="shared" si="7"/>
        <v>301868410</v>
      </c>
    </row>
    <row r="472" spans="1:9">
      <c r="A472" s="383">
        <v>281240</v>
      </c>
      <c r="B472" s="383" t="s">
        <v>2081</v>
      </c>
      <c r="C472" s="383" t="s">
        <v>2082</v>
      </c>
      <c r="D472" s="383">
        <v>823</v>
      </c>
      <c r="E472" s="383" t="s">
        <v>2079</v>
      </c>
      <c r="F472" s="383">
        <v>318467278</v>
      </c>
      <c r="G472" s="383"/>
      <c r="H472" s="383">
        <v>10</v>
      </c>
      <c r="I472" s="383">
        <f t="shared" si="7"/>
        <v>3184672780</v>
      </c>
    </row>
    <row r="473" spans="1:9">
      <c r="A473" s="383">
        <v>281245</v>
      </c>
      <c r="B473" s="383" t="s">
        <v>2083</v>
      </c>
      <c r="C473" s="383" t="s">
        <v>2084</v>
      </c>
      <c r="D473" s="383">
        <v>823</v>
      </c>
      <c r="E473" s="383" t="s">
        <v>2079</v>
      </c>
      <c r="F473" s="383">
        <v>95550183</v>
      </c>
      <c r="G473" s="383"/>
      <c r="H473" s="383">
        <v>10</v>
      </c>
      <c r="I473" s="383">
        <f t="shared" si="7"/>
        <v>955501830</v>
      </c>
    </row>
    <row r="474" spans="1:9">
      <c r="A474" s="383">
        <v>281250</v>
      </c>
      <c r="B474" s="383" t="s">
        <v>2085</v>
      </c>
      <c r="C474" s="383" t="s">
        <v>2086</v>
      </c>
      <c r="D474" s="383">
        <v>823</v>
      </c>
      <c r="E474" s="383" t="s">
        <v>2079</v>
      </c>
      <c r="F474" s="383">
        <v>25542317</v>
      </c>
      <c r="G474" s="383"/>
      <c r="H474" s="383">
        <v>10</v>
      </c>
      <c r="I474" s="383">
        <f t="shared" si="7"/>
        <v>255423170</v>
      </c>
    </row>
    <row r="475" spans="1:9">
      <c r="A475" s="383">
        <v>281260</v>
      </c>
      <c r="B475" s="383" t="s">
        <v>2087</v>
      </c>
      <c r="C475" s="383" t="s">
        <v>2088</v>
      </c>
      <c r="D475" s="383">
        <v>823</v>
      </c>
      <c r="E475" s="383" t="s">
        <v>2079</v>
      </c>
      <c r="F475" s="383">
        <v>9644800</v>
      </c>
      <c r="G475" s="383"/>
      <c r="H475" s="383">
        <v>10</v>
      </c>
      <c r="I475" s="383">
        <f t="shared" si="7"/>
        <v>96448000</v>
      </c>
    </row>
    <row r="476" spans="1:9">
      <c r="A476" s="383">
        <v>281360</v>
      </c>
      <c r="B476" s="383" t="s">
        <v>2089</v>
      </c>
      <c r="C476" s="383" t="s">
        <v>2090</v>
      </c>
      <c r="D476" s="383">
        <v>823</v>
      </c>
      <c r="E476" s="383" t="s">
        <v>2079</v>
      </c>
      <c r="F476" s="383">
        <v>12100000</v>
      </c>
      <c r="G476" s="383"/>
      <c r="H476" s="383">
        <v>10</v>
      </c>
      <c r="I476" s="383">
        <f t="shared" si="7"/>
        <v>121000000</v>
      </c>
    </row>
    <row r="477" spans="1:9">
      <c r="A477" s="383">
        <v>281530</v>
      </c>
      <c r="B477" s="383" t="s">
        <v>2091</v>
      </c>
      <c r="C477" s="383" t="s">
        <v>498</v>
      </c>
      <c r="D477" s="383">
        <v>823</v>
      </c>
      <c r="E477" s="383" t="s">
        <v>2079</v>
      </c>
      <c r="F477" s="383">
        <v>184717628</v>
      </c>
      <c r="G477" s="383"/>
      <c r="H477" s="383">
        <v>10</v>
      </c>
      <c r="I477" s="383">
        <f t="shared" si="7"/>
        <v>1847176280</v>
      </c>
    </row>
    <row r="478" spans="1:9">
      <c r="A478" s="383">
        <v>281610</v>
      </c>
      <c r="B478" s="383" t="s">
        <v>2092</v>
      </c>
      <c r="C478" s="383" t="s">
        <v>2093</v>
      </c>
      <c r="D478" s="383">
        <v>823</v>
      </c>
      <c r="E478" s="383" t="s">
        <v>2079</v>
      </c>
      <c r="F478" s="383">
        <v>1421610</v>
      </c>
      <c r="G478" s="383"/>
      <c r="H478" s="383">
        <v>100</v>
      </c>
      <c r="I478" s="383">
        <f t="shared" si="7"/>
        <v>142161000</v>
      </c>
    </row>
    <row r="479" spans="1:9">
      <c r="A479" s="383">
        <v>291020</v>
      </c>
      <c r="B479" s="383" t="s">
        <v>2094</v>
      </c>
      <c r="C479" s="383" t="s">
        <v>2095</v>
      </c>
      <c r="D479" s="383">
        <v>805</v>
      </c>
      <c r="E479" s="383" t="s">
        <v>1749</v>
      </c>
      <c r="F479" s="383">
        <v>7502510</v>
      </c>
      <c r="G479" s="383"/>
      <c r="H479" s="383">
        <v>10</v>
      </c>
      <c r="I479" s="383">
        <f t="shared" si="7"/>
        <v>75025100</v>
      </c>
    </row>
    <row r="480" spans="1:9">
      <c r="A480" s="383">
        <v>291030</v>
      </c>
      <c r="B480" s="383" t="s">
        <v>2096</v>
      </c>
      <c r="C480" s="383" t="s">
        <v>2097</v>
      </c>
      <c r="D480" s="383">
        <v>805</v>
      </c>
      <c r="E480" s="383" t="s">
        <v>1749</v>
      </c>
      <c r="F480" s="383">
        <v>22000000</v>
      </c>
      <c r="G480" s="383"/>
      <c r="H480" s="383">
        <v>10</v>
      </c>
      <c r="I480" s="383">
        <f t="shared" si="7"/>
        <v>220000000</v>
      </c>
    </row>
    <row r="481" spans="1:9">
      <c r="A481" s="383">
        <v>291040</v>
      </c>
      <c r="B481" s="383" t="s">
        <v>2098</v>
      </c>
      <c r="C481" s="383" t="s">
        <v>2099</v>
      </c>
      <c r="D481" s="383">
        <v>805</v>
      </c>
      <c r="E481" s="383" t="s">
        <v>1749</v>
      </c>
      <c r="F481" s="383">
        <v>18186409</v>
      </c>
      <c r="G481" s="383"/>
      <c r="H481" s="383">
        <v>10</v>
      </c>
      <c r="I481" s="383">
        <f t="shared" si="7"/>
        <v>181864090</v>
      </c>
    </row>
    <row r="482" spans="1:9">
      <c r="A482" s="383">
        <v>291080</v>
      </c>
      <c r="B482" s="383" t="s">
        <v>2100</v>
      </c>
      <c r="C482" s="383" t="s">
        <v>2101</v>
      </c>
      <c r="D482" s="383">
        <v>805</v>
      </c>
      <c r="E482" s="383" t="s">
        <v>1749</v>
      </c>
      <c r="F482" s="383">
        <v>1440000</v>
      </c>
      <c r="G482" s="383"/>
      <c r="H482" s="383">
        <v>10</v>
      </c>
      <c r="I482" s="383">
        <f t="shared" si="7"/>
        <v>14400000</v>
      </c>
    </row>
    <row r="483" spans="1:9">
      <c r="A483" s="383">
        <v>291110</v>
      </c>
      <c r="B483" s="383" t="s">
        <v>2102</v>
      </c>
      <c r="C483" s="383" t="s">
        <v>1063</v>
      </c>
      <c r="D483" s="383">
        <v>805</v>
      </c>
      <c r="E483" s="383" t="s">
        <v>1749</v>
      </c>
      <c r="F483" s="383">
        <v>34118229</v>
      </c>
      <c r="G483" s="383"/>
      <c r="H483" s="383">
        <v>10</v>
      </c>
      <c r="I483" s="383">
        <f t="shared" si="7"/>
        <v>341182290</v>
      </c>
    </row>
    <row r="484" spans="1:9">
      <c r="A484" s="383">
        <v>291120</v>
      </c>
      <c r="B484" s="383" t="s">
        <v>2103</v>
      </c>
      <c r="C484" s="383" t="s">
        <v>2104</v>
      </c>
      <c r="D484" s="383">
        <v>805</v>
      </c>
      <c r="E484" s="383" t="s">
        <v>1749</v>
      </c>
      <c r="F484" s="383">
        <v>47954934</v>
      </c>
      <c r="G484" s="383"/>
      <c r="H484" s="383">
        <v>10</v>
      </c>
      <c r="I484" s="383">
        <f t="shared" si="7"/>
        <v>479549340</v>
      </c>
    </row>
    <row r="485" spans="1:9">
      <c r="A485" s="383">
        <v>291130</v>
      </c>
      <c r="B485" s="383" t="s">
        <v>2105</v>
      </c>
      <c r="C485" s="383" t="s">
        <v>2106</v>
      </c>
      <c r="D485" s="383">
        <v>830</v>
      </c>
      <c r="E485" s="383" t="s">
        <v>1443</v>
      </c>
      <c r="F485" s="383">
        <v>498010000</v>
      </c>
      <c r="G485" s="383"/>
      <c r="H485" s="383">
        <v>10</v>
      </c>
      <c r="I485" s="383">
        <f t="shared" si="7"/>
        <v>4980100000</v>
      </c>
    </row>
    <row r="486" spans="1:9">
      <c r="A486" s="383">
        <v>291140</v>
      </c>
      <c r="B486" s="383" t="s">
        <v>2107</v>
      </c>
      <c r="C486" s="383" t="s">
        <v>2108</v>
      </c>
      <c r="D486" s="383">
        <v>805</v>
      </c>
      <c r="E486" s="383" t="s">
        <v>1749</v>
      </c>
      <c r="F486" s="383">
        <v>102000000</v>
      </c>
      <c r="G486" s="383"/>
      <c r="H486" s="383">
        <v>10</v>
      </c>
      <c r="I486" s="383">
        <f t="shared" si="7"/>
        <v>1020000000</v>
      </c>
    </row>
    <row r="487" spans="1:9">
      <c r="A487" s="383">
        <v>291142</v>
      </c>
      <c r="B487" s="383" t="s">
        <v>2109</v>
      </c>
      <c r="C487" s="383" t="s">
        <v>2110</v>
      </c>
      <c r="D487" s="383">
        <v>805</v>
      </c>
      <c r="E487" s="383" t="s">
        <v>1749</v>
      </c>
      <c r="F487" s="383">
        <v>110000000</v>
      </c>
      <c r="G487" s="383"/>
      <c r="H487" s="383">
        <v>10</v>
      </c>
      <c r="I487" s="383">
        <f t="shared" si="7"/>
        <v>1100000000</v>
      </c>
    </row>
    <row r="488" spans="1:9">
      <c r="A488" s="383">
        <v>291150</v>
      </c>
      <c r="B488" s="383" t="s">
        <v>2111</v>
      </c>
      <c r="C488" s="383" t="s">
        <v>2112</v>
      </c>
      <c r="D488" s="383">
        <v>805</v>
      </c>
      <c r="E488" s="383" t="s">
        <v>1749</v>
      </c>
      <c r="F488" s="383">
        <v>4000000</v>
      </c>
      <c r="G488" s="383"/>
      <c r="H488" s="383">
        <v>10</v>
      </c>
      <c r="I488" s="383">
        <f t="shared" si="7"/>
        <v>40000000</v>
      </c>
    </row>
    <row r="489" spans="1:9">
      <c r="A489" s="383">
        <v>291175</v>
      </c>
      <c r="B489" s="383" t="s">
        <v>2113</v>
      </c>
      <c r="C489" s="383" t="s">
        <v>2114</v>
      </c>
      <c r="D489" s="383">
        <v>805</v>
      </c>
      <c r="E489" s="383" t="s">
        <v>1749</v>
      </c>
      <c r="F489" s="383">
        <v>18872400</v>
      </c>
      <c r="G489" s="383"/>
      <c r="H489" s="383">
        <v>5</v>
      </c>
      <c r="I489" s="383">
        <f t="shared" si="7"/>
        <v>94362000</v>
      </c>
    </row>
    <row r="490" spans="1:9">
      <c r="A490" s="383">
        <v>291200</v>
      </c>
      <c r="B490" s="383" t="s">
        <v>2115</v>
      </c>
      <c r="C490" s="383" t="s">
        <v>2116</v>
      </c>
      <c r="D490" s="383">
        <v>805</v>
      </c>
      <c r="E490" s="383" t="s">
        <v>1749</v>
      </c>
      <c r="F490" s="383">
        <v>663468788</v>
      </c>
      <c r="G490" s="383"/>
      <c r="H490" s="383">
        <v>10</v>
      </c>
      <c r="I490" s="383">
        <f t="shared" si="7"/>
        <v>6634687880</v>
      </c>
    </row>
    <row r="491" spans="1:9">
      <c r="A491" s="383">
        <v>291210</v>
      </c>
      <c r="B491" s="383" t="s">
        <v>2117</v>
      </c>
      <c r="C491" s="383" t="s">
        <v>333</v>
      </c>
      <c r="D491" s="383">
        <v>809</v>
      </c>
      <c r="E491" s="383" t="s">
        <v>1292</v>
      </c>
      <c r="F491" s="383">
        <v>2100000000</v>
      </c>
      <c r="G491" s="383"/>
      <c r="H491" s="383">
        <v>10</v>
      </c>
      <c r="I491" s="383">
        <f t="shared" si="7"/>
        <v>21000000000</v>
      </c>
    </row>
    <row r="492" spans="1:9">
      <c r="A492" s="383">
        <v>291250</v>
      </c>
      <c r="B492" s="383" t="s">
        <v>2118</v>
      </c>
      <c r="C492" s="383" t="s">
        <v>2119</v>
      </c>
      <c r="D492" s="383">
        <v>805</v>
      </c>
      <c r="E492" s="383" t="s">
        <v>1749</v>
      </c>
      <c r="F492" s="383">
        <v>132268163</v>
      </c>
      <c r="G492" s="383"/>
      <c r="H492" s="383">
        <v>10</v>
      </c>
      <c r="I492" s="383">
        <f t="shared" si="7"/>
        <v>1322681630</v>
      </c>
    </row>
    <row r="493" spans="1:9">
      <c r="A493" s="383">
        <v>291300</v>
      </c>
      <c r="B493" s="383" t="s">
        <v>2120</v>
      </c>
      <c r="C493" s="383" t="s">
        <v>2121</v>
      </c>
      <c r="D493" s="383">
        <v>805</v>
      </c>
      <c r="E493" s="383" t="s">
        <v>1749</v>
      </c>
      <c r="F493" s="383">
        <v>92359050</v>
      </c>
      <c r="G493" s="383"/>
      <c r="H493" s="383">
        <v>10</v>
      </c>
      <c r="I493" s="383">
        <f t="shared" si="7"/>
        <v>923590500</v>
      </c>
    </row>
    <row r="494" spans="1:9">
      <c r="A494" s="383">
        <v>291305</v>
      </c>
      <c r="B494" s="383" t="s">
        <v>2122</v>
      </c>
      <c r="C494" s="383" t="s">
        <v>2123</v>
      </c>
      <c r="D494" s="383">
        <v>805</v>
      </c>
      <c r="E494" s="383" t="s">
        <v>1749</v>
      </c>
      <c r="F494" s="383">
        <v>77000000</v>
      </c>
      <c r="G494" s="383"/>
      <c r="H494" s="383">
        <v>10</v>
      </c>
      <c r="I494" s="383">
        <f t="shared" si="7"/>
        <v>770000000</v>
      </c>
    </row>
    <row r="495" spans="1:9">
      <c r="A495" s="383">
        <v>291340</v>
      </c>
      <c r="B495" s="383" t="s">
        <v>2124</v>
      </c>
      <c r="C495" s="383" t="s">
        <v>2125</v>
      </c>
      <c r="D495" s="383">
        <v>805</v>
      </c>
      <c r="E495" s="383" t="s">
        <v>1749</v>
      </c>
      <c r="F495" s="383">
        <v>7500000</v>
      </c>
      <c r="G495" s="383"/>
      <c r="H495" s="383">
        <v>10</v>
      </c>
      <c r="I495" s="383">
        <f t="shared" si="7"/>
        <v>75000000</v>
      </c>
    </row>
    <row r="496" spans="1:9">
      <c r="A496" s="383">
        <v>291380</v>
      </c>
      <c r="B496" s="383" t="s">
        <v>2126</v>
      </c>
      <c r="C496" s="383" t="s">
        <v>2127</v>
      </c>
      <c r="D496" s="383">
        <v>805</v>
      </c>
      <c r="E496" s="383" t="s">
        <v>1749</v>
      </c>
      <c r="F496" s="383">
        <v>4248552</v>
      </c>
      <c r="G496" s="383"/>
      <c r="H496" s="383">
        <v>10</v>
      </c>
      <c r="I496" s="383">
        <f t="shared" si="7"/>
        <v>42485520</v>
      </c>
    </row>
    <row r="497" spans="1:9">
      <c r="A497" s="383">
        <v>291390</v>
      </c>
      <c r="B497" s="383" t="s">
        <v>2128</v>
      </c>
      <c r="C497" s="383" t="s">
        <v>2129</v>
      </c>
      <c r="D497" s="383">
        <v>805</v>
      </c>
      <c r="E497" s="383" t="s">
        <v>1749</v>
      </c>
      <c r="F497" s="383">
        <v>1514207200</v>
      </c>
      <c r="G497" s="383"/>
      <c r="H497" s="383">
        <v>10</v>
      </c>
      <c r="I497" s="383">
        <f t="shared" si="7"/>
        <v>15142072000</v>
      </c>
    </row>
    <row r="498" spans="1:9">
      <c r="A498" s="383">
        <v>291400</v>
      </c>
      <c r="B498" s="383" t="s">
        <v>2130</v>
      </c>
      <c r="C498" s="383" t="s">
        <v>2131</v>
      </c>
      <c r="D498" s="383">
        <v>805</v>
      </c>
      <c r="E498" s="383" t="s">
        <v>1749</v>
      </c>
      <c r="F498" s="383">
        <v>14958000</v>
      </c>
      <c r="G498" s="383"/>
      <c r="H498" s="383">
        <v>10</v>
      </c>
      <c r="I498" s="383">
        <f t="shared" si="7"/>
        <v>149580000</v>
      </c>
    </row>
    <row r="499" spans="1:9">
      <c r="A499" s="383">
        <v>291450</v>
      </c>
      <c r="B499" s="383" t="s">
        <v>2132</v>
      </c>
      <c r="C499" s="383" t="s">
        <v>2133</v>
      </c>
      <c r="D499" s="383">
        <v>805</v>
      </c>
      <c r="E499" s="383" t="s">
        <v>1749</v>
      </c>
      <c r="F499" s="383">
        <v>110590546</v>
      </c>
      <c r="G499" s="383"/>
      <c r="H499" s="383">
        <v>10</v>
      </c>
      <c r="I499" s="383">
        <f t="shared" si="7"/>
        <v>1105905460</v>
      </c>
    </row>
    <row r="500" spans="1:9">
      <c r="A500" s="383">
        <v>291460</v>
      </c>
      <c r="B500" s="383" t="s">
        <v>2134</v>
      </c>
      <c r="C500" s="383" t="s">
        <v>2135</v>
      </c>
      <c r="D500" s="383">
        <v>805</v>
      </c>
      <c r="E500" s="383" t="s">
        <v>1749</v>
      </c>
      <c r="F500" s="383">
        <v>25038700</v>
      </c>
      <c r="G500" s="383"/>
      <c r="H500" s="383">
        <v>10</v>
      </c>
      <c r="I500" s="383">
        <f t="shared" si="7"/>
        <v>250387000</v>
      </c>
    </row>
    <row r="501" spans="1:9">
      <c r="A501" s="383">
        <v>291470</v>
      </c>
      <c r="B501" s="383" t="s">
        <v>2136</v>
      </c>
      <c r="C501" s="383" t="s">
        <v>2137</v>
      </c>
      <c r="D501" s="383">
        <v>805</v>
      </c>
      <c r="E501" s="383" t="s">
        <v>1749</v>
      </c>
      <c r="F501" s="383">
        <v>282642128</v>
      </c>
      <c r="G501" s="383"/>
      <c r="H501" s="383">
        <v>5</v>
      </c>
      <c r="I501" s="383">
        <f t="shared" si="7"/>
        <v>1413210640</v>
      </c>
    </row>
    <row r="502" spans="1:9">
      <c r="A502" s="383">
        <v>291525</v>
      </c>
      <c r="B502" s="383" t="s">
        <v>2138</v>
      </c>
      <c r="C502" s="383" t="s">
        <v>2139</v>
      </c>
      <c r="D502" s="383">
        <v>805</v>
      </c>
      <c r="E502" s="383" t="s">
        <v>1749</v>
      </c>
      <c r="F502" s="383">
        <v>6000000</v>
      </c>
      <c r="G502" s="383"/>
      <c r="H502" s="383">
        <v>10</v>
      </c>
      <c r="I502" s="383">
        <f t="shared" si="7"/>
        <v>60000000</v>
      </c>
    </row>
    <row r="503" spans="1:9">
      <c r="A503" s="383">
        <v>291535</v>
      </c>
      <c r="B503" s="383" t="s">
        <v>2140</v>
      </c>
      <c r="C503" s="383" t="s">
        <v>2141</v>
      </c>
      <c r="D503" s="383">
        <v>805</v>
      </c>
      <c r="E503" s="383" t="s">
        <v>1749</v>
      </c>
      <c r="F503" s="383">
        <v>12000000</v>
      </c>
      <c r="G503" s="383"/>
      <c r="H503" s="383">
        <v>10</v>
      </c>
      <c r="I503" s="383">
        <f t="shared" si="7"/>
        <v>120000000</v>
      </c>
    </row>
    <row r="504" spans="1:9">
      <c r="A504" s="383">
        <v>291560</v>
      </c>
      <c r="B504" s="383" t="s">
        <v>2142</v>
      </c>
      <c r="C504" s="383" t="s">
        <v>2143</v>
      </c>
      <c r="D504" s="383">
        <v>805</v>
      </c>
      <c r="E504" s="383" t="s">
        <v>1749</v>
      </c>
      <c r="F504" s="383">
        <v>21429524</v>
      </c>
      <c r="G504" s="383"/>
      <c r="H504" s="383">
        <v>10</v>
      </c>
      <c r="I504" s="383">
        <f t="shared" si="7"/>
        <v>214295240</v>
      </c>
    </row>
    <row r="505" spans="1:9">
      <c r="A505" s="383">
        <v>291565</v>
      </c>
      <c r="B505" s="383" t="s">
        <v>2144</v>
      </c>
      <c r="C505" s="383" t="s">
        <v>2145</v>
      </c>
      <c r="D505" s="383">
        <v>805</v>
      </c>
      <c r="E505" s="383" t="s">
        <v>1749</v>
      </c>
      <c r="F505" s="383">
        <v>55100000</v>
      </c>
      <c r="G505" s="383"/>
      <c r="H505" s="383">
        <v>10</v>
      </c>
      <c r="I505" s="383">
        <f t="shared" si="7"/>
        <v>551000000</v>
      </c>
    </row>
    <row r="506" spans="1:9">
      <c r="A506" s="383">
        <v>291600</v>
      </c>
      <c r="B506" s="383" t="s">
        <v>2146</v>
      </c>
      <c r="C506" s="383" t="s">
        <v>2147</v>
      </c>
      <c r="D506" s="383">
        <v>805</v>
      </c>
      <c r="E506" s="383" t="s">
        <v>1749</v>
      </c>
      <c r="F506" s="383">
        <v>9000000</v>
      </c>
      <c r="G506" s="383"/>
      <c r="H506" s="383">
        <v>10</v>
      </c>
      <c r="I506" s="383">
        <f t="shared" si="7"/>
        <v>90000000</v>
      </c>
    </row>
    <row r="507" spans="1:9">
      <c r="A507" s="383">
        <v>300980</v>
      </c>
      <c r="B507" s="383" t="s">
        <v>2148</v>
      </c>
      <c r="C507" s="383" t="s">
        <v>2149</v>
      </c>
      <c r="D507" s="383">
        <v>822</v>
      </c>
      <c r="E507" s="383" t="s">
        <v>2150</v>
      </c>
      <c r="F507" s="383">
        <v>3100000</v>
      </c>
      <c r="G507" s="383"/>
      <c r="H507" s="383">
        <v>10</v>
      </c>
      <c r="I507" s="383">
        <f t="shared" si="7"/>
        <v>31000000</v>
      </c>
    </row>
    <row r="508" spans="1:9">
      <c r="A508" s="383">
        <v>301040</v>
      </c>
      <c r="B508" s="383" t="s">
        <v>2151</v>
      </c>
      <c r="C508" s="383" t="s">
        <v>2152</v>
      </c>
      <c r="D508" s="383">
        <v>822</v>
      </c>
      <c r="E508" s="383" t="s">
        <v>2150</v>
      </c>
      <c r="F508" s="383">
        <v>6000000</v>
      </c>
      <c r="G508" s="383"/>
      <c r="H508" s="383">
        <v>10</v>
      </c>
      <c r="I508" s="383">
        <f t="shared" si="7"/>
        <v>60000000</v>
      </c>
    </row>
    <row r="509" spans="1:9">
      <c r="A509" s="383">
        <v>301060</v>
      </c>
      <c r="B509" s="383" t="s">
        <v>2153</v>
      </c>
      <c r="C509" s="383" t="s">
        <v>2154</v>
      </c>
      <c r="D509" s="383">
        <v>822</v>
      </c>
      <c r="E509" s="383" t="s">
        <v>2150</v>
      </c>
      <c r="F509" s="383">
        <v>147018345</v>
      </c>
      <c r="G509" s="383"/>
      <c r="H509" s="383">
        <v>10</v>
      </c>
      <c r="I509" s="383">
        <f t="shared" si="7"/>
        <v>1470183450</v>
      </c>
    </row>
    <row r="510" spans="1:9">
      <c r="A510" s="383">
        <v>301070</v>
      </c>
      <c r="B510" s="383" t="s">
        <v>2155</v>
      </c>
      <c r="C510" s="383" t="s">
        <v>1172</v>
      </c>
      <c r="D510" s="383">
        <v>822</v>
      </c>
      <c r="E510" s="383" t="s">
        <v>2150</v>
      </c>
      <c r="F510" s="383">
        <v>33602242</v>
      </c>
      <c r="G510" s="383"/>
      <c r="H510" s="383">
        <v>10</v>
      </c>
      <c r="I510" s="383">
        <f t="shared" si="7"/>
        <v>336022420</v>
      </c>
    </row>
    <row r="511" spans="1:9">
      <c r="A511" s="383">
        <v>301110</v>
      </c>
      <c r="B511" s="383" t="s">
        <v>2156</v>
      </c>
      <c r="C511" s="383" t="s">
        <v>2157</v>
      </c>
      <c r="D511" s="383">
        <v>822</v>
      </c>
      <c r="E511" s="383" t="s">
        <v>2150</v>
      </c>
      <c r="F511" s="383">
        <v>4000000</v>
      </c>
      <c r="G511" s="383"/>
      <c r="H511" s="383">
        <v>10</v>
      </c>
      <c r="I511" s="383">
        <f t="shared" si="7"/>
        <v>40000000</v>
      </c>
    </row>
    <row r="512" spans="1:9">
      <c r="A512" s="383">
        <v>301120</v>
      </c>
      <c r="B512" s="383" t="s">
        <v>2158</v>
      </c>
      <c r="C512" s="383" t="s">
        <v>2159</v>
      </c>
      <c r="D512" s="383">
        <v>822</v>
      </c>
      <c r="E512" s="383" t="s">
        <v>2150</v>
      </c>
      <c r="F512" s="383">
        <v>40314199</v>
      </c>
      <c r="G512" s="383"/>
      <c r="H512" s="383">
        <v>10</v>
      </c>
      <c r="I512" s="383">
        <f t="shared" si="7"/>
        <v>403141990</v>
      </c>
    </row>
    <row r="513" spans="1:9">
      <c r="A513" s="383">
        <v>301160</v>
      </c>
      <c r="B513" s="383" t="s">
        <v>2160</v>
      </c>
      <c r="C513" s="383" t="s">
        <v>2161</v>
      </c>
      <c r="D513" s="383">
        <v>822</v>
      </c>
      <c r="E513" s="383" t="s">
        <v>2150</v>
      </c>
      <c r="F513" s="383">
        <v>89379504</v>
      </c>
      <c r="G513" s="383"/>
      <c r="H513" s="383">
        <v>10</v>
      </c>
      <c r="I513" s="383">
        <f t="shared" si="7"/>
        <v>893795040</v>
      </c>
    </row>
    <row r="514" spans="1:9">
      <c r="A514" s="383">
        <v>301180</v>
      </c>
      <c r="B514" s="383" t="s">
        <v>2162</v>
      </c>
      <c r="C514" s="383" t="s">
        <v>2163</v>
      </c>
      <c r="D514" s="383">
        <v>822</v>
      </c>
      <c r="E514" s="383" t="s">
        <v>2150</v>
      </c>
      <c r="F514" s="383">
        <v>6000000</v>
      </c>
      <c r="G514" s="383"/>
      <c r="H514" s="383">
        <v>10</v>
      </c>
      <c r="I514" s="383">
        <f t="shared" si="7"/>
        <v>60000000</v>
      </c>
    </row>
    <row r="515" spans="1:9">
      <c r="A515" s="383">
        <v>301182</v>
      </c>
      <c r="B515" s="383" t="s">
        <v>2164</v>
      </c>
      <c r="C515" s="383" t="s">
        <v>2165</v>
      </c>
      <c r="D515" s="383">
        <v>822</v>
      </c>
      <c r="E515" s="383" t="s">
        <v>2150</v>
      </c>
      <c r="F515" s="383">
        <v>118250000</v>
      </c>
      <c r="G515" s="383"/>
      <c r="H515" s="383">
        <v>10</v>
      </c>
      <c r="I515" s="383">
        <f t="shared" ref="I515:I578" si="8">F515*H515</f>
        <v>1182500000</v>
      </c>
    </row>
    <row r="516" spans="1:9">
      <c r="A516" s="383">
        <v>301220</v>
      </c>
      <c r="B516" s="383" t="s">
        <v>2166</v>
      </c>
      <c r="C516" s="383" t="s">
        <v>2167</v>
      </c>
      <c r="D516" s="383">
        <v>822</v>
      </c>
      <c r="E516" s="383" t="s">
        <v>2150</v>
      </c>
      <c r="F516" s="383">
        <v>59255985</v>
      </c>
      <c r="G516" s="383"/>
      <c r="H516" s="383">
        <v>10</v>
      </c>
      <c r="I516" s="383">
        <f t="shared" si="8"/>
        <v>592559850</v>
      </c>
    </row>
    <row r="517" spans="1:9">
      <c r="A517" s="383">
        <v>311040</v>
      </c>
      <c r="B517" s="383" t="s">
        <v>2168</v>
      </c>
      <c r="C517" s="383" t="s">
        <v>2169</v>
      </c>
      <c r="D517" s="383">
        <v>834</v>
      </c>
      <c r="E517" s="383" t="s">
        <v>2170</v>
      </c>
      <c r="F517" s="383">
        <v>1000000</v>
      </c>
      <c r="G517" s="383"/>
      <c r="H517" s="383">
        <v>10</v>
      </c>
      <c r="I517" s="383">
        <f t="shared" si="8"/>
        <v>10000000</v>
      </c>
    </row>
    <row r="518" spans="1:9">
      <c r="A518" s="383">
        <v>311160</v>
      </c>
      <c r="B518" s="383" t="s">
        <v>2171</v>
      </c>
      <c r="C518" s="383" t="s">
        <v>2172</v>
      </c>
      <c r="D518" s="383">
        <v>834</v>
      </c>
      <c r="E518" s="383" t="s">
        <v>2170</v>
      </c>
      <c r="F518" s="383">
        <v>568300</v>
      </c>
      <c r="G518" s="383"/>
      <c r="H518" s="383">
        <v>10</v>
      </c>
      <c r="I518" s="383">
        <f t="shared" si="8"/>
        <v>5683000</v>
      </c>
    </row>
    <row r="519" spans="1:9">
      <c r="A519" s="383">
        <v>311200</v>
      </c>
      <c r="B519" s="383" t="s">
        <v>2173</v>
      </c>
      <c r="C519" s="383" t="s">
        <v>2174</v>
      </c>
      <c r="D519" s="383">
        <v>834</v>
      </c>
      <c r="E519" s="383" t="s">
        <v>2170</v>
      </c>
      <c r="F519" s="383">
        <v>5390625</v>
      </c>
      <c r="G519" s="383"/>
      <c r="H519" s="383">
        <v>10</v>
      </c>
      <c r="I519" s="383">
        <f t="shared" si="8"/>
        <v>53906250</v>
      </c>
    </row>
    <row r="520" spans="1:9">
      <c r="A520" s="383">
        <v>311210</v>
      </c>
      <c r="B520" s="383" t="s">
        <v>2175</v>
      </c>
      <c r="C520" s="383" t="s">
        <v>2176</v>
      </c>
      <c r="D520" s="383">
        <v>834</v>
      </c>
      <c r="E520" s="383" t="s">
        <v>2170</v>
      </c>
      <c r="F520" s="383">
        <v>5658400</v>
      </c>
      <c r="G520" s="383"/>
      <c r="H520" s="383">
        <v>10</v>
      </c>
      <c r="I520" s="383">
        <f t="shared" si="8"/>
        <v>56584000</v>
      </c>
    </row>
    <row r="521" spans="1:9">
      <c r="A521" s="383">
        <v>311260</v>
      </c>
      <c r="B521" s="383" t="s">
        <v>2177</v>
      </c>
      <c r="C521" s="383" t="s">
        <v>2178</v>
      </c>
      <c r="D521" s="383">
        <v>834</v>
      </c>
      <c r="E521" s="383" t="s">
        <v>2170</v>
      </c>
      <c r="F521" s="383">
        <v>958100</v>
      </c>
      <c r="G521" s="383"/>
      <c r="H521" s="383">
        <v>10</v>
      </c>
      <c r="I521" s="383">
        <f t="shared" si="8"/>
        <v>9581000</v>
      </c>
    </row>
    <row r="522" spans="1:9">
      <c r="A522" s="383">
        <v>321000</v>
      </c>
      <c r="B522" s="383" t="s">
        <v>2179</v>
      </c>
      <c r="C522" s="383" t="s">
        <v>2180</v>
      </c>
      <c r="D522" s="383">
        <v>816</v>
      </c>
      <c r="E522" s="383" t="s">
        <v>2181</v>
      </c>
      <c r="F522" s="383">
        <v>7560000</v>
      </c>
      <c r="G522" s="383"/>
      <c r="H522" s="383">
        <v>10</v>
      </c>
      <c r="I522" s="383">
        <f t="shared" si="8"/>
        <v>75600000</v>
      </c>
    </row>
    <row r="523" spans="1:9">
      <c r="A523" s="383">
        <v>321010</v>
      </c>
      <c r="B523" s="383" t="s">
        <v>2182</v>
      </c>
      <c r="C523" s="383" t="s">
        <v>2183</v>
      </c>
      <c r="D523" s="383">
        <v>816</v>
      </c>
      <c r="E523" s="383" t="s">
        <v>2181</v>
      </c>
      <c r="F523" s="383">
        <v>2000000</v>
      </c>
      <c r="G523" s="383"/>
      <c r="H523" s="383">
        <v>10</v>
      </c>
      <c r="I523" s="383">
        <f t="shared" si="8"/>
        <v>20000000</v>
      </c>
    </row>
    <row r="524" spans="1:9">
      <c r="A524" s="383">
        <v>321030</v>
      </c>
      <c r="B524" s="383" t="s">
        <v>2184</v>
      </c>
      <c r="C524" s="383" t="s">
        <v>2185</v>
      </c>
      <c r="D524" s="383">
        <v>816</v>
      </c>
      <c r="E524" s="383" t="s">
        <v>2181</v>
      </c>
      <c r="F524" s="383">
        <v>6000000</v>
      </c>
      <c r="G524" s="383"/>
      <c r="H524" s="383">
        <v>10</v>
      </c>
      <c r="I524" s="383">
        <f t="shared" si="8"/>
        <v>60000000</v>
      </c>
    </row>
    <row r="525" spans="1:9">
      <c r="A525" s="383">
        <v>321060</v>
      </c>
      <c r="B525" s="383" t="s">
        <v>2186</v>
      </c>
      <c r="C525" s="383" t="s">
        <v>2187</v>
      </c>
      <c r="D525" s="383">
        <v>816</v>
      </c>
      <c r="E525" s="383" t="s">
        <v>2181</v>
      </c>
      <c r="F525" s="383">
        <v>3400000</v>
      </c>
      <c r="G525" s="383"/>
      <c r="H525" s="383">
        <v>10</v>
      </c>
      <c r="I525" s="383">
        <f t="shared" si="8"/>
        <v>34000000</v>
      </c>
    </row>
    <row r="526" spans="1:9">
      <c r="A526" s="383">
        <v>321085</v>
      </c>
      <c r="B526" s="383" t="s">
        <v>2188</v>
      </c>
      <c r="C526" s="383" t="s">
        <v>646</v>
      </c>
      <c r="D526" s="383">
        <v>816</v>
      </c>
      <c r="E526" s="383" t="s">
        <v>2181</v>
      </c>
      <c r="F526" s="383">
        <v>12028800</v>
      </c>
      <c r="G526" s="383"/>
      <c r="H526" s="383">
        <v>10</v>
      </c>
      <c r="I526" s="383">
        <f t="shared" si="8"/>
        <v>120288000</v>
      </c>
    </row>
    <row r="527" spans="1:9">
      <c r="A527" s="383">
        <v>331050</v>
      </c>
      <c r="B527" s="383" t="s">
        <v>2189</v>
      </c>
      <c r="C527" s="383" t="s">
        <v>724</v>
      </c>
      <c r="D527" s="383">
        <v>810</v>
      </c>
      <c r="E527" s="383" t="s">
        <v>1812</v>
      </c>
      <c r="F527" s="383">
        <v>142117427</v>
      </c>
      <c r="G527" s="383"/>
      <c r="H527" s="383">
        <v>10</v>
      </c>
      <c r="I527" s="383">
        <f t="shared" si="8"/>
        <v>1421174270</v>
      </c>
    </row>
    <row r="528" spans="1:9">
      <c r="A528" s="383">
        <v>331060</v>
      </c>
      <c r="B528" s="383" t="s">
        <v>2190</v>
      </c>
      <c r="C528" s="383" t="s">
        <v>2191</v>
      </c>
      <c r="D528" s="383">
        <v>810</v>
      </c>
      <c r="E528" s="383" t="s">
        <v>1812</v>
      </c>
      <c r="F528" s="383">
        <v>9434880</v>
      </c>
      <c r="G528" s="383"/>
      <c r="H528" s="383">
        <v>10</v>
      </c>
      <c r="I528" s="383">
        <f t="shared" si="8"/>
        <v>94348800</v>
      </c>
    </row>
    <row r="529" spans="1:9">
      <c r="A529" s="383">
        <v>331070</v>
      </c>
      <c r="B529" s="383" t="s">
        <v>2192</v>
      </c>
      <c r="C529" s="383" t="s">
        <v>2193</v>
      </c>
      <c r="D529" s="383">
        <v>810</v>
      </c>
      <c r="E529" s="383" t="s">
        <v>1812</v>
      </c>
      <c r="F529" s="383">
        <v>19200000</v>
      </c>
      <c r="G529" s="383"/>
      <c r="H529" s="383">
        <v>10</v>
      </c>
      <c r="I529" s="383">
        <f t="shared" si="8"/>
        <v>192000000</v>
      </c>
    </row>
    <row r="530" spans="1:9">
      <c r="A530" s="383">
        <v>331080</v>
      </c>
      <c r="B530" s="383" t="s">
        <v>2194</v>
      </c>
      <c r="C530" s="383" t="s">
        <v>2195</v>
      </c>
      <c r="D530" s="383">
        <v>810</v>
      </c>
      <c r="E530" s="383" t="s">
        <v>1812</v>
      </c>
      <c r="F530" s="383">
        <v>300000</v>
      </c>
      <c r="G530" s="383"/>
      <c r="H530" s="383">
        <v>10</v>
      </c>
      <c r="I530" s="383">
        <f t="shared" si="8"/>
        <v>3000000</v>
      </c>
    </row>
    <row r="531" spans="1:9">
      <c r="A531" s="383">
        <v>331090</v>
      </c>
      <c r="B531" s="383" t="s">
        <v>2196</v>
      </c>
      <c r="C531" s="383" t="s">
        <v>2197</v>
      </c>
      <c r="D531" s="383">
        <v>823</v>
      </c>
      <c r="E531" s="383" t="s">
        <v>2079</v>
      </c>
      <c r="F531" s="383">
        <v>54087605</v>
      </c>
      <c r="G531" s="383"/>
      <c r="H531" s="383">
        <v>10</v>
      </c>
      <c r="I531" s="383">
        <f t="shared" si="8"/>
        <v>540876050</v>
      </c>
    </row>
    <row r="532" spans="1:9">
      <c r="A532" s="383">
        <v>331092</v>
      </c>
      <c r="B532" s="383" t="s">
        <v>2198</v>
      </c>
      <c r="C532" s="383" t="s">
        <v>2199</v>
      </c>
      <c r="D532" s="383">
        <v>823</v>
      </c>
      <c r="E532" s="383" t="s">
        <v>2079</v>
      </c>
      <c r="F532" s="383">
        <v>39144351</v>
      </c>
      <c r="G532" s="383"/>
      <c r="H532" s="383">
        <v>10</v>
      </c>
      <c r="I532" s="383">
        <f t="shared" si="8"/>
        <v>391443510</v>
      </c>
    </row>
    <row r="533" spans="1:9">
      <c r="A533" s="383">
        <v>331120</v>
      </c>
      <c r="B533" s="383" t="s">
        <v>2200</v>
      </c>
      <c r="C533" s="383" t="s">
        <v>2201</v>
      </c>
      <c r="D533" s="383">
        <v>810</v>
      </c>
      <c r="E533" s="383" t="s">
        <v>1812</v>
      </c>
      <c r="F533" s="383">
        <v>63804750</v>
      </c>
      <c r="G533" s="383"/>
      <c r="H533" s="383">
        <v>10</v>
      </c>
      <c r="I533" s="383">
        <f t="shared" si="8"/>
        <v>638047500</v>
      </c>
    </row>
    <row r="534" spans="1:9">
      <c r="A534" s="383">
        <v>331160</v>
      </c>
      <c r="B534" s="383" t="s">
        <v>2202</v>
      </c>
      <c r="C534" s="383" t="s">
        <v>2203</v>
      </c>
      <c r="D534" s="383">
        <v>810</v>
      </c>
      <c r="E534" s="383" t="s">
        <v>1812</v>
      </c>
      <c r="F534" s="383">
        <v>45349551</v>
      </c>
      <c r="G534" s="383"/>
      <c r="H534" s="383">
        <v>10</v>
      </c>
      <c r="I534" s="383">
        <f t="shared" si="8"/>
        <v>453495510</v>
      </c>
    </row>
    <row r="535" spans="1:9">
      <c r="A535" s="383">
        <v>331170</v>
      </c>
      <c r="B535" s="383" t="s">
        <v>2204</v>
      </c>
      <c r="C535" s="383" t="s">
        <v>2205</v>
      </c>
      <c r="D535" s="383">
        <v>810</v>
      </c>
      <c r="E535" s="383" t="s">
        <v>1812</v>
      </c>
      <c r="F535" s="383">
        <v>7875000</v>
      </c>
      <c r="G535" s="383"/>
      <c r="H535" s="383">
        <v>10</v>
      </c>
      <c r="I535" s="383">
        <f t="shared" si="8"/>
        <v>78750000</v>
      </c>
    </row>
    <row r="536" spans="1:9">
      <c r="A536" s="383">
        <v>331200</v>
      </c>
      <c r="B536" s="383" t="s">
        <v>2206</v>
      </c>
      <c r="C536" s="383" t="s">
        <v>2207</v>
      </c>
      <c r="D536" s="383">
        <v>810</v>
      </c>
      <c r="E536" s="383" t="s">
        <v>1812</v>
      </c>
      <c r="F536" s="383">
        <v>23053026</v>
      </c>
      <c r="G536" s="383"/>
      <c r="H536" s="383">
        <v>10</v>
      </c>
      <c r="I536" s="383">
        <f t="shared" si="8"/>
        <v>230530260</v>
      </c>
    </row>
    <row r="537" spans="1:9">
      <c r="A537" s="383">
        <v>331220</v>
      </c>
      <c r="B537" s="383" t="s">
        <v>2208</v>
      </c>
      <c r="C537" s="383" t="s">
        <v>2209</v>
      </c>
      <c r="D537" s="383">
        <v>810</v>
      </c>
      <c r="E537" s="383" t="s">
        <v>1812</v>
      </c>
      <c r="F537" s="383">
        <v>103606858</v>
      </c>
      <c r="G537" s="383"/>
      <c r="H537" s="383">
        <v>5</v>
      </c>
      <c r="I537" s="383">
        <f t="shared" si="8"/>
        <v>518034290</v>
      </c>
    </row>
    <row r="538" spans="1:9">
      <c r="A538" s="383">
        <v>331240</v>
      </c>
      <c r="B538" s="383" t="s">
        <v>2210</v>
      </c>
      <c r="C538" s="383" t="s">
        <v>2211</v>
      </c>
      <c r="D538" s="383">
        <v>810</v>
      </c>
      <c r="E538" s="383" t="s">
        <v>1812</v>
      </c>
      <c r="F538" s="383">
        <v>449999192</v>
      </c>
      <c r="G538" s="383"/>
      <c r="H538" s="383">
        <v>10</v>
      </c>
      <c r="I538" s="383">
        <f t="shared" si="8"/>
        <v>4499991920</v>
      </c>
    </row>
    <row r="539" spans="1:9">
      <c r="A539" s="383">
        <v>331242</v>
      </c>
      <c r="B539" s="383" t="s">
        <v>2212</v>
      </c>
      <c r="C539" s="383" t="s">
        <v>2213</v>
      </c>
      <c r="D539" s="383">
        <v>810</v>
      </c>
      <c r="E539" s="383" t="s">
        <v>1812</v>
      </c>
      <c r="F539" s="383">
        <v>78408000</v>
      </c>
      <c r="G539" s="383"/>
      <c r="H539" s="383">
        <v>10</v>
      </c>
      <c r="I539" s="383">
        <f t="shared" si="8"/>
        <v>784080000</v>
      </c>
    </row>
    <row r="540" spans="1:9">
      <c r="A540" s="383">
        <v>331290</v>
      </c>
      <c r="B540" s="383" t="s">
        <v>2214</v>
      </c>
      <c r="C540" s="383" t="s">
        <v>2215</v>
      </c>
      <c r="D540" s="383">
        <v>810</v>
      </c>
      <c r="E540" s="383" t="s">
        <v>1812</v>
      </c>
      <c r="F540" s="383">
        <v>98461828</v>
      </c>
      <c r="G540" s="383"/>
      <c r="H540" s="383">
        <v>10</v>
      </c>
      <c r="I540" s="383">
        <f t="shared" si="8"/>
        <v>984618280</v>
      </c>
    </row>
    <row r="541" spans="1:9">
      <c r="A541" s="383">
        <v>331295</v>
      </c>
      <c r="B541" s="383" t="s">
        <v>2216</v>
      </c>
      <c r="C541" s="383" t="s">
        <v>2217</v>
      </c>
      <c r="D541" s="383">
        <v>810</v>
      </c>
      <c r="E541" s="383" t="s">
        <v>1812</v>
      </c>
      <c r="F541" s="383">
        <v>6157600</v>
      </c>
      <c r="G541" s="383"/>
      <c r="H541" s="383">
        <v>10</v>
      </c>
      <c r="I541" s="383">
        <f t="shared" si="8"/>
        <v>61576000</v>
      </c>
    </row>
    <row r="542" spans="1:9">
      <c r="A542" s="383">
        <v>331300</v>
      </c>
      <c r="B542" s="383" t="s">
        <v>2218</v>
      </c>
      <c r="C542" s="383" t="s">
        <v>2219</v>
      </c>
      <c r="D542" s="383">
        <v>810</v>
      </c>
      <c r="E542" s="383" t="s">
        <v>1812</v>
      </c>
      <c r="F542" s="383">
        <v>9236400</v>
      </c>
      <c r="G542" s="383"/>
      <c r="H542" s="383">
        <v>10</v>
      </c>
      <c r="I542" s="383">
        <f t="shared" si="8"/>
        <v>92364000</v>
      </c>
    </row>
    <row r="543" spans="1:9">
      <c r="A543" s="383">
        <v>331310</v>
      </c>
      <c r="B543" s="383" t="s">
        <v>2220</v>
      </c>
      <c r="C543" s="383" t="s">
        <v>2221</v>
      </c>
      <c r="D543" s="383">
        <v>810</v>
      </c>
      <c r="E543" s="383" t="s">
        <v>1812</v>
      </c>
      <c r="F543" s="383">
        <v>16589500</v>
      </c>
      <c r="G543" s="383"/>
      <c r="H543" s="383">
        <v>10</v>
      </c>
      <c r="I543" s="383">
        <f t="shared" si="8"/>
        <v>165895000</v>
      </c>
    </row>
    <row r="544" spans="1:9">
      <c r="A544" s="383">
        <v>331320</v>
      </c>
      <c r="B544" s="383" t="s">
        <v>2222</v>
      </c>
      <c r="C544" s="383" t="s">
        <v>645</v>
      </c>
      <c r="D544" s="383">
        <v>810</v>
      </c>
      <c r="E544" s="383" t="s">
        <v>1812</v>
      </c>
      <c r="F544" s="383">
        <v>7986000</v>
      </c>
      <c r="G544" s="383"/>
      <c r="H544" s="383">
        <v>10</v>
      </c>
      <c r="I544" s="383">
        <f t="shared" si="8"/>
        <v>79860000</v>
      </c>
    </row>
    <row r="545" spans="1:9">
      <c r="A545" s="383">
        <v>331420</v>
      </c>
      <c r="B545" s="383" t="s">
        <v>2223</v>
      </c>
      <c r="C545" s="383" t="s">
        <v>2224</v>
      </c>
      <c r="D545" s="383">
        <v>810</v>
      </c>
      <c r="E545" s="383" t="s">
        <v>1812</v>
      </c>
      <c r="F545" s="383">
        <v>3900000</v>
      </c>
      <c r="G545" s="383"/>
      <c r="H545" s="383">
        <v>10</v>
      </c>
      <c r="I545" s="383">
        <f t="shared" si="8"/>
        <v>39000000</v>
      </c>
    </row>
    <row r="546" spans="1:9">
      <c r="A546" s="383">
        <v>331440</v>
      </c>
      <c r="B546" s="383" t="s">
        <v>2225</v>
      </c>
      <c r="C546" s="383" t="s">
        <v>2226</v>
      </c>
      <c r="D546" s="383">
        <v>810</v>
      </c>
      <c r="E546" s="383" t="s">
        <v>1812</v>
      </c>
      <c r="F546" s="383">
        <v>145797674</v>
      </c>
      <c r="G546" s="383"/>
      <c r="H546" s="383">
        <v>10</v>
      </c>
      <c r="I546" s="383">
        <f t="shared" si="8"/>
        <v>1457976740</v>
      </c>
    </row>
    <row r="547" spans="1:9">
      <c r="A547" s="383">
        <v>331455</v>
      </c>
      <c r="B547" s="383" t="s">
        <v>2227</v>
      </c>
      <c r="C547" s="383" t="s">
        <v>2228</v>
      </c>
      <c r="D547" s="383">
        <v>810</v>
      </c>
      <c r="E547" s="383" t="s">
        <v>1812</v>
      </c>
      <c r="F547" s="383">
        <v>41822250</v>
      </c>
      <c r="G547" s="383"/>
      <c r="H547" s="383">
        <v>8.5500000000000007</v>
      </c>
      <c r="I547" s="383">
        <f t="shared" si="8"/>
        <v>357580237.5</v>
      </c>
    </row>
    <row r="548" spans="1:9">
      <c r="A548" s="383">
        <v>331523</v>
      </c>
      <c r="B548" s="383" t="s">
        <v>2229</v>
      </c>
      <c r="C548" s="383" t="s">
        <v>2230</v>
      </c>
      <c r="D548" s="383">
        <v>810</v>
      </c>
      <c r="E548" s="383" t="s">
        <v>1812</v>
      </c>
      <c r="F548" s="383">
        <v>6122600</v>
      </c>
      <c r="G548" s="383"/>
      <c r="H548" s="383">
        <v>10</v>
      </c>
      <c r="I548" s="383">
        <f t="shared" si="8"/>
        <v>61226000</v>
      </c>
    </row>
    <row r="549" spans="1:9">
      <c r="A549" s="383">
        <v>341000</v>
      </c>
      <c r="B549" s="383" t="s">
        <v>2231</v>
      </c>
      <c r="C549" s="383" t="s">
        <v>2232</v>
      </c>
      <c r="D549" s="383">
        <v>811</v>
      </c>
      <c r="E549" s="383" t="s">
        <v>2233</v>
      </c>
      <c r="F549" s="383">
        <v>171600000</v>
      </c>
      <c r="G549" s="383"/>
      <c r="H549" s="383">
        <v>10</v>
      </c>
      <c r="I549" s="383">
        <f t="shared" si="8"/>
        <v>1716000000</v>
      </c>
    </row>
    <row r="550" spans="1:9">
      <c r="A550" s="383">
        <v>341040</v>
      </c>
      <c r="B550" s="383" t="s">
        <v>2234</v>
      </c>
      <c r="C550" s="383" t="s">
        <v>2235</v>
      </c>
      <c r="D550" s="383">
        <v>811</v>
      </c>
      <c r="E550" s="383" t="s">
        <v>2233</v>
      </c>
      <c r="F550" s="383">
        <v>34999667</v>
      </c>
      <c r="G550" s="383"/>
      <c r="H550" s="383">
        <v>10</v>
      </c>
      <c r="I550" s="383">
        <f t="shared" si="8"/>
        <v>349996670</v>
      </c>
    </row>
    <row r="551" spans="1:9">
      <c r="A551" s="383">
        <v>341060</v>
      </c>
      <c r="B551" s="383" t="s">
        <v>2236</v>
      </c>
      <c r="C551" s="383" t="s">
        <v>2237</v>
      </c>
      <c r="D551" s="383">
        <v>811</v>
      </c>
      <c r="E551" s="383" t="s">
        <v>2233</v>
      </c>
      <c r="F551" s="383">
        <v>37873821</v>
      </c>
      <c r="G551" s="383"/>
      <c r="H551" s="383">
        <v>10</v>
      </c>
      <c r="I551" s="383">
        <f t="shared" si="8"/>
        <v>378738210</v>
      </c>
    </row>
    <row r="552" spans="1:9">
      <c r="A552" s="383">
        <v>341065</v>
      </c>
      <c r="B552" s="383" t="s">
        <v>2238</v>
      </c>
      <c r="C552" s="383" t="s">
        <v>2239</v>
      </c>
      <c r="D552" s="383">
        <v>811</v>
      </c>
      <c r="E552" s="383" t="s">
        <v>2233</v>
      </c>
      <c r="F552" s="383">
        <v>416571281</v>
      </c>
      <c r="G552" s="383"/>
      <c r="H552" s="383">
        <v>10</v>
      </c>
      <c r="I552" s="383">
        <f t="shared" si="8"/>
        <v>4165712810</v>
      </c>
    </row>
    <row r="553" spans="1:9">
      <c r="A553" s="383">
        <v>341066</v>
      </c>
      <c r="B553" s="383" t="s">
        <v>2240</v>
      </c>
      <c r="C553" s="383" t="s">
        <v>2241</v>
      </c>
      <c r="D553" s="383">
        <v>811</v>
      </c>
      <c r="E553" s="383" t="s">
        <v>2233</v>
      </c>
      <c r="F553" s="383">
        <v>100000000</v>
      </c>
      <c r="G553" s="383"/>
      <c r="H553" s="383">
        <v>10</v>
      </c>
      <c r="I553" s="383">
        <f t="shared" si="8"/>
        <v>1000000000</v>
      </c>
    </row>
    <row r="554" spans="1:9">
      <c r="A554" s="383">
        <v>341067</v>
      </c>
      <c r="B554" s="383" t="s">
        <v>2242</v>
      </c>
      <c r="C554" s="383" t="s">
        <v>2243</v>
      </c>
      <c r="D554" s="383">
        <v>811</v>
      </c>
      <c r="E554" s="383" t="s">
        <v>2233</v>
      </c>
      <c r="F554" s="383">
        <v>29951625</v>
      </c>
      <c r="G554" s="383"/>
      <c r="H554" s="383">
        <v>10</v>
      </c>
      <c r="I554" s="383">
        <f t="shared" si="8"/>
        <v>299516250</v>
      </c>
    </row>
    <row r="555" spans="1:9">
      <c r="A555" s="383">
        <v>341070</v>
      </c>
      <c r="B555" s="383" t="s">
        <v>2244</v>
      </c>
      <c r="C555" s="383" t="s">
        <v>2245</v>
      </c>
      <c r="D555" s="383">
        <v>811</v>
      </c>
      <c r="E555" s="383" t="s">
        <v>2233</v>
      </c>
      <c r="F555" s="383">
        <v>14549060</v>
      </c>
      <c r="G555" s="383"/>
      <c r="H555" s="383">
        <v>10</v>
      </c>
      <c r="I555" s="383">
        <f t="shared" si="8"/>
        <v>145490600</v>
      </c>
    </row>
    <row r="556" spans="1:9">
      <c r="A556" s="383">
        <v>341100</v>
      </c>
      <c r="B556" s="383" t="s">
        <v>2246</v>
      </c>
      <c r="C556" s="383" t="s">
        <v>2247</v>
      </c>
      <c r="D556" s="383">
        <v>811</v>
      </c>
      <c r="E556" s="383" t="s">
        <v>2233</v>
      </c>
      <c r="F556" s="383">
        <v>73458000</v>
      </c>
      <c r="G556" s="383"/>
      <c r="H556" s="383">
        <v>10</v>
      </c>
      <c r="I556" s="383">
        <f t="shared" si="8"/>
        <v>734580000</v>
      </c>
    </row>
    <row r="557" spans="1:9">
      <c r="A557" s="383">
        <v>341140</v>
      </c>
      <c r="B557" s="383" t="s">
        <v>2248</v>
      </c>
      <c r="C557" s="383" t="s">
        <v>2249</v>
      </c>
      <c r="D557" s="383">
        <v>811</v>
      </c>
      <c r="E557" s="383" t="s">
        <v>2233</v>
      </c>
      <c r="F557" s="383">
        <v>7300000</v>
      </c>
      <c r="G557" s="383"/>
      <c r="H557" s="383">
        <v>10</v>
      </c>
      <c r="I557" s="383">
        <f t="shared" si="8"/>
        <v>73000000</v>
      </c>
    </row>
    <row r="558" spans="1:9">
      <c r="A558" s="383">
        <v>341160</v>
      </c>
      <c r="B558" s="383" t="s">
        <v>2250</v>
      </c>
      <c r="C558" s="383" t="s">
        <v>2251</v>
      </c>
      <c r="D558" s="383">
        <v>811</v>
      </c>
      <c r="E558" s="383" t="s">
        <v>2233</v>
      </c>
      <c r="F558" s="383">
        <v>239320620</v>
      </c>
      <c r="G558" s="383"/>
      <c r="H558" s="383">
        <v>5</v>
      </c>
      <c r="I558" s="383">
        <f t="shared" si="8"/>
        <v>1196603100</v>
      </c>
    </row>
    <row r="559" spans="1:9">
      <c r="A559" s="383">
        <v>351000</v>
      </c>
      <c r="B559" s="383" t="s">
        <v>2252</v>
      </c>
      <c r="C559" s="383" t="s">
        <v>2253</v>
      </c>
      <c r="D559" s="383">
        <v>818</v>
      </c>
      <c r="E559" s="383" t="s">
        <v>2044</v>
      </c>
      <c r="F559" s="383">
        <v>28266231</v>
      </c>
      <c r="G559" s="383"/>
      <c r="H559" s="383">
        <v>10</v>
      </c>
      <c r="I559" s="383">
        <f t="shared" si="8"/>
        <v>282662310</v>
      </c>
    </row>
    <row r="560" spans="1:9">
      <c r="A560" s="383">
        <v>351010</v>
      </c>
      <c r="B560" s="383" t="s">
        <v>2254</v>
      </c>
      <c r="C560" s="383" t="s">
        <v>2255</v>
      </c>
      <c r="D560" s="383">
        <v>818</v>
      </c>
      <c r="E560" s="383" t="s">
        <v>2044</v>
      </c>
      <c r="F560" s="383">
        <v>10000000</v>
      </c>
      <c r="G560" s="383"/>
      <c r="H560" s="383">
        <v>10</v>
      </c>
      <c r="I560" s="383">
        <f t="shared" si="8"/>
        <v>100000000</v>
      </c>
    </row>
    <row r="561" spans="1:9">
      <c r="A561" s="383">
        <v>351020</v>
      </c>
      <c r="B561" s="383" t="s">
        <v>2256</v>
      </c>
      <c r="C561" s="383" t="s">
        <v>2257</v>
      </c>
      <c r="D561" s="383">
        <v>818</v>
      </c>
      <c r="E561" s="383" t="s">
        <v>2044</v>
      </c>
      <c r="F561" s="383">
        <v>6400000</v>
      </c>
      <c r="G561" s="383"/>
      <c r="H561" s="383">
        <v>10</v>
      </c>
      <c r="I561" s="383">
        <f t="shared" si="8"/>
        <v>64000000</v>
      </c>
    </row>
    <row r="562" spans="1:9">
      <c r="A562" s="383">
        <v>351021</v>
      </c>
      <c r="B562" s="383" t="s">
        <v>2258</v>
      </c>
      <c r="C562" s="383" t="s">
        <v>2259</v>
      </c>
      <c r="D562" s="383">
        <v>818</v>
      </c>
      <c r="E562" s="383" t="s">
        <v>2044</v>
      </c>
      <c r="F562" s="383">
        <v>4000000</v>
      </c>
      <c r="G562" s="383"/>
      <c r="H562" s="383">
        <v>10</v>
      </c>
      <c r="I562" s="383">
        <f t="shared" si="8"/>
        <v>40000000</v>
      </c>
    </row>
    <row r="563" spans="1:9">
      <c r="A563" s="383">
        <v>351022</v>
      </c>
      <c r="B563" s="383" t="s">
        <v>2260</v>
      </c>
      <c r="C563" s="383" t="s">
        <v>2261</v>
      </c>
      <c r="D563" s="383">
        <v>818</v>
      </c>
      <c r="E563" s="383" t="s">
        <v>2044</v>
      </c>
      <c r="F563" s="383">
        <v>59301150</v>
      </c>
      <c r="G563" s="383"/>
      <c r="H563" s="383">
        <v>10</v>
      </c>
      <c r="I563" s="383">
        <f t="shared" si="8"/>
        <v>593011500</v>
      </c>
    </row>
    <row r="564" spans="1:9">
      <c r="A564" s="383">
        <v>351025</v>
      </c>
      <c r="B564" s="383" t="s">
        <v>2262</v>
      </c>
      <c r="C564" s="383" t="s">
        <v>2263</v>
      </c>
      <c r="D564" s="383">
        <v>818</v>
      </c>
      <c r="E564" s="383" t="s">
        <v>2044</v>
      </c>
      <c r="F564" s="383">
        <v>9000000</v>
      </c>
      <c r="G564" s="383"/>
      <c r="H564" s="383">
        <v>10</v>
      </c>
      <c r="I564" s="383">
        <f t="shared" si="8"/>
        <v>90000000</v>
      </c>
    </row>
    <row r="565" spans="1:9">
      <c r="A565" s="383">
        <v>351050</v>
      </c>
      <c r="B565" s="383" t="s">
        <v>2264</v>
      </c>
      <c r="C565" s="383" t="s">
        <v>639</v>
      </c>
      <c r="D565" s="383">
        <v>818</v>
      </c>
      <c r="E565" s="383" t="s">
        <v>2044</v>
      </c>
      <c r="F565" s="383">
        <v>30157272</v>
      </c>
      <c r="G565" s="383"/>
      <c r="H565" s="383">
        <v>10</v>
      </c>
      <c r="I565" s="383">
        <f t="shared" si="8"/>
        <v>301572720</v>
      </c>
    </row>
    <row r="566" spans="1:9">
      <c r="A566" s="383">
        <v>351060</v>
      </c>
      <c r="B566" s="383" t="s">
        <v>2265</v>
      </c>
      <c r="C566" s="383" t="s">
        <v>2266</v>
      </c>
      <c r="D566" s="383">
        <v>818</v>
      </c>
      <c r="E566" s="383" t="s">
        <v>2044</v>
      </c>
      <c r="F566" s="383">
        <v>2322800</v>
      </c>
      <c r="G566" s="383"/>
      <c r="H566" s="383">
        <v>10</v>
      </c>
      <c r="I566" s="383">
        <f t="shared" si="8"/>
        <v>23228000</v>
      </c>
    </row>
    <row r="567" spans="1:9">
      <c r="A567" s="383">
        <v>351080</v>
      </c>
      <c r="B567" s="383" t="s">
        <v>2267</v>
      </c>
      <c r="C567" s="383" t="s">
        <v>2268</v>
      </c>
      <c r="D567" s="383">
        <v>818</v>
      </c>
      <c r="E567" s="383" t="s">
        <v>2044</v>
      </c>
      <c r="F567" s="383">
        <v>7348950</v>
      </c>
      <c r="G567" s="383"/>
      <c r="H567" s="383">
        <v>10</v>
      </c>
      <c r="I567" s="383">
        <f t="shared" si="8"/>
        <v>73489500</v>
      </c>
    </row>
    <row r="568" spans="1:9">
      <c r="A568" s="383">
        <v>351120</v>
      </c>
      <c r="B568" s="383" t="s">
        <v>2269</v>
      </c>
      <c r="C568" s="383" t="s">
        <v>2270</v>
      </c>
      <c r="D568" s="383">
        <v>818</v>
      </c>
      <c r="E568" s="383" t="s">
        <v>2044</v>
      </c>
      <c r="F568" s="383">
        <v>1633500</v>
      </c>
      <c r="G568" s="383"/>
      <c r="H568" s="383">
        <v>10</v>
      </c>
      <c r="I568" s="383">
        <f t="shared" si="8"/>
        <v>16335000</v>
      </c>
    </row>
    <row r="569" spans="1:9">
      <c r="A569" s="383">
        <v>351185</v>
      </c>
      <c r="B569" s="383" t="s">
        <v>2271</v>
      </c>
      <c r="C569" s="383" t="s">
        <v>2272</v>
      </c>
      <c r="D569" s="383">
        <v>818</v>
      </c>
      <c r="E569" s="383" t="s">
        <v>2044</v>
      </c>
      <c r="F569" s="383">
        <v>7355400</v>
      </c>
      <c r="G569" s="383"/>
      <c r="H569" s="383">
        <v>10</v>
      </c>
      <c r="I569" s="383">
        <f t="shared" si="8"/>
        <v>73554000</v>
      </c>
    </row>
    <row r="570" spans="1:9">
      <c r="A570" s="383">
        <v>351187</v>
      </c>
      <c r="B570" s="383" t="s">
        <v>2273</v>
      </c>
      <c r="C570" s="383" t="s">
        <v>2274</v>
      </c>
      <c r="D570" s="383">
        <v>818</v>
      </c>
      <c r="E570" s="383" t="s">
        <v>2044</v>
      </c>
      <c r="F570" s="383">
        <v>278876604</v>
      </c>
      <c r="G570" s="383"/>
      <c r="H570" s="383">
        <v>10</v>
      </c>
      <c r="I570" s="383">
        <f t="shared" si="8"/>
        <v>2788766040</v>
      </c>
    </row>
    <row r="571" spans="1:9">
      <c r="A571" s="383">
        <v>351210</v>
      </c>
      <c r="B571" s="383" t="s">
        <v>2275</v>
      </c>
      <c r="C571" s="383" t="s">
        <v>2276</v>
      </c>
      <c r="D571" s="383">
        <v>818</v>
      </c>
      <c r="E571" s="383" t="s">
        <v>2044</v>
      </c>
      <c r="F571" s="383">
        <v>18000000</v>
      </c>
      <c r="G571" s="383"/>
      <c r="H571" s="383">
        <v>10</v>
      </c>
      <c r="I571" s="383">
        <f t="shared" si="8"/>
        <v>180000000</v>
      </c>
    </row>
    <row r="572" spans="1:9">
      <c r="A572" s="383">
        <v>351240</v>
      </c>
      <c r="B572" s="383" t="s">
        <v>2277</v>
      </c>
      <c r="C572" s="383" t="s">
        <v>2278</v>
      </c>
      <c r="D572" s="383">
        <v>818</v>
      </c>
      <c r="E572" s="383" t="s">
        <v>2044</v>
      </c>
      <c r="F572" s="383">
        <v>32524250</v>
      </c>
      <c r="G572" s="383"/>
      <c r="H572" s="383">
        <v>10</v>
      </c>
      <c r="I572" s="383">
        <f t="shared" si="8"/>
        <v>325242500</v>
      </c>
    </row>
    <row r="573" spans="1:9">
      <c r="A573" s="383">
        <v>351260</v>
      </c>
      <c r="B573" s="383" t="s">
        <v>2279</v>
      </c>
      <c r="C573" s="383" t="s">
        <v>2280</v>
      </c>
      <c r="D573" s="383">
        <v>818</v>
      </c>
      <c r="E573" s="383" t="s">
        <v>2044</v>
      </c>
      <c r="F573" s="383">
        <v>2507273</v>
      </c>
      <c r="G573" s="383"/>
      <c r="H573" s="383">
        <v>10</v>
      </c>
      <c r="I573" s="383">
        <f t="shared" si="8"/>
        <v>25072730</v>
      </c>
    </row>
    <row r="574" spans="1:9">
      <c r="A574" s="383">
        <v>351270</v>
      </c>
      <c r="B574" s="383" t="s">
        <v>2281</v>
      </c>
      <c r="C574" s="383" t="s">
        <v>2282</v>
      </c>
      <c r="D574" s="383">
        <v>818</v>
      </c>
      <c r="E574" s="383" t="s">
        <v>2044</v>
      </c>
      <c r="F574" s="383">
        <v>54537900</v>
      </c>
      <c r="G574" s="383"/>
      <c r="H574" s="383">
        <v>10</v>
      </c>
      <c r="I574" s="383">
        <f t="shared" si="8"/>
        <v>545379000</v>
      </c>
    </row>
    <row r="575" spans="1:9">
      <c r="A575" s="383">
        <v>351275</v>
      </c>
      <c r="B575" s="383" t="s">
        <v>2283</v>
      </c>
      <c r="C575" s="383" t="s">
        <v>2284</v>
      </c>
      <c r="D575" s="383">
        <v>818</v>
      </c>
      <c r="E575" s="383" t="s">
        <v>2044</v>
      </c>
      <c r="F575" s="383">
        <v>78520090</v>
      </c>
      <c r="G575" s="383"/>
      <c r="H575" s="383">
        <v>10</v>
      </c>
      <c r="I575" s="383">
        <f t="shared" si="8"/>
        <v>785200900</v>
      </c>
    </row>
    <row r="576" spans="1:9">
      <c r="A576" s="383">
        <v>351276</v>
      </c>
      <c r="B576" s="383" t="s">
        <v>2285</v>
      </c>
      <c r="C576" s="383" t="s">
        <v>2286</v>
      </c>
      <c r="D576" s="383">
        <v>818</v>
      </c>
      <c r="E576" s="383" t="s">
        <v>2044</v>
      </c>
      <c r="F576" s="383">
        <v>273511367</v>
      </c>
      <c r="G576" s="383"/>
      <c r="H576" s="383">
        <v>10</v>
      </c>
      <c r="I576" s="383">
        <f t="shared" si="8"/>
        <v>2735113670</v>
      </c>
    </row>
    <row r="577" spans="1:9">
      <c r="A577" s="383">
        <v>351450</v>
      </c>
      <c r="B577" s="383" t="s">
        <v>2287</v>
      </c>
      <c r="C577" s="383" t="s">
        <v>2288</v>
      </c>
      <c r="D577" s="383">
        <v>818</v>
      </c>
      <c r="E577" s="383" t="s">
        <v>2044</v>
      </c>
      <c r="F577" s="383">
        <v>38800000</v>
      </c>
      <c r="G577" s="383"/>
      <c r="H577" s="383">
        <v>10</v>
      </c>
      <c r="I577" s="383">
        <f t="shared" si="8"/>
        <v>388000000</v>
      </c>
    </row>
    <row r="578" spans="1:9">
      <c r="A578" s="383">
        <v>351480</v>
      </c>
      <c r="B578" s="383" t="s">
        <v>2289</v>
      </c>
      <c r="C578" s="383" t="s">
        <v>2290</v>
      </c>
      <c r="D578" s="383">
        <v>818</v>
      </c>
      <c r="E578" s="383" t="s">
        <v>2044</v>
      </c>
      <c r="F578" s="383">
        <v>10800000</v>
      </c>
      <c r="G578" s="383"/>
      <c r="H578" s="383">
        <v>10</v>
      </c>
      <c r="I578" s="383">
        <f t="shared" si="8"/>
        <v>108000000</v>
      </c>
    </row>
    <row r="579" spans="1:9">
      <c r="A579" s="383">
        <v>351500</v>
      </c>
      <c r="B579" s="383" t="s">
        <v>2291</v>
      </c>
      <c r="C579" s="383" t="s">
        <v>2292</v>
      </c>
      <c r="D579" s="383">
        <v>818</v>
      </c>
      <c r="E579" s="383" t="s">
        <v>2044</v>
      </c>
      <c r="F579" s="383">
        <v>26670045</v>
      </c>
      <c r="G579" s="383"/>
      <c r="H579" s="383">
        <v>10</v>
      </c>
      <c r="I579" s="383">
        <f t="shared" ref="I579:I585" si="9">F579*H579</f>
        <v>266700450</v>
      </c>
    </row>
    <row r="580" spans="1:9">
      <c r="A580" s="383">
        <v>400074</v>
      </c>
      <c r="B580" s="383" t="s">
        <v>2293</v>
      </c>
      <c r="C580" s="383" t="s">
        <v>2293</v>
      </c>
      <c r="D580" s="383">
        <v>40</v>
      </c>
      <c r="E580" s="383" t="s">
        <v>2294</v>
      </c>
      <c r="F580" s="383">
        <v>0</v>
      </c>
      <c r="G580" s="383"/>
      <c r="H580" s="383">
        <v>10</v>
      </c>
      <c r="I580" s="383">
        <f t="shared" si="9"/>
        <v>0</v>
      </c>
    </row>
    <row r="581" spans="1:9">
      <c r="A581" s="383">
        <v>400107</v>
      </c>
      <c r="B581" s="383" t="s">
        <v>2295</v>
      </c>
      <c r="C581" s="383" t="s">
        <v>2295</v>
      </c>
      <c r="D581" s="383">
        <v>40</v>
      </c>
      <c r="E581" s="383" t="s">
        <v>2294</v>
      </c>
      <c r="F581" s="383">
        <v>0</v>
      </c>
      <c r="G581" s="383"/>
      <c r="H581" s="383">
        <v>10</v>
      </c>
      <c r="I581" s="383">
        <f t="shared" si="9"/>
        <v>0</v>
      </c>
    </row>
    <row r="582" spans="1:9">
      <c r="A582" s="383">
        <v>400147</v>
      </c>
      <c r="B582" s="383" t="s">
        <v>2296</v>
      </c>
      <c r="C582" s="383" t="s">
        <v>2296</v>
      </c>
      <c r="D582" s="383">
        <v>40</v>
      </c>
      <c r="E582" s="383" t="s">
        <v>2294</v>
      </c>
      <c r="F582" s="383">
        <v>0</v>
      </c>
      <c r="G582" s="383"/>
      <c r="H582" s="383">
        <v>10</v>
      </c>
      <c r="I582" s="383">
        <f t="shared" si="9"/>
        <v>0</v>
      </c>
    </row>
    <row r="583" spans="1:9">
      <c r="A583" s="383">
        <v>400847</v>
      </c>
      <c r="B583" s="383" t="s">
        <v>2297</v>
      </c>
      <c r="C583" s="383" t="s">
        <v>2298</v>
      </c>
      <c r="D583" s="383">
        <v>40</v>
      </c>
      <c r="E583" s="383" t="s">
        <v>2294</v>
      </c>
      <c r="F583" s="383">
        <v>0</v>
      </c>
      <c r="G583" s="383"/>
      <c r="H583" s="383">
        <v>10</v>
      </c>
      <c r="I583" s="383">
        <f t="shared" si="9"/>
        <v>0</v>
      </c>
    </row>
    <row r="584" spans="1:9">
      <c r="A584" s="383">
        <v>421343</v>
      </c>
      <c r="B584" s="383" t="s">
        <v>2299</v>
      </c>
      <c r="C584" s="383" t="s">
        <v>2300</v>
      </c>
      <c r="D584" s="383">
        <v>819</v>
      </c>
      <c r="E584" s="383" t="s">
        <v>1199</v>
      </c>
      <c r="F584" s="383">
        <v>100000000</v>
      </c>
      <c r="G584" s="383"/>
      <c r="H584" s="383">
        <v>10</v>
      </c>
      <c r="I584" s="383">
        <f t="shared" si="9"/>
        <v>1000000000</v>
      </c>
    </row>
    <row r="585" spans="1:9">
      <c r="A585" s="383">
        <v>460000</v>
      </c>
      <c r="B585" s="383" t="s">
        <v>2301</v>
      </c>
      <c r="C585" s="383" t="s">
        <v>2302</v>
      </c>
      <c r="D585" s="383">
        <v>836</v>
      </c>
      <c r="E585" s="383" t="s">
        <v>2303</v>
      </c>
      <c r="F585" s="383">
        <v>2223700000</v>
      </c>
      <c r="G585" s="383"/>
      <c r="H585" s="383">
        <v>10</v>
      </c>
      <c r="I585" s="383">
        <f t="shared" si="9"/>
        <v>22237000000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5"/>
  <sheetViews>
    <sheetView view="pageBreakPreview" topLeftCell="A21" zoomScaleNormal="75" zoomScaleSheetLayoutView="100" workbookViewId="0">
      <selection activeCell="R43" sqref="R43"/>
    </sheetView>
  </sheetViews>
  <sheetFormatPr defaultColWidth="9.09765625" defaultRowHeight="13.8"/>
  <cols>
    <col min="1" max="1" width="3.69921875" style="1414" customWidth="1"/>
    <col min="2" max="2" width="5.19921875" style="1413" customWidth="1"/>
    <col min="3" max="3" width="3.19921875" style="1413" customWidth="1"/>
    <col min="4" max="4" width="32.19921875" style="1413" customWidth="1"/>
    <col min="5" max="5" width="16.5" style="1413" customWidth="1"/>
    <col min="6" max="6" width="15.69921875" style="1413" hidden="1" customWidth="1"/>
    <col min="7" max="7" width="0.69921875" style="1413" hidden="1" customWidth="1"/>
    <col min="8" max="8" width="16.69921875" style="1413" hidden="1" customWidth="1"/>
    <col min="9" max="9" width="1.09765625" style="1413" hidden="1" customWidth="1"/>
    <col min="10" max="10" width="16.69921875" style="1413" hidden="1" customWidth="1"/>
    <col min="11" max="11" width="0.69921875" style="1413" hidden="1" customWidth="1"/>
    <col min="12" max="12" width="15.69921875" style="1413" hidden="1" customWidth="1"/>
    <col min="13" max="13" width="0.69921875" style="1413" hidden="1" customWidth="1"/>
    <col min="14" max="14" width="15.69921875" style="1413" hidden="1" customWidth="1"/>
    <col min="15" max="15" width="0.69921875" style="1413" hidden="1" customWidth="1"/>
    <col min="16" max="16" width="1.69921875" style="1413" hidden="1" customWidth="1"/>
    <col min="17" max="17" width="15.59765625" style="1413" customWidth="1"/>
    <col min="18" max="18" width="1.19921875" style="1413" customWidth="1"/>
    <col min="19" max="19" width="15.59765625" style="1413" customWidth="1"/>
    <col min="20" max="20" width="1.19921875" style="1413" customWidth="1"/>
    <col min="21" max="21" width="15.59765625" style="1413" customWidth="1"/>
    <col min="22" max="22" width="1.19921875" style="1413" customWidth="1"/>
    <col min="23" max="23" width="15.59765625" style="1413" customWidth="1"/>
    <col min="24" max="24" width="9.09765625" style="1413"/>
    <col min="25" max="25" width="10.5" style="1413" bestFit="1" customWidth="1"/>
    <col min="26" max="16384" width="9.09765625" style="1413"/>
  </cols>
  <sheetData>
    <row r="1" spans="1:23">
      <c r="A1" s="1411">
        <f>'6-10'!A83+1</f>
        <v>17</v>
      </c>
      <c r="B1" s="1412" t="s">
        <v>246</v>
      </c>
    </row>
    <row r="3" spans="1:23">
      <c r="B3" s="2502" t="s">
        <v>2511</v>
      </c>
      <c r="C3" s="2502"/>
      <c r="D3" s="2502"/>
      <c r="E3" s="2502"/>
      <c r="F3" s="2502"/>
      <c r="G3" s="2502"/>
      <c r="H3" s="2502"/>
      <c r="I3" s="2502"/>
      <c r="J3" s="2502"/>
      <c r="K3" s="2502"/>
      <c r="L3" s="2502"/>
      <c r="M3" s="2502"/>
      <c r="N3" s="2502"/>
      <c r="O3" s="2502"/>
      <c r="P3" s="2502"/>
      <c r="Q3" s="2502"/>
      <c r="R3" s="2502"/>
      <c r="S3" s="2502"/>
      <c r="T3" s="2502"/>
      <c r="U3" s="2502"/>
      <c r="V3" s="2502"/>
      <c r="W3" s="2502"/>
    </row>
    <row r="4" spans="1:23">
      <c r="B4" s="2502"/>
      <c r="C4" s="2502"/>
      <c r="D4" s="2502"/>
      <c r="E4" s="2502"/>
      <c r="F4" s="2502"/>
      <c r="G4" s="2502"/>
      <c r="H4" s="2502"/>
      <c r="I4" s="2502"/>
      <c r="J4" s="2502"/>
      <c r="K4" s="2502"/>
      <c r="L4" s="2502"/>
      <c r="M4" s="2502"/>
      <c r="N4" s="2502"/>
      <c r="O4" s="2502"/>
      <c r="P4" s="2502"/>
      <c r="Q4" s="2502"/>
      <c r="R4" s="2502"/>
      <c r="S4" s="2502"/>
      <c r="T4" s="2502"/>
      <c r="U4" s="2502"/>
      <c r="V4" s="2502"/>
      <c r="W4" s="2502"/>
    </row>
    <row r="5" spans="1:23">
      <c r="B5" s="2502"/>
      <c r="C5" s="2502"/>
      <c r="D5" s="2502"/>
      <c r="E5" s="2502"/>
      <c r="F5" s="2502"/>
      <c r="G5" s="2502"/>
      <c r="H5" s="2502"/>
      <c r="I5" s="2502"/>
      <c r="J5" s="2502"/>
      <c r="K5" s="2502"/>
      <c r="L5" s="2502"/>
      <c r="M5" s="2502"/>
      <c r="N5" s="2502"/>
      <c r="O5" s="2502"/>
      <c r="P5" s="2502"/>
      <c r="Q5" s="2502"/>
      <c r="R5" s="2502"/>
      <c r="S5" s="2502"/>
      <c r="T5" s="2502"/>
      <c r="U5" s="2502"/>
      <c r="V5" s="2502"/>
      <c r="W5" s="2502"/>
    </row>
    <row r="7" spans="1:23">
      <c r="B7" s="2502" t="s">
        <v>2498</v>
      </c>
      <c r="C7" s="2502"/>
      <c r="D7" s="2502"/>
      <c r="E7" s="2502"/>
      <c r="F7" s="2502"/>
      <c r="G7" s="2502"/>
      <c r="H7" s="2502"/>
      <c r="I7" s="2502"/>
      <c r="J7" s="2502"/>
      <c r="K7" s="2502"/>
      <c r="L7" s="2502"/>
      <c r="M7" s="2502"/>
      <c r="N7" s="2502"/>
      <c r="O7" s="2502"/>
      <c r="P7" s="2502"/>
      <c r="Q7" s="2502"/>
      <c r="R7" s="2502"/>
      <c r="S7" s="2502"/>
      <c r="T7" s="2502"/>
      <c r="U7" s="2502"/>
      <c r="V7" s="2502"/>
      <c r="W7" s="2502"/>
    </row>
    <row r="8" spans="1:23">
      <c r="B8" s="2502"/>
      <c r="C8" s="2502"/>
      <c r="D8" s="2502"/>
      <c r="E8" s="2502"/>
      <c r="F8" s="2502"/>
      <c r="G8" s="2502"/>
      <c r="H8" s="2502"/>
      <c r="I8" s="2502"/>
      <c r="J8" s="2502"/>
      <c r="K8" s="2502"/>
      <c r="L8" s="2502"/>
      <c r="M8" s="2502"/>
      <c r="N8" s="2502"/>
      <c r="O8" s="2502"/>
      <c r="P8" s="2502"/>
      <c r="Q8" s="2502"/>
      <c r="R8" s="2502"/>
      <c r="S8" s="2502"/>
      <c r="T8" s="2502"/>
      <c r="U8" s="2502"/>
      <c r="V8" s="2502"/>
      <c r="W8" s="2502"/>
    </row>
    <row r="10" spans="1:23">
      <c r="B10" s="2504" t="s">
        <v>2499</v>
      </c>
      <c r="C10" s="2504"/>
      <c r="D10" s="2504"/>
      <c r="E10" s="2504"/>
      <c r="F10" s="2504"/>
      <c r="G10" s="2504"/>
      <c r="H10" s="2504"/>
      <c r="I10" s="2504"/>
      <c r="J10" s="2504"/>
      <c r="K10" s="2504"/>
      <c r="L10" s="2504"/>
      <c r="M10" s="2504"/>
      <c r="N10" s="2504"/>
      <c r="O10" s="2504"/>
      <c r="P10" s="2504"/>
      <c r="Q10" s="2504"/>
      <c r="R10" s="2504"/>
      <c r="S10" s="2504"/>
      <c r="T10" s="2504"/>
      <c r="U10" s="2504"/>
      <c r="V10" s="2504"/>
      <c r="W10" s="2504"/>
    </row>
    <row r="12" spans="1:23">
      <c r="B12" s="1415" t="s">
        <v>2500</v>
      </c>
      <c r="C12" s="1933"/>
      <c r="D12" s="1416" t="s">
        <v>2501</v>
      </c>
      <c r="E12" s="1417"/>
      <c r="F12" s="1417"/>
      <c r="G12" s="1417"/>
      <c r="H12" s="1417"/>
      <c r="I12" s="1417"/>
      <c r="J12" s="1417"/>
      <c r="K12" s="1417"/>
      <c r="L12" s="1417"/>
      <c r="M12" s="1417"/>
      <c r="N12" s="1417"/>
      <c r="O12" s="1417"/>
      <c r="P12" s="1418"/>
      <c r="Q12" s="1417"/>
      <c r="R12" s="1417"/>
      <c r="S12" s="1417"/>
      <c r="T12" s="1417"/>
      <c r="U12" s="1418"/>
    </row>
    <row r="13" spans="1:23">
      <c r="B13" s="1419"/>
      <c r="C13" s="1933"/>
      <c r="D13" s="1417"/>
      <c r="E13" s="1417"/>
      <c r="F13" s="1417"/>
      <c r="G13" s="1417"/>
      <c r="H13" s="1417"/>
      <c r="I13" s="1417"/>
      <c r="J13" s="1417"/>
      <c r="K13" s="1417"/>
      <c r="L13" s="1417"/>
      <c r="M13" s="1417"/>
      <c r="N13" s="1417"/>
      <c r="O13" s="1417"/>
      <c r="P13" s="1418"/>
      <c r="Q13" s="1417"/>
      <c r="R13" s="1417"/>
      <c r="S13" s="1417"/>
      <c r="T13" s="1417"/>
      <c r="U13" s="1418"/>
    </row>
    <row r="14" spans="1:23">
      <c r="B14" s="1415" t="s">
        <v>2502</v>
      </c>
      <c r="C14" s="1933"/>
      <c r="D14" s="2505" t="s">
        <v>2503</v>
      </c>
      <c r="E14" s="2505"/>
      <c r="F14" s="2505"/>
      <c r="G14" s="2505"/>
      <c r="H14" s="2505"/>
      <c r="I14" s="2505"/>
      <c r="J14" s="2505"/>
      <c r="K14" s="2505"/>
      <c r="L14" s="2505"/>
      <c r="M14" s="2505"/>
      <c r="N14" s="2505"/>
      <c r="O14" s="2505"/>
      <c r="P14" s="2505"/>
      <c r="Q14" s="2505"/>
      <c r="R14" s="2505"/>
      <c r="S14" s="2505"/>
      <c r="T14" s="2505"/>
      <c r="U14" s="2505"/>
      <c r="V14" s="2505"/>
      <c r="W14" s="2505"/>
    </row>
    <row r="15" spans="1:23">
      <c r="B15" s="1415"/>
      <c r="C15" s="1933"/>
      <c r="D15" s="2505"/>
      <c r="E15" s="2505"/>
      <c r="F15" s="2505"/>
      <c r="G15" s="2505"/>
      <c r="H15" s="2505"/>
      <c r="I15" s="2505"/>
      <c r="J15" s="2505"/>
      <c r="K15" s="2505"/>
      <c r="L15" s="2505"/>
      <c r="M15" s="2505"/>
      <c r="N15" s="2505"/>
      <c r="O15" s="2505"/>
      <c r="P15" s="2505"/>
      <c r="Q15" s="2505"/>
      <c r="R15" s="2505"/>
      <c r="S15" s="2505"/>
      <c r="T15" s="2505"/>
      <c r="U15" s="2505"/>
      <c r="V15" s="2505"/>
      <c r="W15" s="2505"/>
    </row>
    <row r="16" spans="1:23">
      <c r="B16" s="1419"/>
      <c r="C16" s="1933"/>
      <c r="D16" s="1930"/>
      <c r="E16" s="1930"/>
      <c r="F16" s="1930"/>
      <c r="G16" s="1930"/>
      <c r="H16" s="1930"/>
      <c r="I16" s="1930"/>
      <c r="J16" s="1930"/>
      <c r="K16" s="1930"/>
      <c r="L16" s="1930"/>
      <c r="M16" s="1930"/>
      <c r="N16" s="1930"/>
      <c r="O16" s="1930"/>
      <c r="P16" s="1930"/>
      <c r="Q16" s="1930"/>
      <c r="R16" s="1930"/>
      <c r="S16" s="1930"/>
      <c r="T16" s="1930"/>
      <c r="U16" s="1930"/>
    </row>
    <row r="17" spans="1:23">
      <c r="B17" s="1415" t="s">
        <v>2504</v>
      </c>
      <c r="C17" s="1933"/>
      <c r="D17" s="1420" t="s">
        <v>2505</v>
      </c>
      <c r="E17" s="1930"/>
      <c r="F17" s="1930"/>
      <c r="G17" s="1930"/>
      <c r="H17" s="1930"/>
      <c r="I17" s="1930"/>
      <c r="J17" s="1930"/>
      <c r="K17" s="1930"/>
      <c r="L17" s="1930"/>
      <c r="M17" s="1930"/>
      <c r="N17" s="1930"/>
      <c r="O17" s="1930"/>
      <c r="P17" s="1930"/>
      <c r="Q17" s="1930"/>
      <c r="R17" s="1930"/>
      <c r="S17" s="1930"/>
      <c r="T17" s="1930"/>
      <c r="U17" s="1930"/>
    </row>
    <row r="18" spans="1:23">
      <c r="B18" s="1421"/>
      <c r="C18" s="1933"/>
      <c r="D18" s="1930"/>
      <c r="E18" s="1930"/>
      <c r="F18" s="1930"/>
      <c r="G18" s="1930"/>
      <c r="H18" s="1930"/>
      <c r="I18" s="1930"/>
      <c r="J18" s="1930"/>
      <c r="K18" s="1930"/>
      <c r="L18" s="1930"/>
      <c r="M18" s="1930"/>
      <c r="N18" s="1930"/>
      <c r="O18" s="1930"/>
      <c r="P18" s="1930"/>
      <c r="Q18" s="1930"/>
      <c r="R18" s="1930"/>
      <c r="S18" s="1930"/>
      <c r="T18" s="1930"/>
      <c r="U18" s="1930"/>
    </row>
    <row r="19" spans="1:23">
      <c r="B19" s="1935" t="s">
        <v>2628</v>
      </c>
      <c r="C19" s="1933"/>
      <c r="D19" s="1420"/>
      <c r="E19" s="1930"/>
      <c r="F19" s="1930"/>
      <c r="G19" s="1930"/>
      <c r="H19" s="1930"/>
      <c r="I19" s="1930"/>
      <c r="J19" s="1930"/>
      <c r="K19" s="1930"/>
      <c r="L19" s="1930"/>
      <c r="M19" s="1930"/>
      <c r="N19" s="1930"/>
      <c r="O19" s="1930"/>
      <c r="P19" s="1930"/>
      <c r="Q19" s="1930"/>
      <c r="R19" s="1930"/>
      <c r="S19" s="1930"/>
      <c r="T19" s="1930"/>
      <c r="U19" s="1930"/>
    </row>
    <row r="20" spans="1:23">
      <c r="B20" s="1421"/>
      <c r="C20" s="1933"/>
      <c r="D20" s="1930"/>
      <c r="E20" s="1930"/>
      <c r="F20" s="1930"/>
      <c r="G20" s="1930"/>
      <c r="H20" s="1930"/>
      <c r="I20" s="1930"/>
      <c r="J20" s="1930"/>
      <c r="K20" s="1930"/>
      <c r="L20" s="1930"/>
      <c r="M20" s="1930"/>
      <c r="N20" s="1930"/>
      <c r="O20" s="1930"/>
      <c r="P20" s="1930"/>
      <c r="Q20" s="1930"/>
      <c r="R20" s="1930"/>
      <c r="S20" s="1930"/>
      <c r="T20" s="1930"/>
      <c r="U20" s="1930"/>
    </row>
    <row r="21" spans="1:23" s="1934" customFormat="1">
      <c r="A21" s="1922"/>
      <c r="B21" s="1923"/>
      <c r="C21" s="1924"/>
      <c r="E21" s="1931"/>
      <c r="F21" s="1932"/>
      <c r="G21" s="1931"/>
      <c r="H21" s="1932"/>
      <c r="I21" s="1931"/>
      <c r="J21" s="1932"/>
      <c r="K21" s="1931"/>
      <c r="L21" s="1932"/>
      <c r="M21" s="1931"/>
      <c r="N21" s="1932"/>
      <c r="O21" s="1931"/>
      <c r="P21" s="1925"/>
      <c r="Q21" s="1926" t="s">
        <v>211</v>
      </c>
      <c r="R21" s="1927"/>
      <c r="S21" s="1926" t="s">
        <v>212</v>
      </c>
      <c r="T21" s="1927"/>
      <c r="U21" s="1926" t="s">
        <v>213</v>
      </c>
      <c r="V21" s="1928"/>
      <c r="W21" s="1926" t="s">
        <v>44</v>
      </c>
    </row>
    <row r="22" spans="1:23" s="1933" customFormat="1">
      <c r="A22" s="1422"/>
      <c r="B22" s="1423"/>
      <c r="C22" s="1424"/>
      <c r="E22" s="1425"/>
      <c r="F22" s="2503" t="s">
        <v>2506</v>
      </c>
      <c r="G22" s="2503"/>
      <c r="H22" s="2503"/>
      <c r="I22" s="2503"/>
      <c r="J22" s="2503"/>
      <c r="K22" s="2503"/>
      <c r="L22" s="2503"/>
      <c r="M22" s="2503"/>
      <c r="N22" s="2503"/>
      <c r="O22" s="2503"/>
      <c r="P22" s="1766"/>
      <c r="Q22" s="2503" t="s">
        <v>2605</v>
      </c>
      <c r="R22" s="2503"/>
      <c r="S22" s="2503"/>
      <c r="T22" s="2503"/>
      <c r="U22" s="2503"/>
      <c r="V22" s="2503"/>
      <c r="W22" s="2503"/>
    </row>
    <row r="23" spans="1:23" s="1933" customFormat="1">
      <c r="A23" s="1422"/>
      <c r="B23" s="1426" t="s">
        <v>2626</v>
      </c>
      <c r="C23" s="1424"/>
      <c r="D23" s="1424"/>
      <c r="E23" s="1424"/>
      <c r="F23" s="1424"/>
      <c r="G23" s="1424"/>
      <c r="H23" s="1766"/>
      <c r="I23" s="1766"/>
      <c r="J23" s="1766"/>
      <c r="K23" s="1766"/>
      <c r="L23" s="1766"/>
      <c r="M23" s="1766"/>
      <c r="N23" s="1766"/>
      <c r="O23" s="1766"/>
      <c r="P23" s="1766"/>
      <c r="Q23" s="1427"/>
      <c r="R23" s="1427"/>
      <c r="S23" s="1427"/>
      <c r="T23" s="1427"/>
      <c r="U23" s="1427"/>
      <c r="V23" s="1427"/>
      <c r="W23" s="1427"/>
    </row>
    <row r="24" spans="1:23" s="1933" customFormat="1" ht="14.4" thickBot="1">
      <c r="A24" s="1422"/>
      <c r="B24" s="1443" t="s">
        <v>311</v>
      </c>
      <c r="C24" s="1424"/>
      <c r="D24" s="1424"/>
      <c r="E24" s="1444"/>
      <c r="F24" s="1438">
        <f>BS!F12</f>
        <v>11260226.018000003</v>
      </c>
      <c r="G24" s="1438"/>
      <c r="H24" s="1438"/>
      <c r="I24" s="1438"/>
      <c r="J24" s="1438"/>
      <c r="K24" s="1438"/>
      <c r="L24" s="1438"/>
      <c r="M24" s="1438"/>
      <c r="N24" s="1438">
        <f>F24+H24+J24+L24</f>
        <v>11260226.018000003</v>
      </c>
      <c r="O24" s="1766"/>
      <c r="P24" s="1766"/>
      <c r="Q24" s="1438">
        <f>BS!F12</f>
        <v>11260226.018000003</v>
      </c>
      <c r="R24" s="1438"/>
      <c r="S24" s="1438">
        <v>0</v>
      </c>
      <c r="T24" s="1438"/>
      <c r="U24" s="1438">
        <v>0</v>
      </c>
      <c r="V24" s="1438"/>
      <c r="W24" s="1438">
        <f>SUM(Q24:V24)</f>
        <v>11260226.018000003</v>
      </c>
    </row>
    <row r="25" spans="1:23" s="1933" customFormat="1" ht="14.4" thickTop="1">
      <c r="A25" s="1422"/>
      <c r="B25" s="1428"/>
      <c r="C25" s="1424"/>
      <c r="D25" s="1424"/>
      <c r="E25" s="1424"/>
      <c r="F25" s="1430"/>
      <c r="G25" s="1424"/>
      <c r="H25" s="1766"/>
      <c r="I25" s="1766"/>
      <c r="J25" s="1766"/>
      <c r="K25" s="1766"/>
      <c r="L25" s="1766"/>
      <c r="M25" s="1766"/>
      <c r="N25" s="1766"/>
      <c r="O25" s="1766"/>
      <c r="P25" s="1766"/>
      <c r="Q25" s="1427"/>
      <c r="R25" s="1427"/>
      <c r="S25" s="1427"/>
      <c r="T25" s="1427"/>
      <c r="U25" s="1427"/>
      <c r="V25" s="1427"/>
      <c r="W25" s="1427"/>
    </row>
    <row r="26" spans="1:23" s="1933" customFormat="1">
      <c r="A26" s="1422"/>
      <c r="B26" s="1426" t="s">
        <v>2545</v>
      </c>
      <c r="C26" s="1424"/>
      <c r="D26" s="1424"/>
      <c r="E26" s="1424"/>
      <c r="F26" s="1424"/>
      <c r="G26" s="1424"/>
      <c r="H26" s="1766"/>
      <c r="I26" s="1766"/>
      <c r="J26" s="1766"/>
      <c r="K26" s="1766"/>
      <c r="L26" s="1766"/>
      <c r="M26" s="1766"/>
      <c r="N26" s="1766"/>
      <c r="O26" s="1766"/>
      <c r="P26" s="1766"/>
      <c r="Q26" s="1766"/>
      <c r="R26" s="1766"/>
      <c r="S26" s="1766"/>
      <c r="T26" s="1766"/>
      <c r="U26" s="1766"/>
      <c r="V26" s="1417"/>
      <c r="W26" s="1418"/>
    </row>
    <row r="27" spans="1:23" s="1933" customFormat="1" ht="14.4" thickBot="1">
      <c r="A27" s="1422"/>
      <c r="B27" s="1443" t="s">
        <v>311</v>
      </c>
      <c r="C27" s="1424"/>
      <c r="D27" s="1424"/>
      <c r="E27" s="1424"/>
      <c r="F27" s="1439">
        <f>BS!H12</f>
        <v>11903844</v>
      </c>
      <c r="G27" s="1439"/>
      <c r="H27" s="1439">
        <v>0</v>
      </c>
      <c r="I27" s="1439"/>
      <c r="J27" s="1439"/>
      <c r="K27" s="1439"/>
      <c r="L27" s="1439">
        <v>0</v>
      </c>
      <c r="M27" s="1439"/>
      <c r="N27" s="1439">
        <f t="shared" ref="N27" si="0">F27+H27+J27+L27</f>
        <v>11903844</v>
      </c>
      <c r="O27" s="1766"/>
      <c r="P27" s="1766"/>
      <c r="Q27" s="1431">
        <f>'1-5'!L1236</f>
        <v>8666891</v>
      </c>
      <c r="R27" s="1431"/>
      <c r="S27" s="1431">
        <v>0</v>
      </c>
      <c r="T27" s="1431"/>
      <c r="U27" s="1431">
        <v>0</v>
      </c>
      <c r="V27" s="1431"/>
      <c r="W27" s="1431">
        <f>Q27+S27+U27</f>
        <v>8666891</v>
      </c>
    </row>
    <row r="28" spans="1:23" s="1933" customFormat="1" ht="14.4" thickTop="1">
      <c r="A28" s="1422"/>
      <c r="B28" s="1443" t="s">
        <v>72</v>
      </c>
      <c r="C28" s="1424"/>
      <c r="D28" s="1424"/>
      <c r="E28" s="1424"/>
      <c r="F28" s="1431"/>
      <c r="G28" s="1431"/>
      <c r="H28" s="1431"/>
      <c r="I28" s="1431"/>
      <c r="J28" s="1431"/>
      <c r="K28" s="1431"/>
      <c r="L28" s="1431"/>
      <c r="M28" s="1431"/>
      <c r="N28" s="1431"/>
      <c r="O28" s="1766"/>
      <c r="P28" s="1766"/>
      <c r="Q28" s="1431" t="e">
        <f>'1-5'!#REF!</f>
        <v>#REF!</v>
      </c>
      <c r="R28" s="1431"/>
      <c r="S28" s="1431">
        <v>0</v>
      </c>
      <c r="T28" s="1431"/>
      <c r="U28" s="1431">
        <v>0</v>
      </c>
      <c r="V28" s="1431"/>
      <c r="W28" s="1431" t="e">
        <f>Q28+S28+U28</f>
        <v>#REF!</v>
      </c>
    </row>
    <row r="29" spans="1:23" s="1933" customFormat="1" ht="14.4" thickBot="1">
      <c r="A29" s="1422"/>
      <c r="B29" s="1443"/>
      <c r="C29" s="1424"/>
      <c r="D29" s="1424"/>
      <c r="E29" s="1424"/>
      <c r="F29" s="1431"/>
      <c r="G29" s="1431"/>
      <c r="H29" s="1431"/>
      <c r="I29" s="1431"/>
      <c r="J29" s="1431"/>
      <c r="K29" s="1431"/>
      <c r="L29" s="1431"/>
      <c r="M29" s="1431"/>
      <c r="N29" s="1431"/>
      <c r="O29" s="1766"/>
      <c r="P29" s="1766"/>
      <c r="Q29" s="1929" t="e">
        <f>SUM(Q27:Q28)</f>
        <v>#REF!</v>
      </c>
      <c r="R29" s="1431"/>
      <c r="S29" s="1929">
        <f>SUM(S27:S28)</f>
        <v>0</v>
      </c>
      <c r="T29" s="1431"/>
      <c r="U29" s="1929">
        <f>SUM(U27:U28)</f>
        <v>0</v>
      </c>
      <c r="V29" s="1431"/>
      <c r="W29" s="1929" t="e">
        <f>SUM(W27:W28)</f>
        <v>#REF!</v>
      </c>
    </row>
    <row r="30" spans="1:23" s="1933" customFormat="1" ht="14.4" thickTop="1">
      <c r="A30" s="1422"/>
      <c r="B30" s="1429"/>
      <c r="C30" s="1424"/>
      <c r="D30" s="1424"/>
      <c r="E30" s="1424"/>
      <c r="F30" s="1432"/>
      <c r="G30" s="1424"/>
      <c r="H30" s="1433"/>
      <c r="I30" s="1433"/>
      <c r="J30" s="1433"/>
      <c r="K30" s="1433"/>
      <c r="L30" s="1433"/>
      <c r="M30" s="1433"/>
      <c r="N30" s="1433"/>
      <c r="O30" s="1433"/>
      <c r="P30" s="1433"/>
      <c r="Q30" s="1434"/>
      <c r="R30" s="1433"/>
      <c r="S30" s="1433"/>
      <c r="T30" s="1433"/>
      <c r="U30" s="1434"/>
      <c r="V30" s="1435"/>
      <c r="W30" s="1436"/>
    </row>
    <row r="31" spans="1:23">
      <c r="B31" s="2502" t="s">
        <v>2627</v>
      </c>
      <c r="C31" s="2502"/>
      <c r="D31" s="2502"/>
      <c r="E31" s="2502"/>
      <c r="F31" s="2502"/>
      <c r="G31" s="2502"/>
      <c r="H31" s="2502"/>
      <c r="I31" s="2502"/>
      <c r="J31" s="2502"/>
      <c r="K31" s="2502"/>
      <c r="L31" s="2502"/>
      <c r="M31" s="2502"/>
      <c r="N31" s="2502"/>
      <c r="O31" s="2502"/>
      <c r="P31" s="2502"/>
      <c r="Q31" s="2502"/>
      <c r="R31" s="2502"/>
      <c r="S31" s="2502"/>
      <c r="T31" s="2502"/>
      <c r="U31" s="2502"/>
      <c r="V31" s="2502"/>
      <c r="W31" s="2502"/>
    </row>
    <row r="32" spans="1:23">
      <c r="B32" s="2502"/>
      <c r="C32" s="2502"/>
      <c r="D32" s="2502"/>
      <c r="E32" s="2502"/>
      <c r="F32" s="2502"/>
      <c r="G32" s="2502"/>
      <c r="H32" s="2502"/>
      <c r="I32" s="2502"/>
      <c r="J32" s="2502"/>
      <c r="K32" s="2502"/>
      <c r="L32" s="2502"/>
      <c r="M32" s="2502"/>
      <c r="N32" s="2502"/>
      <c r="O32" s="2502"/>
      <c r="P32" s="2502"/>
      <c r="Q32" s="2502"/>
      <c r="R32" s="2502"/>
      <c r="S32" s="2502"/>
      <c r="T32" s="2502"/>
      <c r="U32" s="2502"/>
      <c r="V32" s="2502"/>
      <c r="W32" s="2502"/>
    </row>
    <row r="33" spans="2:23">
      <c r="B33" s="1939"/>
      <c r="C33" s="1939"/>
      <c r="D33" s="1939"/>
      <c r="E33" s="1939"/>
      <c r="F33" s="1939"/>
      <c r="G33" s="1939"/>
      <c r="H33" s="1939"/>
      <c r="I33" s="1939"/>
      <c r="J33" s="1939"/>
      <c r="K33" s="1939"/>
      <c r="L33" s="1939"/>
      <c r="M33" s="1939"/>
      <c r="N33" s="1939"/>
      <c r="O33" s="1939"/>
      <c r="P33" s="1939"/>
      <c r="Q33" s="1939"/>
      <c r="R33" s="1939"/>
      <c r="S33" s="1939"/>
      <c r="T33" s="1939"/>
      <c r="U33" s="1939"/>
      <c r="V33" s="1939"/>
      <c r="W33" s="1939"/>
    </row>
    <row r="34" spans="2:23">
      <c r="B34" s="2502" t="s">
        <v>2610</v>
      </c>
      <c r="C34" s="2502"/>
      <c r="D34" s="2502"/>
      <c r="E34" s="2502"/>
      <c r="F34" s="2502"/>
      <c r="G34" s="2502"/>
      <c r="H34" s="2502"/>
      <c r="I34" s="2502"/>
      <c r="J34" s="2502"/>
      <c r="K34" s="2502"/>
      <c r="L34" s="2502"/>
      <c r="M34" s="2502"/>
      <c r="N34" s="2502"/>
      <c r="O34" s="2502"/>
      <c r="P34" s="2502"/>
      <c r="Q34" s="2502"/>
      <c r="R34" s="2502"/>
      <c r="S34" s="2502"/>
      <c r="T34" s="2502"/>
      <c r="U34" s="2502"/>
      <c r="V34" s="2502"/>
      <c r="W34" s="2502"/>
    </row>
    <row r="35" spans="2:23">
      <c r="B35" s="2502"/>
      <c r="C35" s="2502"/>
      <c r="D35" s="2502"/>
      <c r="E35" s="2502"/>
      <c r="F35" s="2502"/>
      <c r="G35" s="2502"/>
      <c r="H35" s="2502"/>
      <c r="I35" s="2502"/>
      <c r="J35" s="2502"/>
      <c r="K35" s="2502"/>
      <c r="L35" s="2502"/>
      <c r="M35" s="2502"/>
      <c r="N35" s="2502"/>
      <c r="O35" s="2502"/>
      <c r="P35" s="2502"/>
      <c r="Q35" s="2502"/>
      <c r="R35" s="2502"/>
      <c r="S35" s="2502"/>
      <c r="T35" s="2502"/>
      <c r="U35" s="2502"/>
      <c r="V35" s="2502"/>
      <c r="W35" s="2502"/>
    </row>
  </sheetData>
  <mergeCells count="8">
    <mergeCell ref="B34:W35"/>
    <mergeCell ref="B31:W32"/>
    <mergeCell ref="Q22:W22"/>
    <mergeCell ref="B3:W5"/>
    <mergeCell ref="B7:W8"/>
    <mergeCell ref="B10:W10"/>
    <mergeCell ref="F22:O22"/>
    <mergeCell ref="D14:W15"/>
  </mergeCells>
  <pageMargins left="0.75" right="0.25" top="0.75" bottom="0" header="0.25" footer="0"/>
  <pageSetup paperSize="9" firstPageNumber="18" fitToHeight="0" orientation="landscape" useFirstPageNumber="1" r:id="rId1"/>
  <headerFooter>
    <oddHeader>&amp;C&amp;"Arial Black,Regular"&amp;11&amp;P&amp;R&amp;"Arial Black,Regular"&amp;11MCB PAKISTAN STOCK MARKET FUND</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9"/>
  <sheetViews>
    <sheetView view="pageBreakPreview" topLeftCell="A37" zoomScaleSheetLayoutView="100" workbookViewId="0">
      <selection activeCell="B7" sqref="B7"/>
    </sheetView>
  </sheetViews>
  <sheetFormatPr defaultColWidth="10.19921875" defaultRowHeight="13.8"/>
  <cols>
    <col min="1" max="1" width="5.09765625" style="1751" customWidth="1"/>
    <col min="2" max="2" width="4.19921875" style="1659" customWidth="1"/>
    <col min="3" max="3" width="23.09765625" style="1659" customWidth="1"/>
    <col min="4" max="5" width="9.19921875" style="1659" customWidth="1"/>
    <col min="6" max="6" width="11" style="1659" customWidth="1"/>
    <col min="7" max="7" width="9.69921875" style="1659" customWidth="1"/>
    <col min="8" max="8" width="11" style="1659" customWidth="1"/>
    <col min="9" max="9" width="1" style="1659" customWidth="1"/>
    <col min="10" max="10" width="11" style="1659" customWidth="1"/>
    <col min="11" max="11" width="1" style="1659" customWidth="1"/>
    <col min="12" max="12" width="15.5" style="1659" customWidth="1"/>
    <col min="13" max="13" width="10.69921875" style="1659" bestFit="1" customWidth="1"/>
    <col min="14" max="16384" width="10.19921875" style="1659"/>
  </cols>
  <sheetData>
    <row r="1" spans="1:12" ht="15" customHeight="1"/>
    <row r="2" spans="1:12" ht="15" customHeight="1">
      <c r="A2" s="1660" t="s">
        <v>2592</v>
      </c>
      <c r="B2" s="1658" t="s">
        <v>2594</v>
      </c>
      <c r="C2" s="1658"/>
    </row>
    <row r="3" spans="1:12" ht="15" customHeight="1"/>
    <row r="4" spans="1:12" ht="15" customHeight="1">
      <c r="B4" s="2507" t="s">
        <v>3330</v>
      </c>
      <c r="C4" s="2507"/>
      <c r="D4" s="2507"/>
      <c r="E4" s="2507"/>
      <c r="F4" s="2507"/>
      <c r="G4" s="2507"/>
      <c r="H4" s="2507"/>
      <c r="I4" s="2507"/>
      <c r="J4" s="2507"/>
      <c r="K4" s="2507"/>
      <c r="L4" s="2507"/>
    </row>
    <row r="5" spans="1:12" ht="15" customHeight="1">
      <c r="B5" s="2507"/>
      <c r="C5" s="2507"/>
      <c r="D5" s="2507"/>
      <c r="E5" s="2507"/>
      <c r="F5" s="2507"/>
      <c r="G5" s="2507"/>
      <c r="H5" s="2507"/>
      <c r="I5" s="2507"/>
      <c r="J5" s="2507"/>
      <c r="K5" s="2507"/>
      <c r="L5" s="2507"/>
    </row>
    <row r="6" spans="1:12" ht="15" customHeight="1">
      <c r="B6" s="2507"/>
      <c r="C6" s="2507"/>
      <c r="D6" s="2507"/>
      <c r="E6" s="2507"/>
      <c r="F6" s="2507"/>
      <c r="G6" s="2507"/>
      <c r="H6" s="2507"/>
      <c r="I6" s="2507"/>
      <c r="J6" s="2507"/>
      <c r="K6" s="2507"/>
      <c r="L6" s="2507"/>
    </row>
    <row r="7" spans="1:12" ht="15" customHeight="1">
      <c r="A7" s="1660">
        <f>+A2+1</f>
        <v>14</v>
      </c>
      <c r="B7" s="1658" t="s">
        <v>3327</v>
      </c>
      <c r="C7" s="2292"/>
      <c r="D7" s="2292"/>
      <c r="E7" s="2292"/>
      <c r="F7" s="2292"/>
      <c r="G7" s="2292"/>
      <c r="H7" s="2292"/>
      <c r="I7" s="2292"/>
      <c r="J7" s="2292"/>
      <c r="K7" s="2292"/>
      <c r="L7" s="2292"/>
    </row>
    <row r="8" spans="1:12" ht="15" customHeight="1">
      <c r="B8" s="2292"/>
      <c r="C8" s="2292"/>
      <c r="D8" s="2292"/>
      <c r="E8" s="2292"/>
      <c r="F8" s="2292"/>
      <c r="G8" s="2292"/>
      <c r="H8" s="2292"/>
      <c r="I8" s="2292"/>
      <c r="J8" s="2292"/>
      <c r="K8" s="2292"/>
      <c r="L8" s="2292"/>
    </row>
    <row r="9" spans="1:12" ht="15" customHeight="1">
      <c r="B9" s="2507" t="s">
        <v>3320</v>
      </c>
      <c r="C9" s="2507"/>
      <c r="D9" s="2507"/>
      <c r="E9" s="2507"/>
      <c r="F9" s="2507"/>
      <c r="G9" s="2507"/>
      <c r="H9" s="2507"/>
      <c r="I9" s="2507"/>
      <c r="J9" s="2507"/>
      <c r="K9" s="2507"/>
      <c r="L9" s="2507"/>
    </row>
    <row r="10" spans="1:12" ht="15" customHeight="1">
      <c r="B10" s="2507"/>
      <c r="C10" s="2507"/>
      <c r="D10" s="2507"/>
      <c r="E10" s="2507"/>
      <c r="F10" s="2507"/>
      <c r="G10" s="2507"/>
      <c r="H10" s="2507"/>
      <c r="I10" s="2507"/>
      <c r="J10" s="2507"/>
      <c r="K10" s="2507"/>
      <c r="L10" s="2507"/>
    </row>
    <row r="11" spans="1:12" ht="15" customHeight="1">
      <c r="B11" s="2292"/>
      <c r="C11" s="2292"/>
      <c r="D11" s="2292"/>
      <c r="E11" s="2292"/>
      <c r="F11" s="2292"/>
      <c r="G11" s="2292"/>
      <c r="H11" s="2292"/>
      <c r="I11" s="2292"/>
      <c r="J11" s="2292"/>
      <c r="K11" s="2292"/>
      <c r="L11" s="2292"/>
    </row>
    <row r="12" spans="1:12" ht="15" customHeight="1">
      <c r="B12" s="2507" t="s">
        <v>178</v>
      </c>
      <c r="C12" s="2507"/>
      <c r="D12" s="2507"/>
      <c r="E12" s="2507"/>
      <c r="F12" s="2507"/>
      <c r="G12" s="2507"/>
      <c r="H12" s="2507"/>
      <c r="I12" s="2507"/>
      <c r="J12" s="2507"/>
      <c r="K12" s="2507"/>
      <c r="L12" s="2507"/>
    </row>
    <row r="13" spans="1:12" ht="15" customHeight="1">
      <c r="B13" s="2507"/>
      <c r="C13" s="2507"/>
      <c r="D13" s="2507"/>
      <c r="E13" s="2507"/>
      <c r="F13" s="2507"/>
      <c r="G13" s="2507"/>
      <c r="H13" s="2507"/>
      <c r="I13" s="2507"/>
      <c r="J13" s="2507"/>
      <c r="K13" s="2507"/>
      <c r="L13" s="2507"/>
    </row>
    <row r="14" spans="1:12" ht="15" customHeight="1">
      <c r="B14" s="2292"/>
      <c r="C14" s="2292"/>
      <c r="D14" s="2292"/>
      <c r="E14" s="2292"/>
      <c r="F14" s="2292"/>
      <c r="G14" s="2292"/>
      <c r="H14" s="2292"/>
      <c r="I14" s="2292"/>
      <c r="J14" s="2292"/>
      <c r="K14" s="2292"/>
      <c r="L14" s="2292"/>
    </row>
    <row r="15" spans="1:12" ht="15" customHeight="1">
      <c r="B15" s="2508" t="s">
        <v>3321</v>
      </c>
      <c r="C15" s="2507"/>
      <c r="D15" s="2507"/>
      <c r="E15" s="2507"/>
      <c r="F15" s="2507"/>
      <c r="G15" s="2507"/>
      <c r="H15" s="2507"/>
      <c r="I15" s="2507"/>
      <c r="J15" s="2507"/>
      <c r="K15" s="2507"/>
      <c r="L15" s="2507"/>
    </row>
    <row r="16" spans="1:12" ht="15" customHeight="1">
      <c r="B16" s="2507"/>
      <c r="C16" s="2507"/>
      <c r="D16" s="2507"/>
      <c r="E16" s="2507"/>
      <c r="F16" s="2507"/>
      <c r="G16" s="2507"/>
      <c r="H16" s="2507"/>
      <c r="I16" s="2507"/>
      <c r="J16" s="2507"/>
      <c r="K16" s="2507"/>
      <c r="L16" s="2507"/>
    </row>
    <row r="17" spans="1:12" ht="15" customHeight="1">
      <c r="B17" s="2507"/>
      <c r="C17" s="2507"/>
      <c r="D17" s="2507"/>
      <c r="E17" s="2507"/>
      <c r="F17" s="2507"/>
      <c r="G17" s="2507"/>
      <c r="H17" s="2507"/>
      <c r="I17" s="2507"/>
      <c r="J17" s="2507"/>
      <c r="K17" s="2507"/>
      <c r="L17" s="2507"/>
    </row>
    <row r="18" spans="1:12" ht="15" customHeight="1">
      <c r="B18" s="2292"/>
      <c r="C18" s="2292"/>
      <c r="D18" s="2292"/>
      <c r="E18" s="2292"/>
      <c r="F18" s="2292"/>
      <c r="G18" s="2292"/>
      <c r="H18" s="2292"/>
      <c r="I18" s="2292"/>
      <c r="J18" s="2292"/>
      <c r="K18" s="2292"/>
      <c r="L18" s="2292"/>
    </row>
    <row r="19" spans="1:12" ht="15" customHeight="1">
      <c r="B19" s="2509" t="s">
        <v>3322</v>
      </c>
      <c r="C19" s="2509"/>
      <c r="D19" s="2509"/>
      <c r="E19" s="2509"/>
      <c r="F19" s="2509"/>
      <c r="G19" s="2509"/>
      <c r="H19" s="2509"/>
      <c r="I19" s="2509"/>
      <c r="J19" s="2509"/>
      <c r="K19" s="2509"/>
      <c r="L19" s="2509"/>
    </row>
    <row r="20" spans="1:12" ht="15" customHeight="1">
      <c r="B20" s="2292"/>
      <c r="C20" s="2292"/>
      <c r="D20" s="2292"/>
      <c r="E20" s="2292"/>
      <c r="F20" s="2292"/>
      <c r="G20" s="2292"/>
      <c r="H20" s="2292"/>
      <c r="I20" s="2292"/>
      <c r="J20" s="2292"/>
      <c r="K20" s="2292"/>
      <c r="L20" s="2292"/>
    </row>
    <row r="21" spans="1:12" ht="15" customHeight="1">
      <c r="B21" s="2508" t="s">
        <v>3323</v>
      </c>
      <c r="C21" s="2507"/>
      <c r="D21" s="2507"/>
      <c r="E21" s="2507"/>
      <c r="F21" s="2507"/>
      <c r="G21" s="2507"/>
      <c r="H21" s="2507"/>
      <c r="I21" s="2507"/>
      <c r="J21" s="2507"/>
      <c r="K21" s="2507"/>
      <c r="L21" s="2507"/>
    </row>
    <row r="22" spans="1:12" ht="15" customHeight="1">
      <c r="B22" s="2507"/>
      <c r="C22" s="2507"/>
      <c r="D22" s="2507"/>
      <c r="E22" s="2507"/>
      <c r="F22" s="2507"/>
      <c r="G22" s="2507"/>
      <c r="H22" s="2507"/>
      <c r="I22" s="2507"/>
      <c r="J22" s="2507"/>
      <c r="K22" s="2507"/>
      <c r="L22" s="2507"/>
    </row>
    <row r="23" spans="1:12" ht="15" customHeight="1">
      <c r="B23" s="2507"/>
      <c r="C23" s="2507"/>
      <c r="D23" s="2507"/>
      <c r="E23" s="2507"/>
      <c r="F23" s="2507"/>
      <c r="G23" s="2507"/>
      <c r="H23" s="2507"/>
      <c r="I23" s="2507"/>
      <c r="J23" s="2507"/>
      <c r="K23" s="2507"/>
      <c r="L23" s="2507"/>
    </row>
    <row r="24" spans="1:12" ht="15" customHeight="1">
      <c r="B24" s="2292"/>
      <c r="C24" s="2292"/>
      <c r="D24" s="2292"/>
      <c r="E24" s="2292"/>
      <c r="F24" s="2292"/>
      <c r="G24" s="2292"/>
      <c r="H24" s="2292"/>
      <c r="I24" s="2292"/>
      <c r="J24" s="2292"/>
      <c r="K24" s="2292"/>
      <c r="L24" s="2292"/>
    </row>
    <row r="25" spans="1:12" ht="15" customHeight="1">
      <c r="B25" s="2507" t="s">
        <v>3324</v>
      </c>
      <c r="C25" s="2507"/>
      <c r="D25" s="2507"/>
      <c r="E25" s="2507"/>
      <c r="F25" s="2507"/>
      <c r="G25" s="2507"/>
      <c r="H25" s="2507"/>
      <c r="I25" s="2507"/>
      <c r="J25" s="2507"/>
      <c r="K25" s="2507"/>
      <c r="L25" s="2507"/>
    </row>
    <row r="26" spans="1:12" ht="15" customHeight="1">
      <c r="B26" s="2292"/>
      <c r="C26" s="2292"/>
      <c r="D26" s="2292"/>
      <c r="E26" s="2292"/>
      <c r="F26" s="2292"/>
      <c r="G26" s="2292"/>
      <c r="H26" s="2292"/>
      <c r="I26" s="2292"/>
      <c r="J26" s="2292"/>
      <c r="K26" s="2292"/>
      <c r="L26" s="2292"/>
    </row>
    <row r="27" spans="1:12" ht="15" customHeight="1">
      <c r="B27" s="2508" t="s">
        <v>3325</v>
      </c>
      <c r="C27" s="2507"/>
      <c r="D27" s="2507"/>
      <c r="E27" s="2507"/>
      <c r="F27" s="2507"/>
      <c r="G27" s="2507"/>
      <c r="H27" s="2507"/>
      <c r="I27" s="2507"/>
      <c r="J27" s="2507"/>
      <c r="K27" s="2507"/>
      <c r="L27" s="2507"/>
    </row>
    <row r="28" spans="1:12" ht="15" customHeight="1">
      <c r="B28" s="2507"/>
      <c r="C28" s="2507"/>
      <c r="D28" s="2507"/>
      <c r="E28" s="2507"/>
      <c r="F28" s="2507"/>
      <c r="G28" s="2507"/>
      <c r="H28" s="2507"/>
      <c r="I28" s="2507"/>
      <c r="J28" s="2507"/>
      <c r="K28" s="2507"/>
      <c r="L28" s="2507"/>
    </row>
    <row r="29" spans="1:12" ht="15" customHeight="1">
      <c r="B29" s="2292"/>
      <c r="C29" s="2292"/>
      <c r="D29" s="2292"/>
      <c r="E29" s="2292"/>
      <c r="F29" s="2292"/>
      <c r="G29" s="2292"/>
      <c r="H29" s="2292"/>
      <c r="I29" s="2292"/>
      <c r="J29" s="2292"/>
      <c r="K29" s="2292"/>
      <c r="L29" s="2292"/>
    </row>
    <row r="30" spans="1:12" ht="15" customHeight="1">
      <c r="B30" s="2508" t="s">
        <v>3326</v>
      </c>
      <c r="C30" s="2507"/>
      <c r="D30" s="2507"/>
      <c r="E30" s="2507"/>
      <c r="F30" s="2507"/>
      <c r="G30" s="2507"/>
      <c r="H30" s="2507"/>
      <c r="I30" s="2507"/>
      <c r="J30" s="2507"/>
      <c r="K30" s="2507"/>
      <c r="L30" s="2507"/>
    </row>
    <row r="31" spans="1:12" ht="15" customHeight="1">
      <c r="B31" s="2292"/>
      <c r="C31" s="2292"/>
      <c r="D31" s="2292"/>
      <c r="E31" s="2292"/>
      <c r="F31" s="2292"/>
      <c r="G31" s="2292"/>
      <c r="H31" s="2292"/>
      <c r="I31" s="2292"/>
      <c r="J31" s="2292"/>
      <c r="K31" s="2292"/>
      <c r="L31" s="2292"/>
    </row>
    <row r="32" spans="1:12" ht="15" customHeight="1">
      <c r="A32" s="1660">
        <f>+A7+1</f>
        <v>15</v>
      </c>
      <c r="B32" s="1658" t="s">
        <v>3312</v>
      </c>
    </row>
    <row r="33" spans="1:12" ht="15" customHeight="1"/>
    <row r="34" spans="1:12" ht="15" customHeight="1">
      <c r="B34" s="2507" t="s">
        <v>3313</v>
      </c>
      <c r="C34" s="2507"/>
      <c r="D34" s="2507"/>
      <c r="E34" s="2507"/>
      <c r="F34" s="2507"/>
      <c r="G34" s="2507"/>
      <c r="H34" s="2507"/>
      <c r="I34" s="2507"/>
      <c r="J34" s="2507"/>
      <c r="K34" s="2507"/>
      <c r="L34" s="2507"/>
    </row>
    <row r="35" spans="1:12" ht="15" customHeight="1">
      <c r="B35" s="2507"/>
      <c r="C35" s="2507"/>
      <c r="D35" s="2507"/>
      <c r="E35" s="2507"/>
      <c r="F35" s="2507"/>
      <c r="G35" s="2507"/>
      <c r="H35" s="2507"/>
      <c r="I35" s="2507"/>
      <c r="J35" s="2507"/>
      <c r="K35" s="2507"/>
      <c r="L35" s="2507"/>
    </row>
    <row r="36" spans="1:12" ht="15" customHeight="1">
      <c r="B36" s="2507"/>
      <c r="C36" s="2507"/>
      <c r="D36" s="2507"/>
      <c r="E36" s="2507"/>
      <c r="F36" s="2507"/>
      <c r="G36" s="2507"/>
      <c r="H36" s="2507"/>
      <c r="I36" s="2507"/>
      <c r="J36" s="2507"/>
      <c r="K36" s="2507"/>
      <c r="L36" s="2507"/>
    </row>
    <row r="37" spans="1:12" ht="15" customHeight="1">
      <c r="B37" s="2507"/>
      <c r="C37" s="2507"/>
      <c r="D37" s="2507"/>
      <c r="E37" s="2507"/>
      <c r="F37" s="2507"/>
      <c r="G37" s="2507"/>
      <c r="H37" s="2507"/>
      <c r="I37" s="2507"/>
      <c r="J37" s="2507"/>
      <c r="K37" s="2507"/>
      <c r="L37" s="2507"/>
    </row>
    <row r="38" spans="1:12" ht="15" customHeight="1">
      <c r="B38" s="2507"/>
      <c r="C38" s="2507"/>
      <c r="D38" s="2507"/>
      <c r="E38" s="2507"/>
      <c r="F38" s="2507"/>
      <c r="G38" s="2507"/>
      <c r="H38" s="2507"/>
      <c r="I38" s="2507"/>
      <c r="J38" s="2507"/>
      <c r="K38" s="2507"/>
      <c r="L38" s="2507"/>
    </row>
    <row r="39" spans="1:12" ht="15" customHeight="1">
      <c r="B39" s="2507"/>
      <c r="C39" s="2507"/>
      <c r="D39" s="2507"/>
      <c r="E39" s="2507"/>
      <c r="F39" s="2507"/>
      <c r="G39" s="2507"/>
      <c r="H39" s="2507"/>
      <c r="I39" s="2507"/>
      <c r="J39" s="2507"/>
      <c r="K39" s="2507"/>
      <c r="L39" s="2507"/>
    </row>
    <row r="40" spans="1:12" ht="15" customHeight="1">
      <c r="B40" s="2507"/>
      <c r="C40" s="2507"/>
      <c r="D40" s="2507"/>
      <c r="E40" s="2507"/>
      <c r="F40" s="2507"/>
      <c r="G40" s="2507"/>
      <c r="H40" s="2507"/>
      <c r="I40" s="2507"/>
      <c r="J40" s="2507"/>
      <c r="K40" s="2507"/>
      <c r="L40" s="2507"/>
    </row>
    <row r="41" spans="1:12" ht="15" customHeight="1">
      <c r="B41" s="2507"/>
      <c r="C41" s="2507"/>
      <c r="D41" s="2507"/>
      <c r="E41" s="2507"/>
      <c r="F41" s="2507"/>
      <c r="G41" s="2507"/>
      <c r="H41" s="2507"/>
      <c r="I41" s="2507"/>
      <c r="J41" s="2507"/>
      <c r="K41" s="2507"/>
      <c r="L41" s="2507"/>
    </row>
    <row r="42" spans="1:12" ht="15" customHeight="1"/>
    <row r="43" spans="1:12" s="1753" customFormat="1" ht="15" customHeight="1">
      <c r="A43" s="1752">
        <f>+A32+1</f>
        <v>16</v>
      </c>
      <c r="B43" s="1689" t="s">
        <v>139</v>
      </c>
      <c r="C43" s="1624"/>
      <c r="D43" s="1735"/>
      <c r="E43" s="2038"/>
      <c r="F43" s="1735"/>
      <c r="G43" s="1735"/>
      <c r="H43" s="1735"/>
      <c r="I43" s="1735"/>
      <c r="J43" s="1735"/>
      <c r="K43" s="1735"/>
      <c r="L43" s="1735"/>
    </row>
    <row r="44" spans="1:12" s="1753" customFormat="1" ht="15" customHeight="1">
      <c r="A44" s="1624"/>
      <c r="B44" s="1755"/>
      <c r="C44" s="1755"/>
      <c r="D44" s="1755"/>
      <c r="E44" s="1755"/>
      <c r="F44" s="1755"/>
      <c r="G44" s="1755"/>
      <c r="H44" s="1755"/>
      <c r="I44" s="1755"/>
      <c r="J44" s="1755"/>
      <c r="K44" s="1755"/>
      <c r="L44" s="1755"/>
    </row>
    <row r="45" spans="1:12" s="1753" customFormat="1" ht="15" customHeight="1">
      <c r="A45" s="1754">
        <v>16.100000000000001</v>
      </c>
      <c r="B45" s="1756" t="s">
        <v>2842</v>
      </c>
      <c r="C45" s="1756"/>
      <c r="D45" s="1755"/>
      <c r="E45" s="1755"/>
      <c r="F45" s="1755"/>
      <c r="G45" s="1755"/>
      <c r="H45" s="2060"/>
      <c r="I45" s="1755"/>
      <c r="J45" s="1755"/>
      <c r="K45" s="1755"/>
      <c r="L45" s="1755"/>
    </row>
    <row r="46" spans="1:12" s="1753" customFormat="1" ht="15" customHeight="1">
      <c r="A46" s="1754"/>
      <c r="B46" s="2052"/>
      <c r="C46" s="1756"/>
      <c r="D46" s="1755"/>
      <c r="E46" s="1755"/>
      <c r="F46" s="1755"/>
      <c r="G46" s="1755"/>
      <c r="H46" s="1755"/>
      <c r="I46" s="1755"/>
      <c r="J46" s="1755"/>
      <c r="K46" s="1755"/>
      <c r="L46" s="1755"/>
    </row>
    <row r="47" spans="1:12" s="1753" customFormat="1" ht="15" customHeight="1">
      <c r="A47" s="1754">
        <v>16.2</v>
      </c>
      <c r="B47" s="1624" t="s">
        <v>3187</v>
      </c>
      <c r="C47" s="1624"/>
      <c r="D47" s="1624"/>
      <c r="E47" s="1624"/>
      <c r="F47" s="1659"/>
      <c r="G47" s="1659"/>
      <c r="H47" s="1659"/>
      <c r="I47" s="1659"/>
      <c r="J47" s="1659"/>
      <c r="K47" s="1659"/>
      <c r="L47" s="1659"/>
    </row>
    <row r="48" spans="1:12" s="1753" customFormat="1" ht="15" customHeight="1">
      <c r="A48" s="1624"/>
      <c r="B48" s="1624" t="s">
        <v>3188</v>
      </c>
      <c r="C48" s="1624"/>
      <c r="D48" s="1624"/>
      <c r="E48" s="1624"/>
      <c r="F48" s="1659"/>
      <c r="G48" s="1659"/>
      <c r="H48" s="1659"/>
      <c r="I48" s="1659"/>
      <c r="J48" s="1659"/>
      <c r="K48" s="1659"/>
      <c r="L48" s="1659"/>
    </row>
    <row r="49" spans="1:12" s="1753" customFormat="1" ht="15" customHeight="1">
      <c r="A49" s="1624"/>
      <c r="B49" s="1624" t="s">
        <v>3189</v>
      </c>
      <c r="C49" s="1624"/>
      <c r="D49" s="1624"/>
      <c r="E49" s="1624"/>
      <c r="F49" s="1659"/>
      <c r="G49" s="1659"/>
      <c r="H49" s="1659"/>
      <c r="I49" s="1659"/>
      <c r="J49" s="1659"/>
      <c r="K49" s="1659"/>
      <c r="L49" s="1659"/>
    </row>
    <row r="50" spans="1:12" s="1753" customFormat="1" ht="15" customHeight="1">
      <c r="A50" s="1624"/>
      <c r="B50" s="1624"/>
      <c r="C50" s="1624"/>
      <c r="D50" s="1624"/>
      <c r="E50" s="1624"/>
      <c r="F50" s="1659"/>
      <c r="G50" s="1659"/>
      <c r="H50" s="1659"/>
      <c r="I50" s="1659"/>
      <c r="J50" s="1659"/>
      <c r="K50" s="1659"/>
      <c r="L50" s="1659"/>
    </row>
    <row r="51" spans="1:12" s="1753" customFormat="1" ht="15" customHeight="1">
      <c r="A51" s="1752">
        <f>+A43+1</f>
        <v>17</v>
      </c>
      <c r="B51" s="1689" t="s">
        <v>138</v>
      </c>
      <c r="C51" s="1624"/>
      <c r="D51" s="1624"/>
      <c r="E51" s="1624"/>
      <c r="F51" s="1659"/>
      <c r="G51" s="1659"/>
      <c r="H51" s="1659"/>
      <c r="I51" s="1659"/>
      <c r="J51" s="1659"/>
      <c r="K51" s="1659"/>
      <c r="L51" s="1659"/>
    </row>
    <row r="52" spans="1:12" s="1753" customFormat="1" ht="15" customHeight="1">
      <c r="A52" s="1736"/>
      <c r="B52" s="1624"/>
      <c r="C52" s="1624"/>
      <c r="D52" s="1624"/>
      <c r="E52" s="1624"/>
      <c r="F52" s="1659"/>
      <c r="G52" s="1659"/>
      <c r="H52" s="1659"/>
      <c r="I52" s="1659"/>
      <c r="J52" s="1659"/>
      <c r="K52" s="1659"/>
      <c r="L52" s="1659"/>
    </row>
    <row r="53" spans="1:12" s="1753" customFormat="1" ht="15" customHeight="1">
      <c r="A53" s="1736"/>
      <c r="B53" s="2506" t="s">
        <v>2971</v>
      </c>
      <c r="C53" s="2506"/>
      <c r="D53" s="2506"/>
      <c r="E53" s="2506"/>
      <c r="F53" s="2506"/>
      <c r="G53" s="2506"/>
      <c r="H53" s="2506"/>
      <c r="I53" s="2506"/>
      <c r="J53" s="2506"/>
      <c r="K53" s="2506"/>
      <c r="L53" s="2506"/>
    </row>
    <row r="54" spans="1:12" s="1753" customFormat="1" ht="15" customHeight="1">
      <c r="A54" s="1736"/>
      <c r="B54" s="2506"/>
      <c r="C54" s="2506"/>
      <c r="D54" s="2506"/>
      <c r="E54" s="2506"/>
      <c r="F54" s="2506"/>
      <c r="G54" s="2506"/>
      <c r="H54" s="2506"/>
      <c r="I54" s="2506"/>
      <c r="J54" s="2506"/>
      <c r="K54" s="2506"/>
      <c r="L54" s="2506"/>
    </row>
    <row r="55" spans="1:12" s="1753" customFormat="1" ht="15" customHeight="1">
      <c r="A55" s="1624"/>
      <c r="B55" s="1624"/>
      <c r="C55" s="1624"/>
      <c r="D55" s="1624"/>
      <c r="E55" s="1624"/>
      <c r="F55" s="1659"/>
      <c r="G55" s="1659"/>
      <c r="H55" s="1659"/>
      <c r="I55" s="1659"/>
      <c r="J55" s="1659"/>
      <c r="K55" s="1659"/>
      <c r="L55" s="1659"/>
    </row>
    <row r="56" spans="1:12" s="1753" customFormat="1" ht="15" customHeight="1">
      <c r="A56" s="1624"/>
      <c r="B56" s="1624"/>
      <c r="C56" s="1624"/>
      <c r="D56" s="1624"/>
      <c r="E56" s="1624"/>
      <c r="F56" s="1659"/>
      <c r="G56" s="1659"/>
      <c r="H56" s="1659"/>
      <c r="I56" s="1659"/>
      <c r="J56" s="1659"/>
      <c r="K56" s="1659"/>
      <c r="L56" s="1659"/>
    </row>
    <row r="57" spans="1:12" s="1506" customFormat="1" ht="15" customHeight="1">
      <c r="A57" s="2309" t="s">
        <v>2524</v>
      </c>
      <c r="B57" s="2309"/>
      <c r="C57" s="2309"/>
      <c r="D57" s="2309"/>
      <c r="E57" s="2309"/>
      <c r="F57" s="2309"/>
      <c r="G57" s="2309"/>
      <c r="H57" s="2309"/>
      <c r="I57" s="2309"/>
      <c r="J57" s="2309"/>
      <c r="K57" s="2309"/>
      <c r="L57" s="2309"/>
    </row>
    <row r="58" spans="1:12" s="1506" customFormat="1" ht="15" customHeight="1">
      <c r="A58" s="2309" t="s">
        <v>148</v>
      </c>
      <c r="B58" s="2309"/>
      <c r="C58" s="2309"/>
      <c r="D58" s="2309"/>
      <c r="E58" s="2309"/>
      <c r="F58" s="2309"/>
      <c r="G58" s="2309"/>
      <c r="H58" s="2309"/>
      <c r="I58" s="2309"/>
      <c r="J58" s="2309"/>
      <c r="K58" s="2309"/>
      <c r="L58" s="2309"/>
    </row>
    <row r="59" spans="1:12" s="1513" customFormat="1" ht="15" customHeight="1">
      <c r="A59" s="1508"/>
      <c r="B59" s="1509"/>
      <c r="C59" s="1509"/>
      <c r="D59" s="1509"/>
      <c r="E59" s="2208"/>
      <c r="F59" s="1510"/>
      <c r="G59" s="1509"/>
      <c r="H59" s="1511"/>
      <c r="I59" s="1512"/>
      <c r="J59" s="1509"/>
      <c r="K59" s="1511"/>
      <c r="L59" s="1657"/>
    </row>
    <row r="60" spans="1:12" s="1513" customFormat="1" ht="15" customHeight="1">
      <c r="B60" s="1509"/>
      <c r="C60" s="1509"/>
      <c r="D60" s="1509"/>
      <c r="E60" s="2208"/>
      <c r="F60" s="1510"/>
      <c r="G60" s="1509"/>
      <c r="H60" s="1511"/>
      <c r="I60" s="1512"/>
      <c r="J60" s="1509"/>
      <c r="K60" s="1511"/>
      <c r="L60" s="1657"/>
    </row>
    <row r="61" spans="1:12" s="1513" customFormat="1" ht="15" customHeight="1">
      <c r="B61" s="1776"/>
      <c r="C61" s="1776"/>
      <c r="D61" s="1776"/>
      <c r="E61" s="2208"/>
      <c r="F61" s="1510"/>
      <c r="G61" s="1776"/>
      <c r="H61" s="1511"/>
      <c r="I61" s="1512"/>
      <c r="J61" s="1776"/>
      <c r="K61" s="1511"/>
      <c r="L61" s="1657"/>
    </row>
    <row r="62" spans="1:12" s="1513" customFormat="1" ht="15" customHeight="1">
      <c r="B62" s="1509"/>
      <c r="C62" s="1509"/>
      <c r="D62" s="1509"/>
      <c r="E62" s="2208"/>
      <c r="F62" s="1510"/>
      <c r="G62" s="1509"/>
      <c r="H62" s="1511"/>
      <c r="I62" s="1512"/>
      <c r="J62" s="1509"/>
      <c r="K62" s="1511"/>
      <c r="L62" s="1657"/>
    </row>
    <row r="63" spans="1:12" s="1513" customFormat="1" ht="15" customHeight="1">
      <c r="B63" s="1509"/>
      <c r="C63" s="1509"/>
      <c r="D63" s="1509"/>
      <c r="E63" s="2208"/>
      <c r="F63" s="1510"/>
      <c r="G63" s="1509"/>
      <c r="H63" s="1511"/>
      <c r="I63" s="1512"/>
      <c r="J63" s="1509"/>
      <c r="K63" s="1511"/>
      <c r="L63" s="1657"/>
    </row>
    <row r="64" spans="1:12" s="1513" customFormat="1" ht="15" customHeight="1">
      <c r="B64" s="1513" t="s">
        <v>2526</v>
      </c>
      <c r="C64" s="1515"/>
      <c r="D64" s="2020"/>
      <c r="E64" s="2208"/>
      <c r="F64" s="1778" t="s">
        <v>2526</v>
      </c>
      <c r="G64" s="1510"/>
      <c r="I64" s="2020"/>
      <c r="K64" s="1777" t="s">
        <v>3191</v>
      </c>
      <c r="L64" s="1777"/>
    </row>
    <row r="65" spans="2:12" s="1513" customFormat="1" ht="15" customHeight="1">
      <c r="B65" s="1508" t="s">
        <v>2525</v>
      </c>
      <c r="C65" s="1598"/>
      <c r="D65" s="1573"/>
      <c r="E65" s="1573"/>
      <c r="F65" s="1779" t="s">
        <v>2529</v>
      </c>
      <c r="G65" s="1599"/>
      <c r="I65" s="1600"/>
      <c r="J65" s="1582"/>
      <c r="K65" s="2020" t="s">
        <v>2527</v>
      </c>
      <c r="L65" s="1582"/>
    </row>
    <row r="75" spans="2:12">
      <c r="B75" s="1659" t="s">
        <v>2797</v>
      </c>
      <c r="J75" s="1659">
        <v>0</v>
      </c>
    </row>
    <row r="78" spans="2:12">
      <c r="B78" s="1659" t="s">
        <v>2796</v>
      </c>
      <c r="J78" s="1659">
        <v>82582</v>
      </c>
    </row>
    <row r="81" spans="2:10">
      <c r="J81" s="1659">
        <v>0</v>
      </c>
    </row>
    <row r="82" spans="2:10">
      <c r="J82" s="1659">
        <v>0</v>
      </c>
    </row>
    <row r="85" spans="2:10">
      <c r="B85" s="1659" t="s">
        <v>2798</v>
      </c>
      <c r="J85" s="1659">
        <v>0</v>
      </c>
    </row>
    <row r="88" spans="2:10">
      <c r="J88" s="1659">
        <v>8181</v>
      </c>
    </row>
    <row r="99" spans="2:10">
      <c r="B99" s="1659" t="s">
        <v>2799</v>
      </c>
      <c r="J99" s="1659">
        <v>0</v>
      </c>
    </row>
  </sheetData>
  <mergeCells count="13">
    <mergeCell ref="B53:L54"/>
    <mergeCell ref="A57:L57"/>
    <mergeCell ref="A58:L58"/>
    <mergeCell ref="B4:L6"/>
    <mergeCell ref="B34:L41"/>
    <mergeCell ref="B9:L10"/>
    <mergeCell ref="B12:L13"/>
    <mergeCell ref="B15:L17"/>
    <mergeCell ref="B19:L19"/>
    <mergeCell ref="B21:L23"/>
    <mergeCell ref="B25:L25"/>
    <mergeCell ref="B27:L28"/>
    <mergeCell ref="B30:L30"/>
  </mergeCells>
  <pageMargins left="0.75" right="0.25" top="0.75" bottom="0" header="0.25" footer="0"/>
  <pageSetup paperSize="9" scale="77" firstPageNumber="19" fitToHeight="0" orientation="portrait" useFirstPageNumber="1" r:id="rId1"/>
  <headerFooter>
    <oddHeader>&amp;C&amp;"Arial Black,Regular"&amp;11&amp;P&amp;R&amp;"Arial Black,Regular"&amp;11MCB PAKISTAN STOCK MARKET FUND</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7"/>
  <sheetViews>
    <sheetView showGridLines="0" topLeftCell="A70" zoomScale="130" zoomScaleNormal="130" zoomScaleSheetLayoutView="130" workbookViewId="0">
      <selection activeCell="D45" sqref="D45"/>
    </sheetView>
  </sheetViews>
  <sheetFormatPr defaultRowHeight="15.6"/>
  <cols>
    <col min="1" max="1" width="5.09765625" customWidth="1"/>
    <col min="2" max="2" width="28.5" customWidth="1"/>
    <col min="3" max="7" width="5.5" customWidth="1"/>
    <col min="8" max="8" width="0.69921875" customWidth="1"/>
    <col min="9" max="12" width="5.5" customWidth="1"/>
    <col min="14" max="14" width="9.59765625" bestFit="1" customWidth="1"/>
  </cols>
  <sheetData>
    <row r="1" spans="2:14">
      <c r="B1" s="998"/>
      <c r="C1" s="998"/>
      <c r="D1" s="998"/>
      <c r="E1" s="998"/>
      <c r="F1" s="998"/>
      <c r="G1" s="998"/>
      <c r="H1" s="998"/>
      <c r="I1" s="998"/>
      <c r="J1" s="998"/>
      <c r="K1" s="998"/>
      <c r="L1" s="998"/>
      <c r="M1" s="998"/>
    </row>
    <row r="2" spans="2:14" s="1070" customFormat="1" ht="10.8">
      <c r="B2" s="1067" t="s">
        <v>2336</v>
      </c>
      <c r="C2" s="1068"/>
      <c r="D2" s="1069"/>
      <c r="E2" s="1069"/>
      <c r="F2" s="1069"/>
      <c r="G2" s="1069"/>
      <c r="H2" s="1069"/>
      <c r="I2" s="1069"/>
      <c r="J2" s="1069"/>
      <c r="K2" s="1069"/>
      <c r="L2" s="1069"/>
    </row>
    <row r="3" spans="2:14" s="1070" customFormat="1" ht="10.8">
      <c r="B3" s="1071"/>
      <c r="C3" s="1067"/>
      <c r="D3" s="2514" t="s">
        <v>2446</v>
      </c>
      <c r="E3" s="2515"/>
      <c r="F3" s="2515"/>
      <c r="G3" s="2515"/>
      <c r="H3" s="2515"/>
      <c r="I3" s="2515"/>
      <c r="J3" s="2515"/>
      <c r="K3" s="2515"/>
      <c r="L3" s="2515"/>
    </row>
    <row r="4" spans="2:14" s="1070" customFormat="1" ht="10.8">
      <c r="B4" s="1071"/>
      <c r="C4" s="1072"/>
      <c r="D4" s="2516" t="s">
        <v>2449</v>
      </c>
      <c r="E4" s="2511" t="s">
        <v>2338</v>
      </c>
      <c r="F4" s="2511" t="s">
        <v>2339</v>
      </c>
      <c r="G4" s="2511" t="s">
        <v>2456</v>
      </c>
      <c r="H4" s="1073"/>
      <c r="I4" s="2516" t="s">
        <v>2449</v>
      </c>
      <c r="J4" s="2511" t="s">
        <v>2340</v>
      </c>
      <c r="K4" s="2511" t="s">
        <v>2339</v>
      </c>
      <c r="L4" s="2511" t="s">
        <v>2457</v>
      </c>
    </row>
    <row r="5" spans="2:14" s="1070" customFormat="1" ht="10.8">
      <c r="B5" s="1071"/>
      <c r="C5" s="1067"/>
      <c r="D5" s="2517"/>
      <c r="E5" s="2512"/>
      <c r="F5" s="2512"/>
      <c r="G5" s="2512"/>
      <c r="H5" s="1073"/>
      <c r="I5" s="2517"/>
      <c r="J5" s="2512"/>
      <c r="K5" s="2512"/>
      <c r="L5" s="2512"/>
    </row>
    <row r="6" spans="2:14" s="1070" customFormat="1" ht="10.8">
      <c r="B6" s="1071"/>
      <c r="C6" s="1067"/>
      <c r="D6" s="2517"/>
      <c r="E6" s="2512"/>
      <c r="F6" s="2512"/>
      <c r="G6" s="2512"/>
      <c r="H6" s="1073"/>
      <c r="I6" s="2517"/>
      <c r="J6" s="2512"/>
      <c r="K6" s="2512"/>
      <c r="L6" s="2512"/>
    </row>
    <row r="7" spans="2:14" s="1070" customFormat="1" ht="10.8">
      <c r="B7" s="1071"/>
      <c r="C7" s="1067"/>
      <c r="D7" s="2513"/>
      <c r="E7" s="2513"/>
      <c r="F7" s="2513"/>
      <c r="G7" s="2513"/>
      <c r="H7" s="1073"/>
      <c r="I7" s="2513"/>
      <c r="J7" s="2513"/>
      <c r="K7" s="2513"/>
      <c r="L7" s="2513"/>
    </row>
    <row r="8" spans="2:14" s="1070" customFormat="1" ht="10.8">
      <c r="B8" s="1071"/>
      <c r="C8" s="1067"/>
      <c r="D8" s="2513"/>
      <c r="E8" s="2513"/>
      <c r="F8" s="2513"/>
      <c r="G8" s="2513"/>
      <c r="H8" s="1073"/>
      <c r="I8" s="2513"/>
      <c r="J8" s="2513"/>
      <c r="K8" s="2513"/>
      <c r="L8" s="2513"/>
    </row>
    <row r="9" spans="2:14" s="1070" customFormat="1" ht="10.8">
      <c r="B9" s="1071"/>
      <c r="C9" s="1067"/>
      <c r="D9" s="2513"/>
      <c r="E9" s="2513"/>
      <c r="F9" s="2513"/>
      <c r="G9" s="2513"/>
      <c r="H9" s="1073"/>
      <c r="I9" s="2513"/>
      <c r="J9" s="2513"/>
      <c r="K9" s="2513"/>
      <c r="L9" s="2513"/>
    </row>
    <row r="10" spans="2:14" s="1070" customFormat="1" ht="10.8">
      <c r="B10" s="1071"/>
      <c r="C10" s="1067"/>
      <c r="D10" s="2518" t="s">
        <v>2341</v>
      </c>
      <c r="E10" s="2518"/>
      <c r="F10" s="2518"/>
      <c r="G10" s="2518"/>
      <c r="H10" s="1437"/>
      <c r="I10" s="2518" t="s">
        <v>2345</v>
      </c>
      <c r="J10" s="2518"/>
      <c r="K10" s="2518"/>
      <c r="L10" s="2518"/>
    </row>
    <row r="11" spans="2:14" s="1070" customFormat="1" ht="7.2" customHeight="1"/>
    <row r="12" spans="2:14" s="1070" customFormat="1" ht="10.8">
      <c r="B12" s="1074" t="s">
        <v>2344</v>
      </c>
      <c r="D12" s="1082">
        <v>2048988</v>
      </c>
      <c r="E12" s="1082">
        <v>2432680</v>
      </c>
      <c r="F12" s="1082">
        <v>1569518</v>
      </c>
      <c r="G12" s="1082">
        <v>2912150</v>
      </c>
      <c r="H12" s="1082"/>
      <c r="I12" s="1082">
        <v>194256</v>
      </c>
      <c r="J12" s="1082">
        <v>219086.94157</v>
      </c>
      <c r="K12" s="1082">
        <v>144000</v>
      </c>
      <c r="L12" s="1082">
        <v>246116.57145500003</v>
      </c>
    </row>
    <row r="13" spans="2:14" s="1070" customFormat="1" ht="7.2" customHeight="1">
      <c r="B13" s="1076"/>
      <c r="D13" s="1082"/>
      <c r="E13" s="1082"/>
      <c r="F13" s="1082"/>
      <c r="G13" s="1083"/>
      <c r="H13" s="1082"/>
      <c r="I13" s="1082"/>
      <c r="J13" s="1082"/>
      <c r="K13" s="1082"/>
      <c r="L13" s="1083"/>
    </row>
    <row r="14" spans="2:14" s="1070" customFormat="1" ht="10.8">
      <c r="B14" s="1076" t="s">
        <v>2337</v>
      </c>
      <c r="D14" s="1082"/>
      <c r="E14" s="1082"/>
      <c r="F14" s="1082"/>
      <c r="G14" s="1083"/>
      <c r="H14" s="1082"/>
      <c r="I14" s="1082"/>
      <c r="J14" s="1082"/>
      <c r="K14" s="1082"/>
      <c r="L14" s="1083"/>
      <c r="M14" s="1075"/>
      <c r="N14" s="1077"/>
    </row>
    <row r="15" spans="2:14" s="1070" customFormat="1" ht="10.8">
      <c r="B15" s="985" t="s">
        <v>2348</v>
      </c>
      <c r="D15" s="1082"/>
      <c r="E15" s="1082"/>
      <c r="F15" s="1082"/>
      <c r="G15" s="1083"/>
      <c r="H15" s="1082"/>
      <c r="I15" s="1082"/>
      <c r="J15" s="1082"/>
      <c r="K15" s="1082"/>
      <c r="L15" s="1083"/>
      <c r="M15" s="1075"/>
      <c r="N15" s="1075"/>
    </row>
    <row r="16" spans="2:14" s="1070" customFormat="1" ht="10.8">
      <c r="B16" s="1078" t="s">
        <v>2349</v>
      </c>
      <c r="C16" s="1079"/>
      <c r="D16" s="1082">
        <v>10756</v>
      </c>
      <c r="E16" s="1082">
        <v>34931</v>
      </c>
      <c r="F16" s="1082">
        <v>30044</v>
      </c>
      <c r="G16" s="1082">
        <v>15643</v>
      </c>
      <c r="H16" s="1082"/>
      <c r="I16" s="1082">
        <v>1020</v>
      </c>
      <c r="J16" s="1082">
        <v>3216.2150000000001</v>
      </c>
      <c r="K16" s="1082">
        <v>2714.8444199999999</v>
      </c>
      <c r="L16" s="1082">
        <v>1322.0478091</v>
      </c>
      <c r="M16" s="1075"/>
      <c r="N16" s="1075"/>
    </row>
    <row r="17" spans="2:14" s="1070" customFormat="1" ht="10.8">
      <c r="B17" s="985" t="s">
        <v>2350</v>
      </c>
      <c r="C17" s="1079"/>
      <c r="D17" s="1082">
        <v>69360</v>
      </c>
      <c r="E17" s="1082">
        <v>122853</v>
      </c>
      <c r="F17" s="1082">
        <v>101103</v>
      </c>
      <c r="G17" s="1082">
        <v>91110</v>
      </c>
      <c r="H17" s="1082"/>
      <c r="I17" s="1082">
        <v>6576</v>
      </c>
      <c r="J17" s="1082">
        <v>11158.941999999999</v>
      </c>
      <c r="K17" s="1082">
        <v>9122.7829999999994</v>
      </c>
      <c r="L17" s="1082">
        <v>7700.0432070000006</v>
      </c>
      <c r="M17" s="1075"/>
      <c r="N17" s="1075"/>
    </row>
    <row r="18" spans="2:14" s="1070" customFormat="1" ht="10.8">
      <c r="B18" s="985" t="s">
        <v>1088</v>
      </c>
      <c r="D18" s="1082">
        <v>19754721</v>
      </c>
      <c r="E18" s="1082">
        <v>3033235</v>
      </c>
      <c r="F18" s="1082">
        <v>1072270</v>
      </c>
      <c r="G18" s="1082">
        <v>21715686</v>
      </c>
      <c r="H18" s="1082"/>
      <c r="I18" s="1082">
        <v>1872858</v>
      </c>
      <c r="J18" s="1082">
        <v>285000</v>
      </c>
      <c r="K18" s="1082">
        <v>100000</v>
      </c>
      <c r="L18" s="1082">
        <v>1835272.9718982</v>
      </c>
      <c r="M18" s="1080"/>
      <c r="N18" s="1075"/>
    </row>
    <row r="19" spans="2:14" s="1070" customFormat="1" ht="10.8">
      <c r="B19" s="985" t="s">
        <v>2351</v>
      </c>
      <c r="D19" s="1082">
        <v>1409006</v>
      </c>
      <c r="E19" s="1082">
        <v>266073</v>
      </c>
      <c r="F19" s="1082">
        <v>139328</v>
      </c>
      <c r="G19" s="1082">
        <v>1535751</v>
      </c>
      <c r="H19" s="1082"/>
      <c r="I19" s="1082">
        <v>133581.69905195199</v>
      </c>
      <c r="J19" s="1082">
        <v>25000</v>
      </c>
      <c r="K19" s="1082">
        <v>13000</v>
      </c>
      <c r="L19" s="1082">
        <v>129791.9992887</v>
      </c>
      <c r="M19" s="1080"/>
      <c r="N19" s="1075"/>
    </row>
    <row r="20" spans="2:14" s="1070" customFormat="1" ht="10.8">
      <c r="B20" s="985" t="s">
        <v>2355</v>
      </c>
      <c r="D20" s="1082">
        <v>136117</v>
      </c>
      <c r="E20" s="1082">
        <v>243973</v>
      </c>
      <c r="F20" s="1082">
        <v>199725</v>
      </c>
      <c r="G20" s="1082">
        <v>180365</v>
      </c>
      <c r="H20" s="1082"/>
      <c r="I20" s="1082">
        <v>12905</v>
      </c>
      <c r="J20" s="1082">
        <v>22158.383010000001</v>
      </c>
      <c r="K20" s="1082">
        <v>18021.739000000001</v>
      </c>
      <c r="L20" s="1082">
        <v>15243.313500499999</v>
      </c>
      <c r="M20" s="1080"/>
      <c r="N20" s="1075"/>
    </row>
    <row r="21" spans="2:14" s="1070" customFormat="1" ht="10.8">
      <c r="B21" s="985" t="s">
        <v>2352</v>
      </c>
      <c r="D21" s="1082">
        <v>2108051</v>
      </c>
      <c r="E21" s="1082">
        <v>441784</v>
      </c>
      <c r="F21" s="1082">
        <v>0</v>
      </c>
      <c r="G21" s="1082">
        <v>2549835</v>
      </c>
      <c r="H21" s="1082"/>
      <c r="I21" s="1082">
        <v>199855</v>
      </c>
      <c r="J21" s="1082">
        <v>41509.645880000004</v>
      </c>
      <c r="K21" s="1082"/>
      <c r="L21" s="1082">
        <v>215495.99023949998</v>
      </c>
      <c r="M21" s="1075"/>
      <c r="N21" s="1075"/>
    </row>
    <row r="22" spans="2:14" s="1070" customFormat="1" ht="10.8">
      <c r="B22" s="985" t="s">
        <v>2356</v>
      </c>
      <c r="D22" s="1082">
        <v>2841551</v>
      </c>
      <c r="E22" s="1082">
        <v>6888764</v>
      </c>
      <c r="F22" s="1082">
        <v>3535877</v>
      </c>
      <c r="G22" s="1082">
        <v>6194438</v>
      </c>
      <c r="H22" s="1082"/>
      <c r="I22" s="1082">
        <v>269395</v>
      </c>
      <c r="J22" s="1082">
        <v>631217.52982000005</v>
      </c>
      <c r="K22" s="1082">
        <v>331949.891</v>
      </c>
      <c r="L22" s="1082">
        <v>523514.8748006</v>
      </c>
      <c r="M22" s="1080"/>
      <c r="N22" s="1075"/>
    </row>
    <row r="23" spans="2:14" s="1070" customFormat="1" ht="10.8">
      <c r="B23" s="1070" t="s">
        <v>2358</v>
      </c>
      <c r="D23" s="1082">
        <v>0</v>
      </c>
      <c r="E23" s="1082">
        <v>5116684</v>
      </c>
      <c r="F23" s="1082">
        <v>2665621</v>
      </c>
      <c r="G23" s="1082">
        <f>D23+E23-F23</f>
        <v>2451063</v>
      </c>
      <c r="H23" s="1082"/>
      <c r="I23" s="1082">
        <v>0</v>
      </c>
      <c r="J23" s="1082">
        <v>495000</v>
      </c>
      <c r="K23" s="1082">
        <v>257000.00000999999</v>
      </c>
      <c r="L23" s="1082">
        <f>G23*BS!$F$40/1000</f>
        <v>240257.36206709998</v>
      </c>
      <c r="M23" s="1075"/>
      <c r="N23" s="1075"/>
    </row>
    <row r="24" spans="2:14" s="1070" customFormat="1" ht="7.2" customHeight="1">
      <c r="D24" s="1082"/>
      <c r="E24" s="1082"/>
      <c r="F24" s="1082"/>
      <c r="G24" s="1082"/>
      <c r="H24" s="1082"/>
      <c r="I24" s="1082"/>
      <c r="J24" s="1082"/>
      <c r="K24" s="1082"/>
      <c r="L24" s="1082"/>
      <c r="M24" s="1075"/>
      <c r="N24" s="1075"/>
    </row>
    <row r="25" spans="2:14" s="1070" customFormat="1" ht="10.8">
      <c r="B25" s="1074" t="s">
        <v>2372</v>
      </c>
      <c r="D25" s="1082">
        <v>134001</v>
      </c>
      <c r="E25" s="1082">
        <v>106367</v>
      </c>
      <c r="F25" s="1082">
        <v>70506</v>
      </c>
      <c r="G25" s="1082">
        <f>D25+E25-F25</f>
        <v>169862</v>
      </c>
      <c r="H25" s="1082"/>
      <c r="I25" s="1082">
        <v>13735.324902947006</v>
      </c>
      <c r="J25" s="1082">
        <v>9761</v>
      </c>
      <c r="K25" s="1082">
        <v>6432</v>
      </c>
      <c r="L25" s="1082">
        <f>G25*BS!$F$40/1000</f>
        <v>16650.162005400001</v>
      </c>
      <c r="M25" s="1075"/>
      <c r="N25" s="1075"/>
    </row>
    <row r="26" spans="2:14" s="1070" customFormat="1" ht="7.2" customHeight="1">
      <c r="D26" s="1082"/>
      <c r="E26" s="1082"/>
      <c r="F26" s="1082"/>
      <c r="G26" s="1082"/>
      <c r="H26" s="1082"/>
      <c r="I26" s="1082"/>
      <c r="J26" s="1082"/>
      <c r="K26" s="1082"/>
      <c r="L26" s="1082"/>
      <c r="M26" s="1075"/>
      <c r="N26" s="1075"/>
    </row>
    <row r="27" spans="2:14" s="1070" customFormat="1" ht="10.8">
      <c r="B27" s="1074" t="s">
        <v>2359</v>
      </c>
      <c r="D27" s="1082">
        <v>10722140</v>
      </c>
      <c r="E27" s="1082">
        <v>7297653</v>
      </c>
      <c r="F27" s="1082">
        <v>11165188</v>
      </c>
      <c r="G27" s="1082">
        <f>D27+E27-F27</f>
        <v>6854605</v>
      </c>
      <c r="H27" s="1082"/>
      <c r="I27" s="1082">
        <v>1099037.1456547654</v>
      </c>
      <c r="J27" s="1082">
        <v>697638.67047000001</v>
      </c>
      <c r="K27" s="1082">
        <v>1067125.80318</v>
      </c>
      <c r="L27" s="1082">
        <f>G27*BS!$F$40/1000</f>
        <v>671900.03492849995</v>
      </c>
      <c r="M27" s="1075"/>
      <c r="N27" s="1075"/>
    </row>
    <row r="28" spans="2:14" s="1070" customFormat="1" ht="10.8">
      <c r="D28" s="1075"/>
      <c r="E28" s="1075"/>
      <c r="F28" s="1075"/>
      <c r="G28" s="1075"/>
      <c r="H28" s="1075"/>
      <c r="I28" s="1075"/>
      <c r="J28" s="1075"/>
      <c r="K28" s="1075"/>
      <c r="L28" s="1075"/>
      <c r="M28" s="1075"/>
      <c r="N28" s="1075"/>
    </row>
    <row r="29" spans="2:14" s="1070" customFormat="1" ht="10.8">
      <c r="F29" s="1081"/>
      <c r="J29" s="1079"/>
    </row>
    <row r="30" spans="2:14" s="1070" customFormat="1" ht="10.8">
      <c r="C30" s="1067"/>
      <c r="D30" s="2519" t="s">
        <v>1159</v>
      </c>
      <c r="E30" s="2519"/>
      <c r="F30" s="2519"/>
      <c r="G30" s="2519"/>
      <c r="H30" s="2519"/>
      <c r="I30" s="2519"/>
      <c r="J30" s="2519"/>
      <c r="K30" s="2519"/>
      <c r="L30" s="2519"/>
    </row>
    <row r="31" spans="2:14" s="1070" customFormat="1" ht="9.75" customHeight="1">
      <c r="C31" s="1072"/>
      <c r="D31" s="2516" t="s">
        <v>1146</v>
      </c>
      <c r="E31" s="2511" t="s">
        <v>2338</v>
      </c>
      <c r="F31" s="2511" t="s">
        <v>2339</v>
      </c>
      <c r="G31" s="2511" t="s">
        <v>2342</v>
      </c>
      <c r="H31" s="1073"/>
      <c r="I31" s="2516" t="s">
        <v>1146</v>
      </c>
      <c r="J31" s="2511" t="s">
        <v>2340</v>
      </c>
      <c r="K31" s="2511" t="s">
        <v>2339</v>
      </c>
      <c r="L31" s="2511" t="s">
        <v>2343</v>
      </c>
    </row>
    <row r="32" spans="2:14" s="1070" customFormat="1" ht="10.8">
      <c r="C32" s="1067"/>
      <c r="D32" s="2517"/>
      <c r="E32" s="2512"/>
      <c r="F32" s="2512"/>
      <c r="G32" s="2512"/>
      <c r="H32" s="1073"/>
      <c r="I32" s="2517"/>
      <c r="J32" s="2512"/>
      <c r="K32" s="2512"/>
      <c r="L32" s="2512"/>
    </row>
    <row r="33" spans="2:13" s="1070" customFormat="1" ht="10.8">
      <c r="C33" s="1067"/>
      <c r="D33" s="2517"/>
      <c r="E33" s="2512"/>
      <c r="F33" s="2512"/>
      <c r="G33" s="2512"/>
      <c r="H33" s="1073"/>
      <c r="I33" s="2517"/>
      <c r="J33" s="2512"/>
      <c r="K33" s="2512"/>
      <c r="L33" s="2512"/>
    </row>
    <row r="34" spans="2:13" s="1070" customFormat="1" ht="10.8">
      <c r="C34" s="1067"/>
      <c r="D34" s="2517"/>
      <c r="E34" s="2512"/>
      <c r="F34" s="2512"/>
      <c r="G34" s="2512"/>
      <c r="H34" s="1073"/>
      <c r="I34" s="2517"/>
      <c r="J34" s="2512"/>
      <c r="K34" s="2512"/>
      <c r="L34" s="2512"/>
    </row>
    <row r="35" spans="2:13" s="1070" customFormat="1" ht="10.8">
      <c r="C35" s="1067"/>
      <c r="D35" s="2517"/>
      <c r="E35" s="2512"/>
      <c r="F35" s="2512"/>
      <c r="G35" s="2512"/>
      <c r="H35" s="1073"/>
      <c r="I35" s="2517"/>
      <c r="J35" s="2512"/>
      <c r="K35" s="2512"/>
      <c r="L35" s="2512"/>
    </row>
    <row r="36" spans="2:13" s="1070" customFormat="1" ht="10.8">
      <c r="C36" s="1067"/>
      <c r="D36" s="2518" t="s">
        <v>2341</v>
      </c>
      <c r="E36" s="2518"/>
      <c r="F36" s="2518"/>
      <c r="G36" s="2518"/>
      <c r="H36" s="1437"/>
      <c r="I36" s="2518" t="s">
        <v>2345</v>
      </c>
      <c r="J36" s="2518"/>
      <c r="K36" s="2518"/>
      <c r="L36" s="2518"/>
    </row>
    <row r="37" spans="2:13" s="1070" customFormat="1" ht="7.2" customHeight="1"/>
    <row r="38" spans="2:13" s="1070" customFormat="1" ht="10.8">
      <c r="B38" s="1074" t="s">
        <v>1092</v>
      </c>
      <c r="D38" s="1082">
        <v>2782581</v>
      </c>
      <c r="E38" s="1082">
        <v>557575.73</v>
      </c>
      <c r="F38" s="1082">
        <v>976208.71</v>
      </c>
      <c r="G38" s="1082">
        <f>D38+E38-F38</f>
        <v>2363948.02</v>
      </c>
      <c r="H38" s="1082"/>
      <c r="I38" s="1082">
        <v>285219</v>
      </c>
      <c r="J38" s="1082">
        <v>49672.08</v>
      </c>
      <c r="K38" s="1082">
        <v>90000</v>
      </c>
      <c r="L38" s="1082">
        <v>215137.23582495202</v>
      </c>
    </row>
    <row r="39" spans="2:13" s="1070" customFormat="1" ht="7.2" customHeight="1">
      <c r="D39" s="1082"/>
      <c r="E39" s="1082"/>
      <c r="F39" s="1082"/>
      <c r="G39" s="1082"/>
      <c r="H39" s="1082"/>
      <c r="I39" s="1082"/>
      <c r="J39" s="1082"/>
      <c r="K39" s="1082"/>
      <c r="L39" s="1082"/>
    </row>
    <row r="40" spans="2:13" s="1070" customFormat="1" ht="10.8">
      <c r="B40" s="1074" t="s">
        <v>2360</v>
      </c>
      <c r="D40" s="1082"/>
      <c r="E40" s="1082"/>
      <c r="F40" s="1082"/>
      <c r="G40" s="1082"/>
      <c r="H40" s="1082"/>
      <c r="I40" s="1082"/>
      <c r="J40" s="1082"/>
      <c r="K40" s="1082"/>
      <c r="L40" s="1082"/>
    </row>
    <row r="41" spans="2:13" s="1070" customFormat="1" ht="10.8">
      <c r="B41" s="1070" t="s">
        <v>2348</v>
      </c>
      <c r="D41" s="1082"/>
      <c r="E41" s="1082"/>
      <c r="F41" s="1082"/>
      <c r="G41" s="1082"/>
      <c r="H41" s="1082"/>
      <c r="I41" s="1082"/>
      <c r="J41" s="1082"/>
      <c r="K41" s="1082"/>
      <c r="L41" s="1082"/>
    </row>
    <row r="42" spans="2:13" s="1070" customFormat="1" ht="10.8">
      <c r="B42" s="1070" t="s">
        <v>2349</v>
      </c>
      <c r="D42" s="1082">
        <v>11625</v>
      </c>
      <c r="E42" s="1082">
        <v>12101</v>
      </c>
      <c r="F42" s="1082">
        <v>14453</v>
      </c>
      <c r="G42" s="1082">
        <v>9273</v>
      </c>
      <c r="H42" s="1082"/>
      <c r="I42" s="1082">
        <v>1192</v>
      </c>
      <c r="J42" s="1082">
        <v>1107</v>
      </c>
      <c r="K42" s="1082">
        <v>1299</v>
      </c>
      <c r="L42" s="1082">
        <v>843.91347480000002</v>
      </c>
    </row>
    <row r="43" spans="2:13" s="1070" customFormat="1" ht="10.8">
      <c r="B43" s="1070" t="s">
        <v>2350</v>
      </c>
      <c r="D43" s="1082">
        <v>117589</v>
      </c>
      <c r="E43" s="1082">
        <v>187806</v>
      </c>
      <c r="F43" s="1082">
        <v>240088</v>
      </c>
      <c r="G43" s="1082">
        <v>65307</v>
      </c>
      <c r="H43" s="1082"/>
      <c r="I43" s="1082">
        <v>12053</v>
      </c>
      <c r="J43" s="1082">
        <v>17980.048579999999</v>
      </c>
      <c r="K43" s="1082">
        <v>22521</v>
      </c>
      <c r="L43" s="1082">
        <v>5943.4333332000006</v>
      </c>
    </row>
    <row r="44" spans="2:13" s="1070" customFormat="1" ht="16.5" customHeight="1">
      <c r="B44" s="1070" t="s">
        <v>1088</v>
      </c>
      <c r="D44" s="1082">
        <v>16932999</v>
      </c>
      <c r="E44" s="1082">
        <v>3742620.61</v>
      </c>
      <c r="F44" s="1082">
        <v>436214</v>
      </c>
      <c r="G44" s="1082">
        <v>20239405.609999999</v>
      </c>
      <c r="H44" s="1082"/>
      <c r="I44" s="1082">
        <v>1735661</v>
      </c>
      <c r="J44" s="1082">
        <v>355000</v>
      </c>
      <c r="K44" s="1082">
        <v>45000</v>
      </c>
      <c r="L44" s="1082">
        <v>1841939.729992636</v>
      </c>
    </row>
    <row r="45" spans="2:13" s="1070" customFormat="1" ht="10.8">
      <c r="B45" s="1070" t="s">
        <v>2351</v>
      </c>
      <c r="D45" s="1082">
        <v>1515637</v>
      </c>
      <c r="E45" s="1082">
        <v>0</v>
      </c>
      <c r="F45" s="1082">
        <v>0</v>
      </c>
      <c r="G45" s="1082">
        <v>1515637</v>
      </c>
      <c r="H45" s="1082"/>
      <c r="I45" s="1082">
        <v>155355</v>
      </c>
      <c r="J45" s="1082">
        <v>0</v>
      </c>
      <c r="K45" s="1082">
        <v>0</v>
      </c>
      <c r="L45" s="1082">
        <v>137934.48584119999</v>
      </c>
    </row>
    <row r="46" spans="2:13" s="1070" customFormat="1" ht="9.75" customHeight="1">
      <c r="B46" s="1070" t="s">
        <v>2355</v>
      </c>
      <c r="D46" s="1082">
        <v>225797</v>
      </c>
      <c r="E46" s="1082">
        <v>362996.94</v>
      </c>
      <c r="F46" s="1082">
        <v>460760</v>
      </c>
      <c r="G46" s="1082">
        <v>128033.93999999994</v>
      </c>
      <c r="H46" s="1082"/>
      <c r="I46" s="1082">
        <v>23145</v>
      </c>
      <c r="J46" s="1082">
        <v>34736</v>
      </c>
      <c r="K46" s="1082">
        <v>43205</v>
      </c>
      <c r="L46" s="1082">
        <v>11652.061597943995</v>
      </c>
    </row>
    <row r="47" spans="2:13" s="1070" customFormat="1" ht="10.8">
      <c r="B47" s="1070" t="s">
        <v>2352</v>
      </c>
      <c r="D47" s="1082">
        <v>412198</v>
      </c>
      <c r="E47" s="1082">
        <v>945582.69</v>
      </c>
      <c r="F47" s="1082">
        <v>484683</v>
      </c>
      <c r="G47" s="1082">
        <v>873097.69</v>
      </c>
      <c r="H47" s="1082"/>
      <c r="I47" s="1082">
        <v>42251</v>
      </c>
      <c r="J47" s="1082">
        <v>95000</v>
      </c>
      <c r="K47" s="1082">
        <v>50000</v>
      </c>
      <c r="L47" s="1082">
        <v>79458.525332443998</v>
      </c>
    </row>
    <row r="48" spans="2:13">
      <c r="B48" s="1070" t="s">
        <v>2357</v>
      </c>
      <c r="C48" s="998"/>
      <c r="D48" s="1082">
        <v>363704</v>
      </c>
      <c r="E48" s="1082">
        <v>188404.75</v>
      </c>
      <c r="F48" s="1082">
        <v>552109.18999999994</v>
      </c>
      <c r="G48" s="1082">
        <v>0</v>
      </c>
      <c r="H48" s="1082"/>
      <c r="I48" s="1082">
        <v>37500</v>
      </c>
      <c r="J48" s="1082">
        <v>17700</v>
      </c>
      <c r="K48" s="1082">
        <v>52102.24351</v>
      </c>
      <c r="L48" s="1082">
        <v>0</v>
      </c>
      <c r="M48" s="998"/>
    </row>
    <row r="49" spans="2:13">
      <c r="B49" s="1070" t="s">
        <v>2356</v>
      </c>
      <c r="C49" s="998"/>
      <c r="D49" s="1082">
        <v>145730</v>
      </c>
      <c r="E49" s="1082">
        <v>53535.14</v>
      </c>
      <c r="F49" s="1082">
        <v>0</v>
      </c>
      <c r="G49" s="1082">
        <v>199265.14</v>
      </c>
      <c r="H49" s="1082"/>
      <c r="I49" s="1082">
        <v>14937.566869698489</v>
      </c>
      <c r="J49" s="1082">
        <v>5000</v>
      </c>
      <c r="K49" s="1082">
        <v>0</v>
      </c>
      <c r="L49" s="1082">
        <v>18134.642155064001</v>
      </c>
      <c r="M49" s="998"/>
    </row>
    <row r="50" spans="2:13">
      <c r="B50" s="1070" t="s">
        <v>2358</v>
      </c>
      <c r="C50" s="998"/>
      <c r="D50" s="1082">
        <v>0</v>
      </c>
      <c r="E50" s="1082">
        <v>5116684</v>
      </c>
      <c r="F50" s="1082">
        <v>2665621</v>
      </c>
      <c r="G50" s="1082">
        <v>2451063</v>
      </c>
      <c r="H50" s="1082"/>
      <c r="I50" s="1082">
        <v>0</v>
      </c>
      <c r="J50" s="1082">
        <v>495000</v>
      </c>
      <c r="K50" s="1082">
        <v>257000.00000999999</v>
      </c>
      <c r="L50" s="1082">
        <v>223065.36107879999</v>
      </c>
      <c r="M50" s="998"/>
    </row>
    <row r="51" spans="2:13" ht="7.5" customHeight="1">
      <c r="B51" s="1070"/>
      <c r="C51" s="998"/>
      <c r="D51" s="998"/>
      <c r="E51" s="998"/>
      <c r="F51" s="998"/>
      <c r="G51" s="998"/>
      <c r="H51" s="998"/>
      <c r="I51" s="998"/>
      <c r="J51" s="998"/>
      <c r="K51" s="998"/>
      <c r="L51" s="998"/>
      <c r="M51" s="998"/>
    </row>
    <row r="52" spans="2:13">
      <c r="B52" s="1074" t="s">
        <v>2372</v>
      </c>
      <c r="C52" s="998"/>
      <c r="D52" s="1082">
        <v>134001</v>
      </c>
      <c r="E52" s="1082">
        <v>106367</v>
      </c>
      <c r="F52" s="1082">
        <v>70506</v>
      </c>
      <c r="G52" s="1082">
        <v>169862</v>
      </c>
      <c r="H52" s="1082"/>
      <c r="I52" s="1082">
        <v>13735.324902947006</v>
      </c>
      <c r="J52" s="1082">
        <v>9761</v>
      </c>
      <c r="K52" s="1082">
        <v>6432</v>
      </c>
      <c r="L52" s="1082">
        <v>15458.7329512</v>
      </c>
      <c r="M52" s="998"/>
    </row>
    <row r="53" spans="2:13">
      <c r="B53" s="1070"/>
      <c r="C53" s="998"/>
      <c r="D53" s="1082"/>
      <c r="E53" s="1082"/>
      <c r="F53" s="1082"/>
      <c r="G53" s="1082"/>
      <c r="H53" s="1082"/>
      <c r="I53" s="1082"/>
      <c r="J53" s="1082"/>
      <c r="K53" s="1082"/>
      <c r="L53" s="1082"/>
      <c r="M53" s="998"/>
    </row>
    <row r="54" spans="2:13">
      <c r="B54" s="1074" t="s">
        <v>2359</v>
      </c>
      <c r="C54" s="998"/>
      <c r="D54" s="1082">
        <v>10722140</v>
      </c>
      <c r="E54" s="1082">
        <v>7297653</v>
      </c>
      <c r="F54" s="1082">
        <v>11165188</v>
      </c>
      <c r="G54" s="1082">
        <v>6854605</v>
      </c>
      <c r="H54" s="1082"/>
      <c r="I54" s="1082">
        <v>1099037.1456547654</v>
      </c>
      <c r="J54" s="1082">
        <v>697638.67047000001</v>
      </c>
      <c r="K54" s="1082">
        <v>1067125.80318</v>
      </c>
      <c r="L54" s="1082">
        <v>623821.14999800001</v>
      </c>
      <c r="M54" s="998"/>
    </row>
    <row r="55" spans="2:13">
      <c r="B55" s="998"/>
      <c r="C55" s="998"/>
      <c r="D55" s="998"/>
      <c r="E55" s="998"/>
      <c r="F55" s="998"/>
      <c r="G55" s="998"/>
      <c r="H55" s="998"/>
      <c r="I55" s="998"/>
      <c r="J55" s="998"/>
      <c r="K55" s="998"/>
      <c r="L55" s="998"/>
      <c r="M55" s="998"/>
    </row>
    <row r="56" spans="2:13">
      <c r="B56" s="998"/>
      <c r="C56" s="998"/>
      <c r="D56" s="998"/>
      <c r="E56" s="998"/>
      <c r="F56" s="998"/>
      <c r="G56" s="998"/>
      <c r="H56" s="998"/>
      <c r="I56" s="998"/>
      <c r="J56" s="998"/>
      <c r="K56" s="998"/>
      <c r="L56" s="998"/>
      <c r="M56" s="998"/>
    </row>
    <row r="57" spans="2:13">
      <c r="B57" s="998"/>
      <c r="C57" s="998"/>
      <c r="D57" s="998"/>
      <c r="E57" s="998"/>
      <c r="F57" s="998"/>
      <c r="G57" s="998"/>
      <c r="H57" s="998"/>
      <c r="I57" s="998"/>
      <c r="J57" s="998"/>
      <c r="K57" s="998"/>
      <c r="L57" s="998"/>
      <c r="M57" s="998"/>
    </row>
    <row r="58" spans="2:13">
      <c r="B58" s="998"/>
      <c r="C58" s="998"/>
      <c r="D58" s="998"/>
      <c r="E58" s="998"/>
      <c r="F58" s="998"/>
      <c r="G58" s="998"/>
      <c r="H58" s="998"/>
      <c r="I58" s="998"/>
      <c r="J58" s="998"/>
      <c r="K58" s="998"/>
      <c r="L58" s="998"/>
      <c r="M58" s="998"/>
    </row>
    <row r="59" spans="2:13">
      <c r="B59" s="998"/>
      <c r="C59" s="998"/>
      <c r="D59" s="998"/>
      <c r="E59" s="998"/>
      <c r="F59" s="998"/>
      <c r="G59" s="998"/>
      <c r="H59" s="998"/>
      <c r="I59" s="998"/>
      <c r="J59" s="998"/>
      <c r="K59" s="998"/>
      <c r="L59" s="998"/>
      <c r="M59" s="998"/>
    </row>
    <row r="60" spans="2:13">
      <c r="B60" s="998"/>
      <c r="C60" s="998"/>
      <c r="D60" s="998"/>
      <c r="E60" s="998"/>
      <c r="F60" s="998"/>
      <c r="G60" s="998"/>
      <c r="H60" s="998"/>
      <c r="I60" s="998"/>
      <c r="J60" s="998"/>
      <c r="K60" s="998"/>
      <c r="L60" s="998"/>
      <c r="M60" s="998"/>
    </row>
    <row r="61" spans="2:13">
      <c r="B61" s="998"/>
      <c r="C61" s="998"/>
      <c r="D61" s="998"/>
      <c r="E61" s="998"/>
      <c r="F61" s="998"/>
      <c r="G61" s="998"/>
      <c r="H61" s="998"/>
      <c r="I61" s="998"/>
      <c r="J61" s="998"/>
      <c r="K61" s="998"/>
      <c r="L61" s="998"/>
      <c r="M61" s="998"/>
    </row>
    <row r="62" spans="2:13">
      <c r="B62" s="998"/>
      <c r="C62" s="998"/>
      <c r="D62" s="998"/>
      <c r="E62" s="998"/>
      <c r="F62" s="998"/>
      <c r="G62" s="998"/>
      <c r="H62" s="998"/>
      <c r="I62" s="998"/>
      <c r="J62" s="998"/>
      <c r="K62" s="998"/>
      <c r="L62" s="998"/>
      <c r="M62" s="998"/>
    </row>
    <row r="63" spans="2:13">
      <c r="B63" s="998"/>
      <c r="C63" s="998"/>
      <c r="D63" s="998"/>
      <c r="E63" s="998"/>
      <c r="F63" s="998"/>
      <c r="G63" s="998"/>
      <c r="H63" s="998"/>
      <c r="I63" s="998"/>
      <c r="J63" s="998"/>
      <c r="K63" s="998"/>
      <c r="L63" s="998"/>
      <c r="M63" s="998"/>
    </row>
    <row r="64" spans="2:13">
      <c r="B64" s="998"/>
      <c r="C64" s="998"/>
      <c r="D64" s="998"/>
      <c r="E64" s="998"/>
      <c r="F64" s="998"/>
      <c r="G64" s="998"/>
      <c r="H64" s="998"/>
      <c r="I64" s="998"/>
      <c r="J64" s="998"/>
      <c r="K64" s="998"/>
      <c r="L64" s="998"/>
      <c r="M64" s="998"/>
    </row>
    <row r="65" spans="2:13">
      <c r="B65" s="998"/>
      <c r="C65" s="998"/>
      <c r="D65" s="998"/>
      <c r="E65" s="998"/>
      <c r="F65" s="998"/>
      <c r="G65" s="998"/>
      <c r="H65" s="998"/>
      <c r="I65" s="998"/>
      <c r="J65" s="998"/>
      <c r="K65" s="998"/>
      <c r="L65" s="998"/>
      <c r="M65" s="998"/>
    </row>
    <row r="66" spans="2:13">
      <c r="B66" s="998"/>
      <c r="C66" s="998"/>
      <c r="D66" s="998"/>
      <c r="E66" s="998"/>
      <c r="F66" s="998"/>
      <c r="G66" s="998"/>
      <c r="H66" s="998"/>
      <c r="I66" s="998"/>
      <c r="J66" s="998"/>
      <c r="K66" s="998"/>
      <c r="L66" s="998"/>
      <c r="M66" s="998"/>
    </row>
    <row r="67" spans="2:13">
      <c r="B67" s="998"/>
      <c r="C67" s="998"/>
      <c r="D67" s="998"/>
      <c r="E67" s="998"/>
      <c r="F67" s="998"/>
      <c r="G67" s="998"/>
      <c r="H67" s="998"/>
      <c r="I67" s="998"/>
      <c r="J67" s="998"/>
      <c r="K67" s="998"/>
      <c r="L67" s="998"/>
      <c r="M67" s="998"/>
    </row>
    <row r="68" spans="2:13">
      <c r="B68" s="998"/>
      <c r="C68" s="998"/>
      <c r="D68" s="998"/>
      <c r="E68" s="998"/>
      <c r="F68" s="998"/>
      <c r="G68" s="998"/>
      <c r="H68" s="998"/>
      <c r="I68" s="998"/>
      <c r="J68" s="998"/>
      <c r="K68" s="998"/>
      <c r="L68" s="998"/>
      <c r="M68" s="998"/>
    </row>
    <row r="552" spans="1:12">
      <c r="A552" s="383"/>
      <c r="B552" s="2510" t="s">
        <v>2416</v>
      </c>
      <c r="C552" s="2510"/>
      <c r="D552" s="2510"/>
      <c r="E552" s="2510"/>
      <c r="F552" s="2510"/>
      <c r="G552" s="2510"/>
      <c r="H552" s="2510"/>
      <c r="I552" s="2510"/>
      <c r="J552" s="2510"/>
      <c r="K552" s="2510"/>
      <c r="L552" s="2510"/>
    </row>
    <row r="553" spans="1:12">
      <c r="B553" s="2510"/>
      <c r="C553" s="2510"/>
      <c r="D553" s="2510"/>
      <c r="E553" s="2510"/>
      <c r="F553" s="2510"/>
      <c r="G553" s="2510"/>
      <c r="H553" s="2510"/>
      <c r="I553" s="2510"/>
      <c r="J553" s="2510"/>
      <c r="K553" s="2510"/>
      <c r="L553" s="2510"/>
    </row>
    <row r="554" spans="1:12">
      <c r="B554" s="2510"/>
      <c r="C554" s="2510"/>
      <c r="D554" s="2510"/>
      <c r="E554" s="2510"/>
      <c r="F554" s="2510"/>
      <c r="G554" s="2510"/>
      <c r="H554" s="2510"/>
      <c r="I554" s="2510"/>
      <c r="J554" s="2510"/>
      <c r="K554" s="2510"/>
      <c r="L554" s="2510"/>
    </row>
    <row r="556" spans="1:12">
      <c r="A556">
        <f>A552+0.1</f>
        <v>0.1</v>
      </c>
    </row>
    <row r="693" spans="3:3">
      <c r="C693" t="s">
        <v>2417</v>
      </c>
    </row>
    <row r="707" spans="3:3">
      <c r="C707" t="s">
        <v>2418</v>
      </c>
    </row>
  </sheetData>
  <mergeCells count="23">
    <mergeCell ref="G31:G35"/>
    <mergeCell ref="I10:L10"/>
    <mergeCell ref="D10:G10"/>
    <mergeCell ref="F31:F35"/>
    <mergeCell ref="E31:E35"/>
    <mergeCell ref="D31:D35"/>
    <mergeCell ref="D30:L30"/>
    <mergeCell ref="B552:L554"/>
    <mergeCell ref="L4:L9"/>
    <mergeCell ref="D3:L3"/>
    <mergeCell ref="D4:D9"/>
    <mergeCell ref="E4:E9"/>
    <mergeCell ref="F4:F9"/>
    <mergeCell ref="G4:G9"/>
    <mergeCell ref="I4:I9"/>
    <mergeCell ref="J4:J9"/>
    <mergeCell ref="K4:K9"/>
    <mergeCell ref="I36:L36"/>
    <mergeCell ref="D36:G36"/>
    <mergeCell ref="L31:L35"/>
    <mergeCell ref="K31:K35"/>
    <mergeCell ref="J31:J35"/>
    <mergeCell ref="I31:I35"/>
  </mergeCells>
  <pageMargins left="0.75" right="0.5" top="0.7" bottom="0.4" header="0.45"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64"/>
  <sheetViews>
    <sheetView view="pageBreakPreview" zoomScaleSheetLayoutView="100" workbookViewId="0">
      <selection activeCell="D45" sqref="D45"/>
    </sheetView>
  </sheetViews>
  <sheetFormatPr defaultColWidth="9" defaultRowHeight="11.4"/>
  <cols>
    <col min="1" max="1" width="64.5" style="877" customWidth="1"/>
    <col min="2" max="2" width="14.19921875" style="846" customWidth="1"/>
    <col min="3" max="3" width="9.19921875" style="877" customWidth="1"/>
    <col min="4" max="4" width="10.69921875" style="877" customWidth="1"/>
    <col min="5" max="16384" width="9" style="877"/>
  </cols>
  <sheetData>
    <row r="1" spans="1:4" ht="12">
      <c r="A1" s="939" t="s">
        <v>1069</v>
      </c>
      <c r="B1" s="715"/>
    </row>
    <row r="2" spans="1:4" ht="12">
      <c r="A2" s="939" t="s">
        <v>1081</v>
      </c>
      <c r="B2" s="715"/>
    </row>
    <row r="3" spans="1:4" ht="12">
      <c r="A3" s="939" t="s">
        <v>2448</v>
      </c>
      <c r="B3" s="715"/>
    </row>
    <row r="4" spans="1:4" ht="12.6" thickBot="1">
      <c r="A4" s="939"/>
      <c r="B4" s="715"/>
    </row>
    <row r="5" spans="1:4" ht="37.200000000000003" thickTop="1" thickBot="1">
      <c r="A5" s="939"/>
      <c r="B5" s="940" t="s">
        <v>2458</v>
      </c>
    </row>
    <row r="6" spans="1:4" ht="13.2" thickTop="1" thickBot="1">
      <c r="B6" s="941" t="s">
        <v>52</v>
      </c>
    </row>
    <row r="7" spans="1:4" ht="12" thickTop="1"/>
    <row r="8" spans="1:4">
      <c r="A8" s="244"/>
      <c r="C8" s="846"/>
    </row>
    <row r="9" spans="1:4" ht="12">
      <c r="A9" s="939" t="s">
        <v>1082</v>
      </c>
      <c r="C9" s="846"/>
    </row>
    <row r="10" spans="1:4">
      <c r="A10" s="847" t="s">
        <v>1083</v>
      </c>
      <c r="B10" s="17">
        <f>BS!$H$12</f>
        <v>11903844</v>
      </c>
      <c r="C10" s="846"/>
      <c r="D10" s="1084">
        <f>B11*-1</f>
        <v>11260226.018000003</v>
      </c>
    </row>
    <row r="11" spans="1:4">
      <c r="A11" s="847" t="s">
        <v>1084</v>
      </c>
      <c r="B11" s="61">
        <f>-BS!$F$12</f>
        <v>-11260226.018000003</v>
      </c>
      <c r="C11" s="846"/>
      <c r="D11" s="944">
        <f>B10*-1</f>
        <v>-11903844</v>
      </c>
    </row>
    <row r="12" spans="1:4">
      <c r="A12" s="847" t="str">
        <f>'[125]P&amp;L'!A15</f>
        <v>Unrealised (diminution) / appreciation on re-measurement of investments</v>
      </c>
      <c r="B12" s="16"/>
      <c r="C12" s="846"/>
      <c r="D12" s="1084">
        <f>B13*-1</f>
        <v>813834.11999999546</v>
      </c>
    </row>
    <row r="13" spans="1:4">
      <c r="A13" s="845" t="str">
        <f>'[125]P&amp;L'!A16</f>
        <v>classified as 'financial assets at fair value through profit or loss' - net</v>
      </c>
      <c r="B13" s="61">
        <f>IS!$H$15</f>
        <v>-813834.11999999546</v>
      </c>
      <c r="C13" s="846"/>
      <c r="D13" s="1084">
        <f>B15*-1</f>
        <v>0</v>
      </c>
    </row>
    <row r="14" spans="1:4">
      <c r="A14" s="847" t="s">
        <v>1000</v>
      </c>
      <c r="B14" s="61"/>
      <c r="C14" s="846"/>
      <c r="D14" s="944" t="e">
        <f>B16*-1</f>
        <v>#REF!</v>
      </c>
    </row>
    <row r="15" spans="1:4">
      <c r="A15" s="845" t="s">
        <v>1001</v>
      </c>
      <c r="B15" s="61"/>
      <c r="C15" s="846"/>
      <c r="D15" s="1084" t="e">
        <f>SUM(D10:D14)</f>
        <v>#REF!</v>
      </c>
    </row>
    <row r="16" spans="1:4">
      <c r="A16" s="845" t="s">
        <v>1176</v>
      </c>
      <c r="B16" s="61" t="e">
        <f>-IS!#REF!</f>
        <v>#REF!</v>
      </c>
      <c r="C16" s="846"/>
    </row>
    <row r="17" spans="1:3" ht="12.6" thickBot="1">
      <c r="A17" s="877" t="s">
        <v>1085</v>
      </c>
      <c r="B17" s="942" t="e">
        <f>SUM(B10:B16)</f>
        <v>#REF!</v>
      </c>
      <c r="C17" s="846"/>
    </row>
    <row r="18" spans="1:3" ht="12.75" customHeight="1" thickTop="1">
      <c r="B18" s="17"/>
    </row>
    <row r="19" spans="1:3" ht="12.75" customHeight="1">
      <c r="A19" s="939" t="s">
        <v>196</v>
      </c>
      <c r="B19" s="17"/>
    </row>
    <row r="20" spans="1:3" ht="12.75" customHeight="1">
      <c r="A20" s="847" t="s">
        <v>1083</v>
      </c>
      <c r="B20" s="17">
        <f>BS!$H$13</f>
        <v>499859</v>
      </c>
    </row>
    <row r="21" spans="1:3" ht="12.75" customHeight="1">
      <c r="A21" s="847" t="s">
        <v>1084</v>
      </c>
      <c r="B21" s="17">
        <f>-BS!$F$13</f>
        <v>-1111943</v>
      </c>
    </row>
    <row r="22" spans="1:3" ht="12.75" customHeight="1" thickBot="1">
      <c r="A22" s="877" t="s">
        <v>1085</v>
      </c>
      <c r="B22" s="942">
        <f>SUM(B20:B21)</f>
        <v>-612084</v>
      </c>
    </row>
    <row r="23" spans="1:3" ht="12.75" customHeight="1" thickTop="1">
      <c r="B23" s="17"/>
    </row>
    <row r="24" spans="1:3" ht="12.75" customHeight="1">
      <c r="B24" s="17"/>
    </row>
    <row r="25" spans="1:3" ht="12.75" customHeight="1">
      <c r="A25" s="939" t="s">
        <v>343</v>
      </c>
      <c r="B25" s="17"/>
    </row>
    <row r="26" spans="1:3" ht="12.75" customHeight="1">
      <c r="A26" s="847" t="s">
        <v>1083</v>
      </c>
      <c r="B26" s="17">
        <f>BS!$H$14</f>
        <v>16830</v>
      </c>
    </row>
    <row r="27" spans="1:3" ht="12.75" customHeight="1">
      <c r="A27" s="847" t="s">
        <v>1084</v>
      </c>
      <c r="B27" s="17">
        <f>-BS!$F$14</f>
        <v>-103699</v>
      </c>
    </row>
    <row r="28" spans="1:3" ht="12.75" customHeight="1" thickBot="1">
      <c r="A28" s="877" t="s">
        <v>1085</v>
      </c>
      <c r="B28" s="942">
        <f>SUM(B26:B27)</f>
        <v>-86869</v>
      </c>
    </row>
    <row r="29" spans="1:3" ht="12.75" customHeight="1" thickTop="1">
      <c r="B29" s="945"/>
    </row>
    <row r="30" spans="1:3" ht="12">
      <c r="A30" s="939" t="s">
        <v>306</v>
      </c>
      <c r="B30" s="17"/>
    </row>
    <row r="31" spans="1:3">
      <c r="A31" s="877" t="s">
        <v>1083</v>
      </c>
      <c r="B31" s="17">
        <f>BS!$H$15</f>
        <v>74522</v>
      </c>
    </row>
    <row r="32" spans="1:3">
      <c r="A32" s="877" t="s">
        <v>1084</v>
      </c>
      <c r="B32" s="17">
        <f>-BS!$F$15</f>
        <v>-17313</v>
      </c>
    </row>
    <row r="33" spans="1:2" ht="12.6" thickBot="1">
      <c r="A33" s="877" t="s">
        <v>1085</v>
      </c>
      <c r="B33" s="942">
        <f>SUM(B31:B32)</f>
        <v>57209</v>
      </c>
    </row>
    <row r="34" spans="1:2" ht="5.0999999999999996" customHeight="1" thickTop="1">
      <c r="B34" s="17"/>
    </row>
    <row r="35" spans="1:2" ht="12">
      <c r="A35" s="939" t="s">
        <v>113</v>
      </c>
      <c r="B35" s="17"/>
    </row>
    <row r="36" spans="1:2">
      <c r="A36" s="877" t="s">
        <v>1083</v>
      </c>
      <c r="B36" s="17">
        <f>-BS!$H$20</f>
        <v>-63617</v>
      </c>
    </row>
    <row r="37" spans="1:2">
      <c r="A37" s="877" t="s">
        <v>1084</v>
      </c>
      <c r="B37" s="17">
        <f>BS!$F$20</f>
        <v>65466</v>
      </c>
    </row>
    <row r="38" spans="1:2" ht="12.6" thickBot="1">
      <c r="A38" s="877" t="s">
        <v>1085</v>
      </c>
      <c r="B38" s="942">
        <f>SUM(B36:B37)</f>
        <v>1849</v>
      </c>
    </row>
    <row r="39" spans="1:2" ht="5.0999999999999996" customHeight="1" thickTop="1">
      <c r="B39" s="17"/>
    </row>
    <row r="40" spans="1:2" ht="12">
      <c r="A40" s="939" t="s">
        <v>1086</v>
      </c>
      <c r="B40" s="17"/>
    </row>
    <row r="41" spans="1:2">
      <c r="A41" s="877" t="s">
        <v>1083</v>
      </c>
      <c r="B41" s="17">
        <f>-BS!$H$22</f>
        <v>-1258</v>
      </c>
    </row>
    <row r="42" spans="1:2">
      <c r="A42" s="877" t="s">
        <v>1084</v>
      </c>
      <c r="B42" s="17">
        <f>BS!$F$22</f>
        <v>1223</v>
      </c>
    </row>
    <row r="43" spans="1:2" ht="12.6" thickBot="1">
      <c r="A43" s="877" t="s">
        <v>1085</v>
      </c>
      <c r="B43" s="942">
        <f>SUM(B41:B42)</f>
        <v>-35</v>
      </c>
    </row>
    <row r="44" spans="1:2" ht="5.0999999999999996" customHeight="1" thickTop="1">
      <c r="B44" s="17"/>
    </row>
    <row r="45" spans="1:2" ht="12">
      <c r="A45" s="939" t="s">
        <v>114</v>
      </c>
      <c r="B45" s="17"/>
    </row>
    <row r="46" spans="1:2">
      <c r="A46" s="877" t="s">
        <v>1083</v>
      </c>
      <c r="B46" s="17">
        <f>-BS!$H$23</f>
        <v>-2286</v>
      </c>
    </row>
    <row r="47" spans="1:2">
      <c r="A47" s="877" t="s">
        <v>1084</v>
      </c>
      <c r="B47" s="17">
        <f>BS!$F$23</f>
        <v>629</v>
      </c>
    </row>
    <row r="48" spans="1:2" ht="12.6" thickBot="1">
      <c r="A48" s="877" t="s">
        <v>1085</v>
      </c>
      <c r="B48" s="942">
        <f>SUM(B46:B47)</f>
        <v>-1657</v>
      </c>
    </row>
    <row r="49" spans="1:4" ht="12.75" customHeight="1" thickTop="1">
      <c r="B49" s="17"/>
    </row>
    <row r="50" spans="1:4" ht="12.75" customHeight="1">
      <c r="A50" s="715" t="s">
        <v>988</v>
      </c>
      <c r="B50" s="17"/>
    </row>
    <row r="51" spans="1:4" ht="12.75" customHeight="1">
      <c r="A51" s="877" t="s">
        <v>1083</v>
      </c>
      <c r="B51" s="17">
        <f>-BS!$H$24</f>
        <v>-24138</v>
      </c>
    </row>
    <row r="52" spans="1:4" ht="12.75" customHeight="1">
      <c r="A52" s="877" t="s">
        <v>1084</v>
      </c>
      <c r="B52" s="17">
        <f>BS!$F$24</f>
        <v>1220947</v>
      </c>
    </row>
    <row r="53" spans="1:4" ht="12.75" customHeight="1" thickBot="1">
      <c r="B53" s="942">
        <f>SUM(B51:B52)</f>
        <v>1196809</v>
      </c>
    </row>
    <row r="54" spans="1:4" ht="12.75" customHeight="1" thickTop="1">
      <c r="B54" s="17"/>
    </row>
    <row r="55" spans="1:4" ht="12" customHeight="1">
      <c r="A55" s="939" t="s">
        <v>153</v>
      </c>
      <c r="B55" s="17"/>
    </row>
    <row r="56" spans="1:4" ht="12" customHeight="1">
      <c r="A56" s="877" t="s">
        <v>1083</v>
      </c>
      <c r="B56" s="17">
        <f>-BS!$H$25</f>
        <v>-69139.600000000006</v>
      </c>
      <c r="C56" s="16"/>
    </row>
    <row r="57" spans="1:4" ht="12" customHeight="1">
      <c r="A57" s="877" t="s">
        <v>1084</v>
      </c>
      <c r="B57" s="17">
        <f>BS!$F$25</f>
        <v>386</v>
      </c>
      <c r="C57" s="16"/>
    </row>
    <row r="58" spans="1:4" ht="12" customHeight="1" thickBot="1">
      <c r="A58" s="877" t="s">
        <v>1087</v>
      </c>
      <c r="B58" s="942">
        <f>SUM(B56:B57)</f>
        <v>-68753.600000000006</v>
      </c>
      <c r="C58" s="16"/>
    </row>
    <row r="59" spans="1:4" ht="12" thickTop="1">
      <c r="B59" s="17"/>
    </row>
    <row r="60" spans="1:4" ht="12">
      <c r="A60" s="939" t="s">
        <v>1093</v>
      </c>
      <c r="B60" s="17"/>
    </row>
    <row r="61" spans="1:4">
      <c r="A61" s="877" t="s">
        <v>1083</v>
      </c>
      <c r="B61" s="17">
        <f>-BS!$H$26</f>
        <v>-202766</v>
      </c>
      <c r="C61" s="943"/>
      <c r="D61" s="943"/>
    </row>
    <row r="62" spans="1:4">
      <c r="A62" s="877" t="s">
        <v>427</v>
      </c>
      <c r="B62" s="17">
        <f>BS!$F$26</f>
        <v>78369</v>
      </c>
      <c r="C62" s="943"/>
    </row>
    <row r="63" spans="1:4" ht="12.6" thickBot="1">
      <c r="A63" s="877" t="s">
        <v>1087</v>
      </c>
      <c r="B63" s="942">
        <f>SUM(B61:B62)</f>
        <v>-124397</v>
      </c>
      <c r="C63" s="16"/>
      <c r="D63" s="944"/>
    </row>
    <row r="64" spans="1:4" ht="12.6" thickTop="1">
      <c r="B64" s="945"/>
      <c r="C64" s="16"/>
      <c r="D64" s="944"/>
    </row>
  </sheetData>
  <printOptions horizontalCentered="1"/>
  <pageMargins left="0.75" right="0.5" top="0.5" bottom="0.25" header="0.28999999999999998" footer="0.5"/>
  <pageSetup paperSize="9" orientation="portrait" horizontalDpi="4294967295" verticalDpi="4294967295"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U188"/>
  <sheetViews>
    <sheetView topLeftCell="A46" zoomScale="80" zoomScaleNormal="80" workbookViewId="0">
      <selection activeCell="H142" sqref="H142"/>
    </sheetView>
  </sheetViews>
  <sheetFormatPr defaultColWidth="9" defaultRowHeight="15.6"/>
  <cols>
    <col min="1" max="1" width="12.19921875" style="899" bestFit="1" customWidth="1"/>
    <col min="2" max="2" width="59" style="899" customWidth="1"/>
    <col min="3" max="4" width="14.69921875" style="900" bestFit="1" customWidth="1"/>
    <col min="5" max="8" width="14.69921875" style="900" customWidth="1"/>
    <col min="9" max="9" width="13.19921875" style="899" bestFit="1" customWidth="1"/>
    <col min="10" max="10" width="14.69921875" style="899" customWidth="1"/>
    <col min="11" max="11" width="13.09765625" style="899" customWidth="1"/>
    <col min="12" max="12" width="12.5" style="899" bestFit="1" customWidth="1"/>
    <col min="13" max="13" width="11.5" style="899" bestFit="1" customWidth="1"/>
    <col min="14" max="14" width="13.19921875" style="899" bestFit="1" customWidth="1"/>
    <col min="15" max="16" width="9" style="899"/>
    <col min="17" max="21" width="9" style="908"/>
    <col min="22" max="16384" width="9" style="899"/>
  </cols>
  <sheetData>
    <row r="1" spans="1:21">
      <c r="A1" s="243" t="s">
        <v>982</v>
      </c>
      <c r="Q1" s="899"/>
      <c r="R1" s="899"/>
      <c r="S1" s="899"/>
      <c r="T1" s="899"/>
      <c r="U1" s="899"/>
    </row>
    <row r="2" spans="1:21">
      <c r="A2" s="243" t="s">
        <v>726</v>
      </c>
      <c r="Q2" s="899"/>
      <c r="R2" s="899"/>
      <c r="S2" s="899"/>
      <c r="T2" s="899"/>
      <c r="U2" s="899"/>
    </row>
    <row r="3" spans="1:21">
      <c r="A3" s="243" t="s">
        <v>1024</v>
      </c>
      <c r="Q3" s="899"/>
      <c r="R3" s="899"/>
      <c r="S3" s="899"/>
      <c r="T3" s="899"/>
      <c r="U3" s="899"/>
    </row>
    <row r="4" spans="1:21">
      <c r="Q4" s="899"/>
      <c r="R4" s="899"/>
      <c r="S4" s="899"/>
      <c r="T4" s="899"/>
      <c r="U4" s="899"/>
    </row>
    <row r="5" spans="1:21">
      <c r="A5" s="906" t="s">
        <v>727</v>
      </c>
      <c r="C5" s="900">
        <f>SUM(C9:C104)+1807</f>
        <v>10766780621.389999</v>
      </c>
      <c r="D5" s="900">
        <f>-SUM(D9:D104)</f>
        <v>-785217722.0799998</v>
      </c>
      <c r="E5" s="900">
        <f>C5+D5</f>
        <v>9981562899.3099995</v>
      </c>
      <c r="Q5" s="899"/>
      <c r="R5" s="899"/>
      <c r="S5" s="899"/>
      <c r="T5" s="899"/>
      <c r="U5" s="899"/>
    </row>
    <row r="6" spans="1:21">
      <c r="Q6" s="899"/>
      <c r="R6" s="899"/>
      <c r="S6" s="899"/>
      <c r="T6" s="899"/>
      <c r="U6" s="899"/>
    </row>
    <row r="7" spans="1:21" ht="14.4">
      <c r="A7" s="906" t="s">
        <v>728</v>
      </c>
      <c r="B7" s="906" t="s">
        <v>729</v>
      </c>
      <c r="C7" s="907" t="s">
        <v>109</v>
      </c>
      <c r="D7" s="907" t="s">
        <v>108</v>
      </c>
      <c r="E7" s="907" t="s">
        <v>990</v>
      </c>
      <c r="F7" s="907" t="s">
        <v>991</v>
      </c>
      <c r="G7" s="907"/>
      <c r="H7" s="907" t="s">
        <v>983</v>
      </c>
      <c r="I7" s="1024" t="s">
        <v>1079</v>
      </c>
      <c r="J7" s="1025"/>
      <c r="Q7" s="899"/>
      <c r="R7" s="899"/>
      <c r="S7" s="899"/>
      <c r="T7" s="899"/>
      <c r="U7" s="899"/>
    </row>
    <row r="8" spans="1:21" ht="14.4">
      <c r="A8" s="1023" t="s">
        <v>232</v>
      </c>
      <c r="B8" s="1023"/>
      <c r="C8" s="911"/>
      <c r="D8" s="911"/>
      <c r="E8" s="911"/>
      <c r="F8" s="911"/>
      <c r="G8" s="911"/>
      <c r="H8" s="911"/>
      <c r="I8" s="1017" t="s">
        <v>109</v>
      </c>
      <c r="J8" s="1017" t="s">
        <v>108</v>
      </c>
      <c r="K8" s="931" t="s">
        <v>1080</v>
      </c>
      <c r="Q8" s="899"/>
      <c r="R8" s="899"/>
      <c r="S8" s="899"/>
      <c r="T8" s="899"/>
      <c r="U8" s="899"/>
    </row>
    <row r="9" spans="1:21" s="908" customFormat="1">
      <c r="A9" s="1030" t="s">
        <v>907</v>
      </c>
      <c r="B9" s="908" t="s">
        <v>908</v>
      </c>
      <c r="C9" s="1035">
        <v>974450918.89999998</v>
      </c>
      <c r="D9" s="903">
        <v>0</v>
      </c>
      <c r="E9" s="903"/>
      <c r="F9" s="903"/>
      <c r="G9" s="903" t="str">
        <f>VLOOKUP(A9,Sheet2!$A$1:$E$23,5,0)</f>
        <v>Saving</v>
      </c>
      <c r="H9" s="1018"/>
      <c r="I9" s="936">
        <v>28000000</v>
      </c>
      <c r="J9" s="908">
        <v>73000000</v>
      </c>
      <c r="K9" s="935">
        <f>C9+I9-J9</f>
        <v>929450918.89999998</v>
      </c>
      <c r="L9" s="903"/>
      <c r="Q9" s="1014"/>
    </row>
    <row r="10" spans="1:21" s="908" customFormat="1">
      <c r="A10" s="1030" t="s">
        <v>909</v>
      </c>
      <c r="B10" s="908" t="s">
        <v>910</v>
      </c>
      <c r="C10" s="1035">
        <v>1280814.71</v>
      </c>
      <c r="D10" s="903">
        <v>0</v>
      </c>
      <c r="E10" s="903"/>
      <c r="F10" s="903"/>
      <c r="G10" s="903" t="str">
        <f>VLOOKUP(A10,Sheet2!$A$1:$E$23,5,0)</f>
        <v>Saving</v>
      </c>
      <c r="H10" s="903"/>
      <c r="I10" s="1019">
        <v>15862500</v>
      </c>
      <c r="K10" s="935">
        <f>C10+I10</f>
        <v>17143314.710000001</v>
      </c>
      <c r="Q10" s="1014"/>
    </row>
    <row r="11" spans="1:21" s="908" customFormat="1">
      <c r="A11" s="1030" t="s">
        <v>911</v>
      </c>
      <c r="B11" s="908" t="s">
        <v>912</v>
      </c>
      <c r="C11" s="1035">
        <v>2888830.5300000003</v>
      </c>
      <c r="D11" s="903">
        <v>0</v>
      </c>
      <c r="E11" s="903"/>
      <c r="F11" s="903"/>
      <c r="G11" s="903" t="str">
        <f>VLOOKUP(A11,Sheet2!$A$1:$E$23,5,0)</f>
        <v>Saving</v>
      </c>
      <c r="H11" s="914">
        <f>C11+C12+C27</f>
        <v>41533700.340000004</v>
      </c>
      <c r="I11" s="1036">
        <f>H11/1000000</f>
        <v>41.533700340000003</v>
      </c>
      <c r="J11" s="936">
        <v>28000000</v>
      </c>
      <c r="K11" s="935">
        <f>C11-J11</f>
        <v>-25111169.469999999</v>
      </c>
      <c r="Q11" s="1014"/>
    </row>
    <row r="12" spans="1:21" s="908" customFormat="1">
      <c r="A12" s="1030" t="s">
        <v>915</v>
      </c>
      <c r="B12" s="908" t="s">
        <v>916</v>
      </c>
      <c r="C12" s="1035">
        <v>6075.81</v>
      </c>
      <c r="D12" s="903">
        <v>0</v>
      </c>
      <c r="E12" s="903"/>
      <c r="F12" s="903"/>
      <c r="G12" s="903" t="str">
        <f>VLOOKUP(A12,Sheet2!$A$1:$E$23,5,0)</f>
        <v>Saving</v>
      </c>
      <c r="H12" s="903">
        <f>C14+C21+C22+C28</f>
        <v>5310406.3899999997</v>
      </c>
      <c r="I12" s="1036">
        <f>H12/1000000</f>
        <v>5.3104063899999998</v>
      </c>
      <c r="Q12" s="1014"/>
    </row>
    <row r="13" spans="1:21" s="908" customFormat="1">
      <c r="A13" s="1030" t="s">
        <v>925</v>
      </c>
      <c r="B13" s="908" t="s">
        <v>926</v>
      </c>
      <c r="C13" s="1035">
        <v>869007.49</v>
      </c>
      <c r="D13" s="903">
        <v>0</v>
      </c>
      <c r="E13" s="903"/>
      <c r="F13" s="903"/>
      <c r="G13" s="903" t="str">
        <f>VLOOKUP(A13,Sheet2!$A$1:$E$23,5,0)</f>
        <v>Saving</v>
      </c>
      <c r="H13" s="903" t="e">
        <f>ROUND((K9+K11+#REF!+K10+C12+#REF!+C13+#REF!)/1000,0)</f>
        <v>#REF!</v>
      </c>
      <c r="Q13" s="1014"/>
    </row>
    <row r="14" spans="1:21" s="908" customFormat="1">
      <c r="A14" s="1030" t="s">
        <v>913</v>
      </c>
      <c r="B14" s="908" t="s">
        <v>914</v>
      </c>
      <c r="C14" s="903">
        <v>40446</v>
      </c>
      <c r="D14" s="903">
        <v>0</v>
      </c>
      <c r="E14" s="903"/>
      <c r="F14" s="903"/>
      <c r="G14" s="903" t="str">
        <f>VLOOKUP(A14,Sheet2!$A$1:$E$23,5,0)</f>
        <v>current</v>
      </c>
      <c r="H14" s="903"/>
      <c r="M14" s="935">
        <f>K11+C12</f>
        <v>-25105093.66</v>
      </c>
      <c r="Q14" s="1014"/>
    </row>
    <row r="15" spans="1:21" s="908" customFormat="1">
      <c r="A15" s="1030" t="s">
        <v>917</v>
      </c>
      <c r="B15" s="908" t="s">
        <v>918</v>
      </c>
      <c r="C15" s="903">
        <v>1495053</v>
      </c>
      <c r="D15" s="903">
        <v>0</v>
      </c>
      <c r="E15" s="903"/>
      <c r="F15" s="903"/>
      <c r="G15" s="903" t="str">
        <f>VLOOKUP(A15,Sheet2!$A$1:$E$23,5,0)</f>
        <v>current</v>
      </c>
      <c r="H15" s="903"/>
      <c r="M15" s="935">
        <f>C14+C22+C21</f>
        <v>311848</v>
      </c>
      <c r="Q15" s="1014"/>
    </row>
    <row r="16" spans="1:21" s="908" customFormat="1">
      <c r="A16" s="1030" t="s">
        <v>919</v>
      </c>
      <c r="B16" s="908" t="s">
        <v>920</v>
      </c>
      <c r="C16" s="903">
        <v>2250518</v>
      </c>
      <c r="D16" s="903">
        <v>0</v>
      </c>
      <c r="E16" s="903"/>
      <c r="F16" s="903"/>
      <c r="G16" s="903" t="str">
        <f>VLOOKUP(A16,Sheet2!$A$1:$E$23,5,0)</f>
        <v>current</v>
      </c>
      <c r="H16" s="903"/>
      <c r="Q16" s="1014"/>
    </row>
    <row r="17" spans="1:17" s="908" customFormat="1">
      <c r="A17" s="1030" t="s">
        <v>921</v>
      </c>
      <c r="B17" s="908" t="s">
        <v>922</v>
      </c>
      <c r="C17" s="903">
        <v>1368463</v>
      </c>
      <c r="D17" s="903">
        <v>0</v>
      </c>
      <c r="E17" s="903"/>
      <c r="F17" s="903"/>
      <c r="G17" s="903" t="str">
        <f>VLOOKUP(A17,Sheet2!$A$1:$E$23,5,0)</f>
        <v>current</v>
      </c>
      <c r="H17" s="903"/>
      <c r="Q17" s="1014"/>
    </row>
    <row r="18" spans="1:17" s="908" customFormat="1">
      <c r="A18" s="1030" t="s">
        <v>923</v>
      </c>
      <c r="B18" s="908" t="s">
        <v>924</v>
      </c>
      <c r="C18" s="903">
        <v>1695204</v>
      </c>
      <c r="D18" s="903">
        <v>0</v>
      </c>
      <c r="E18" s="903"/>
      <c r="F18" s="903"/>
      <c r="G18" s="903" t="str">
        <f>VLOOKUP(A18,Sheet2!$A$1:$E$23,5,0)</f>
        <v>current</v>
      </c>
      <c r="H18" s="903"/>
      <c r="Q18" s="1014"/>
    </row>
    <row r="19" spans="1:17" s="908" customFormat="1">
      <c r="A19" s="1030" t="s">
        <v>927</v>
      </c>
      <c r="B19" s="908" t="s">
        <v>928</v>
      </c>
      <c r="C19" s="903">
        <v>325430</v>
      </c>
      <c r="D19" s="903">
        <v>0</v>
      </c>
      <c r="E19" s="903"/>
      <c r="F19" s="903"/>
      <c r="G19" s="903" t="str">
        <f>VLOOKUP(A19,Sheet2!$A$1:$E$23,5,0)</f>
        <v>current</v>
      </c>
      <c r="H19" s="903"/>
      <c r="Q19" s="1014"/>
    </row>
    <row r="20" spans="1:17" s="908" customFormat="1">
      <c r="A20" s="1030" t="s">
        <v>929</v>
      </c>
      <c r="B20" s="908" t="s">
        <v>930</v>
      </c>
      <c r="C20" s="903">
        <v>568666</v>
      </c>
      <c r="D20" s="903">
        <v>0</v>
      </c>
      <c r="E20" s="903"/>
      <c r="F20" s="903"/>
      <c r="G20" s="903" t="str">
        <f>VLOOKUP(A20,Sheet2!$A$1:$E$23,5,0)</f>
        <v>current</v>
      </c>
      <c r="H20" s="903"/>
      <c r="Q20" s="1014"/>
    </row>
    <row r="21" spans="1:17" s="908" customFormat="1">
      <c r="A21" s="1030" t="s">
        <v>931</v>
      </c>
      <c r="B21" s="908" t="s">
        <v>932</v>
      </c>
      <c r="C21" s="903">
        <v>132770</v>
      </c>
      <c r="D21" s="903">
        <v>0</v>
      </c>
      <c r="E21" s="903"/>
      <c r="F21" s="903"/>
      <c r="G21" s="903" t="str">
        <f>VLOOKUP(A21,Sheet2!$A$1:$E$23,5,0)</f>
        <v>current</v>
      </c>
      <c r="H21" s="903"/>
      <c r="Q21" s="1014"/>
    </row>
    <row r="22" spans="1:17" s="908" customFormat="1">
      <c r="A22" s="1030" t="s">
        <v>933</v>
      </c>
      <c r="B22" s="908" t="s">
        <v>934</v>
      </c>
      <c r="C22" s="903">
        <v>138632</v>
      </c>
      <c r="D22" s="903">
        <v>0</v>
      </c>
      <c r="E22" s="903"/>
      <c r="F22" s="903"/>
      <c r="G22" s="903" t="str">
        <f>VLOOKUP(A22,Sheet2!$A$1:$E$23,5,0)</f>
        <v>current</v>
      </c>
      <c r="H22" s="903"/>
      <c r="Q22" s="1014"/>
    </row>
    <row r="23" spans="1:17" s="908" customFormat="1">
      <c r="A23" s="1030" t="s">
        <v>935</v>
      </c>
      <c r="B23" s="908" t="s">
        <v>936</v>
      </c>
      <c r="C23" s="903">
        <v>1413294</v>
      </c>
      <c r="D23" s="903">
        <v>0</v>
      </c>
      <c r="E23" s="903">
        <f>SUM(C9:C13)+SUM(C25:C27)+SUM(C29:C31)</f>
        <v>1024138235.2499999</v>
      </c>
      <c r="F23" s="903">
        <f>ROUND(E23/1000,0)</f>
        <v>1024138</v>
      </c>
      <c r="G23" s="903" t="str">
        <f>VLOOKUP(A23,Sheet2!$A$1:$E$23,5,0)</f>
        <v>current</v>
      </c>
      <c r="H23" s="903"/>
      <c r="Q23" s="1014"/>
    </row>
    <row r="24" spans="1:17" s="908" customFormat="1">
      <c r="A24" s="1030" t="s">
        <v>937</v>
      </c>
      <c r="B24" s="908" t="s">
        <v>938</v>
      </c>
      <c r="C24" s="903">
        <v>405467</v>
      </c>
      <c r="D24" s="903">
        <v>0</v>
      </c>
      <c r="F24" s="903">
        <f>ROUND((K11+C12+C14+C21+C22)/1000,0)</f>
        <v>-24793</v>
      </c>
      <c r="G24" s="903" t="str">
        <f>VLOOKUP(A24,Sheet2!$A$1:$E$23,5,0)</f>
        <v>current</v>
      </c>
      <c r="H24" s="903"/>
      <c r="Q24" s="1014"/>
    </row>
    <row r="25" spans="1:17" s="908" customFormat="1">
      <c r="A25" s="1030" t="s">
        <v>1098</v>
      </c>
      <c r="B25" s="908" t="s">
        <v>1097</v>
      </c>
      <c r="C25" s="1035">
        <v>1432536.6600000001</v>
      </c>
      <c r="D25" s="903">
        <v>0</v>
      </c>
      <c r="E25" s="903">
        <f>SUM(C9:C31)-E23</f>
        <v>14832501.389999986</v>
      </c>
      <c r="F25" s="903">
        <f>ROUND(E25/1000,0)</f>
        <v>14833</v>
      </c>
      <c r="G25" s="903" t="str">
        <f>VLOOKUP(A25,Sheet2!$A$1:$E$23,5,0)</f>
        <v>Saving</v>
      </c>
      <c r="Q25" s="1014"/>
    </row>
    <row r="26" spans="1:17" s="908" customFormat="1">
      <c r="A26" s="1030" t="s">
        <v>1113</v>
      </c>
      <c r="B26" s="908" t="s">
        <v>1130</v>
      </c>
      <c r="C26" s="1035">
        <v>1235073.1299999999</v>
      </c>
      <c r="D26" s="903">
        <v>0</v>
      </c>
      <c r="E26" s="903"/>
      <c r="F26" s="903"/>
      <c r="G26" s="903" t="str">
        <f>VLOOKUP(A26,Sheet2!$A$1:$E$23,5,0)</f>
        <v>Saving</v>
      </c>
      <c r="H26" s="903"/>
      <c r="Q26" s="1014"/>
    </row>
    <row r="27" spans="1:17" s="908" customFormat="1">
      <c r="A27" s="1030" t="s">
        <v>1114</v>
      </c>
      <c r="B27" s="908" t="s">
        <v>1131</v>
      </c>
      <c r="C27" s="1035">
        <v>38638794</v>
      </c>
      <c r="D27" s="903">
        <v>0</v>
      </c>
      <c r="E27" s="903"/>
      <c r="F27" s="903"/>
      <c r="G27" s="903" t="str">
        <f>VLOOKUP(A27,Sheet2!$A$1:$E$23,5,0)</f>
        <v>Saving</v>
      </c>
      <c r="H27" s="903"/>
      <c r="Q27" s="1014"/>
    </row>
    <row r="28" spans="1:17" s="908" customFormat="1">
      <c r="A28" s="1030" t="s">
        <v>1115</v>
      </c>
      <c r="B28" s="908" t="s">
        <v>1132</v>
      </c>
      <c r="C28" s="903">
        <v>4998558.3899999997</v>
      </c>
      <c r="D28" s="903">
        <v>0</v>
      </c>
      <c r="E28" s="903"/>
      <c r="F28" s="903"/>
      <c r="G28" s="903" t="str">
        <f>VLOOKUP(A28,Sheet2!$A$1:$E$23,5,0)</f>
        <v>current</v>
      </c>
      <c r="H28" s="903"/>
      <c r="Q28" s="1014"/>
    </row>
    <row r="29" spans="1:17" s="908" customFormat="1">
      <c r="A29" s="1030" t="s">
        <v>1116</v>
      </c>
      <c r="B29" s="908" t="s">
        <v>1133</v>
      </c>
      <c r="C29" s="1035">
        <v>3300057.06</v>
      </c>
      <c r="D29" s="903">
        <v>0</v>
      </c>
      <c r="E29" s="903"/>
      <c r="F29" s="903"/>
      <c r="G29" s="903" t="str">
        <f>VLOOKUP(A29,Sheet2!$A$1:$E$23,5,0)</f>
        <v>Saving</v>
      </c>
      <c r="H29" s="903"/>
      <c r="Q29" s="1014"/>
    </row>
    <row r="30" spans="1:17" s="908" customFormat="1">
      <c r="A30" s="1030" t="s">
        <v>1117</v>
      </c>
      <c r="B30" s="908" t="s">
        <v>1134</v>
      </c>
      <c r="C30" s="1035">
        <v>23626.959999999999</v>
      </c>
      <c r="D30" s="903">
        <v>0</v>
      </c>
      <c r="E30" s="903"/>
      <c r="F30" s="903"/>
      <c r="G30" s="903" t="str">
        <f>VLOOKUP(A30,Sheet2!$A$1:$E$23,5,0)</f>
        <v>Saving</v>
      </c>
      <c r="H30" s="903">
        <f>(SUM(C9:C31)-D29)/1000</f>
        <v>1038970.7366399999</v>
      </c>
      <c r="Q30" s="1014"/>
    </row>
    <row r="31" spans="1:17" s="908" customFormat="1">
      <c r="A31" s="1030" t="s">
        <v>1147</v>
      </c>
      <c r="B31" s="908" t="s">
        <v>1148</v>
      </c>
      <c r="C31" s="1035">
        <v>12500</v>
      </c>
      <c r="D31" s="903">
        <v>0</v>
      </c>
      <c r="E31" s="903"/>
      <c r="F31" s="903"/>
      <c r="G31" s="903" t="str">
        <f>VLOOKUP(A31,Sheet2!$A$1:$E$23,5,0)</f>
        <v>Saving</v>
      </c>
      <c r="H31" s="903"/>
      <c r="Q31" s="1014"/>
    </row>
    <row r="32" spans="1:17" s="908" customFormat="1">
      <c r="A32" s="1026" t="s">
        <v>234</v>
      </c>
      <c r="B32" s="1026"/>
      <c r="C32" s="1015">
        <v>0</v>
      </c>
      <c r="D32" s="1015">
        <v>0</v>
      </c>
      <c r="E32" s="1015"/>
      <c r="F32" s="1015"/>
      <c r="G32" s="1015"/>
      <c r="H32" s="1015"/>
      <c r="Q32" s="1014"/>
    </row>
    <row r="33" spans="1:17">
      <c r="A33" s="1031" t="s">
        <v>835</v>
      </c>
      <c r="B33" s="908" t="s">
        <v>836</v>
      </c>
      <c r="C33" s="903">
        <v>8208797471.8000002</v>
      </c>
      <c r="D33" s="903">
        <v>0</v>
      </c>
      <c r="Q33" s="1014"/>
    </row>
    <row r="34" spans="1:17">
      <c r="A34" s="1030" t="s">
        <v>837</v>
      </c>
      <c r="B34" s="908" t="s">
        <v>838</v>
      </c>
      <c r="C34" s="903">
        <v>0</v>
      </c>
      <c r="D34" s="903">
        <v>536318462.25999999</v>
      </c>
      <c r="I34" s="902">
        <f>(C33-D34)/1000</f>
        <v>7672479.00954</v>
      </c>
      <c r="J34" s="902"/>
      <c r="Q34" s="1014"/>
    </row>
    <row r="35" spans="1:17">
      <c r="A35" s="1030" t="s">
        <v>839</v>
      </c>
      <c r="B35" s="908" t="s">
        <v>840</v>
      </c>
      <c r="C35" s="903">
        <v>1154883238.3199999</v>
      </c>
      <c r="D35" s="903">
        <v>0</v>
      </c>
      <c r="Q35" s="1014"/>
    </row>
    <row r="36" spans="1:17">
      <c r="A36" s="1030" t="s">
        <v>841</v>
      </c>
      <c r="B36" s="908" t="s">
        <v>842</v>
      </c>
      <c r="C36" s="903">
        <v>202683840.31999999</v>
      </c>
      <c r="D36" s="903">
        <v>0</v>
      </c>
      <c r="H36" s="905">
        <f>ROUND((SUM(C33:C36)-D34)/1000,0)</f>
        <v>9030046</v>
      </c>
      <c r="I36" s="899">
        <f>(C35+C36)/1000</f>
        <v>1357567.07864</v>
      </c>
      <c r="J36" s="902">
        <f>M36</f>
        <v>-2916741</v>
      </c>
      <c r="K36" s="902">
        <f>H36+J36</f>
        <v>6113305</v>
      </c>
      <c r="L36" s="910">
        <f>ROUND(6113304.714,0)</f>
        <v>6113305</v>
      </c>
      <c r="M36" s="902">
        <f>L36-H36</f>
        <v>-2916741</v>
      </c>
      <c r="N36" s="899">
        <v>1000</v>
      </c>
      <c r="Q36" s="1014"/>
    </row>
    <row r="37" spans="1:17" s="908" customFormat="1">
      <c r="A37" s="912" t="s">
        <v>8</v>
      </c>
      <c r="B37" s="904"/>
      <c r="C37" s="1015">
        <v>0</v>
      </c>
      <c r="D37" s="1015">
        <v>0</v>
      </c>
      <c r="E37" s="1015"/>
      <c r="F37" s="1015"/>
      <c r="G37" s="1015"/>
      <c r="H37" s="1016"/>
      <c r="J37" s="935">
        <f>C35+C36</f>
        <v>1357567078.6399999</v>
      </c>
      <c r="Q37" s="1014"/>
    </row>
    <row r="38" spans="1:17" s="908" customFormat="1">
      <c r="A38" s="1030" t="s">
        <v>878</v>
      </c>
      <c r="B38" s="908" t="s">
        <v>879</v>
      </c>
      <c r="C38" s="903">
        <v>3213035.84</v>
      </c>
      <c r="D38" s="903">
        <v>0</v>
      </c>
      <c r="E38" s="903"/>
      <c r="F38" s="903"/>
      <c r="G38" s="903"/>
      <c r="H38" s="909"/>
      <c r="Q38" s="1014"/>
    </row>
    <row r="39" spans="1:17" s="908" customFormat="1">
      <c r="A39" s="1030" t="s">
        <v>880</v>
      </c>
      <c r="B39" s="908" t="s">
        <v>881</v>
      </c>
      <c r="C39" s="903">
        <v>205011.43</v>
      </c>
      <c r="D39" s="903">
        <v>0</v>
      </c>
      <c r="E39" s="903"/>
      <c r="F39" s="903"/>
      <c r="G39" s="903"/>
      <c r="H39" s="909"/>
      <c r="Q39" s="1014"/>
    </row>
    <row r="40" spans="1:17" s="908" customFormat="1">
      <c r="A40" s="1030" t="s">
        <v>882</v>
      </c>
      <c r="B40" s="908" t="s">
        <v>883</v>
      </c>
      <c r="C40" s="903">
        <v>18038.68</v>
      </c>
      <c r="D40" s="903">
        <v>0</v>
      </c>
      <c r="E40" s="903"/>
      <c r="F40" s="903"/>
      <c r="G40" s="903"/>
      <c r="H40" s="909"/>
      <c r="Q40" s="1014"/>
    </row>
    <row r="41" spans="1:17" s="908" customFormat="1">
      <c r="A41" s="1030" t="s">
        <v>884</v>
      </c>
      <c r="B41" s="908" t="s">
        <v>885</v>
      </c>
      <c r="C41" s="903">
        <v>3456.08</v>
      </c>
      <c r="D41" s="903">
        <v>0</v>
      </c>
      <c r="E41" s="903"/>
      <c r="F41" s="903"/>
      <c r="G41" s="903"/>
      <c r="H41" s="909">
        <f>(SUM(C38:C41)+SUM(C43:C45))/1000</f>
        <v>3522.98533</v>
      </c>
      <c r="Q41" s="1014"/>
    </row>
    <row r="42" spans="1:17" s="908" customFormat="1">
      <c r="A42" s="1030" t="s">
        <v>902</v>
      </c>
      <c r="B42" s="908" t="s">
        <v>903</v>
      </c>
      <c r="C42" s="903">
        <v>36240919.350000001</v>
      </c>
      <c r="D42" s="903">
        <v>0</v>
      </c>
      <c r="E42" s="903">
        <f>ROUND(C42/1000,0)</f>
        <v>36241</v>
      </c>
      <c r="F42" s="903"/>
      <c r="G42" s="903"/>
      <c r="H42" s="909">
        <f>ROUND(C42/1000,0)</f>
        <v>36241</v>
      </c>
      <c r="J42" s="1019"/>
      <c r="K42" s="935"/>
      <c r="Q42" s="1014"/>
    </row>
    <row r="43" spans="1:17" s="908" customFormat="1">
      <c r="A43" s="1030" t="s">
        <v>1118</v>
      </c>
      <c r="B43" s="908" t="s">
        <v>879</v>
      </c>
      <c r="C43" s="903">
        <v>7232.64</v>
      </c>
      <c r="D43" s="903">
        <v>0</v>
      </c>
      <c r="E43" s="903"/>
      <c r="F43" s="903"/>
      <c r="G43" s="903"/>
      <c r="H43" s="909"/>
      <c r="J43" s="1019"/>
      <c r="K43" s="935"/>
      <c r="Q43" s="1014"/>
    </row>
    <row r="44" spans="1:17" s="908" customFormat="1">
      <c r="A44" s="1030" t="s">
        <v>1119</v>
      </c>
      <c r="B44" s="908" t="s">
        <v>1135</v>
      </c>
      <c r="C44" s="903">
        <v>50948.66</v>
      </c>
      <c r="D44" s="903">
        <v>0</v>
      </c>
      <c r="E44" s="903"/>
      <c r="F44" s="903"/>
      <c r="G44" s="903"/>
      <c r="H44" s="909"/>
      <c r="J44" s="1019"/>
      <c r="K44" s="935"/>
      <c r="Q44" s="1014"/>
    </row>
    <row r="45" spans="1:17" s="908" customFormat="1">
      <c r="A45" s="1031" t="s">
        <v>1149</v>
      </c>
      <c r="B45" s="908" t="s">
        <v>1150</v>
      </c>
      <c r="C45" s="903">
        <v>25262</v>
      </c>
      <c r="D45" s="903">
        <v>0</v>
      </c>
      <c r="E45" s="903"/>
      <c r="F45" s="903"/>
      <c r="G45" s="903"/>
      <c r="H45" s="909"/>
      <c r="J45" s="1019"/>
      <c r="K45" s="935"/>
      <c r="Q45" s="1014"/>
    </row>
    <row r="46" spans="1:17" s="908" customFormat="1">
      <c r="A46" s="912" t="s">
        <v>733</v>
      </c>
      <c r="B46" s="904"/>
      <c r="C46" s="1015">
        <v>0</v>
      </c>
      <c r="D46" s="1015">
        <v>0</v>
      </c>
      <c r="E46" s="1015"/>
      <c r="F46" s="1015"/>
      <c r="G46" s="1015"/>
      <c r="H46" s="1016"/>
      <c r="Q46" s="1014"/>
    </row>
    <row r="47" spans="1:17" s="908" customFormat="1">
      <c r="A47" s="1030" t="s">
        <v>732</v>
      </c>
      <c r="B47" s="908" t="s">
        <v>733</v>
      </c>
      <c r="C47" s="903">
        <v>114088951.66</v>
      </c>
      <c r="D47" s="903">
        <v>0</v>
      </c>
      <c r="E47" s="903"/>
      <c r="F47" s="903"/>
      <c r="G47" s="903"/>
      <c r="H47" s="909">
        <f>ROUND(C47/1000,0)+0.4</f>
        <v>114089.4</v>
      </c>
      <c r="Q47" s="1014"/>
    </row>
    <row r="48" spans="1:17" s="908" customFormat="1">
      <c r="A48" s="912" t="s">
        <v>993</v>
      </c>
      <c r="B48" s="904"/>
      <c r="C48" s="1015">
        <v>0</v>
      </c>
      <c r="D48" s="1015">
        <v>0</v>
      </c>
      <c r="E48" s="1015"/>
      <c r="F48" s="1015"/>
      <c r="G48" s="1015"/>
      <c r="H48" s="1016"/>
      <c r="Q48" s="1014"/>
    </row>
    <row r="49" spans="1:17" s="908" customFormat="1">
      <c r="A49" s="1029" t="s">
        <v>886</v>
      </c>
      <c r="B49" s="1020" t="s">
        <v>887</v>
      </c>
      <c r="C49" s="903">
        <v>317363.48</v>
      </c>
      <c r="D49" s="903">
        <v>0</v>
      </c>
      <c r="E49" s="909"/>
      <c r="F49" s="909"/>
      <c r="G49" s="909"/>
      <c r="H49" s="909"/>
      <c r="I49" s="935"/>
      <c r="Q49" s="1014"/>
    </row>
    <row r="50" spans="1:17" s="908" customFormat="1">
      <c r="A50" s="1030" t="s">
        <v>904</v>
      </c>
      <c r="B50" s="908" t="s">
        <v>905</v>
      </c>
      <c r="C50" s="903">
        <v>631922</v>
      </c>
      <c r="D50" s="903">
        <v>0</v>
      </c>
      <c r="E50" s="903"/>
      <c r="F50" s="903"/>
      <c r="G50" s="903"/>
      <c r="H50" s="909"/>
      <c r="Q50" s="1014"/>
    </row>
    <row r="51" spans="1:17" s="908" customFormat="1">
      <c r="A51" s="1030" t="s">
        <v>830</v>
      </c>
      <c r="B51" s="908" t="s">
        <v>831</v>
      </c>
      <c r="C51" s="903">
        <v>2500000</v>
      </c>
      <c r="D51" s="903">
        <v>0</v>
      </c>
      <c r="E51" s="903"/>
      <c r="F51" s="903">
        <f>ROUND(C51/1000,0)</f>
        <v>2500</v>
      </c>
      <c r="G51" s="903"/>
      <c r="H51" s="909"/>
      <c r="Q51" s="1014"/>
    </row>
    <row r="52" spans="1:17" s="908" customFormat="1">
      <c r="A52" s="1030" t="s">
        <v>832</v>
      </c>
      <c r="B52" s="908" t="s">
        <v>833</v>
      </c>
      <c r="C52" s="903">
        <v>250636</v>
      </c>
      <c r="D52" s="903">
        <v>0</v>
      </c>
      <c r="E52" s="903"/>
      <c r="F52" s="903"/>
      <c r="G52" s="903"/>
      <c r="H52" s="909"/>
      <c r="Q52" s="1014"/>
    </row>
    <row r="53" spans="1:17" s="908" customFormat="1">
      <c r="A53" s="1030" t="s">
        <v>834</v>
      </c>
      <c r="B53" s="908" t="s">
        <v>833</v>
      </c>
      <c r="C53" s="903">
        <v>500000</v>
      </c>
      <c r="D53" s="903">
        <v>0</v>
      </c>
      <c r="E53" s="903"/>
      <c r="F53" s="903">
        <f>ROUND(C53/1000,0)</f>
        <v>500</v>
      </c>
      <c r="G53" s="903"/>
      <c r="H53" s="909"/>
      <c r="Q53" s="1014"/>
    </row>
    <row r="54" spans="1:17" s="908" customFormat="1">
      <c r="A54" s="1030" t="s">
        <v>826</v>
      </c>
      <c r="B54" s="908" t="s">
        <v>827</v>
      </c>
      <c r="C54" s="903">
        <v>0</v>
      </c>
      <c r="D54" s="903">
        <v>27824.33</v>
      </c>
      <c r="E54" s="903"/>
      <c r="F54" s="903"/>
      <c r="G54" s="903"/>
      <c r="H54" s="909"/>
      <c r="Q54" s="1014"/>
    </row>
    <row r="55" spans="1:17" s="908" customFormat="1">
      <c r="A55" s="1030" t="s">
        <v>828</v>
      </c>
      <c r="B55" s="908" t="s">
        <v>829</v>
      </c>
      <c r="C55" s="903">
        <v>318373</v>
      </c>
      <c r="D55" s="903">
        <v>0</v>
      </c>
      <c r="E55" s="903"/>
      <c r="F55" s="903"/>
      <c r="G55" s="903"/>
      <c r="H55" s="909"/>
      <c r="Q55" s="1014"/>
    </row>
    <row r="56" spans="1:17" s="908" customFormat="1">
      <c r="A56" s="1030" t="s">
        <v>941</v>
      </c>
      <c r="B56" s="908" t="s">
        <v>942</v>
      </c>
      <c r="C56" s="903">
        <v>436769</v>
      </c>
      <c r="D56" s="903">
        <v>0</v>
      </c>
      <c r="E56" s="903"/>
      <c r="F56" s="903"/>
      <c r="G56" s="903"/>
      <c r="H56" s="909"/>
      <c r="I56" s="935"/>
      <c r="J56" s="935"/>
      <c r="Q56" s="1014"/>
    </row>
    <row r="57" spans="1:17" s="908" customFormat="1">
      <c r="A57" s="1030" t="s">
        <v>943</v>
      </c>
      <c r="B57" s="908" t="s">
        <v>944</v>
      </c>
      <c r="C57" s="903">
        <v>156790</v>
      </c>
      <c r="D57" s="903">
        <v>0</v>
      </c>
      <c r="E57" s="903"/>
      <c r="F57" s="903"/>
      <c r="G57" s="903"/>
      <c r="H57" s="909"/>
      <c r="Q57" s="1014"/>
    </row>
    <row r="58" spans="1:17" s="908" customFormat="1">
      <c r="A58" s="1030" t="s">
        <v>945</v>
      </c>
      <c r="B58" s="908" t="s">
        <v>946</v>
      </c>
      <c r="C58" s="903">
        <v>597477</v>
      </c>
      <c r="D58" s="903">
        <v>0</v>
      </c>
      <c r="E58" s="903"/>
      <c r="F58" s="903"/>
      <c r="G58" s="903"/>
      <c r="H58" s="909"/>
      <c r="Q58" s="1014"/>
    </row>
    <row r="59" spans="1:17" s="908" customFormat="1">
      <c r="A59" s="1030" t="s">
        <v>947</v>
      </c>
      <c r="B59" s="908" t="s">
        <v>948</v>
      </c>
      <c r="C59" s="903">
        <v>403493</v>
      </c>
      <c r="D59" s="903">
        <v>0</v>
      </c>
      <c r="E59" s="903"/>
      <c r="F59" s="903"/>
      <c r="G59" s="903"/>
      <c r="H59" s="909"/>
      <c r="Q59" s="1014"/>
    </row>
    <row r="60" spans="1:17" s="908" customFormat="1">
      <c r="A60" s="1030" t="s">
        <v>949</v>
      </c>
      <c r="B60" s="908" t="s">
        <v>950</v>
      </c>
      <c r="C60" s="903">
        <v>0</v>
      </c>
      <c r="D60" s="903">
        <v>90907</v>
      </c>
      <c r="E60" s="903"/>
      <c r="F60" s="903"/>
      <c r="G60" s="903"/>
      <c r="H60" s="909"/>
      <c r="Q60" s="1014"/>
    </row>
    <row r="61" spans="1:17" s="908" customFormat="1">
      <c r="A61" s="1030" t="s">
        <v>951</v>
      </c>
      <c r="B61" s="908" t="s">
        <v>952</v>
      </c>
      <c r="C61" s="903">
        <v>688501</v>
      </c>
      <c r="D61" s="903">
        <v>0</v>
      </c>
      <c r="E61" s="903"/>
      <c r="F61" s="903"/>
      <c r="G61" s="903"/>
      <c r="H61" s="909"/>
      <c r="Q61" s="1014"/>
    </row>
    <row r="62" spans="1:17" s="908" customFormat="1">
      <c r="A62" s="1030" t="s">
        <v>953</v>
      </c>
      <c r="B62" s="908" t="s">
        <v>954</v>
      </c>
      <c r="C62" s="903">
        <v>108815</v>
      </c>
      <c r="D62" s="903">
        <v>0</v>
      </c>
      <c r="E62" s="903"/>
      <c r="F62" s="903"/>
      <c r="G62" s="903"/>
      <c r="H62" s="909"/>
      <c r="Q62" s="1014"/>
    </row>
    <row r="63" spans="1:17" s="908" customFormat="1">
      <c r="A63" s="1030" t="s">
        <v>955</v>
      </c>
      <c r="B63" s="908" t="s">
        <v>956</v>
      </c>
      <c r="C63" s="903">
        <v>297661</v>
      </c>
      <c r="D63" s="903">
        <v>0</v>
      </c>
      <c r="E63" s="903"/>
      <c r="F63" s="903"/>
      <c r="G63" s="903"/>
      <c r="H63" s="909"/>
      <c r="Q63" s="1014"/>
    </row>
    <row r="64" spans="1:17" s="908" customFormat="1">
      <c r="A64" s="1030" t="s">
        <v>957</v>
      </c>
      <c r="B64" s="908" t="s">
        <v>958</v>
      </c>
      <c r="C64" s="903">
        <v>56516</v>
      </c>
      <c r="D64" s="903">
        <v>0</v>
      </c>
      <c r="E64" s="903"/>
      <c r="F64" s="903"/>
      <c r="G64" s="903"/>
      <c r="H64" s="909"/>
      <c r="Q64" s="1014"/>
    </row>
    <row r="65" spans="1:17" s="908" customFormat="1">
      <c r="A65" s="1030" t="s">
        <v>736</v>
      </c>
      <c r="B65" s="908" t="s">
        <v>103</v>
      </c>
      <c r="C65" s="903">
        <v>116238</v>
      </c>
      <c r="D65" s="903">
        <v>0</v>
      </c>
      <c r="E65" s="903"/>
      <c r="F65" s="903"/>
      <c r="G65" s="903"/>
      <c r="H65" s="909">
        <f>ROUND((C66+C52+C54+C65-D54+C68)/1000,0)</f>
        <v>345</v>
      </c>
      <c r="I65" s="1021" t="s">
        <v>269</v>
      </c>
      <c r="Q65" s="1014"/>
    </row>
    <row r="66" spans="1:17" s="908" customFormat="1">
      <c r="A66" s="1030" t="s">
        <v>734</v>
      </c>
      <c r="B66" s="908" t="s">
        <v>735</v>
      </c>
      <c r="C66" s="903">
        <v>5000</v>
      </c>
      <c r="D66" s="903">
        <v>0</v>
      </c>
      <c r="E66" s="903"/>
      <c r="F66" s="903"/>
      <c r="G66" s="903"/>
      <c r="H66" s="909">
        <f>ROUND((C49+C50+C55+C56+C57+C58+C59-D60+C61+C62+C63+C64+C67)/1000,0)</f>
        <v>4127</v>
      </c>
      <c r="I66" s="1021" t="s">
        <v>1022</v>
      </c>
      <c r="Q66" s="1014"/>
    </row>
    <row r="67" spans="1:17" s="908" customFormat="1">
      <c r="A67" s="1030" t="s">
        <v>959</v>
      </c>
      <c r="B67" s="908" t="s">
        <v>960</v>
      </c>
      <c r="C67" s="903">
        <v>204392.49</v>
      </c>
      <c r="D67" s="903">
        <v>0</v>
      </c>
      <c r="E67" s="903"/>
      <c r="F67" s="903"/>
      <c r="G67" s="903"/>
      <c r="H67" s="909">
        <f>(SUM(C49:C68)-D60)/1000</f>
        <v>7499.7639700000009</v>
      </c>
      <c r="I67" s="936">
        <f>ROUND(H67,0)</f>
        <v>7500</v>
      </c>
      <c r="Q67" s="1014"/>
    </row>
    <row r="68" spans="1:17" s="908" customFormat="1">
      <c r="A68" s="1030" t="s">
        <v>1120</v>
      </c>
      <c r="B68" s="908" t="s">
        <v>1136</v>
      </c>
      <c r="C68" s="903">
        <v>724</v>
      </c>
      <c r="D68" s="903">
        <v>0</v>
      </c>
      <c r="E68" s="903"/>
      <c r="F68" s="903"/>
      <c r="G68" s="903"/>
      <c r="H68" s="909"/>
      <c r="I68" s="936"/>
      <c r="Q68" s="1014"/>
    </row>
    <row r="69" spans="1:17" s="908" customFormat="1">
      <c r="A69" s="912" t="s">
        <v>992</v>
      </c>
      <c r="B69" s="904"/>
      <c r="C69" s="1015">
        <v>0</v>
      </c>
      <c r="D69" s="1015">
        <v>0</v>
      </c>
      <c r="E69" s="1015"/>
      <c r="F69" s="1015"/>
      <c r="G69" s="1015"/>
      <c r="H69" s="1016"/>
      <c r="Q69" s="1014"/>
    </row>
    <row r="70" spans="1:17" s="908" customFormat="1">
      <c r="A70" s="1030" t="s">
        <v>768</v>
      </c>
      <c r="B70" s="908" t="s">
        <v>769</v>
      </c>
      <c r="C70" s="903">
        <v>0</v>
      </c>
      <c r="D70" s="903">
        <v>885233</v>
      </c>
      <c r="E70" s="903"/>
      <c r="F70" s="903"/>
      <c r="G70" s="903"/>
      <c r="H70" s="1022"/>
      <c r="I70" s="936"/>
      <c r="Q70" s="1014"/>
    </row>
    <row r="71" spans="1:17" s="908" customFormat="1">
      <c r="A71" s="1030" t="s">
        <v>766</v>
      </c>
      <c r="B71" s="908" t="s">
        <v>767</v>
      </c>
      <c r="C71" s="903">
        <v>0</v>
      </c>
      <c r="D71" s="903">
        <v>115092</v>
      </c>
      <c r="E71" s="903"/>
      <c r="F71" s="903"/>
      <c r="G71" s="903"/>
      <c r="H71" s="909">
        <f>ROUND(SUM(D70:D71)/1000,0)</f>
        <v>1000</v>
      </c>
      <c r="I71" s="936"/>
      <c r="Q71" s="1014"/>
    </row>
    <row r="72" spans="1:17" s="908" customFormat="1">
      <c r="A72" s="912" t="s">
        <v>98</v>
      </c>
      <c r="B72" s="904"/>
      <c r="C72" s="1015">
        <v>0</v>
      </c>
      <c r="D72" s="1015">
        <v>0</v>
      </c>
      <c r="E72" s="1015"/>
      <c r="F72" s="1015"/>
      <c r="G72" s="1015"/>
      <c r="H72" s="1016"/>
      <c r="Q72" s="1014"/>
    </row>
    <row r="73" spans="1:17" s="908" customFormat="1">
      <c r="A73" s="1030" t="s">
        <v>760</v>
      </c>
      <c r="B73" s="908" t="s">
        <v>761</v>
      </c>
      <c r="C73" s="903">
        <v>0</v>
      </c>
      <c r="D73" s="903">
        <v>15967564.98</v>
      </c>
      <c r="E73" s="903">
        <f t="shared" ref="E73:E78" si="0">ROUND(D73/1000,0)</f>
        <v>15968</v>
      </c>
      <c r="F73" s="914">
        <f t="shared" ref="F73:F78" si="1">D73/1000</f>
        <v>15967.564980000001</v>
      </c>
      <c r="G73" s="914"/>
      <c r="H73" s="909"/>
      <c r="I73" s="936"/>
      <c r="Q73" s="1014"/>
    </row>
    <row r="74" spans="1:17" s="908" customFormat="1">
      <c r="A74" s="1030" t="s">
        <v>762</v>
      </c>
      <c r="B74" s="908" t="s">
        <v>763</v>
      </c>
      <c r="C74" s="903">
        <v>0</v>
      </c>
      <c r="D74" s="903">
        <v>2075777.54</v>
      </c>
      <c r="E74" s="903">
        <f t="shared" si="0"/>
        <v>2076</v>
      </c>
      <c r="F74" s="914">
        <f t="shared" si="1"/>
        <v>2075.77754</v>
      </c>
      <c r="G74" s="914"/>
      <c r="H74" s="909"/>
      <c r="I74" s="936"/>
      <c r="Q74" s="1014"/>
    </row>
    <row r="75" spans="1:17" s="908" customFormat="1">
      <c r="A75" s="1030" t="s">
        <v>780</v>
      </c>
      <c r="B75" s="908" t="s">
        <v>781</v>
      </c>
      <c r="C75" s="903">
        <v>0</v>
      </c>
      <c r="D75" s="903">
        <v>328996.45</v>
      </c>
      <c r="E75" s="903">
        <f t="shared" si="0"/>
        <v>329</v>
      </c>
      <c r="F75" s="914">
        <f t="shared" si="1"/>
        <v>328.99645000000004</v>
      </c>
      <c r="G75" s="914"/>
      <c r="H75" s="909"/>
      <c r="I75" s="936"/>
      <c r="Q75" s="1014"/>
    </row>
    <row r="76" spans="1:17" s="908" customFormat="1">
      <c r="A76" s="1030" t="s">
        <v>778</v>
      </c>
      <c r="B76" s="908" t="s">
        <v>779</v>
      </c>
      <c r="C76" s="903">
        <v>0</v>
      </c>
      <c r="D76" s="903">
        <v>3441972.5</v>
      </c>
      <c r="E76" s="903">
        <f t="shared" si="0"/>
        <v>3442</v>
      </c>
      <c r="F76" s="914">
        <f t="shared" si="1"/>
        <v>3441.9724999999999</v>
      </c>
      <c r="G76" s="914"/>
      <c r="H76" s="909">
        <f>ROUND(SUM(D73:D78)/1000,0)</f>
        <v>80521</v>
      </c>
      <c r="I76" s="936"/>
      <c r="Q76" s="1014"/>
    </row>
    <row r="77" spans="1:17" s="908" customFormat="1">
      <c r="A77" s="1030" t="s">
        <v>764</v>
      </c>
      <c r="B77" s="908" t="s">
        <v>765</v>
      </c>
      <c r="C77" s="903">
        <v>0</v>
      </c>
      <c r="D77" s="903">
        <v>54773935.009999998</v>
      </c>
      <c r="E77" s="903">
        <f t="shared" si="0"/>
        <v>54774</v>
      </c>
      <c r="F77" s="914">
        <f t="shared" si="1"/>
        <v>54773.935010000001</v>
      </c>
      <c r="G77" s="914"/>
      <c r="H77" s="909"/>
      <c r="I77" s="936"/>
      <c r="Q77" s="1014"/>
    </row>
    <row r="78" spans="1:17" s="908" customFormat="1">
      <c r="A78" s="1030" t="s">
        <v>782</v>
      </c>
      <c r="B78" s="908" t="s">
        <v>783</v>
      </c>
      <c r="C78" s="903">
        <v>0</v>
      </c>
      <c r="D78" s="903">
        <v>3932683</v>
      </c>
      <c r="E78" s="903">
        <f t="shared" si="0"/>
        <v>3933</v>
      </c>
      <c r="F78" s="914">
        <f t="shared" si="1"/>
        <v>3932.683</v>
      </c>
      <c r="G78" s="914"/>
      <c r="H78" s="909"/>
      <c r="I78" s="936"/>
      <c r="Q78" s="1014"/>
    </row>
    <row r="79" spans="1:17" s="908" customFormat="1">
      <c r="A79" s="912" t="s">
        <v>773</v>
      </c>
      <c r="B79" s="904"/>
      <c r="C79" s="1015">
        <v>0</v>
      </c>
      <c r="D79" s="1015">
        <v>0</v>
      </c>
      <c r="E79" s="1015"/>
      <c r="F79" s="1015"/>
      <c r="G79" s="1015"/>
      <c r="H79" s="1016"/>
      <c r="Q79" s="1014"/>
    </row>
    <row r="80" spans="1:17" s="908" customFormat="1">
      <c r="A80" s="1030" t="s">
        <v>772</v>
      </c>
      <c r="B80" s="908" t="s">
        <v>773</v>
      </c>
      <c r="C80" s="903">
        <v>0</v>
      </c>
      <c r="D80" s="903">
        <v>4873535</v>
      </c>
      <c r="E80" s="903"/>
      <c r="F80" s="903"/>
      <c r="G80" s="903"/>
      <c r="H80" s="909">
        <f>ROUND(D80/1000,0)</f>
        <v>4874</v>
      </c>
      <c r="I80" s="936"/>
      <c r="Q80" s="1014"/>
    </row>
    <row r="81" spans="1:17" s="908" customFormat="1">
      <c r="A81" s="912" t="s">
        <v>822</v>
      </c>
      <c r="B81" s="904"/>
      <c r="C81" s="1015">
        <v>0</v>
      </c>
      <c r="D81" s="1015">
        <v>0</v>
      </c>
      <c r="E81" s="1015"/>
      <c r="F81" s="1015"/>
      <c r="G81" s="1015"/>
      <c r="H81" s="1016"/>
      <c r="Q81" s="1014"/>
    </row>
    <row r="82" spans="1:17" s="908" customFormat="1">
      <c r="A82" s="1030" t="s">
        <v>821</v>
      </c>
      <c r="B82" s="908" t="s">
        <v>822</v>
      </c>
      <c r="C82" s="903">
        <v>0</v>
      </c>
      <c r="D82" s="903">
        <v>75828942.650000006</v>
      </c>
      <c r="E82" s="903"/>
      <c r="F82" s="903"/>
      <c r="G82" s="903"/>
      <c r="H82" s="909">
        <f>ROUND(D82/1000,0)</f>
        <v>75829</v>
      </c>
      <c r="I82" s="936"/>
      <c r="Q82" s="1014"/>
    </row>
    <row r="83" spans="1:17" s="908" customFormat="1">
      <c r="A83" s="912" t="s">
        <v>165</v>
      </c>
      <c r="B83" s="904"/>
      <c r="C83" s="1015">
        <v>0</v>
      </c>
      <c r="D83" s="1015">
        <v>0</v>
      </c>
      <c r="E83" s="1015"/>
      <c r="F83" s="1015"/>
      <c r="G83" s="1015"/>
      <c r="H83" s="1016"/>
      <c r="Q83" s="1014"/>
    </row>
    <row r="84" spans="1:17" s="908" customFormat="1">
      <c r="A84" s="1030" t="s">
        <v>784</v>
      </c>
      <c r="B84" s="908" t="s">
        <v>165</v>
      </c>
      <c r="C84" s="903">
        <v>0</v>
      </c>
      <c r="D84" s="903">
        <v>385570</v>
      </c>
      <c r="E84" s="903"/>
      <c r="F84" s="903"/>
      <c r="G84" s="903"/>
      <c r="H84" s="909">
        <f>ROUND(D84/1000,0)</f>
        <v>386</v>
      </c>
      <c r="I84" s="936"/>
      <c r="Q84" s="1014"/>
    </row>
    <row r="85" spans="1:17" s="908" customFormat="1">
      <c r="A85" s="912" t="s">
        <v>994</v>
      </c>
      <c r="B85" s="904"/>
      <c r="C85" s="1015">
        <v>0</v>
      </c>
      <c r="D85" s="1015">
        <v>0</v>
      </c>
      <c r="E85" s="1015"/>
      <c r="F85" s="1015"/>
      <c r="G85" s="1015"/>
      <c r="H85" s="1016"/>
      <c r="Q85" s="1014"/>
    </row>
    <row r="86" spans="1:17" s="908" customFormat="1">
      <c r="A86" s="1030" t="s">
        <v>774</v>
      </c>
      <c r="B86" s="908" t="s">
        <v>775</v>
      </c>
      <c r="C86" s="903">
        <v>0</v>
      </c>
      <c r="D86" s="903">
        <v>57875077.630000003</v>
      </c>
      <c r="E86" s="903">
        <f>ROUND(D86/1000,0)</f>
        <v>57875</v>
      </c>
      <c r="F86" s="914"/>
      <c r="G86" s="914"/>
      <c r="H86" s="909"/>
      <c r="I86" s="936"/>
      <c r="Q86" s="1014"/>
    </row>
    <row r="87" spans="1:17" s="908" customFormat="1">
      <c r="A87" s="1030" t="s">
        <v>785</v>
      </c>
      <c r="B87" s="908" t="s">
        <v>786</v>
      </c>
      <c r="C87" s="903">
        <v>0</v>
      </c>
      <c r="D87" s="903">
        <v>41388.300000000003</v>
      </c>
      <c r="E87" s="903"/>
      <c r="F87" s="903"/>
      <c r="G87" s="903"/>
      <c r="H87" s="909"/>
      <c r="I87" s="936"/>
      <c r="Q87" s="1014"/>
    </row>
    <row r="88" spans="1:17" s="908" customFormat="1">
      <c r="A88" s="1030" t="s">
        <v>787</v>
      </c>
      <c r="B88" s="908" t="s">
        <v>788</v>
      </c>
      <c r="C88" s="903">
        <v>0</v>
      </c>
      <c r="D88" s="903">
        <v>132770</v>
      </c>
      <c r="E88" s="903"/>
      <c r="F88" s="903"/>
      <c r="G88" s="903"/>
      <c r="H88" s="909"/>
      <c r="I88" s="936"/>
      <c r="Q88" s="1014"/>
    </row>
    <row r="89" spans="1:17" s="908" customFormat="1">
      <c r="A89" s="1030" t="s">
        <v>789</v>
      </c>
      <c r="B89" s="908" t="s">
        <v>790</v>
      </c>
      <c r="C89" s="903">
        <v>0</v>
      </c>
      <c r="D89" s="903">
        <v>138632</v>
      </c>
      <c r="E89" s="903"/>
      <c r="F89" s="903"/>
      <c r="G89" s="903"/>
      <c r="H89" s="909"/>
      <c r="I89" s="936"/>
      <c r="Q89" s="1014"/>
    </row>
    <row r="90" spans="1:17" s="908" customFormat="1">
      <c r="A90" s="1030" t="s">
        <v>791</v>
      </c>
      <c r="B90" s="908" t="s">
        <v>792</v>
      </c>
      <c r="C90" s="903">
        <v>0</v>
      </c>
      <c r="D90" s="903">
        <v>326711</v>
      </c>
      <c r="E90" s="903"/>
      <c r="F90" s="903"/>
      <c r="G90" s="903"/>
      <c r="H90" s="909"/>
      <c r="I90" s="936"/>
      <c r="Q90" s="1014"/>
    </row>
    <row r="91" spans="1:17" s="908" customFormat="1">
      <c r="A91" s="1030" t="s">
        <v>793</v>
      </c>
      <c r="B91" s="908" t="s">
        <v>794</v>
      </c>
      <c r="C91" s="903">
        <v>0</v>
      </c>
      <c r="D91" s="903">
        <v>569947</v>
      </c>
      <c r="E91" s="903"/>
      <c r="F91" s="903"/>
      <c r="G91" s="903"/>
      <c r="H91" s="909"/>
      <c r="I91" s="936"/>
      <c r="Q91" s="1014"/>
    </row>
    <row r="92" spans="1:17" s="908" customFormat="1">
      <c r="A92" s="1030" t="s">
        <v>795</v>
      </c>
      <c r="B92" s="908" t="s">
        <v>796</v>
      </c>
      <c r="C92" s="903">
        <v>0</v>
      </c>
      <c r="D92" s="903">
        <v>1495257</v>
      </c>
      <c r="E92" s="903"/>
      <c r="F92" s="903"/>
      <c r="G92" s="903"/>
      <c r="H92" s="909"/>
      <c r="I92" s="936"/>
      <c r="Q92" s="1014"/>
    </row>
    <row r="93" spans="1:17" s="908" customFormat="1">
      <c r="A93" s="1030" t="s">
        <v>797</v>
      </c>
      <c r="B93" s="908" t="s">
        <v>798</v>
      </c>
      <c r="C93" s="903">
        <v>0</v>
      </c>
      <c r="D93" s="903">
        <v>2250622</v>
      </c>
      <c r="E93" s="903"/>
      <c r="F93" s="903"/>
      <c r="G93" s="903"/>
      <c r="H93" s="909"/>
      <c r="I93" s="936"/>
      <c r="Q93" s="1014"/>
    </row>
    <row r="94" spans="1:17" s="908" customFormat="1">
      <c r="A94" s="1030" t="s">
        <v>799</v>
      </c>
      <c r="B94" s="908" t="s">
        <v>800</v>
      </c>
      <c r="C94" s="903">
        <v>0</v>
      </c>
      <c r="D94" s="903">
        <v>1695204</v>
      </c>
      <c r="E94" s="903"/>
      <c r="F94" s="903"/>
      <c r="G94" s="903"/>
      <c r="H94" s="909"/>
      <c r="I94" s="936"/>
      <c r="Q94" s="1014"/>
    </row>
    <row r="95" spans="1:17" s="908" customFormat="1">
      <c r="A95" s="1030" t="s">
        <v>801</v>
      </c>
      <c r="B95" s="908" t="s">
        <v>802</v>
      </c>
      <c r="C95" s="903">
        <v>0</v>
      </c>
      <c r="D95" s="903">
        <v>1413295</v>
      </c>
      <c r="E95" s="903"/>
      <c r="F95" s="903"/>
      <c r="G95" s="903"/>
      <c r="H95" s="909"/>
      <c r="I95" s="936"/>
      <c r="Q95" s="1014"/>
    </row>
    <row r="96" spans="1:17" s="908" customFormat="1">
      <c r="A96" s="1030" t="s">
        <v>803</v>
      </c>
      <c r="B96" s="908" t="s">
        <v>804</v>
      </c>
      <c r="C96" s="903">
        <v>0</v>
      </c>
      <c r="D96" s="903">
        <v>1773960</v>
      </c>
      <c r="E96" s="903"/>
      <c r="F96" s="903">
        <f>ROUND(SUM(D87:D96)/1000,0)</f>
        <v>9838</v>
      </c>
      <c r="G96" s="903"/>
      <c r="H96" s="909"/>
      <c r="I96" s="936"/>
      <c r="Q96" s="1014"/>
    </row>
    <row r="97" spans="1:17" s="908" customFormat="1">
      <c r="A97" s="1030" t="s">
        <v>805</v>
      </c>
      <c r="B97" s="908" t="s">
        <v>806</v>
      </c>
      <c r="C97" s="903">
        <v>0</v>
      </c>
      <c r="D97" s="903">
        <v>6824313.29</v>
      </c>
      <c r="E97" s="903">
        <f>ROUND(D97/1000,0)</f>
        <v>6824</v>
      </c>
      <c r="F97" s="903"/>
      <c r="G97" s="903"/>
      <c r="H97" s="909"/>
      <c r="I97" s="936"/>
      <c r="Q97" s="1014"/>
    </row>
    <row r="98" spans="1:17" s="908" customFormat="1">
      <c r="A98" s="1030" t="s">
        <v>823</v>
      </c>
      <c r="B98" s="908" t="s">
        <v>101</v>
      </c>
      <c r="C98" s="903">
        <v>0</v>
      </c>
      <c r="D98" s="903">
        <v>460184.92</v>
      </c>
      <c r="E98" s="903">
        <f>ROUND(D98/1000,0)</f>
        <v>460</v>
      </c>
      <c r="F98" s="903"/>
      <c r="G98" s="903"/>
      <c r="H98" s="909"/>
      <c r="I98" s="936"/>
      <c r="Q98" s="1014"/>
    </row>
    <row r="99" spans="1:17" s="908" customFormat="1">
      <c r="A99" s="1030" t="s">
        <v>811</v>
      </c>
      <c r="B99" s="908" t="s">
        <v>812</v>
      </c>
      <c r="C99" s="903">
        <v>0</v>
      </c>
      <c r="D99" s="903">
        <v>1200794.3799999999</v>
      </c>
      <c r="E99" s="903">
        <f>ROUND(D99/1000,0)</f>
        <v>1201</v>
      </c>
      <c r="F99" s="903"/>
      <c r="G99" s="903"/>
      <c r="H99" s="909"/>
      <c r="I99" s="936"/>
      <c r="Q99" s="1014"/>
    </row>
    <row r="100" spans="1:17" s="908" customFormat="1">
      <c r="A100" s="1030" t="s">
        <v>776</v>
      </c>
      <c r="B100" s="908" t="s">
        <v>777</v>
      </c>
      <c r="C100" s="903">
        <v>0</v>
      </c>
      <c r="D100" s="903">
        <v>90347.58</v>
      </c>
      <c r="E100" s="903">
        <f>ROUND(D100/1000,0)</f>
        <v>90</v>
      </c>
      <c r="F100" s="903"/>
      <c r="G100" s="903"/>
      <c r="H100" s="909"/>
      <c r="I100" s="936"/>
      <c r="Q100" s="1014"/>
    </row>
    <row r="101" spans="1:17" s="908" customFormat="1">
      <c r="A101" s="1030" t="s">
        <v>819</v>
      </c>
      <c r="B101" s="908" t="s">
        <v>820</v>
      </c>
      <c r="C101" s="903">
        <v>0</v>
      </c>
      <c r="D101" s="903">
        <v>921.78</v>
      </c>
      <c r="E101" s="903">
        <f>ROUND(D101/1000,0)</f>
        <v>1</v>
      </c>
      <c r="F101" s="903"/>
      <c r="G101" s="903"/>
      <c r="H101" s="909"/>
      <c r="I101" s="936"/>
      <c r="Q101" s="1014"/>
    </row>
    <row r="102" spans="1:17" s="908" customFormat="1">
      <c r="A102" s="1030" t="s">
        <v>817</v>
      </c>
      <c r="B102" s="908" t="s">
        <v>818</v>
      </c>
      <c r="C102" s="903">
        <v>0</v>
      </c>
      <c r="D102" s="903">
        <v>189313.5</v>
      </c>
      <c r="E102" s="903">
        <f>ROUND(SUM(D102:D103)/1000,0)</f>
        <v>194</v>
      </c>
      <c r="F102" s="903"/>
      <c r="G102" s="903"/>
      <c r="H102" s="909"/>
      <c r="I102" s="936"/>
      <c r="Q102" s="1014"/>
    </row>
    <row r="103" spans="1:17" s="908" customFormat="1">
      <c r="A103" s="1030" t="s">
        <v>770</v>
      </c>
      <c r="B103" s="908" t="s">
        <v>771</v>
      </c>
      <c r="C103" s="903">
        <v>0</v>
      </c>
      <c r="D103" s="903">
        <v>4667</v>
      </c>
      <c r="E103" s="903">
        <v>2000</v>
      </c>
      <c r="F103" s="903">
        <f>(D102+D103)/1000</f>
        <v>193.98050000000001</v>
      </c>
      <c r="G103" s="903"/>
      <c r="H103" s="909">
        <f>ROUND(SUM(D86:D102,F103)/1000,0)</f>
        <v>76479</v>
      </c>
      <c r="I103" s="936"/>
      <c r="Q103" s="1014"/>
    </row>
    <row r="104" spans="1:17" s="908" customFormat="1">
      <c r="A104" s="1030" t="s">
        <v>1121</v>
      </c>
      <c r="B104" s="908" t="s">
        <v>1137</v>
      </c>
      <c r="C104" s="903">
        <v>0</v>
      </c>
      <c r="D104" s="903">
        <v>9687819.9800000004</v>
      </c>
      <c r="E104" s="903">
        <f>ROUND(SUM(D104)/1000,0)</f>
        <v>9688</v>
      </c>
      <c r="F104" s="903"/>
      <c r="G104" s="903"/>
      <c r="H104" s="909"/>
      <c r="I104" s="936"/>
      <c r="Q104" s="1014"/>
    </row>
    <row r="105" spans="1:17" s="908" customFormat="1">
      <c r="A105" s="912" t="s">
        <v>995</v>
      </c>
      <c r="B105" s="904"/>
      <c r="C105" s="1015">
        <v>0</v>
      </c>
      <c r="D105" s="1015">
        <v>0</v>
      </c>
      <c r="E105" s="1015"/>
      <c r="F105" s="1015"/>
      <c r="G105" s="1015"/>
      <c r="H105" s="1016"/>
      <c r="L105" s="936">
        <v>122828</v>
      </c>
      <c r="M105" s="938">
        <f>ROUND(1034337045/1000,0)-35</f>
        <v>1034302</v>
      </c>
      <c r="N105" s="934">
        <f>M105-N106</f>
        <v>1034302</v>
      </c>
      <c r="O105" s="908">
        <f>ROUND(1392275830.68971/1000,0)</f>
        <v>1392276</v>
      </c>
      <c r="Q105" s="1014"/>
    </row>
    <row r="106" spans="1:17">
      <c r="A106" s="1030" t="s">
        <v>845</v>
      </c>
      <c r="B106" s="908" t="s">
        <v>846</v>
      </c>
      <c r="C106" s="903">
        <v>619700189.84000003</v>
      </c>
      <c r="D106" s="903">
        <v>0</v>
      </c>
      <c r="E106" s="914">
        <f>-SUM(C106:C128)+SUM(D106:D129)</f>
        <v>-726971518.90999997</v>
      </c>
      <c r="F106" s="903"/>
      <c r="G106" s="903"/>
      <c r="H106" s="905"/>
      <c r="I106" s="910"/>
      <c r="J106" s="910"/>
      <c r="K106" s="902"/>
      <c r="M106" s="933"/>
      <c r="N106" s="933">
        <f>ROUND(D106/1000,0)</f>
        <v>0</v>
      </c>
      <c r="Q106" s="1014"/>
    </row>
    <row r="107" spans="1:17">
      <c r="A107" s="1030" t="s">
        <v>855</v>
      </c>
      <c r="B107" s="908" t="s">
        <v>856</v>
      </c>
      <c r="C107" s="903">
        <v>0</v>
      </c>
      <c r="D107" s="903">
        <v>551564.89</v>
      </c>
      <c r="E107" s="903"/>
      <c r="F107" s="914">
        <f>(D106-C107)/1000</f>
        <v>0</v>
      </c>
      <c r="G107" s="914"/>
      <c r="H107" s="910">
        <f>ROUND((-C106+D107)/1000,0)</f>
        <v>-619149</v>
      </c>
      <c r="I107" s="910"/>
      <c r="K107" s="902"/>
      <c r="L107" s="910"/>
      <c r="M107" s="902"/>
      <c r="N107" s="902"/>
      <c r="Q107" s="1014"/>
    </row>
    <row r="108" spans="1:17" s="908" customFormat="1">
      <c r="A108" s="912" t="s">
        <v>995</v>
      </c>
      <c r="B108" s="904"/>
      <c r="C108" s="1015">
        <v>0</v>
      </c>
      <c r="D108" s="1015">
        <v>0</v>
      </c>
      <c r="E108" s="1015"/>
      <c r="F108" s="1015"/>
      <c r="G108" s="1015"/>
      <c r="H108" s="1016"/>
      <c r="L108" s="935"/>
      <c r="Q108" s="1014"/>
    </row>
    <row r="109" spans="1:17" s="908" customFormat="1">
      <c r="A109" s="1030" t="s">
        <v>906</v>
      </c>
      <c r="B109" s="908" t="s">
        <v>142</v>
      </c>
      <c r="C109" s="903">
        <v>0</v>
      </c>
      <c r="D109" s="903">
        <v>220086486</v>
      </c>
      <c r="E109" s="903"/>
      <c r="F109" s="903"/>
      <c r="G109" s="903"/>
      <c r="H109" s="909">
        <f>ROUNDDOWN(D109/1000,0)</f>
        <v>220086</v>
      </c>
      <c r="Q109" s="1014"/>
    </row>
    <row r="110" spans="1:17" s="908" customFormat="1">
      <c r="A110" s="912" t="s">
        <v>996</v>
      </c>
      <c r="B110" s="904"/>
      <c r="C110" s="1015">
        <v>0</v>
      </c>
      <c r="D110" s="1015">
        <v>0</v>
      </c>
      <c r="E110" s="1015"/>
      <c r="F110" s="1015"/>
      <c r="G110" s="1015"/>
      <c r="H110" s="1016"/>
      <c r="Q110" s="1014"/>
    </row>
    <row r="111" spans="1:17" s="908" customFormat="1">
      <c r="A111" s="1030" t="s">
        <v>859</v>
      </c>
      <c r="B111" s="908" t="s">
        <v>860</v>
      </c>
      <c r="C111" s="903">
        <v>0</v>
      </c>
      <c r="D111" s="903">
        <v>18106040.77</v>
      </c>
      <c r="E111" s="903"/>
      <c r="F111" s="903"/>
      <c r="G111" s="903"/>
      <c r="H111" s="909">
        <f>ROUNDUP(D111/1000,0)</f>
        <v>18107</v>
      </c>
      <c r="Q111" s="1014"/>
    </row>
    <row r="112" spans="1:17" s="908" customFormat="1">
      <c r="A112" s="912" t="s">
        <v>997</v>
      </c>
      <c r="B112" s="904"/>
      <c r="C112" s="1015">
        <v>0</v>
      </c>
      <c r="D112" s="1015">
        <v>0</v>
      </c>
      <c r="E112" s="1015"/>
      <c r="F112" s="1015"/>
      <c r="G112" s="1015"/>
      <c r="H112" s="1016"/>
      <c r="Q112" s="1014"/>
    </row>
    <row r="113" spans="1:17" s="908" customFormat="1">
      <c r="A113" s="1030" t="s">
        <v>888</v>
      </c>
      <c r="B113" s="908" t="s">
        <v>889</v>
      </c>
      <c r="C113" s="903">
        <v>0</v>
      </c>
      <c r="D113" s="903">
        <v>13567301</v>
      </c>
      <c r="E113" s="903"/>
      <c r="F113" s="903"/>
      <c r="G113" s="903"/>
      <c r="H113" s="909"/>
      <c r="Q113" s="1014"/>
    </row>
    <row r="114" spans="1:17" s="908" customFormat="1">
      <c r="A114" s="1030" t="s">
        <v>890</v>
      </c>
      <c r="B114" s="908" t="s">
        <v>891</v>
      </c>
      <c r="C114" s="903">
        <v>0</v>
      </c>
      <c r="D114" s="903">
        <v>160802</v>
      </c>
      <c r="E114" s="903"/>
      <c r="F114" s="903"/>
      <c r="G114" s="903"/>
      <c r="H114" s="909"/>
      <c r="Q114" s="1014"/>
    </row>
    <row r="115" spans="1:17" s="908" customFormat="1">
      <c r="A115" s="1030" t="s">
        <v>892</v>
      </c>
      <c r="B115" s="908" t="s">
        <v>893</v>
      </c>
      <c r="C115" s="903">
        <v>0</v>
      </c>
      <c r="D115" s="903">
        <v>5635785</v>
      </c>
      <c r="E115" s="903"/>
      <c r="F115" s="903"/>
      <c r="G115" s="903"/>
      <c r="H115" s="909"/>
      <c r="Q115" s="1014"/>
    </row>
    <row r="116" spans="1:17" s="908" customFormat="1">
      <c r="A116" s="1030" t="s">
        <v>894</v>
      </c>
      <c r="B116" s="908" t="s">
        <v>895</v>
      </c>
      <c r="C116" s="903">
        <v>0</v>
      </c>
      <c r="D116" s="903">
        <v>315952</v>
      </c>
      <c r="E116" s="903"/>
      <c r="F116" s="903"/>
      <c r="G116" s="903"/>
      <c r="H116" s="909"/>
      <c r="Q116" s="1014"/>
    </row>
    <row r="117" spans="1:17" s="908" customFormat="1">
      <c r="A117" s="1030" t="s">
        <v>896</v>
      </c>
      <c r="B117" s="908" t="s">
        <v>897</v>
      </c>
      <c r="C117" s="903">
        <v>0</v>
      </c>
      <c r="D117" s="903">
        <v>53</v>
      </c>
      <c r="E117" s="903"/>
      <c r="F117" s="903"/>
      <c r="G117" s="903"/>
      <c r="H117" s="909"/>
      <c r="Q117" s="1014"/>
    </row>
    <row r="118" spans="1:17" s="908" customFormat="1">
      <c r="A118" s="1030" t="s">
        <v>898</v>
      </c>
      <c r="B118" s="908" t="s">
        <v>899</v>
      </c>
      <c r="C118" s="903">
        <v>0</v>
      </c>
      <c r="D118" s="903">
        <v>33791</v>
      </c>
      <c r="E118" s="903"/>
      <c r="F118" s="903"/>
      <c r="G118" s="903"/>
      <c r="H118" s="909">
        <f>SUM(D113:D123)</f>
        <v>27076366.57</v>
      </c>
      <c r="Q118" s="1014"/>
    </row>
    <row r="119" spans="1:17" s="908" customFormat="1">
      <c r="A119" s="1030" t="s">
        <v>900</v>
      </c>
      <c r="B119" s="908" t="s">
        <v>901</v>
      </c>
      <c r="C119" s="903">
        <v>0</v>
      </c>
      <c r="D119" s="903">
        <v>73266</v>
      </c>
      <c r="E119" s="903"/>
      <c r="F119" s="903"/>
      <c r="G119" s="903"/>
      <c r="H119" s="909">
        <f>ROUNDDOWN(SUM(D113:D123)/1000,0)</f>
        <v>27076</v>
      </c>
      <c r="J119" s="935">
        <f>SUM(D113:D122)</f>
        <v>27051104.57</v>
      </c>
      <c r="Q119" s="1014"/>
    </row>
    <row r="120" spans="1:17" s="908" customFormat="1">
      <c r="A120" s="1030" t="s">
        <v>1122</v>
      </c>
      <c r="B120" s="908" t="s">
        <v>1138</v>
      </c>
      <c r="C120" s="903">
        <v>0</v>
      </c>
      <c r="D120" s="903">
        <v>17.28</v>
      </c>
      <c r="E120" s="903"/>
      <c r="F120" s="903"/>
      <c r="G120" s="903"/>
      <c r="H120" s="909"/>
      <c r="Q120" s="1014"/>
    </row>
    <row r="121" spans="1:17" s="908" customFormat="1">
      <c r="A121" s="1030" t="s">
        <v>1123</v>
      </c>
      <c r="B121" s="908" t="s">
        <v>1139</v>
      </c>
      <c r="C121" s="903">
        <v>0</v>
      </c>
      <c r="D121" s="903">
        <v>7263671</v>
      </c>
      <c r="E121" s="903"/>
      <c r="F121" s="903"/>
      <c r="G121" s="903"/>
      <c r="H121" s="909"/>
      <c r="Q121" s="1014"/>
    </row>
    <row r="122" spans="1:17" s="908" customFormat="1">
      <c r="A122" s="1030" t="s">
        <v>1124</v>
      </c>
      <c r="B122" s="908" t="s">
        <v>1140</v>
      </c>
      <c r="C122" s="903">
        <v>0</v>
      </c>
      <c r="D122" s="903">
        <v>466.29</v>
      </c>
      <c r="E122" s="903"/>
      <c r="F122" s="903"/>
      <c r="G122" s="903"/>
      <c r="H122" s="909"/>
      <c r="Q122" s="1014"/>
    </row>
    <row r="123" spans="1:17" s="908" customFormat="1">
      <c r="A123" s="1030" t="s">
        <v>1151</v>
      </c>
      <c r="B123" s="1027" t="s">
        <v>1152</v>
      </c>
      <c r="C123" s="903">
        <v>0</v>
      </c>
      <c r="D123" s="903">
        <v>25262</v>
      </c>
      <c r="E123" s="903"/>
      <c r="F123" s="903"/>
      <c r="G123" s="903"/>
      <c r="H123" s="909"/>
      <c r="Q123" s="1014"/>
    </row>
    <row r="124" spans="1:17">
      <c r="A124" s="912" t="s">
        <v>1141</v>
      </c>
      <c r="B124" s="904"/>
      <c r="C124" s="1015">
        <v>0</v>
      </c>
      <c r="D124" s="1015">
        <v>0</v>
      </c>
      <c r="E124" s="1015"/>
      <c r="F124" s="1015"/>
      <c r="G124" s="1015"/>
      <c r="H124" s="1016"/>
      <c r="Q124" s="1014"/>
    </row>
    <row r="125" spans="1:17">
      <c r="A125" s="901" t="s">
        <v>1125</v>
      </c>
      <c r="B125" s="908" t="s">
        <v>1141</v>
      </c>
      <c r="C125" s="903">
        <v>0</v>
      </c>
      <c r="D125" s="903">
        <v>618.66</v>
      </c>
      <c r="E125" s="903"/>
      <c r="F125" s="914">
        <f>ROUNDDOWN(D125/1000,0)</f>
        <v>0</v>
      </c>
      <c r="G125" s="914"/>
      <c r="H125" s="909"/>
      <c r="Q125" s="1014"/>
    </row>
    <row r="126" spans="1:17" s="908" customFormat="1">
      <c r="A126" s="912" t="s">
        <v>1019</v>
      </c>
      <c r="B126" s="904"/>
      <c r="C126" s="1015">
        <v>0</v>
      </c>
      <c r="D126" s="1015">
        <v>0</v>
      </c>
      <c r="E126" s="1015"/>
      <c r="F126" s="1015"/>
      <c r="G126" s="1015"/>
      <c r="H126" s="1016"/>
      <c r="Q126" s="1014"/>
    </row>
    <row r="127" spans="1:17">
      <c r="A127" s="1030" t="s">
        <v>847</v>
      </c>
      <c r="B127" s="908" t="s">
        <v>848</v>
      </c>
      <c r="C127" s="903">
        <v>373092427.95999998</v>
      </c>
      <c r="D127" s="903">
        <v>0</v>
      </c>
      <c r="E127" s="903"/>
      <c r="F127" s="903"/>
      <c r="G127" s="903"/>
      <c r="H127" s="909"/>
      <c r="Q127" s="1014"/>
    </row>
    <row r="128" spans="1:17">
      <c r="A128" s="1030" t="s">
        <v>857</v>
      </c>
      <c r="B128" s="908" t="s">
        <v>858</v>
      </c>
      <c r="C128" s="903">
        <v>0</v>
      </c>
      <c r="D128" s="903">
        <v>22</v>
      </c>
      <c r="E128" s="903"/>
      <c r="F128" s="903"/>
      <c r="G128" s="903"/>
      <c r="H128" s="909">
        <f>(-SUM(C127:C128)+SUM(D127:D128))/1000</f>
        <v>-373092.40596</v>
      </c>
      <c r="Q128" s="1014"/>
    </row>
    <row r="129" spans="1:17">
      <c r="A129" s="1030" t="s">
        <v>1153</v>
      </c>
      <c r="B129" s="1027" t="s">
        <v>1154</v>
      </c>
      <c r="C129" s="903">
        <v>75068730</v>
      </c>
      <c r="D129" s="903">
        <v>0</v>
      </c>
      <c r="E129" s="903"/>
      <c r="F129" s="903">
        <f>C129</f>
        <v>75068730</v>
      </c>
      <c r="G129" s="903"/>
      <c r="H129" s="909">
        <f>ROUND(F129/1000,0)</f>
        <v>75069</v>
      </c>
      <c r="Q129" s="1014"/>
    </row>
    <row r="130" spans="1:17" s="908" customFormat="1">
      <c r="A130" s="912" t="s">
        <v>60</v>
      </c>
      <c r="B130" s="904"/>
      <c r="C130" s="1015">
        <v>0</v>
      </c>
      <c r="D130" s="1015">
        <v>0</v>
      </c>
      <c r="E130" s="1015"/>
      <c r="F130" s="1015"/>
      <c r="G130" s="1015"/>
      <c r="H130" s="1016"/>
      <c r="Q130" s="1014"/>
    </row>
    <row r="131" spans="1:17" s="908" customFormat="1">
      <c r="A131" s="1030" t="s">
        <v>865</v>
      </c>
      <c r="B131" s="908" t="s">
        <v>92</v>
      </c>
      <c r="C131" s="903">
        <v>102598161</v>
      </c>
      <c r="D131" s="903">
        <v>0</v>
      </c>
      <c r="E131" s="903"/>
      <c r="F131" s="903"/>
      <c r="G131" s="903"/>
      <c r="H131" s="909">
        <f>ROUND(C131/1000,0)</f>
        <v>102598</v>
      </c>
      <c r="I131" s="935">
        <f>SUM(C131:C156)-D154</f>
        <v>181113879.26000002</v>
      </c>
      <c r="Q131" s="1014"/>
    </row>
    <row r="132" spans="1:17" s="908" customFormat="1">
      <c r="A132" s="1030" t="s">
        <v>866</v>
      </c>
      <c r="B132" s="908" t="s">
        <v>867</v>
      </c>
      <c r="C132" s="903">
        <v>13337750.93</v>
      </c>
      <c r="D132" s="903">
        <v>0</v>
      </c>
      <c r="E132" s="903"/>
      <c r="F132" s="903"/>
      <c r="G132" s="903"/>
      <c r="H132" s="909">
        <f>ROUND(C132/1000,0)</f>
        <v>13338</v>
      </c>
      <c r="Q132" s="1014"/>
    </row>
    <row r="133" spans="1:17" s="908" customFormat="1">
      <c r="A133" s="1030" t="s">
        <v>868</v>
      </c>
      <c r="B133" s="908" t="s">
        <v>91</v>
      </c>
      <c r="C133" s="903">
        <v>5634435</v>
      </c>
      <c r="D133" s="903">
        <v>0</v>
      </c>
      <c r="E133" s="903"/>
      <c r="F133" s="903"/>
      <c r="G133" s="903"/>
      <c r="H133" s="909">
        <f>ROUND(C133/1000,0)</f>
        <v>5634</v>
      </c>
      <c r="Q133" s="1014"/>
    </row>
    <row r="134" spans="1:17" s="908" customFormat="1">
      <c r="A134" s="1030" t="s">
        <v>869</v>
      </c>
      <c r="B134" s="908" t="s">
        <v>870</v>
      </c>
      <c r="C134" s="903">
        <v>732477</v>
      </c>
      <c r="D134" s="903">
        <v>0</v>
      </c>
      <c r="E134" s="903"/>
      <c r="F134" s="903"/>
      <c r="G134" s="903"/>
      <c r="H134" s="909">
        <f>ROUND(C134/1000,0)</f>
        <v>732</v>
      </c>
      <c r="Q134" s="1014"/>
    </row>
    <row r="135" spans="1:17" s="908" customFormat="1">
      <c r="A135" s="1030" t="s">
        <v>871</v>
      </c>
      <c r="B135" s="908" t="s">
        <v>87</v>
      </c>
      <c r="C135" s="903">
        <v>4873560</v>
      </c>
      <c r="D135" s="903">
        <v>0</v>
      </c>
      <c r="E135" s="903"/>
      <c r="F135" s="903"/>
      <c r="G135" s="903"/>
      <c r="H135" s="909">
        <f>ROUND(C135/1000,0)</f>
        <v>4874</v>
      </c>
      <c r="Q135" s="1014"/>
    </row>
    <row r="136" spans="1:17" s="908" customFormat="1">
      <c r="A136" s="1030" t="s">
        <v>872</v>
      </c>
      <c r="B136" s="908" t="s">
        <v>873</v>
      </c>
      <c r="C136" s="903">
        <v>5129713.32</v>
      </c>
      <c r="D136" s="903">
        <v>0</v>
      </c>
      <c r="E136" s="903"/>
      <c r="F136" s="903"/>
      <c r="G136" s="903"/>
      <c r="H136" s="909"/>
      <c r="Q136" s="1014"/>
    </row>
    <row r="137" spans="1:17" s="908" customFormat="1">
      <c r="A137" s="1030" t="s">
        <v>874</v>
      </c>
      <c r="B137" s="908" t="s">
        <v>875</v>
      </c>
      <c r="C137" s="903">
        <v>666862</v>
      </c>
      <c r="D137" s="903">
        <v>0</v>
      </c>
      <c r="E137" s="903"/>
      <c r="F137" s="903"/>
      <c r="G137" s="903"/>
      <c r="H137" s="909">
        <f>ROUND(SUM(C136:C137)/1000,0)</f>
        <v>5797</v>
      </c>
      <c r="Q137" s="1014"/>
    </row>
    <row r="138" spans="1:17" s="908" customFormat="1">
      <c r="A138" s="1030" t="s">
        <v>861</v>
      </c>
      <c r="B138" s="908" t="s">
        <v>862</v>
      </c>
      <c r="C138" s="903">
        <v>530652.27</v>
      </c>
      <c r="D138" s="903">
        <v>0</v>
      </c>
      <c r="E138" s="903"/>
      <c r="F138" s="903"/>
      <c r="G138" s="903"/>
      <c r="H138" s="909"/>
      <c r="Q138" s="1014"/>
    </row>
    <row r="139" spans="1:17" s="908" customFormat="1">
      <c r="A139" s="1030" t="s">
        <v>863</v>
      </c>
      <c r="B139" s="908" t="s">
        <v>864</v>
      </c>
      <c r="C139" s="903">
        <v>9272.0400000000009</v>
      </c>
      <c r="D139" s="903">
        <v>0</v>
      </c>
      <c r="E139" s="903"/>
      <c r="F139" s="903"/>
      <c r="G139" s="903"/>
      <c r="H139" s="909">
        <f>ROUND(SUM(C138:C139)/1000,0)</f>
        <v>540</v>
      </c>
      <c r="Q139" s="1014"/>
    </row>
    <row r="140" spans="1:17" s="908" customFormat="1">
      <c r="A140" s="1030" t="s">
        <v>754</v>
      </c>
      <c r="B140" s="908" t="s">
        <v>755</v>
      </c>
      <c r="C140" s="903">
        <v>24721642.890000001</v>
      </c>
      <c r="D140" s="903">
        <v>0</v>
      </c>
      <c r="E140" s="903"/>
      <c r="F140" s="903"/>
      <c r="G140" s="903"/>
      <c r="H140" s="909"/>
      <c r="Q140" s="1014"/>
    </row>
    <row r="141" spans="1:17" s="908" customFormat="1">
      <c r="A141" s="1030" t="s">
        <v>756</v>
      </c>
      <c r="B141" s="908" t="s">
        <v>757</v>
      </c>
      <c r="C141" s="903">
        <v>106176</v>
      </c>
      <c r="D141" s="903">
        <v>0</v>
      </c>
      <c r="E141" s="903"/>
      <c r="F141" s="903"/>
      <c r="G141" s="903"/>
      <c r="H141" s="909">
        <f>ROUND(SUM(C140:C141)/1000,0)</f>
        <v>24828</v>
      </c>
      <c r="Q141" s="1014"/>
    </row>
    <row r="142" spans="1:17" s="908" customFormat="1">
      <c r="A142" s="1030" t="s">
        <v>876</v>
      </c>
      <c r="B142" s="908" t="s">
        <v>877</v>
      </c>
      <c r="C142" s="903">
        <v>1118570</v>
      </c>
      <c r="D142" s="903">
        <v>0</v>
      </c>
      <c r="E142" s="903"/>
      <c r="F142" s="903"/>
      <c r="G142" s="903"/>
      <c r="H142" s="909">
        <f>ROUND(C142/1000,)</f>
        <v>1119</v>
      </c>
      <c r="Q142" s="1014"/>
    </row>
    <row r="143" spans="1:17" s="908" customFormat="1">
      <c r="A143" s="1030" t="s">
        <v>758</v>
      </c>
      <c r="B143" s="908" t="s">
        <v>759</v>
      </c>
      <c r="C143" s="903">
        <v>793308</v>
      </c>
      <c r="D143" s="903">
        <v>0</v>
      </c>
      <c r="E143" s="903"/>
      <c r="F143" s="903"/>
      <c r="G143" s="903"/>
      <c r="H143" s="909"/>
      <c r="Q143" s="1014"/>
    </row>
    <row r="144" spans="1:17" s="908" customFormat="1">
      <c r="A144" s="1030" t="s">
        <v>1127</v>
      </c>
      <c r="B144" s="908" t="s">
        <v>1143</v>
      </c>
      <c r="C144" s="903">
        <v>47985</v>
      </c>
      <c r="D144" s="903">
        <v>0</v>
      </c>
      <c r="E144" s="903"/>
      <c r="F144" s="903"/>
      <c r="G144" s="903"/>
      <c r="H144" s="909"/>
      <c r="Q144" s="1014"/>
    </row>
    <row r="145" spans="1:17" s="908" customFormat="1">
      <c r="A145" s="1030" t="s">
        <v>744</v>
      </c>
      <c r="B145" s="908" t="s">
        <v>745</v>
      </c>
      <c r="C145" s="903">
        <v>1579</v>
      </c>
      <c r="D145" s="903">
        <v>0</v>
      </c>
      <c r="E145" s="903"/>
      <c r="F145" s="903"/>
      <c r="G145" s="903"/>
      <c r="H145" s="909"/>
      <c r="Q145" s="1014"/>
    </row>
    <row r="146" spans="1:17" s="908" customFormat="1">
      <c r="A146" s="1030" t="s">
        <v>1128</v>
      </c>
      <c r="B146" s="908" t="s">
        <v>1144</v>
      </c>
      <c r="C146" s="903">
        <v>1839.33</v>
      </c>
      <c r="D146" s="903">
        <v>0</v>
      </c>
      <c r="E146" s="903"/>
      <c r="F146" s="903"/>
      <c r="G146" s="903"/>
      <c r="H146" s="909"/>
      <c r="Q146" s="1014"/>
    </row>
    <row r="147" spans="1:17" s="908" customFormat="1">
      <c r="A147" s="1030" t="s">
        <v>746</v>
      </c>
      <c r="B147" s="908" t="s">
        <v>747</v>
      </c>
      <c r="C147" s="903">
        <v>42214</v>
      </c>
      <c r="D147" s="903">
        <v>0</v>
      </c>
      <c r="E147" s="903"/>
      <c r="F147" s="903"/>
      <c r="G147" s="903"/>
      <c r="H147" s="909"/>
      <c r="Q147" s="1014"/>
    </row>
    <row r="148" spans="1:17" s="908" customFormat="1">
      <c r="A148" s="1030" t="s">
        <v>748</v>
      </c>
      <c r="B148" s="908" t="s">
        <v>749</v>
      </c>
      <c r="C148" s="903">
        <v>46163.03</v>
      </c>
      <c r="D148" s="903">
        <v>0</v>
      </c>
      <c r="E148" s="903"/>
      <c r="F148" s="903"/>
      <c r="G148" s="903"/>
      <c r="H148" s="909">
        <f>ROUND(C148/1000,0)</f>
        <v>46</v>
      </c>
      <c r="Q148" s="1014"/>
    </row>
    <row r="149" spans="1:17" s="908" customFormat="1">
      <c r="A149" s="1030" t="s">
        <v>1129</v>
      </c>
      <c r="B149" s="908" t="s">
        <v>1145</v>
      </c>
      <c r="C149" s="903">
        <v>8105</v>
      </c>
      <c r="D149" s="903">
        <v>0</v>
      </c>
      <c r="E149" s="903"/>
      <c r="F149" s="903"/>
      <c r="G149" s="903"/>
      <c r="H149" s="909"/>
      <c r="Q149" s="1014"/>
    </row>
    <row r="150" spans="1:17" s="908" customFormat="1">
      <c r="A150" s="1030" t="s">
        <v>750</v>
      </c>
      <c r="B150" s="908" t="s">
        <v>751</v>
      </c>
      <c r="C150" s="903">
        <v>4421.5</v>
      </c>
      <c r="D150" s="903">
        <v>0</v>
      </c>
      <c r="E150" s="903"/>
      <c r="F150" s="903"/>
      <c r="G150" s="903"/>
      <c r="H150" s="909"/>
      <c r="Q150" s="1014"/>
    </row>
    <row r="151" spans="1:17" s="908" customFormat="1">
      <c r="A151" s="1030" t="s">
        <v>752</v>
      </c>
      <c r="B151" s="908" t="s">
        <v>753</v>
      </c>
      <c r="C151" s="903">
        <v>14683.550000000001</v>
      </c>
      <c r="D151" s="903">
        <v>0</v>
      </c>
      <c r="E151" s="903"/>
      <c r="F151" s="903"/>
      <c r="G151" s="903"/>
      <c r="H151" s="909">
        <f>ROUND(SUM(C142:C151)/1000,0)</f>
        <v>2079</v>
      </c>
      <c r="Q151" s="1014"/>
    </row>
    <row r="152" spans="1:17" s="908" customFormat="1">
      <c r="A152" s="1030" t="s">
        <v>738</v>
      </c>
      <c r="B152" s="908" t="s">
        <v>739</v>
      </c>
      <c r="C152" s="903">
        <v>112276</v>
      </c>
      <c r="D152" s="903">
        <v>0</v>
      </c>
      <c r="E152" s="903"/>
      <c r="F152" s="903"/>
      <c r="G152" s="903"/>
      <c r="H152" s="909"/>
      <c r="Q152" s="1014"/>
    </row>
    <row r="153" spans="1:17" s="908" customFormat="1">
      <c r="A153" s="1030" t="s">
        <v>740</v>
      </c>
      <c r="B153" s="908" t="s">
        <v>741</v>
      </c>
      <c r="C153" s="903">
        <v>34258</v>
      </c>
      <c r="D153" s="903">
        <v>0</v>
      </c>
      <c r="E153" s="903"/>
      <c r="F153" s="903"/>
      <c r="G153" s="903"/>
      <c r="H153" s="909">
        <f>(C153+C152)/1000</f>
        <v>146.53399999999999</v>
      </c>
      <c r="I153" s="935">
        <f>ROUND(H153,0)</f>
        <v>147</v>
      </c>
      <c r="Q153" s="1014"/>
    </row>
    <row r="154" spans="1:17" s="908" customFormat="1">
      <c r="A154" s="1030" t="s">
        <v>742</v>
      </c>
      <c r="B154" s="908" t="s">
        <v>743</v>
      </c>
      <c r="C154" s="903">
        <v>0</v>
      </c>
      <c r="D154" s="903">
        <v>205918.6</v>
      </c>
      <c r="E154" s="903"/>
      <c r="F154" s="903"/>
      <c r="G154" s="903"/>
      <c r="H154" s="1022">
        <f>ROUNDDOWN(C155/1000,0)</f>
        <v>234</v>
      </c>
      <c r="Q154" s="1014"/>
    </row>
    <row r="155" spans="1:17" s="908" customFormat="1">
      <c r="A155" s="1030" t="s">
        <v>737</v>
      </c>
      <c r="B155" s="908" t="s">
        <v>144</v>
      </c>
      <c r="C155" s="903">
        <v>234521.02000000002</v>
      </c>
      <c r="D155" s="903">
        <v>0</v>
      </c>
      <c r="E155" s="903"/>
      <c r="F155" s="903"/>
      <c r="G155" s="903"/>
      <c r="H155" s="909">
        <f>ROUNDDOWN(-D154/1000,0)</f>
        <v>-205</v>
      </c>
      <c r="J155" s="934">
        <f>C155/1000</f>
        <v>234.52102000000002</v>
      </c>
      <c r="Q155" s="1014"/>
    </row>
    <row r="156" spans="1:17" s="908" customFormat="1">
      <c r="A156" s="1030" t="s">
        <v>1126</v>
      </c>
      <c r="B156" s="908" t="s">
        <v>1142</v>
      </c>
      <c r="C156" s="903">
        <v>20519171.98</v>
      </c>
      <c r="D156" s="903">
        <v>0</v>
      </c>
      <c r="E156" s="903"/>
      <c r="F156" s="903"/>
      <c r="G156" s="903"/>
      <c r="H156" s="909">
        <f>ROUND(C156/1000,0)</f>
        <v>20519</v>
      </c>
      <c r="Q156" s="1014"/>
    </row>
    <row r="157" spans="1:17">
      <c r="A157" s="912" t="s">
        <v>999</v>
      </c>
      <c r="B157" s="904"/>
      <c r="C157" s="1015">
        <v>0</v>
      </c>
      <c r="D157" s="1015">
        <v>0</v>
      </c>
      <c r="E157" s="1015"/>
      <c r="F157" s="1015"/>
      <c r="G157" s="1015"/>
      <c r="H157" s="1016"/>
      <c r="Q157" s="1014"/>
    </row>
    <row r="158" spans="1:17">
      <c r="A158" s="913" t="s">
        <v>972</v>
      </c>
      <c r="B158" s="908" t="s">
        <v>973</v>
      </c>
      <c r="C158" s="903">
        <v>53795219.079999998</v>
      </c>
      <c r="D158" s="903">
        <v>0</v>
      </c>
      <c r="E158" s="903"/>
      <c r="F158" s="903"/>
      <c r="G158" s="903"/>
      <c r="H158" s="909">
        <f>ROUND(C158/1000,0)</f>
        <v>53795</v>
      </c>
      <c r="N158" s="933"/>
      <c r="Q158" s="1014"/>
    </row>
    <row r="159" spans="1:17">
      <c r="A159" s="912" t="s">
        <v>1006</v>
      </c>
      <c r="B159" s="904"/>
      <c r="C159" s="1015">
        <v>0</v>
      </c>
      <c r="D159" s="1015">
        <v>0</v>
      </c>
      <c r="E159" s="1015"/>
      <c r="F159" s="1015"/>
      <c r="G159" s="1015"/>
      <c r="H159" s="1016"/>
      <c r="N159" s="902"/>
      <c r="Q159" s="1014"/>
    </row>
    <row r="160" spans="1:17">
      <c r="A160" s="913" t="s">
        <v>843</v>
      </c>
      <c r="B160" s="908" t="s">
        <v>844</v>
      </c>
      <c r="C160" s="903">
        <v>332236852.69</v>
      </c>
      <c r="D160" s="903">
        <v>0</v>
      </c>
      <c r="E160" s="903"/>
      <c r="F160" s="903"/>
      <c r="G160" s="903"/>
      <c r="H160" s="909">
        <f>ROUND(D160/1000,0)</f>
        <v>0</v>
      </c>
      <c r="I160" s="937">
        <f>ROUND(245123996/1000,0)</f>
        <v>245124</v>
      </c>
      <c r="J160" s="902">
        <v>178431</v>
      </c>
      <c r="K160" s="902">
        <f>M160-I160-J160</f>
        <v>968721</v>
      </c>
      <c r="L160" s="899">
        <v>1392275830</v>
      </c>
      <c r="M160" s="932">
        <f>ROUND(L160/1000,0)</f>
        <v>1392276</v>
      </c>
      <c r="N160" s="902">
        <f>H160-M160</f>
        <v>-1392276</v>
      </c>
      <c r="Q160" s="1014"/>
    </row>
    <row r="161" spans="1:17">
      <c r="A161" s="912" t="s">
        <v>1005</v>
      </c>
      <c r="B161" s="904"/>
      <c r="C161" s="1015">
        <v>0</v>
      </c>
      <c r="D161" s="1015">
        <v>0</v>
      </c>
      <c r="E161" s="1015"/>
      <c r="F161" s="1015"/>
      <c r="G161" s="1015"/>
      <c r="H161" s="1016"/>
      <c r="L161" s="902"/>
      <c r="Q161" s="1014"/>
    </row>
    <row r="162" spans="1:17">
      <c r="A162" s="901" t="s">
        <v>980</v>
      </c>
      <c r="B162" s="899" t="s">
        <v>981</v>
      </c>
      <c r="C162" s="903">
        <v>197268744.49000001</v>
      </c>
      <c r="D162" s="903">
        <v>0</v>
      </c>
      <c r="E162" s="903"/>
      <c r="F162" s="903"/>
      <c r="G162" s="903"/>
      <c r="H162" s="909">
        <f>ROUND(D162/1000,0)</f>
        <v>0</v>
      </c>
      <c r="Q162" s="1014"/>
    </row>
    <row r="163" spans="1:17">
      <c r="A163" s="912" t="s">
        <v>1007</v>
      </c>
      <c r="B163" s="904"/>
      <c r="C163" s="1015">
        <v>0</v>
      </c>
      <c r="D163" s="1015">
        <v>0</v>
      </c>
      <c r="E163" s="1015"/>
      <c r="F163" s="1015"/>
      <c r="G163" s="1015"/>
      <c r="H163" s="1016"/>
      <c r="Q163" s="1014"/>
    </row>
    <row r="164" spans="1:17">
      <c r="A164" s="901" t="s">
        <v>964</v>
      </c>
      <c r="B164" s="899" t="s">
        <v>965</v>
      </c>
      <c r="C164" s="903">
        <v>0</v>
      </c>
      <c r="D164" s="903">
        <v>895726329.97000003</v>
      </c>
      <c r="E164" s="903"/>
      <c r="F164" s="903"/>
      <c r="G164" s="903"/>
      <c r="H164" s="909"/>
      <c r="Q164" s="1014"/>
    </row>
    <row r="165" spans="1:17">
      <c r="A165" s="901" t="s">
        <v>968</v>
      </c>
      <c r="B165" s="899" t="s">
        <v>969</v>
      </c>
      <c r="C165" s="903">
        <v>0</v>
      </c>
      <c r="D165" s="903">
        <v>2778136387.7399998</v>
      </c>
      <c r="E165" s="903"/>
      <c r="F165" s="903"/>
      <c r="G165" s="903"/>
      <c r="H165" s="909">
        <f>ROUND(SUM(D164:D165)/1000,0)+0.4</f>
        <v>3673863.4</v>
      </c>
      <c r="Q165" s="1014"/>
    </row>
    <row r="166" spans="1:17">
      <c r="A166" s="912" t="s">
        <v>1008</v>
      </c>
      <c r="B166" s="904"/>
      <c r="C166" s="1015">
        <v>0</v>
      </c>
      <c r="D166" s="1015">
        <v>0</v>
      </c>
      <c r="E166" s="1015"/>
      <c r="F166" s="1015"/>
      <c r="G166" s="1015"/>
      <c r="H166" s="1016"/>
      <c r="Q166" s="1014"/>
    </row>
    <row r="167" spans="1:17">
      <c r="A167" s="901" t="s">
        <v>966</v>
      </c>
      <c r="B167" s="899" t="s">
        <v>967</v>
      </c>
      <c r="C167" s="903">
        <v>1035600326</v>
      </c>
      <c r="D167" s="903">
        <v>0</v>
      </c>
      <c r="E167" s="903"/>
      <c r="F167" s="903"/>
      <c r="G167" s="903"/>
      <c r="H167" s="909"/>
      <c r="Q167" s="1014"/>
    </row>
    <row r="168" spans="1:17">
      <c r="A168" s="901" t="s">
        <v>970</v>
      </c>
      <c r="B168" s="899" t="s">
        <v>971</v>
      </c>
      <c r="C168" s="903">
        <v>2970505853.8400002</v>
      </c>
      <c r="D168" s="903">
        <v>0</v>
      </c>
      <c r="E168" s="903"/>
      <c r="F168" s="903"/>
      <c r="G168" s="903"/>
      <c r="H168" s="909">
        <f>ROUND(SUM(C167:C168)/1000,0)-0.4</f>
        <v>4006105.6</v>
      </c>
      <c r="Q168" s="1014"/>
    </row>
    <row r="169" spans="1:17">
      <c r="A169" s="912" t="s">
        <v>1020</v>
      </c>
      <c r="B169" s="904"/>
      <c r="C169" s="1015">
        <v>0</v>
      </c>
      <c r="D169" s="1015">
        <v>0</v>
      </c>
      <c r="E169" s="1015"/>
      <c r="F169" s="1015"/>
      <c r="G169" s="1015"/>
      <c r="H169" s="1016"/>
      <c r="Q169" s="1014"/>
    </row>
    <row r="170" spans="1:17">
      <c r="A170" s="901" t="s">
        <v>961</v>
      </c>
      <c r="B170" s="908" t="s">
        <v>107</v>
      </c>
      <c r="C170" s="903">
        <v>3188690</v>
      </c>
      <c r="D170" s="903">
        <v>0</v>
      </c>
      <c r="E170" s="903"/>
      <c r="F170" s="903"/>
      <c r="G170" s="903"/>
      <c r="H170" s="909"/>
      <c r="Q170" s="1014"/>
    </row>
    <row r="171" spans="1:17">
      <c r="A171" s="901" t="s">
        <v>962</v>
      </c>
      <c r="B171" s="908" t="s">
        <v>963</v>
      </c>
      <c r="C171" s="903">
        <v>0</v>
      </c>
      <c r="D171" s="903">
        <v>3188691</v>
      </c>
      <c r="E171" s="903"/>
      <c r="F171" s="903"/>
      <c r="G171" s="903"/>
      <c r="H171" s="909"/>
      <c r="Q171" s="1014"/>
    </row>
    <row r="172" spans="1:17">
      <c r="A172" s="901" t="s">
        <v>824</v>
      </c>
      <c r="B172" s="908" t="s">
        <v>825</v>
      </c>
      <c r="C172" s="903">
        <v>0</v>
      </c>
      <c r="D172" s="903">
        <v>5.04</v>
      </c>
      <c r="Q172" s="1014"/>
    </row>
    <row r="173" spans="1:17">
      <c r="A173" s="901" t="s">
        <v>730</v>
      </c>
      <c r="B173" s="908" t="s">
        <v>731</v>
      </c>
      <c r="C173" s="903">
        <v>2.7800000000000002</v>
      </c>
      <c r="D173" s="903">
        <v>0</v>
      </c>
      <c r="Q173" s="1014"/>
    </row>
    <row r="174" spans="1:17">
      <c r="A174" s="1030" t="s">
        <v>807</v>
      </c>
      <c r="B174" s="908" t="s">
        <v>808</v>
      </c>
      <c r="C174" s="903">
        <v>0</v>
      </c>
      <c r="D174" s="903">
        <v>26874</v>
      </c>
      <c r="F174" s="900">
        <f>(D174-C175)/1000</f>
        <v>25.067</v>
      </c>
    </row>
    <row r="175" spans="1:17">
      <c r="A175" s="1030" t="s">
        <v>809</v>
      </c>
      <c r="B175" s="908" t="s">
        <v>810</v>
      </c>
      <c r="C175" s="903">
        <v>1807</v>
      </c>
      <c r="D175" s="903">
        <v>0</v>
      </c>
    </row>
    <row r="176" spans="1:17">
      <c r="A176" s="901" t="s">
        <v>813</v>
      </c>
      <c r="B176" s="908" t="s">
        <v>814</v>
      </c>
      <c r="C176" s="903">
        <v>1044293</v>
      </c>
      <c r="D176" s="903">
        <v>0</v>
      </c>
    </row>
    <row r="177" spans="1:9">
      <c r="A177" s="901" t="s">
        <v>815</v>
      </c>
      <c r="B177" s="908" t="s">
        <v>816</v>
      </c>
      <c r="C177" s="903">
        <v>0</v>
      </c>
      <c r="D177" s="903">
        <v>1044293</v>
      </c>
    </row>
    <row r="178" spans="1:9" s="908" customFormat="1">
      <c r="A178" s="913" t="s">
        <v>849</v>
      </c>
      <c r="B178" s="908" t="s">
        <v>850</v>
      </c>
      <c r="C178" s="903">
        <v>0</v>
      </c>
      <c r="D178" s="903">
        <v>5815</v>
      </c>
      <c r="E178" s="903"/>
      <c r="F178" s="903"/>
      <c r="G178" s="903"/>
      <c r="H178" s="903"/>
    </row>
    <row r="179" spans="1:9" s="908" customFormat="1">
      <c r="A179" s="913" t="s">
        <v>851</v>
      </c>
      <c r="B179" s="908" t="s">
        <v>852</v>
      </c>
      <c r="C179" s="903">
        <v>0</v>
      </c>
      <c r="D179" s="903">
        <v>69</v>
      </c>
      <c r="E179" s="903"/>
      <c r="F179" s="903"/>
      <c r="G179" s="903"/>
      <c r="H179" s="903"/>
    </row>
    <row r="180" spans="1:9" s="908" customFormat="1">
      <c r="A180" s="913" t="s">
        <v>853</v>
      </c>
      <c r="B180" s="908" t="s">
        <v>854</v>
      </c>
      <c r="C180" s="903">
        <v>5965.59</v>
      </c>
      <c r="D180" s="903">
        <v>0</v>
      </c>
      <c r="E180" s="903"/>
      <c r="F180" s="903">
        <f>(C178-D179-D180)/1000</f>
        <v>-6.9000000000000006E-2</v>
      </c>
      <c r="G180" s="903"/>
      <c r="H180" s="903"/>
    </row>
    <row r="181" spans="1:9">
      <c r="A181" s="901" t="s">
        <v>939</v>
      </c>
      <c r="B181" s="908" t="s">
        <v>940</v>
      </c>
      <c r="C181" s="903">
        <v>0</v>
      </c>
      <c r="D181" s="903">
        <v>0.01</v>
      </c>
    </row>
    <row r="182" spans="1:9">
      <c r="A182" s="901" t="s">
        <v>974</v>
      </c>
      <c r="B182" s="908" t="s">
        <v>975</v>
      </c>
      <c r="C182" s="903">
        <v>0</v>
      </c>
      <c r="D182" s="903">
        <v>197268744.49000001</v>
      </c>
      <c r="E182" s="903"/>
      <c r="F182" s="903"/>
      <c r="G182" s="903"/>
      <c r="I182" s="902"/>
    </row>
    <row r="183" spans="1:9">
      <c r="A183" s="901" t="s">
        <v>976</v>
      </c>
      <c r="B183" s="908" t="s">
        <v>977</v>
      </c>
      <c r="C183" s="903">
        <v>0</v>
      </c>
      <c r="D183" s="903">
        <v>11629170369.559999</v>
      </c>
      <c r="E183" s="903"/>
      <c r="F183" s="903"/>
      <c r="G183" s="903"/>
    </row>
    <row r="184" spans="1:9">
      <c r="A184" s="913" t="s">
        <v>978</v>
      </c>
      <c r="B184" s="908" t="s">
        <v>979</v>
      </c>
      <c r="C184" s="903">
        <v>0</v>
      </c>
      <c r="D184" s="903">
        <v>53795219.060000002</v>
      </c>
    </row>
    <row r="185" spans="1:9">
      <c r="B185" s="908"/>
      <c r="C185" s="900">
        <v>0</v>
      </c>
      <c r="D185" s="900">
        <v>0</v>
      </c>
      <c r="H185" s="900">
        <f>C185-D185</f>
        <v>0</v>
      </c>
    </row>
    <row r="188" spans="1:9">
      <c r="C188" s="900">
        <f>SUM(C9:C185)</f>
        <v>16609607714.52</v>
      </c>
      <c r="D188" s="900">
        <f>SUM(D9:D185)</f>
        <v>16609607537.439999</v>
      </c>
    </row>
  </sheetData>
  <autoFilter ref="A8:C31"/>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C1" sqref="C1"/>
    </sheetView>
  </sheetViews>
  <sheetFormatPr defaultRowHeight="15.6"/>
  <cols>
    <col min="1" max="1" width="13" bestFit="1" customWidth="1"/>
    <col min="2" max="2" width="94.69921875" bestFit="1" customWidth="1"/>
    <col min="3" max="3" width="11.69921875" bestFit="1" customWidth="1"/>
    <col min="4" max="4" width="1.69921875" bestFit="1" customWidth="1"/>
    <col min="5" max="5" width="6.09765625" bestFit="1" customWidth="1"/>
  </cols>
  <sheetData>
    <row r="1" spans="1:5">
      <c r="A1" t="s">
        <v>907</v>
      </c>
      <c r="B1" t="s">
        <v>908</v>
      </c>
      <c r="C1">
        <v>974450918.89999998</v>
      </c>
      <c r="D1">
        <v>0</v>
      </c>
      <c r="E1" t="s">
        <v>1180</v>
      </c>
    </row>
    <row r="2" spans="1:5">
      <c r="A2" t="s">
        <v>1113</v>
      </c>
      <c r="B2" t="s">
        <v>1130</v>
      </c>
      <c r="C2">
        <v>1235073.1299999999</v>
      </c>
      <c r="D2">
        <v>0</v>
      </c>
      <c r="E2" t="s">
        <v>1180</v>
      </c>
    </row>
    <row r="3" spans="1:5">
      <c r="A3" t="s">
        <v>1098</v>
      </c>
      <c r="B3" t="s">
        <v>1097</v>
      </c>
      <c r="C3">
        <v>1432536.6600000001</v>
      </c>
      <c r="D3">
        <v>0</v>
      </c>
      <c r="E3" t="s">
        <v>1180</v>
      </c>
    </row>
    <row r="4" spans="1:5">
      <c r="A4" t="s">
        <v>927</v>
      </c>
      <c r="B4" t="s">
        <v>928</v>
      </c>
      <c r="C4">
        <v>325430</v>
      </c>
      <c r="D4">
        <v>0</v>
      </c>
      <c r="E4" t="s">
        <v>1181</v>
      </c>
    </row>
    <row r="5" spans="1:5">
      <c r="A5" t="s">
        <v>929</v>
      </c>
      <c r="B5" t="s">
        <v>930</v>
      </c>
      <c r="C5">
        <v>568666</v>
      </c>
      <c r="D5">
        <v>0</v>
      </c>
      <c r="E5" t="s">
        <v>1181</v>
      </c>
    </row>
    <row r="6" spans="1:5">
      <c r="A6" t="s">
        <v>1117</v>
      </c>
      <c r="B6" t="s">
        <v>1134</v>
      </c>
      <c r="C6">
        <v>23626.959999999999</v>
      </c>
      <c r="D6">
        <v>0</v>
      </c>
      <c r="E6" t="s">
        <v>1180</v>
      </c>
    </row>
    <row r="7" spans="1:5">
      <c r="A7" t="s">
        <v>909</v>
      </c>
      <c r="B7" t="s">
        <v>910</v>
      </c>
      <c r="C7">
        <v>1280814.71</v>
      </c>
      <c r="D7">
        <v>0</v>
      </c>
      <c r="E7" t="s">
        <v>1180</v>
      </c>
    </row>
    <row r="8" spans="1:5">
      <c r="A8" t="s">
        <v>1116</v>
      </c>
      <c r="B8" t="s">
        <v>1133</v>
      </c>
      <c r="C8">
        <v>3300057.06</v>
      </c>
      <c r="D8">
        <v>0</v>
      </c>
      <c r="E8" t="s">
        <v>1180</v>
      </c>
    </row>
    <row r="9" spans="1:5">
      <c r="A9" t="s">
        <v>915</v>
      </c>
      <c r="B9" t="s">
        <v>916</v>
      </c>
      <c r="C9">
        <v>6075.81</v>
      </c>
      <c r="D9">
        <v>0</v>
      </c>
      <c r="E9" t="s">
        <v>1180</v>
      </c>
    </row>
    <row r="10" spans="1:5">
      <c r="A10" t="s">
        <v>1114</v>
      </c>
      <c r="B10" t="s">
        <v>1131</v>
      </c>
      <c r="C10">
        <v>38638794</v>
      </c>
      <c r="D10">
        <v>0</v>
      </c>
      <c r="E10" t="s">
        <v>1180</v>
      </c>
    </row>
    <row r="11" spans="1:5">
      <c r="A11" t="s">
        <v>913</v>
      </c>
      <c r="B11" t="s">
        <v>914</v>
      </c>
      <c r="C11">
        <v>40446</v>
      </c>
      <c r="D11">
        <v>0</v>
      </c>
      <c r="E11" t="s">
        <v>1181</v>
      </c>
    </row>
    <row r="12" spans="1:5">
      <c r="A12" t="s">
        <v>1115</v>
      </c>
      <c r="B12" t="s">
        <v>1132</v>
      </c>
      <c r="C12">
        <v>4998558.3899999997</v>
      </c>
      <c r="D12">
        <v>0</v>
      </c>
      <c r="E12" t="s">
        <v>1181</v>
      </c>
    </row>
    <row r="13" spans="1:5">
      <c r="A13" t="s">
        <v>911</v>
      </c>
      <c r="B13" t="s">
        <v>912</v>
      </c>
      <c r="C13">
        <v>2888830.5300000003</v>
      </c>
      <c r="D13">
        <v>0</v>
      </c>
      <c r="E13" t="s">
        <v>1180</v>
      </c>
    </row>
    <row r="14" spans="1:5">
      <c r="A14" t="s">
        <v>931</v>
      </c>
      <c r="B14" t="s">
        <v>932</v>
      </c>
      <c r="C14">
        <v>132770</v>
      </c>
      <c r="D14">
        <v>0</v>
      </c>
      <c r="E14" t="s">
        <v>1181</v>
      </c>
    </row>
    <row r="15" spans="1:5">
      <c r="A15" t="s">
        <v>933</v>
      </c>
      <c r="B15" t="s">
        <v>934</v>
      </c>
      <c r="C15">
        <v>138632</v>
      </c>
      <c r="D15">
        <v>0</v>
      </c>
      <c r="E15" t="s">
        <v>1181</v>
      </c>
    </row>
    <row r="16" spans="1:5">
      <c r="A16" t="s">
        <v>1147</v>
      </c>
      <c r="B16" t="s">
        <v>1148</v>
      </c>
      <c r="C16">
        <v>12500</v>
      </c>
      <c r="D16">
        <v>0</v>
      </c>
      <c r="E16" t="s">
        <v>1180</v>
      </c>
    </row>
    <row r="17" spans="1:5">
      <c r="A17" t="s">
        <v>917</v>
      </c>
      <c r="B17" t="s">
        <v>918</v>
      </c>
      <c r="C17">
        <v>1495053</v>
      </c>
      <c r="D17">
        <v>0</v>
      </c>
      <c r="E17" t="s">
        <v>1181</v>
      </c>
    </row>
    <row r="18" spans="1:5">
      <c r="A18" t="s">
        <v>919</v>
      </c>
      <c r="B18" t="s">
        <v>920</v>
      </c>
      <c r="C18">
        <v>2250518</v>
      </c>
      <c r="D18">
        <v>0</v>
      </c>
      <c r="E18" t="s">
        <v>1181</v>
      </c>
    </row>
    <row r="19" spans="1:5">
      <c r="A19" t="s">
        <v>921</v>
      </c>
      <c r="B19" t="s">
        <v>922</v>
      </c>
      <c r="C19">
        <v>1368463</v>
      </c>
      <c r="D19">
        <v>0</v>
      </c>
      <c r="E19" t="s">
        <v>1181</v>
      </c>
    </row>
    <row r="20" spans="1:5">
      <c r="A20" t="s">
        <v>923</v>
      </c>
      <c r="B20" t="s">
        <v>924</v>
      </c>
      <c r="C20">
        <v>1695204</v>
      </c>
      <c r="D20">
        <v>0</v>
      </c>
      <c r="E20" t="s">
        <v>1181</v>
      </c>
    </row>
    <row r="21" spans="1:5">
      <c r="A21" t="s">
        <v>935</v>
      </c>
      <c r="B21" t="s">
        <v>936</v>
      </c>
      <c r="C21">
        <v>1413294</v>
      </c>
      <c r="D21">
        <v>0</v>
      </c>
      <c r="E21" t="s">
        <v>1181</v>
      </c>
    </row>
    <row r="22" spans="1:5">
      <c r="A22" t="s">
        <v>937</v>
      </c>
      <c r="B22" t="s">
        <v>938</v>
      </c>
      <c r="C22">
        <v>405467</v>
      </c>
      <c r="D22">
        <v>0</v>
      </c>
      <c r="E22" t="s">
        <v>1181</v>
      </c>
    </row>
    <row r="23" spans="1:5">
      <c r="A23" t="s">
        <v>925</v>
      </c>
      <c r="B23" t="s">
        <v>926</v>
      </c>
      <c r="C23">
        <v>869007.49</v>
      </c>
      <c r="D23">
        <v>0</v>
      </c>
      <c r="E23" t="s">
        <v>1180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90"/>
  <sheetViews>
    <sheetView topLeftCell="A152" zoomScale="85" zoomScaleNormal="85" workbookViewId="0">
      <selection activeCell="B161" sqref="B161"/>
    </sheetView>
  </sheetViews>
  <sheetFormatPr defaultColWidth="9" defaultRowHeight="13.2"/>
  <cols>
    <col min="1" max="1" width="13" style="1201" bestFit="1" customWidth="1"/>
    <col min="2" max="2" width="68" style="1201" customWidth="1"/>
    <col min="3" max="4" width="17.19921875" style="1201" bestFit="1" customWidth="1"/>
    <col min="5" max="5" width="11.69921875" style="1201" bestFit="1" customWidth="1"/>
    <col min="6" max="6" width="13.69921875" style="1201" bestFit="1" customWidth="1"/>
    <col min="7" max="8" width="13.69921875" style="1201" customWidth="1"/>
    <col min="9" max="9" width="9.19921875" style="1201" customWidth="1"/>
    <col min="10" max="10" width="6.19921875" style="1201" customWidth="1"/>
    <col min="11" max="11" width="12.69921875" style="1201" bestFit="1" customWidth="1"/>
    <col min="12" max="12" width="81.69921875" style="1201" customWidth="1"/>
    <col min="13" max="13" width="16" style="1962" customWidth="1"/>
    <col min="14" max="14" width="14.19921875" style="1962" bestFit="1" customWidth="1"/>
    <col min="15" max="15" width="10.59765625" style="1201" bestFit="1" customWidth="1"/>
    <col min="16" max="16" width="9.69921875" style="1201" bestFit="1" customWidth="1"/>
    <col min="17" max="16384" width="9" style="1201"/>
  </cols>
  <sheetData>
    <row r="1" spans="1:17">
      <c r="A1" s="1200" t="s">
        <v>727</v>
      </c>
      <c r="B1" s="1200"/>
    </row>
    <row r="2" spans="1:17">
      <c r="A2" s="1200"/>
      <c r="B2" s="1200"/>
      <c r="C2" s="1200"/>
      <c r="D2" s="1200"/>
    </row>
    <row r="3" spans="1:17" ht="13.8" thickBot="1">
      <c r="A3" s="1200"/>
      <c r="B3" s="1200"/>
      <c r="C3" s="1200"/>
      <c r="D3" s="1200"/>
    </row>
    <row r="4" spans="1:17" ht="13.8" thickBot="1">
      <c r="A4" s="1200"/>
      <c r="B4" s="1202" t="s">
        <v>50</v>
      </c>
      <c r="C4" s="1203" t="s">
        <v>109</v>
      </c>
      <c r="D4" s="1204" t="s">
        <v>108</v>
      </c>
    </row>
    <row r="5" spans="1:17">
      <c r="A5" s="1200" t="s">
        <v>728</v>
      </c>
      <c r="B5" s="1200" t="s">
        <v>729</v>
      </c>
      <c r="O5" s="1201" t="s">
        <v>2625</v>
      </c>
    </row>
    <row r="6" spans="1:17">
      <c r="A6" s="1205" t="s">
        <v>907</v>
      </c>
      <c r="B6" s="1200" t="s">
        <v>908</v>
      </c>
      <c r="C6" s="1200">
        <f t="shared" ref="C6:C37" si="0">VLOOKUP(A6,$K$7:$P$166,5,0)</f>
        <v>41019</v>
      </c>
      <c r="D6" s="1200">
        <f t="shared" ref="D6:D37" si="1">VLOOKUP(A6,$K$7:$P$166,6,0)</f>
        <v>0</v>
      </c>
      <c r="E6" s="1201" t="s">
        <v>2484</v>
      </c>
      <c r="F6" s="1201" t="s">
        <v>44</v>
      </c>
      <c r="G6" s="1210">
        <f>SUM(C6:C29)</f>
        <v>686114</v>
      </c>
      <c r="H6" s="1211">
        <f>ROUND(G6,0)</f>
        <v>686114</v>
      </c>
      <c r="K6" s="1201" t="s">
        <v>728</v>
      </c>
      <c r="L6" s="1201" t="s">
        <v>729</v>
      </c>
      <c r="M6" s="1962" t="s">
        <v>109</v>
      </c>
      <c r="N6" s="1962" t="s">
        <v>108</v>
      </c>
      <c r="O6" s="1962" t="s">
        <v>109</v>
      </c>
      <c r="P6" s="1962" t="s">
        <v>108</v>
      </c>
    </row>
    <row r="7" spans="1:17" ht="15.6">
      <c r="A7" s="1205" t="s">
        <v>1113</v>
      </c>
      <c r="B7" s="1200" t="s">
        <v>1130</v>
      </c>
      <c r="C7" s="1200">
        <f t="shared" si="0"/>
        <v>27</v>
      </c>
      <c r="D7" s="1200">
        <f t="shared" si="1"/>
        <v>0</v>
      </c>
      <c r="E7" s="1201" t="s">
        <v>2484</v>
      </c>
      <c r="F7" s="1201" t="s">
        <v>1180</v>
      </c>
      <c r="G7" s="1210">
        <f>C6+C7+C8+C10+C11+C13+C17+C23+C24+C25+C27+C28+C26</f>
        <v>666859</v>
      </c>
      <c r="H7" s="1211">
        <f t="shared" ref="H7:H8" si="2">ROUND(G7,0)</f>
        <v>666859</v>
      </c>
      <c r="K7" s="1028" t="s">
        <v>907</v>
      </c>
      <c r="L7" s="383" t="s">
        <v>908</v>
      </c>
      <c r="M7" s="905">
        <v>41018616.57</v>
      </c>
      <c r="N7" s="905">
        <v>0</v>
      </c>
      <c r="O7" s="1963">
        <f>ROUND(M7/1000,0)</f>
        <v>41019</v>
      </c>
      <c r="P7" s="1963">
        <f>ROUND(N7/1000,0)</f>
        <v>0</v>
      </c>
      <c r="Q7" s="1210">
        <f>C6-O7</f>
        <v>0</v>
      </c>
    </row>
    <row r="8" spans="1:17" ht="15.6">
      <c r="A8" s="1205" t="s">
        <v>909</v>
      </c>
      <c r="B8" s="1200" t="s">
        <v>910</v>
      </c>
      <c r="C8" s="1200">
        <f t="shared" si="0"/>
        <v>2495</v>
      </c>
      <c r="D8" s="1200">
        <f t="shared" si="1"/>
        <v>0</v>
      </c>
      <c r="E8" s="1201" t="s">
        <v>2484</v>
      </c>
      <c r="F8" s="1201" t="s">
        <v>2485</v>
      </c>
      <c r="G8" s="1210">
        <f>G6-G7</f>
        <v>19255</v>
      </c>
      <c r="H8" s="1211">
        <f t="shared" si="2"/>
        <v>19255</v>
      </c>
      <c r="K8" s="1028" t="s">
        <v>1113</v>
      </c>
      <c r="L8" s="383" t="s">
        <v>1130</v>
      </c>
      <c r="M8" s="905">
        <v>26535.3</v>
      </c>
      <c r="N8" s="905">
        <v>0</v>
      </c>
      <c r="O8" s="1963">
        <f t="shared" ref="O8:O71" si="3">ROUND(M8/1000,0)</f>
        <v>27</v>
      </c>
      <c r="P8" s="1963">
        <f t="shared" ref="P8:P71" si="4">ROUND(N8/1000,0)</f>
        <v>0</v>
      </c>
      <c r="Q8" s="1210">
        <f t="shared" ref="Q8:Q34" si="5">C7-O8</f>
        <v>0</v>
      </c>
    </row>
    <row r="9" spans="1:17" ht="15.6">
      <c r="A9" s="1028" t="s">
        <v>2923</v>
      </c>
      <c r="B9" s="383" t="s">
        <v>2924</v>
      </c>
      <c r="C9" s="1200">
        <f t="shared" si="0"/>
        <v>3438</v>
      </c>
      <c r="D9" s="1200">
        <f t="shared" si="1"/>
        <v>0</v>
      </c>
      <c r="E9" s="1201" t="s">
        <v>2485</v>
      </c>
      <c r="K9" s="1028" t="s">
        <v>909</v>
      </c>
      <c r="L9" s="383" t="s">
        <v>910</v>
      </c>
      <c r="M9" s="905">
        <v>2495292.37</v>
      </c>
      <c r="N9" s="905">
        <v>0</v>
      </c>
      <c r="O9" s="1963">
        <f t="shared" si="3"/>
        <v>2495</v>
      </c>
      <c r="P9" s="1963">
        <f t="shared" si="4"/>
        <v>0</v>
      </c>
      <c r="Q9" s="1210">
        <f t="shared" si="5"/>
        <v>0</v>
      </c>
    </row>
    <row r="10" spans="1:17" ht="15.6">
      <c r="A10" s="1205" t="s">
        <v>911</v>
      </c>
      <c r="B10" s="1212" t="s">
        <v>912</v>
      </c>
      <c r="C10" s="1982">
        <f t="shared" si="0"/>
        <v>2104</v>
      </c>
      <c r="D10" s="1200">
        <f t="shared" si="1"/>
        <v>0</v>
      </c>
      <c r="E10" s="1201" t="s">
        <v>2484</v>
      </c>
      <c r="K10" s="1028" t="s">
        <v>2923</v>
      </c>
      <c r="L10" s="383" t="s">
        <v>2924</v>
      </c>
      <c r="M10" s="905">
        <v>3437621</v>
      </c>
      <c r="N10" s="905">
        <v>0</v>
      </c>
      <c r="O10" s="1963">
        <f t="shared" si="3"/>
        <v>3438</v>
      </c>
      <c r="P10" s="1963">
        <f t="shared" si="4"/>
        <v>0</v>
      </c>
      <c r="Q10" s="1210">
        <f t="shared" si="5"/>
        <v>0</v>
      </c>
    </row>
    <row r="11" spans="1:17" ht="15.6">
      <c r="A11" s="1205" t="s">
        <v>1114</v>
      </c>
      <c r="B11" s="1212" t="s">
        <v>1131</v>
      </c>
      <c r="C11" s="1982">
        <f t="shared" si="0"/>
        <v>621057</v>
      </c>
      <c r="D11" s="1200">
        <f t="shared" si="1"/>
        <v>0</v>
      </c>
      <c r="E11" s="1201" t="s">
        <v>2484</v>
      </c>
      <c r="F11" s="1210">
        <f>C12+C20+C21+C22</f>
        <v>9805</v>
      </c>
      <c r="K11" s="1028" t="s">
        <v>911</v>
      </c>
      <c r="L11" s="383" t="s">
        <v>912</v>
      </c>
      <c r="M11" s="905">
        <v>2104170.2200000002</v>
      </c>
      <c r="N11" s="905">
        <v>0</v>
      </c>
      <c r="O11" s="1963">
        <f t="shared" si="3"/>
        <v>2104</v>
      </c>
      <c r="P11" s="1963">
        <f t="shared" si="4"/>
        <v>0</v>
      </c>
      <c r="Q11" s="1210">
        <f t="shared" si="5"/>
        <v>0</v>
      </c>
    </row>
    <row r="12" spans="1:17" ht="15.6">
      <c r="A12" s="1205" t="s">
        <v>913</v>
      </c>
      <c r="B12" s="1212" t="s">
        <v>914</v>
      </c>
      <c r="C12" s="1982">
        <f t="shared" si="0"/>
        <v>40</v>
      </c>
      <c r="D12" s="1200">
        <f t="shared" si="1"/>
        <v>0</v>
      </c>
      <c r="E12" s="1201" t="s">
        <v>1181</v>
      </c>
      <c r="F12" s="2080">
        <f>F11/1000000</f>
        <v>9.8049999999999995E-3</v>
      </c>
      <c r="K12" s="1028" t="s">
        <v>1114</v>
      </c>
      <c r="L12" s="383" t="s">
        <v>1131</v>
      </c>
      <c r="M12" s="905">
        <v>621057381.71000004</v>
      </c>
      <c r="N12" s="905">
        <v>0</v>
      </c>
      <c r="O12" s="1963">
        <f t="shared" si="3"/>
        <v>621057</v>
      </c>
      <c r="P12" s="1963">
        <f t="shared" si="4"/>
        <v>0</v>
      </c>
      <c r="Q12" s="1210">
        <f t="shared" si="5"/>
        <v>0</v>
      </c>
    </row>
    <row r="13" spans="1:17" ht="15.6">
      <c r="A13" s="1205" t="s">
        <v>915</v>
      </c>
      <c r="B13" s="1212" t="s">
        <v>916</v>
      </c>
      <c r="C13" s="1200">
        <f t="shared" si="0"/>
        <v>19</v>
      </c>
      <c r="D13" s="1200">
        <f t="shared" si="1"/>
        <v>0</v>
      </c>
      <c r="E13" s="1201" t="s">
        <v>2484</v>
      </c>
      <c r="K13" s="1028" t="s">
        <v>913</v>
      </c>
      <c r="L13" s="383" t="s">
        <v>914</v>
      </c>
      <c r="M13" s="905">
        <v>40396</v>
      </c>
      <c r="N13" s="905">
        <v>0</v>
      </c>
      <c r="O13" s="1963">
        <f t="shared" si="3"/>
        <v>40</v>
      </c>
      <c r="P13" s="1963">
        <f t="shared" si="4"/>
        <v>0</v>
      </c>
      <c r="Q13" s="1210">
        <f t="shared" si="5"/>
        <v>0</v>
      </c>
    </row>
    <row r="14" spans="1:17" ht="15.6">
      <c r="A14" s="1205" t="s">
        <v>917</v>
      </c>
      <c r="B14" s="1212" t="s">
        <v>918</v>
      </c>
      <c r="C14" s="1200">
        <f t="shared" si="0"/>
        <v>1495</v>
      </c>
      <c r="D14" s="1200">
        <f t="shared" si="1"/>
        <v>0</v>
      </c>
      <c r="E14" s="1201" t="s">
        <v>1181</v>
      </c>
      <c r="F14" s="1210">
        <f>C10+C11+C13</f>
        <v>623180</v>
      </c>
      <c r="K14" s="1028" t="s">
        <v>915</v>
      </c>
      <c r="L14" s="383" t="s">
        <v>916</v>
      </c>
      <c r="M14" s="905">
        <v>19219.510000000002</v>
      </c>
      <c r="N14" s="905">
        <v>0</v>
      </c>
      <c r="O14" s="1963">
        <f t="shared" si="3"/>
        <v>19</v>
      </c>
      <c r="P14" s="1963">
        <f t="shared" si="4"/>
        <v>0</v>
      </c>
      <c r="Q14" s="1210">
        <f t="shared" si="5"/>
        <v>0</v>
      </c>
    </row>
    <row r="15" spans="1:17" ht="15.6">
      <c r="A15" s="1205" t="s">
        <v>919</v>
      </c>
      <c r="B15" s="1212" t="s">
        <v>920</v>
      </c>
      <c r="C15" s="1200">
        <f t="shared" si="0"/>
        <v>2250</v>
      </c>
      <c r="D15" s="1200">
        <f t="shared" si="1"/>
        <v>0</v>
      </c>
      <c r="E15" s="1201" t="s">
        <v>1181</v>
      </c>
      <c r="F15" s="2080">
        <f>F14/1000000</f>
        <v>0.62317999999999996</v>
      </c>
      <c r="K15" s="1028" t="s">
        <v>917</v>
      </c>
      <c r="L15" s="383" t="s">
        <v>918</v>
      </c>
      <c r="M15" s="905">
        <v>1495053</v>
      </c>
      <c r="N15" s="905">
        <v>0</v>
      </c>
      <c r="O15" s="1963">
        <f t="shared" si="3"/>
        <v>1495</v>
      </c>
      <c r="P15" s="1963">
        <f t="shared" si="4"/>
        <v>0</v>
      </c>
      <c r="Q15" s="1210">
        <f t="shared" si="5"/>
        <v>0</v>
      </c>
    </row>
    <row r="16" spans="1:17" ht="15.6">
      <c r="A16" s="1205" t="s">
        <v>921</v>
      </c>
      <c r="B16" s="1212" t="s">
        <v>922</v>
      </c>
      <c r="C16" s="1200">
        <f t="shared" si="0"/>
        <v>1368</v>
      </c>
      <c r="D16" s="1200">
        <f t="shared" si="1"/>
        <v>0</v>
      </c>
      <c r="E16" s="1201" t="s">
        <v>1181</v>
      </c>
      <c r="K16" s="1028" t="s">
        <v>919</v>
      </c>
      <c r="L16" s="383" t="s">
        <v>920</v>
      </c>
      <c r="M16" s="905">
        <v>2249956</v>
      </c>
      <c r="N16" s="905">
        <v>0</v>
      </c>
      <c r="O16" s="1963">
        <f t="shared" si="3"/>
        <v>2250</v>
      </c>
      <c r="P16" s="1963">
        <f t="shared" si="4"/>
        <v>0</v>
      </c>
      <c r="Q16" s="1210">
        <f t="shared" si="5"/>
        <v>0</v>
      </c>
    </row>
    <row r="17" spans="1:17" ht="15.6">
      <c r="A17" s="1205" t="s">
        <v>925</v>
      </c>
      <c r="B17" s="1212" t="s">
        <v>926</v>
      </c>
      <c r="C17" s="1200">
        <f t="shared" si="0"/>
        <v>10</v>
      </c>
      <c r="D17" s="1200">
        <f t="shared" si="1"/>
        <v>0</v>
      </c>
      <c r="E17" s="1201" t="s">
        <v>2484</v>
      </c>
      <c r="K17" s="1028" t="s">
        <v>921</v>
      </c>
      <c r="L17" s="383" t="s">
        <v>922</v>
      </c>
      <c r="M17" s="905">
        <v>1368048</v>
      </c>
      <c r="N17" s="905">
        <v>0</v>
      </c>
      <c r="O17" s="1963">
        <f t="shared" si="3"/>
        <v>1368</v>
      </c>
      <c r="P17" s="1963">
        <f t="shared" si="4"/>
        <v>0</v>
      </c>
      <c r="Q17" s="1210">
        <f t="shared" si="5"/>
        <v>0</v>
      </c>
    </row>
    <row r="18" spans="1:17" ht="15.6">
      <c r="A18" s="1205" t="s">
        <v>927</v>
      </c>
      <c r="B18" s="1212" t="s">
        <v>928</v>
      </c>
      <c r="C18" s="1200">
        <f t="shared" si="0"/>
        <v>323</v>
      </c>
      <c r="D18" s="1200">
        <f t="shared" si="1"/>
        <v>0</v>
      </c>
      <c r="E18" s="1201" t="s">
        <v>1181</v>
      </c>
      <c r="K18" s="1028" t="s">
        <v>925</v>
      </c>
      <c r="L18" s="383" t="s">
        <v>926</v>
      </c>
      <c r="M18" s="905">
        <v>10307.34</v>
      </c>
      <c r="N18" s="905">
        <v>0</v>
      </c>
      <c r="O18" s="1963">
        <f t="shared" si="3"/>
        <v>10</v>
      </c>
      <c r="P18" s="1963">
        <f t="shared" si="4"/>
        <v>0</v>
      </c>
      <c r="Q18" s="1210">
        <f t="shared" si="5"/>
        <v>0</v>
      </c>
    </row>
    <row r="19" spans="1:17" ht="15.6">
      <c r="A19" s="1205" t="s">
        <v>929</v>
      </c>
      <c r="B19" s="1212" t="s">
        <v>930</v>
      </c>
      <c r="C19" s="1200">
        <f t="shared" si="0"/>
        <v>567</v>
      </c>
      <c r="D19" s="1200">
        <f t="shared" si="1"/>
        <v>0</v>
      </c>
      <c r="E19" s="1201" t="s">
        <v>1181</v>
      </c>
      <c r="K19" s="1028" t="s">
        <v>927</v>
      </c>
      <c r="L19" s="383" t="s">
        <v>3216</v>
      </c>
      <c r="M19" s="905">
        <v>322594</v>
      </c>
      <c r="N19" s="905">
        <v>0</v>
      </c>
      <c r="O19" s="1963">
        <f t="shared" si="3"/>
        <v>323</v>
      </c>
      <c r="P19" s="1963">
        <f t="shared" si="4"/>
        <v>0</v>
      </c>
      <c r="Q19" s="1210">
        <f t="shared" si="5"/>
        <v>0</v>
      </c>
    </row>
    <row r="20" spans="1:17" ht="15.6">
      <c r="A20" s="1205" t="s">
        <v>931</v>
      </c>
      <c r="B20" s="1212" t="s">
        <v>932</v>
      </c>
      <c r="C20" s="1982">
        <f t="shared" si="0"/>
        <v>133</v>
      </c>
      <c r="D20" s="1200">
        <f t="shared" si="1"/>
        <v>0</v>
      </c>
      <c r="E20" s="1201" t="s">
        <v>1181</v>
      </c>
      <c r="F20" s="1210">
        <f>C12+C20+C21+C22</f>
        <v>9805</v>
      </c>
      <c r="G20" s="1210">
        <f>C10+C11</f>
        <v>623161</v>
      </c>
      <c r="H20" s="1210">
        <f>F20+G20</f>
        <v>632966</v>
      </c>
      <c r="K20" s="1028" t="s">
        <v>929</v>
      </c>
      <c r="L20" s="383" t="s">
        <v>3217</v>
      </c>
      <c r="M20" s="905">
        <v>566948</v>
      </c>
      <c r="N20" s="905">
        <v>0</v>
      </c>
      <c r="O20" s="1963">
        <f t="shared" si="3"/>
        <v>567</v>
      </c>
      <c r="P20" s="1963">
        <f t="shared" si="4"/>
        <v>0</v>
      </c>
      <c r="Q20" s="1210">
        <f t="shared" si="5"/>
        <v>0</v>
      </c>
    </row>
    <row r="21" spans="1:17" ht="15.6">
      <c r="A21" s="1205" t="s">
        <v>933</v>
      </c>
      <c r="B21" s="1212" t="s">
        <v>934</v>
      </c>
      <c r="C21" s="1982">
        <f t="shared" si="0"/>
        <v>139</v>
      </c>
      <c r="D21" s="1200">
        <f t="shared" si="1"/>
        <v>0</v>
      </c>
      <c r="E21" s="1201" t="s">
        <v>1181</v>
      </c>
      <c r="F21" s="2080"/>
      <c r="G21" s="2080"/>
      <c r="K21" s="1028" t="s">
        <v>931</v>
      </c>
      <c r="L21" s="383" t="s">
        <v>932</v>
      </c>
      <c r="M21" s="905">
        <v>132770</v>
      </c>
      <c r="N21" s="905">
        <v>0</v>
      </c>
      <c r="O21" s="1963">
        <f t="shared" si="3"/>
        <v>133</v>
      </c>
      <c r="P21" s="1963">
        <f t="shared" si="4"/>
        <v>0</v>
      </c>
      <c r="Q21" s="1210">
        <f t="shared" si="5"/>
        <v>0</v>
      </c>
    </row>
    <row r="22" spans="1:17" ht="15.6">
      <c r="A22" s="1205" t="s">
        <v>1115</v>
      </c>
      <c r="B22" s="1212" t="s">
        <v>1132</v>
      </c>
      <c r="C22" s="1982">
        <f t="shared" si="0"/>
        <v>9493</v>
      </c>
      <c r="D22" s="1200">
        <f t="shared" si="1"/>
        <v>0</v>
      </c>
      <c r="E22" s="1201" t="s">
        <v>1181</v>
      </c>
      <c r="K22" s="1028" t="s">
        <v>933</v>
      </c>
      <c r="L22" s="383" t="s">
        <v>934</v>
      </c>
      <c r="M22" s="905">
        <v>138632</v>
      </c>
      <c r="N22" s="905">
        <v>0</v>
      </c>
      <c r="O22" s="1963">
        <f t="shared" si="3"/>
        <v>139</v>
      </c>
      <c r="P22" s="1963">
        <f t="shared" si="4"/>
        <v>0</v>
      </c>
      <c r="Q22" s="1210">
        <f t="shared" si="5"/>
        <v>0</v>
      </c>
    </row>
    <row r="23" spans="1:17" ht="15.6">
      <c r="A23" s="1205" t="s">
        <v>1098</v>
      </c>
      <c r="B23" s="1212" t="s">
        <v>1097</v>
      </c>
      <c r="C23" s="1200">
        <f t="shared" si="0"/>
        <v>30</v>
      </c>
      <c r="D23" s="1200">
        <f t="shared" si="1"/>
        <v>0</v>
      </c>
      <c r="E23" s="1201" t="s">
        <v>2484</v>
      </c>
      <c r="K23" s="1028" t="s">
        <v>1115</v>
      </c>
      <c r="L23" s="383" t="s">
        <v>1132</v>
      </c>
      <c r="M23" s="905">
        <v>9493351.9499999993</v>
      </c>
      <c r="N23" s="905">
        <v>0</v>
      </c>
      <c r="O23" s="1963">
        <f t="shared" si="3"/>
        <v>9493</v>
      </c>
      <c r="P23" s="1963">
        <f t="shared" si="4"/>
        <v>0</v>
      </c>
      <c r="Q23" s="1210">
        <f t="shared" si="5"/>
        <v>0</v>
      </c>
    </row>
    <row r="24" spans="1:17" ht="15.6">
      <c r="A24" s="1205" t="s">
        <v>1116</v>
      </c>
      <c r="B24" s="1212" t="s">
        <v>1133</v>
      </c>
      <c r="C24" s="1200">
        <f t="shared" si="0"/>
        <v>11</v>
      </c>
      <c r="D24" s="1200">
        <f t="shared" si="1"/>
        <v>0</v>
      </c>
      <c r="E24" s="1201" t="s">
        <v>2484</v>
      </c>
      <c r="K24" s="1028" t="s">
        <v>1098</v>
      </c>
      <c r="L24" s="383" t="s">
        <v>1097</v>
      </c>
      <c r="M24" s="905">
        <v>30147.100000000002</v>
      </c>
      <c r="N24" s="905">
        <v>0</v>
      </c>
      <c r="O24" s="1963">
        <f t="shared" si="3"/>
        <v>30</v>
      </c>
      <c r="P24" s="1963">
        <f t="shared" si="4"/>
        <v>0</v>
      </c>
      <c r="Q24" s="1210">
        <f t="shared" si="5"/>
        <v>0</v>
      </c>
    </row>
    <row r="25" spans="1:17" ht="15.6">
      <c r="A25" s="1205" t="s">
        <v>1117</v>
      </c>
      <c r="B25" s="1200" t="s">
        <v>1134</v>
      </c>
      <c r="C25" s="1200">
        <f t="shared" si="0"/>
        <v>10</v>
      </c>
      <c r="D25" s="1200">
        <f t="shared" si="1"/>
        <v>0</v>
      </c>
      <c r="E25" s="1201" t="s">
        <v>2484</v>
      </c>
      <c r="K25" s="1028" t="s">
        <v>1116</v>
      </c>
      <c r="L25" s="383" t="s">
        <v>1133</v>
      </c>
      <c r="M25" s="905">
        <v>11032.81</v>
      </c>
      <c r="N25" s="905">
        <v>0</v>
      </c>
      <c r="O25" s="1963">
        <f t="shared" si="3"/>
        <v>11</v>
      </c>
      <c r="P25" s="1963">
        <f t="shared" si="4"/>
        <v>0</v>
      </c>
      <c r="Q25" s="1210">
        <f t="shared" si="5"/>
        <v>0</v>
      </c>
    </row>
    <row r="26" spans="1:17" ht="15.6">
      <c r="A26" s="1028" t="s">
        <v>2925</v>
      </c>
      <c r="B26" s="383" t="s">
        <v>2926</v>
      </c>
      <c r="C26" s="1200">
        <f t="shared" si="0"/>
        <v>11</v>
      </c>
      <c r="D26" s="1200">
        <f t="shared" si="1"/>
        <v>0</v>
      </c>
      <c r="E26" s="1201" t="s">
        <v>2484</v>
      </c>
      <c r="K26" s="1028" t="s">
        <v>1117</v>
      </c>
      <c r="L26" s="383" t="s">
        <v>1134</v>
      </c>
      <c r="M26" s="905">
        <v>10476.870000000001</v>
      </c>
      <c r="N26" s="905">
        <v>0</v>
      </c>
      <c r="O26" s="1963">
        <f t="shared" si="3"/>
        <v>10</v>
      </c>
      <c r="P26" s="1963">
        <f t="shared" si="4"/>
        <v>0</v>
      </c>
      <c r="Q26" s="1210">
        <f t="shared" si="5"/>
        <v>0</v>
      </c>
    </row>
    <row r="27" spans="1:17" ht="15.6">
      <c r="A27" s="1205" t="s">
        <v>1147</v>
      </c>
      <c r="B27" s="1200" t="s">
        <v>1148</v>
      </c>
      <c r="C27" s="1200">
        <f t="shared" si="0"/>
        <v>52</v>
      </c>
      <c r="D27" s="1200">
        <f t="shared" si="1"/>
        <v>0</v>
      </c>
      <c r="E27" s="1201" t="s">
        <v>2484</v>
      </c>
      <c r="K27" s="1028" t="s">
        <v>2925</v>
      </c>
      <c r="L27" s="383" t="s">
        <v>2926</v>
      </c>
      <c r="M27" s="905">
        <v>10872</v>
      </c>
      <c r="N27" s="905">
        <v>0</v>
      </c>
      <c r="O27" s="1963">
        <f t="shared" si="3"/>
        <v>11</v>
      </c>
      <c r="P27" s="1963">
        <f t="shared" si="4"/>
        <v>0</v>
      </c>
      <c r="Q27" s="1210">
        <f t="shared" si="5"/>
        <v>0</v>
      </c>
    </row>
    <row r="28" spans="1:17" ht="15.6">
      <c r="A28" s="1205" t="s">
        <v>2459</v>
      </c>
      <c r="B28" s="1200" t="s">
        <v>2460</v>
      </c>
      <c r="C28" s="1994">
        <f t="shared" si="0"/>
        <v>14</v>
      </c>
      <c r="D28" s="1200">
        <f t="shared" si="1"/>
        <v>0</v>
      </c>
      <c r="E28" s="1201" t="s">
        <v>2484</v>
      </c>
      <c r="K28" s="1028" t="s">
        <v>1147</v>
      </c>
      <c r="L28" s="383" t="s">
        <v>1148</v>
      </c>
      <c r="M28" s="905">
        <v>52280</v>
      </c>
      <c r="N28" s="905">
        <v>0</v>
      </c>
      <c r="O28" s="1963">
        <f t="shared" si="3"/>
        <v>52</v>
      </c>
      <c r="P28" s="1963">
        <f t="shared" si="4"/>
        <v>0</v>
      </c>
      <c r="Q28" s="1210">
        <f t="shared" si="5"/>
        <v>0</v>
      </c>
    </row>
    <row r="29" spans="1:17" ht="15.6">
      <c r="A29" s="1028" t="s">
        <v>2927</v>
      </c>
      <c r="B29" s="383" t="s">
        <v>2928</v>
      </c>
      <c r="C29" s="1994">
        <f t="shared" si="0"/>
        <v>9</v>
      </c>
      <c r="D29" s="1200">
        <f t="shared" si="1"/>
        <v>0</v>
      </c>
      <c r="E29" s="1201" t="s">
        <v>2485</v>
      </c>
      <c r="F29" s="1201" t="str">
        <f>BS!A11</f>
        <v>Balances with banks</v>
      </c>
      <c r="G29" s="1210">
        <f>SUM(C6:C29)-1</f>
        <v>686113</v>
      </c>
      <c r="K29" s="1028" t="s">
        <v>2459</v>
      </c>
      <c r="L29" s="383" t="s">
        <v>2460</v>
      </c>
      <c r="M29" s="905">
        <v>14361.06</v>
      </c>
      <c r="N29" s="905">
        <v>0</v>
      </c>
      <c r="O29" s="1963">
        <f t="shared" si="3"/>
        <v>14</v>
      </c>
      <c r="P29" s="1963">
        <f t="shared" si="4"/>
        <v>0</v>
      </c>
      <c r="Q29" s="1210">
        <f t="shared" si="5"/>
        <v>0</v>
      </c>
    </row>
    <row r="30" spans="1:17" ht="15.6">
      <c r="A30" s="1205" t="s">
        <v>835</v>
      </c>
      <c r="B30" s="1200" t="s">
        <v>836</v>
      </c>
      <c r="C30" s="1200">
        <f t="shared" si="0"/>
        <v>14167102</v>
      </c>
      <c r="D30" s="1200">
        <f t="shared" si="1"/>
        <v>0</v>
      </c>
      <c r="F30" s="1201" t="str">
        <f>BS!A12</f>
        <v>Investments</v>
      </c>
      <c r="G30" s="1210">
        <f>C30-D31</f>
        <v>11260226</v>
      </c>
      <c r="H30" s="1210"/>
      <c r="K30" s="1028" t="s">
        <v>2927</v>
      </c>
      <c r="L30" s="383" t="s">
        <v>3218</v>
      </c>
      <c r="M30" s="905">
        <v>8510</v>
      </c>
      <c r="N30" s="905">
        <v>0</v>
      </c>
      <c r="O30" s="1963">
        <f t="shared" si="3"/>
        <v>9</v>
      </c>
      <c r="P30" s="1963">
        <f t="shared" si="4"/>
        <v>0</v>
      </c>
      <c r="Q30" s="1210">
        <f t="shared" si="5"/>
        <v>0</v>
      </c>
    </row>
    <row r="31" spans="1:17" ht="15.6">
      <c r="A31" s="1205" t="s">
        <v>837</v>
      </c>
      <c r="B31" s="1200" t="s">
        <v>838</v>
      </c>
      <c r="C31" s="1200">
        <f t="shared" si="0"/>
        <v>0</v>
      </c>
      <c r="D31" s="1200">
        <f t="shared" si="1"/>
        <v>2906876</v>
      </c>
      <c r="F31" s="1201" t="str">
        <f>BS!A13</f>
        <v>Receivable against sale of investments</v>
      </c>
      <c r="G31" s="1210">
        <f>C37+C35</f>
        <v>1111943</v>
      </c>
      <c r="K31" s="1028" t="s">
        <v>835</v>
      </c>
      <c r="L31" s="383" t="s">
        <v>836</v>
      </c>
      <c r="M31" s="905">
        <v>14167101922.030001</v>
      </c>
      <c r="N31" s="905">
        <v>0</v>
      </c>
      <c r="O31" s="1963">
        <f t="shared" si="3"/>
        <v>14167102</v>
      </c>
      <c r="P31" s="1963">
        <f t="shared" si="4"/>
        <v>0</v>
      </c>
      <c r="Q31" s="1210">
        <f t="shared" si="5"/>
        <v>0</v>
      </c>
    </row>
    <row r="32" spans="1:17" ht="15.6">
      <c r="A32" s="1205" t="s">
        <v>849</v>
      </c>
      <c r="B32" s="1200" t="s">
        <v>850</v>
      </c>
      <c r="C32" s="1200" t="e">
        <f t="shared" si="0"/>
        <v>#N/A</v>
      </c>
      <c r="D32" s="1200" t="e">
        <f t="shared" si="1"/>
        <v>#N/A</v>
      </c>
      <c r="F32" s="1201" t="str">
        <f>BS!A14</f>
        <v>Dividend and profit receivables</v>
      </c>
      <c r="G32" s="1210">
        <f>SUM(C38:C47)+1</f>
        <v>103700</v>
      </c>
      <c r="K32" s="1028" t="s">
        <v>837</v>
      </c>
      <c r="L32" s="383" t="s">
        <v>838</v>
      </c>
      <c r="M32" s="905">
        <v>0</v>
      </c>
      <c r="N32" s="905">
        <v>2906876409.2199998</v>
      </c>
      <c r="O32" s="1963">
        <f t="shared" si="3"/>
        <v>0</v>
      </c>
      <c r="P32" s="1963">
        <f t="shared" si="4"/>
        <v>2906876</v>
      </c>
      <c r="Q32" s="1210">
        <f t="shared" si="5"/>
        <v>0</v>
      </c>
    </row>
    <row r="33" spans="1:17" ht="15.6">
      <c r="A33" s="1205" t="s">
        <v>851</v>
      </c>
      <c r="B33" s="1200" t="s">
        <v>852</v>
      </c>
      <c r="C33" s="1200">
        <f t="shared" si="0"/>
        <v>0</v>
      </c>
      <c r="D33" s="1200">
        <f t="shared" si="1"/>
        <v>0</v>
      </c>
      <c r="F33" s="1201" t="str">
        <f>BS!A15</f>
        <v>Advances, deposits and other receivables</v>
      </c>
      <c r="G33" s="1210">
        <f>SUM(C48:C75)-SUM(D48:D75)</f>
        <v>17313</v>
      </c>
      <c r="K33" s="1028" t="s">
        <v>851</v>
      </c>
      <c r="L33" s="383" t="s">
        <v>852</v>
      </c>
      <c r="M33" s="905">
        <v>12</v>
      </c>
      <c r="N33" s="905">
        <v>0</v>
      </c>
      <c r="O33" s="1963">
        <f t="shared" si="3"/>
        <v>0</v>
      </c>
      <c r="P33" s="1963">
        <f t="shared" si="4"/>
        <v>0</v>
      </c>
      <c r="Q33" s="1210" t="e">
        <f t="shared" si="5"/>
        <v>#N/A</v>
      </c>
    </row>
    <row r="34" spans="1:17" ht="15.6">
      <c r="A34" s="1205" t="s">
        <v>853</v>
      </c>
      <c r="B34" s="1200" t="s">
        <v>854</v>
      </c>
      <c r="C34" s="1200">
        <f t="shared" si="0"/>
        <v>0</v>
      </c>
      <c r="D34" s="1200">
        <f t="shared" si="1"/>
        <v>0</v>
      </c>
      <c r="F34" s="1201" t="str">
        <f>BS!A16</f>
        <v>Total assets</v>
      </c>
      <c r="G34" s="1210">
        <f>SUM(G29:G33)</f>
        <v>13179295</v>
      </c>
      <c r="K34" s="1028" t="s">
        <v>853</v>
      </c>
      <c r="L34" s="383" t="s">
        <v>854</v>
      </c>
      <c r="M34" s="905">
        <v>3.64</v>
      </c>
      <c r="N34" s="905">
        <v>0</v>
      </c>
      <c r="O34" s="1963">
        <f t="shared" si="3"/>
        <v>0</v>
      </c>
      <c r="P34" s="1963">
        <f t="shared" si="4"/>
        <v>0</v>
      </c>
      <c r="Q34" s="1210">
        <f t="shared" si="5"/>
        <v>0</v>
      </c>
    </row>
    <row r="35" spans="1:17" ht="15.6">
      <c r="A35" s="1205" t="s">
        <v>3238</v>
      </c>
      <c r="B35" s="1200" t="s">
        <v>3239</v>
      </c>
      <c r="C35" s="1200">
        <f t="shared" si="0"/>
        <v>984412</v>
      </c>
      <c r="D35" s="1200">
        <f t="shared" si="1"/>
        <v>0</v>
      </c>
      <c r="E35" s="1210">
        <f>C30-D31</f>
        <v>11260226</v>
      </c>
      <c r="F35" s="1201">
        <f>BS!A17</f>
        <v>0</v>
      </c>
      <c r="K35" s="1028" t="s">
        <v>730</v>
      </c>
      <c r="L35" s="383" t="s">
        <v>731</v>
      </c>
      <c r="M35" s="905">
        <v>0</v>
      </c>
      <c r="N35" s="905">
        <v>26.07</v>
      </c>
      <c r="O35" s="1963">
        <f t="shared" si="3"/>
        <v>0</v>
      </c>
      <c r="P35" s="1963">
        <f t="shared" si="4"/>
        <v>0</v>
      </c>
    </row>
    <row r="36" spans="1:17" ht="15.6">
      <c r="A36" s="1205" t="s">
        <v>730</v>
      </c>
      <c r="B36" s="1200" t="s">
        <v>731</v>
      </c>
      <c r="C36" s="1200">
        <f t="shared" si="0"/>
        <v>0</v>
      </c>
      <c r="D36" s="1200">
        <f t="shared" si="1"/>
        <v>0</v>
      </c>
      <c r="K36" s="1028" t="s">
        <v>732</v>
      </c>
      <c r="L36" s="383" t="s">
        <v>733</v>
      </c>
      <c r="M36" s="905">
        <v>127530985.36</v>
      </c>
      <c r="N36" s="905">
        <v>0</v>
      </c>
      <c r="O36" s="1963">
        <f t="shared" si="3"/>
        <v>127531</v>
      </c>
      <c r="P36" s="1963">
        <f t="shared" si="4"/>
        <v>0</v>
      </c>
    </row>
    <row r="37" spans="1:17" ht="15.6">
      <c r="A37" s="1205" t="s">
        <v>732</v>
      </c>
      <c r="B37" s="1200" t="s">
        <v>733</v>
      </c>
      <c r="C37" s="1200">
        <f t="shared" si="0"/>
        <v>127531</v>
      </c>
      <c r="D37" s="1200">
        <f t="shared" si="1"/>
        <v>0</v>
      </c>
      <c r="K37" s="1028" t="s">
        <v>3238</v>
      </c>
      <c r="L37" s="383" t="s">
        <v>3239</v>
      </c>
      <c r="M37" s="905">
        <v>984412000</v>
      </c>
      <c r="N37" s="905">
        <v>0</v>
      </c>
      <c r="O37" s="1963">
        <f t="shared" si="3"/>
        <v>984412</v>
      </c>
      <c r="P37" s="1963">
        <f t="shared" si="4"/>
        <v>0</v>
      </c>
    </row>
    <row r="38" spans="1:17" ht="15.6">
      <c r="A38" s="1205" t="s">
        <v>878</v>
      </c>
      <c r="B38" s="1200" t="s">
        <v>1155</v>
      </c>
      <c r="C38" s="1200">
        <f t="shared" ref="C38:C75" si="6">VLOOKUP(A38,$K$7:$P$166,5,0)</f>
        <v>389</v>
      </c>
      <c r="D38" s="1200">
        <f t="shared" ref="D38:D75" si="7">VLOOKUP(A38,$K$7:$P$166,6,0)</f>
        <v>0</v>
      </c>
      <c r="K38" s="1028" t="s">
        <v>878</v>
      </c>
      <c r="L38" s="383" t="s">
        <v>1155</v>
      </c>
      <c r="M38" s="905">
        <v>388528.18</v>
      </c>
      <c r="N38" s="905">
        <v>0</v>
      </c>
      <c r="O38" s="1963">
        <f t="shared" si="3"/>
        <v>389</v>
      </c>
      <c r="P38" s="1963">
        <f t="shared" si="4"/>
        <v>0</v>
      </c>
    </row>
    <row r="39" spans="1:17" ht="15.6">
      <c r="A39" s="1205" t="s">
        <v>1118</v>
      </c>
      <c r="B39" s="1200" t="s">
        <v>879</v>
      </c>
      <c r="C39" s="1200">
        <f t="shared" si="6"/>
        <v>0</v>
      </c>
      <c r="D39" s="1200">
        <f t="shared" si="7"/>
        <v>0</v>
      </c>
      <c r="E39" s="1201">
        <f>C37/1000</f>
        <v>127.53100000000001</v>
      </c>
      <c r="K39" s="1028" t="s">
        <v>1118</v>
      </c>
      <c r="L39" s="383" t="s">
        <v>3219</v>
      </c>
      <c r="M39" s="905">
        <v>2.91</v>
      </c>
      <c r="N39" s="905">
        <v>0</v>
      </c>
      <c r="O39" s="1963">
        <f t="shared" si="3"/>
        <v>0</v>
      </c>
      <c r="P39" s="1963">
        <f t="shared" si="4"/>
        <v>0</v>
      </c>
    </row>
    <row r="40" spans="1:17" ht="15.6">
      <c r="A40" s="1205" t="s">
        <v>880</v>
      </c>
      <c r="B40" s="1200" t="s">
        <v>881</v>
      </c>
      <c r="C40" s="1200">
        <f t="shared" si="6"/>
        <v>25</v>
      </c>
      <c r="D40" s="1200">
        <f t="shared" si="7"/>
        <v>0</v>
      </c>
      <c r="K40" s="1028" t="s">
        <v>880</v>
      </c>
      <c r="L40" s="383" t="s">
        <v>881</v>
      </c>
      <c r="M40" s="905">
        <v>25038.86</v>
      </c>
      <c r="N40" s="905">
        <v>0</v>
      </c>
      <c r="O40" s="1963">
        <f t="shared" si="3"/>
        <v>25</v>
      </c>
      <c r="P40" s="1963">
        <f t="shared" si="4"/>
        <v>0</v>
      </c>
    </row>
    <row r="41" spans="1:17" ht="15.6">
      <c r="A41" s="1205" t="s">
        <v>882</v>
      </c>
      <c r="B41" s="1200" t="s">
        <v>883</v>
      </c>
      <c r="C41" s="1200">
        <f t="shared" si="6"/>
        <v>34</v>
      </c>
      <c r="D41" s="1200">
        <f t="shared" si="7"/>
        <v>0</v>
      </c>
      <c r="G41" s="1210">
        <f>C41+C42</f>
        <v>1714</v>
      </c>
      <c r="K41" s="1028" t="s">
        <v>882</v>
      </c>
      <c r="L41" s="383" t="s">
        <v>883</v>
      </c>
      <c r="M41" s="905">
        <v>33993.340000000004</v>
      </c>
      <c r="N41" s="905">
        <v>0</v>
      </c>
      <c r="O41" s="1963">
        <f t="shared" si="3"/>
        <v>34</v>
      </c>
      <c r="P41" s="1963">
        <f t="shared" si="4"/>
        <v>0</v>
      </c>
    </row>
    <row r="42" spans="1:17" ht="15.6">
      <c r="A42" s="1205" t="s">
        <v>1149</v>
      </c>
      <c r="B42" s="1200" t="s">
        <v>1150</v>
      </c>
      <c r="C42" s="1200">
        <f t="shared" si="6"/>
        <v>1680</v>
      </c>
      <c r="D42" s="1200">
        <f t="shared" si="7"/>
        <v>0</v>
      </c>
      <c r="G42" s="2080">
        <f>G41/1000</f>
        <v>1.714</v>
      </c>
      <c r="K42" s="1028" t="s">
        <v>1149</v>
      </c>
      <c r="L42" s="383" t="s">
        <v>1150</v>
      </c>
      <c r="M42" s="905">
        <v>1680217.6099999999</v>
      </c>
      <c r="N42" s="905">
        <v>0</v>
      </c>
      <c r="O42" s="1963">
        <f t="shared" si="3"/>
        <v>1680</v>
      </c>
      <c r="P42" s="1963">
        <f t="shared" si="4"/>
        <v>0</v>
      </c>
    </row>
    <row r="43" spans="1:17" ht="15.6">
      <c r="A43" s="1205" t="s">
        <v>884</v>
      </c>
      <c r="B43" s="1200" t="s">
        <v>885</v>
      </c>
      <c r="C43" s="1200">
        <f t="shared" si="6"/>
        <v>0</v>
      </c>
      <c r="D43" s="1200">
        <f t="shared" si="7"/>
        <v>0</v>
      </c>
      <c r="K43" s="1028" t="s">
        <v>884</v>
      </c>
      <c r="L43" s="383" t="s">
        <v>885</v>
      </c>
      <c r="M43" s="905">
        <v>6.8500000000000005</v>
      </c>
      <c r="N43" s="905">
        <v>0</v>
      </c>
      <c r="O43" s="1963">
        <f t="shared" si="3"/>
        <v>0</v>
      </c>
      <c r="P43" s="1963">
        <f t="shared" si="4"/>
        <v>0</v>
      </c>
    </row>
    <row r="44" spans="1:17" ht="15.6">
      <c r="A44" s="1205" t="s">
        <v>1119</v>
      </c>
      <c r="B44" s="1200" t="s">
        <v>1135</v>
      </c>
      <c r="C44" s="1200">
        <f t="shared" si="6"/>
        <v>0</v>
      </c>
      <c r="D44" s="1200">
        <f t="shared" si="7"/>
        <v>0</v>
      </c>
      <c r="K44" s="1028" t="s">
        <v>1119</v>
      </c>
      <c r="L44" s="383" t="s">
        <v>1135</v>
      </c>
      <c r="M44" s="905">
        <v>3.23</v>
      </c>
      <c r="N44" s="905">
        <v>0</v>
      </c>
      <c r="O44" s="1963">
        <f t="shared" si="3"/>
        <v>0</v>
      </c>
      <c r="P44" s="1963">
        <f t="shared" si="4"/>
        <v>0</v>
      </c>
    </row>
    <row r="45" spans="1:17" ht="15.6">
      <c r="A45" s="1205" t="s">
        <v>2461</v>
      </c>
      <c r="B45" s="1200" t="s">
        <v>2462</v>
      </c>
      <c r="C45" s="1200">
        <f t="shared" si="6"/>
        <v>0</v>
      </c>
      <c r="D45" s="1200">
        <f t="shared" si="7"/>
        <v>0</v>
      </c>
      <c r="K45" s="1028" t="s">
        <v>2461</v>
      </c>
      <c r="L45" s="383" t="s">
        <v>2462</v>
      </c>
      <c r="M45" s="905">
        <v>6.92</v>
      </c>
      <c r="N45" s="905">
        <v>0</v>
      </c>
      <c r="O45" s="1963">
        <f t="shared" si="3"/>
        <v>0</v>
      </c>
      <c r="P45" s="1963">
        <f t="shared" si="4"/>
        <v>0</v>
      </c>
    </row>
    <row r="46" spans="1:17" ht="15.6">
      <c r="A46" s="1205" t="s">
        <v>2463</v>
      </c>
      <c r="B46" s="1200" t="s">
        <v>2464</v>
      </c>
      <c r="C46" s="1200">
        <f t="shared" si="6"/>
        <v>0</v>
      </c>
      <c r="D46" s="1200">
        <f t="shared" si="7"/>
        <v>0</v>
      </c>
      <c r="K46" s="1028" t="s">
        <v>2463</v>
      </c>
      <c r="L46" s="383" t="s">
        <v>2464</v>
      </c>
      <c r="M46" s="905">
        <v>4.03</v>
      </c>
      <c r="N46" s="905">
        <v>0</v>
      </c>
      <c r="O46" s="1963">
        <f t="shared" si="3"/>
        <v>0</v>
      </c>
      <c r="P46" s="1963">
        <f t="shared" si="4"/>
        <v>0</v>
      </c>
    </row>
    <row r="47" spans="1:17" ht="15.6">
      <c r="A47" s="1205" t="s">
        <v>902</v>
      </c>
      <c r="B47" s="1200" t="s">
        <v>903</v>
      </c>
      <c r="C47" s="1200">
        <f t="shared" si="6"/>
        <v>101571</v>
      </c>
      <c r="D47" s="1200">
        <f t="shared" si="7"/>
        <v>0</v>
      </c>
      <c r="K47" s="1028" t="s">
        <v>902</v>
      </c>
      <c r="L47" s="383" t="s">
        <v>903</v>
      </c>
      <c r="M47" s="905">
        <v>101570814.94</v>
      </c>
      <c r="N47" s="905">
        <v>0</v>
      </c>
      <c r="O47" s="1963">
        <f t="shared" si="3"/>
        <v>101571</v>
      </c>
      <c r="P47" s="1963">
        <f t="shared" si="4"/>
        <v>0</v>
      </c>
    </row>
    <row r="48" spans="1:17" ht="15.6">
      <c r="A48" s="1028" t="s">
        <v>2929</v>
      </c>
      <c r="B48" s="383" t="s">
        <v>2930</v>
      </c>
      <c r="C48" s="1200">
        <f t="shared" si="6"/>
        <v>2716</v>
      </c>
      <c r="D48" s="1200">
        <f t="shared" si="7"/>
        <v>0</v>
      </c>
      <c r="E48" s="1210">
        <f>SUM(C38:C46)</f>
        <v>2128</v>
      </c>
      <c r="F48" s="1407">
        <f>E48/1000</f>
        <v>2.1280000000000001</v>
      </c>
      <c r="K48" s="1028" t="s">
        <v>2929</v>
      </c>
      <c r="L48" s="383" t="s">
        <v>2930</v>
      </c>
      <c r="M48" s="905">
        <v>2716345</v>
      </c>
      <c r="N48" s="905">
        <v>0</v>
      </c>
      <c r="O48" s="1963">
        <f t="shared" si="3"/>
        <v>2716</v>
      </c>
      <c r="P48" s="1963">
        <f t="shared" si="4"/>
        <v>0</v>
      </c>
    </row>
    <row r="49" spans="1:16" ht="15.6">
      <c r="A49" s="1205" t="s">
        <v>734</v>
      </c>
      <c r="B49" s="1200" t="s">
        <v>735</v>
      </c>
      <c r="C49" s="1200">
        <f t="shared" si="6"/>
        <v>5</v>
      </c>
      <c r="D49" s="1200">
        <f t="shared" si="7"/>
        <v>0</v>
      </c>
      <c r="E49" s="1210">
        <f>SUM(C47)</f>
        <v>101571</v>
      </c>
      <c r="F49" s="1407">
        <f>E49/1000</f>
        <v>101.571</v>
      </c>
      <c r="K49" s="1028" t="s">
        <v>734</v>
      </c>
      <c r="L49" s="383" t="s">
        <v>735</v>
      </c>
      <c r="M49" s="905">
        <v>5000</v>
      </c>
      <c r="N49" s="905">
        <v>0</v>
      </c>
      <c r="O49" s="1963">
        <f t="shared" si="3"/>
        <v>5</v>
      </c>
      <c r="P49" s="1963">
        <f t="shared" si="4"/>
        <v>0</v>
      </c>
    </row>
    <row r="50" spans="1:16" ht="15.6">
      <c r="A50" s="1205" t="s">
        <v>886</v>
      </c>
      <c r="B50" s="1200" t="s">
        <v>887</v>
      </c>
      <c r="C50" s="2244">
        <f t="shared" si="6"/>
        <v>403</v>
      </c>
      <c r="D50" s="1200">
        <f t="shared" si="7"/>
        <v>0</v>
      </c>
      <c r="K50" s="1028" t="s">
        <v>886</v>
      </c>
      <c r="L50" s="383" t="s">
        <v>887</v>
      </c>
      <c r="M50" s="905">
        <v>403407</v>
      </c>
      <c r="N50" s="905">
        <v>0</v>
      </c>
      <c r="O50" s="1963">
        <f t="shared" si="3"/>
        <v>403</v>
      </c>
      <c r="P50" s="1963">
        <f t="shared" si="4"/>
        <v>0</v>
      </c>
    </row>
    <row r="51" spans="1:16" ht="15.6">
      <c r="A51" s="1205" t="s">
        <v>904</v>
      </c>
      <c r="B51" s="1200" t="s">
        <v>905</v>
      </c>
      <c r="C51" s="2244">
        <f t="shared" si="6"/>
        <v>632</v>
      </c>
      <c r="D51" s="1200">
        <f t="shared" si="7"/>
        <v>0</v>
      </c>
      <c r="K51" s="1028" t="s">
        <v>904</v>
      </c>
      <c r="L51" s="383" t="s">
        <v>905</v>
      </c>
      <c r="M51" s="905">
        <v>631922</v>
      </c>
      <c r="N51" s="905">
        <v>0</v>
      </c>
      <c r="O51" s="1963">
        <f t="shared" si="3"/>
        <v>632</v>
      </c>
      <c r="P51" s="1963">
        <f t="shared" si="4"/>
        <v>0</v>
      </c>
    </row>
    <row r="52" spans="1:16" ht="15.6">
      <c r="A52" s="1205" t="s">
        <v>830</v>
      </c>
      <c r="B52" s="1200" t="s">
        <v>831</v>
      </c>
      <c r="C52" s="1200">
        <f t="shared" si="6"/>
        <v>2500</v>
      </c>
      <c r="D52" s="1200">
        <f t="shared" si="7"/>
        <v>0</v>
      </c>
      <c r="K52" s="1028" t="s">
        <v>830</v>
      </c>
      <c r="L52" s="383" t="s">
        <v>831</v>
      </c>
      <c r="M52" s="905">
        <v>2500000</v>
      </c>
      <c r="N52" s="905">
        <v>0</v>
      </c>
      <c r="O52" s="1963">
        <f t="shared" si="3"/>
        <v>2500</v>
      </c>
      <c r="P52" s="1963">
        <f t="shared" si="4"/>
        <v>0</v>
      </c>
    </row>
    <row r="53" spans="1:16" ht="15.6">
      <c r="A53" s="1205" t="s">
        <v>832</v>
      </c>
      <c r="B53" s="1200" t="s">
        <v>833</v>
      </c>
      <c r="C53" s="1200">
        <f t="shared" si="6"/>
        <v>0</v>
      </c>
      <c r="D53" s="1200">
        <f t="shared" si="7"/>
        <v>0</v>
      </c>
      <c r="E53" s="1210">
        <f>C52</f>
        <v>2500</v>
      </c>
      <c r="F53" s="1440">
        <f>E53/1000</f>
        <v>2.5</v>
      </c>
      <c r="K53" s="1028" t="s">
        <v>832</v>
      </c>
      <c r="L53" s="383" t="s">
        <v>833</v>
      </c>
      <c r="M53" s="905">
        <v>0</v>
      </c>
      <c r="N53" s="905">
        <v>27</v>
      </c>
      <c r="O53" s="1963">
        <f t="shared" si="3"/>
        <v>0</v>
      </c>
      <c r="P53" s="1963">
        <f t="shared" si="4"/>
        <v>0</v>
      </c>
    </row>
    <row r="54" spans="1:16" ht="15.6">
      <c r="A54" s="1205" t="s">
        <v>834</v>
      </c>
      <c r="B54" s="1200" t="s">
        <v>1156</v>
      </c>
      <c r="C54" s="1200">
        <f t="shared" si="6"/>
        <v>500</v>
      </c>
      <c r="D54" s="1200">
        <f t="shared" si="7"/>
        <v>0</v>
      </c>
      <c r="K54" s="1028" t="s">
        <v>834</v>
      </c>
      <c r="L54" s="383" t="s">
        <v>1156</v>
      </c>
      <c r="M54" s="905">
        <v>500000</v>
      </c>
      <c r="N54" s="905">
        <v>0</v>
      </c>
      <c r="O54" s="1963">
        <f t="shared" si="3"/>
        <v>500</v>
      </c>
      <c r="P54" s="1963">
        <f t="shared" si="4"/>
        <v>0</v>
      </c>
    </row>
    <row r="55" spans="1:16" ht="15.6">
      <c r="A55" s="1205" t="s">
        <v>3222</v>
      </c>
      <c r="B55" s="1200" t="s">
        <v>3223</v>
      </c>
      <c r="C55" s="1200">
        <f t="shared" si="6"/>
        <v>4035</v>
      </c>
      <c r="D55" s="1200">
        <f t="shared" si="7"/>
        <v>0</v>
      </c>
      <c r="E55" s="1210">
        <f>C54</f>
        <v>500</v>
      </c>
      <c r="F55" s="1210">
        <f>E55</f>
        <v>500</v>
      </c>
      <c r="K55" s="1028" t="s">
        <v>824</v>
      </c>
      <c r="L55" s="383" t="s">
        <v>825</v>
      </c>
      <c r="M55" s="905">
        <v>0</v>
      </c>
      <c r="N55" s="905">
        <v>5.04</v>
      </c>
      <c r="O55" s="1963">
        <f t="shared" si="3"/>
        <v>0</v>
      </c>
      <c r="P55" s="1963">
        <f t="shared" si="4"/>
        <v>0</v>
      </c>
    </row>
    <row r="56" spans="1:16" ht="15.6">
      <c r="A56" s="1205" t="s">
        <v>824</v>
      </c>
      <c r="B56" s="1200" t="s">
        <v>825</v>
      </c>
      <c r="C56" s="1200">
        <f t="shared" si="6"/>
        <v>0</v>
      </c>
      <c r="D56" s="1200">
        <f t="shared" si="7"/>
        <v>0</v>
      </c>
      <c r="K56" s="1028" t="s">
        <v>2465</v>
      </c>
      <c r="L56" s="383" t="s">
        <v>2466</v>
      </c>
      <c r="M56" s="905">
        <v>23023</v>
      </c>
      <c r="N56" s="905">
        <v>0</v>
      </c>
      <c r="O56" s="1963">
        <f t="shared" si="3"/>
        <v>23</v>
      </c>
      <c r="P56" s="1963">
        <f t="shared" si="4"/>
        <v>0</v>
      </c>
    </row>
    <row r="57" spans="1:16" ht="15.6">
      <c r="A57" s="1205" t="s">
        <v>2465</v>
      </c>
      <c r="B57" s="1200" t="s">
        <v>2466</v>
      </c>
      <c r="C57" s="1200">
        <f t="shared" si="6"/>
        <v>23</v>
      </c>
      <c r="D57" s="1200">
        <f t="shared" si="7"/>
        <v>0</v>
      </c>
      <c r="E57" s="1210">
        <f>C57-D58</f>
        <v>23</v>
      </c>
      <c r="K57" s="1028" t="s">
        <v>826</v>
      </c>
      <c r="L57" s="383" t="s">
        <v>827</v>
      </c>
      <c r="M57" s="905">
        <v>20587.12</v>
      </c>
      <c r="N57" s="905">
        <v>0</v>
      </c>
      <c r="O57" s="1963">
        <f t="shared" si="3"/>
        <v>21</v>
      </c>
      <c r="P57" s="1963">
        <f t="shared" si="4"/>
        <v>0</v>
      </c>
    </row>
    <row r="58" spans="1:16" ht="15.6">
      <c r="A58" s="1205" t="s">
        <v>826</v>
      </c>
      <c r="B58" s="1200" t="s">
        <v>827</v>
      </c>
      <c r="C58" s="1200">
        <f t="shared" si="6"/>
        <v>21</v>
      </c>
      <c r="D58" s="1200">
        <f t="shared" si="7"/>
        <v>0</v>
      </c>
      <c r="K58" s="1028" t="s">
        <v>828</v>
      </c>
      <c r="L58" s="383" t="s">
        <v>829</v>
      </c>
      <c r="M58" s="905">
        <v>318373</v>
      </c>
      <c r="N58" s="905">
        <v>0</v>
      </c>
      <c r="O58" s="1963">
        <f t="shared" si="3"/>
        <v>318</v>
      </c>
      <c r="P58" s="1963">
        <f t="shared" si="4"/>
        <v>0</v>
      </c>
    </row>
    <row r="59" spans="1:16" ht="15.6">
      <c r="A59" s="1205" t="s">
        <v>828</v>
      </c>
      <c r="B59" s="1200" t="s">
        <v>829</v>
      </c>
      <c r="C59" s="2244">
        <f t="shared" si="6"/>
        <v>318</v>
      </c>
      <c r="D59" s="1200">
        <f t="shared" si="7"/>
        <v>0</v>
      </c>
      <c r="F59" s="2243">
        <f>C50+C51</f>
        <v>1035</v>
      </c>
      <c r="K59" s="1028" t="s">
        <v>941</v>
      </c>
      <c r="L59" s="383" t="s">
        <v>942</v>
      </c>
      <c r="M59" s="905">
        <v>436769</v>
      </c>
      <c r="N59" s="905">
        <v>0</v>
      </c>
      <c r="O59" s="1963">
        <f t="shared" si="3"/>
        <v>437</v>
      </c>
      <c r="P59" s="1963">
        <f t="shared" si="4"/>
        <v>0</v>
      </c>
    </row>
    <row r="60" spans="1:16" ht="15.6">
      <c r="A60" s="1205" t="s">
        <v>941</v>
      </c>
      <c r="B60" s="1200" t="s">
        <v>942</v>
      </c>
      <c r="C60" s="2244">
        <f t="shared" si="6"/>
        <v>437</v>
      </c>
      <c r="D60" s="1200">
        <f t="shared" si="7"/>
        <v>0</v>
      </c>
      <c r="F60" s="2243">
        <f>C59</f>
        <v>318</v>
      </c>
      <c r="K60" s="1028" t="s">
        <v>943</v>
      </c>
      <c r="L60" s="383" t="s">
        <v>944</v>
      </c>
      <c r="M60" s="905">
        <v>156790</v>
      </c>
      <c r="N60" s="905">
        <v>0</v>
      </c>
      <c r="O60" s="1963">
        <f t="shared" si="3"/>
        <v>157</v>
      </c>
      <c r="P60" s="1963">
        <f t="shared" si="4"/>
        <v>0</v>
      </c>
    </row>
    <row r="61" spans="1:16" ht="15.6">
      <c r="A61" s="1205" t="s">
        <v>943</v>
      </c>
      <c r="B61" s="1200" t="s">
        <v>944</v>
      </c>
      <c r="C61" s="2244">
        <f t="shared" si="6"/>
        <v>157</v>
      </c>
      <c r="D61" s="1200">
        <f t="shared" si="7"/>
        <v>0</v>
      </c>
      <c r="F61" s="1210">
        <f>SUM(C60:C68)-D64</f>
        <v>2656</v>
      </c>
      <c r="K61" s="1028" t="s">
        <v>945</v>
      </c>
      <c r="L61" s="383" t="s">
        <v>946</v>
      </c>
      <c r="M61" s="905">
        <v>597477</v>
      </c>
      <c r="N61" s="905">
        <v>0</v>
      </c>
      <c r="O61" s="1963">
        <f t="shared" si="3"/>
        <v>597</v>
      </c>
      <c r="P61" s="1963">
        <f t="shared" si="4"/>
        <v>0</v>
      </c>
    </row>
    <row r="62" spans="1:16" ht="15.6">
      <c r="A62" s="1205" t="s">
        <v>945</v>
      </c>
      <c r="B62" s="1200" t="s">
        <v>946</v>
      </c>
      <c r="C62" s="2244">
        <f t="shared" si="6"/>
        <v>597</v>
      </c>
      <c r="D62" s="1200">
        <f t="shared" si="7"/>
        <v>0</v>
      </c>
      <c r="F62" s="1210"/>
      <c r="K62" s="1028" t="s">
        <v>947</v>
      </c>
      <c r="L62" s="383" t="s">
        <v>948</v>
      </c>
      <c r="M62" s="905">
        <v>403493</v>
      </c>
      <c r="N62" s="905">
        <v>0</v>
      </c>
      <c r="O62" s="1963">
        <f t="shared" si="3"/>
        <v>403</v>
      </c>
      <c r="P62" s="1963">
        <f t="shared" si="4"/>
        <v>0</v>
      </c>
    </row>
    <row r="63" spans="1:16" ht="15.6">
      <c r="A63" s="1205" t="s">
        <v>947</v>
      </c>
      <c r="B63" s="1200" t="s">
        <v>948</v>
      </c>
      <c r="C63" s="2244">
        <f t="shared" si="6"/>
        <v>403</v>
      </c>
      <c r="D63" s="1200">
        <f t="shared" si="7"/>
        <v>0</v>
      </c>
      <c r="F63" s="2243">
        <f>C69</f>
        <v>204</v>
      </c>
      <c r="K63" s="1028" t="s">
        <v>949</v>
      </c>
      <c r="L63" s="383" t="s">
        <v>950</v>
      </c>
      <c r="M63" s="905">
        <v>0</v>
      </c>
      <c r="N63" s="905">
        <v>90907</v>
      </c>
      <c r="O63" s="1963">
        <f t="shared" si="3"/>
        <v>0</v>
      </c>
      <c r="P63" s="1963">
        <f t="shared" si="4"/>
        <v>91</v>
      </c>
    </row>
    <row r="64" spans="1:16" ht="15.6">
      <c r="A64" s="1205" t="s">
        <v>949</v>
      </c>
      <c r="B64" s="1200" t="s">
        <v>950</v>
      </c>
      <c r="C64" s="2244">
        <f t="shared" si="6"/>
        <v>0</v>
      </c>
      <c r="D64" s="2244">
        <f t="shared" si="7"/>
        <v>91</v>
      </c>
      <c r="F64" s="2243">
        <f>SUM(F59:F63)</f>
        <v>4213</v>
      </c>
      <c r="K64" s="1028" t="s">
        <v>951</v>
      </c>
      <c r="L64" s="383" t="s">
        <v>952</v>
      </c>
      <c r="M64" s="905">
        <v>688501</v>
      </c>
      <c r="N64" s="905">
        <v>0</v>
      </c>
      <c r="O64" s="1963">
        <f t="shared" si="3"/>
        <v>689</v>
      </c>
      <c r="P64" s="1963">
        <f t="shared" si="4"/>
        <v>0</v>
      </c>
    </row>
    <row r="65" spans="1:17" ht="15.6">
      <c r="A65" s="1205" t="s">
        <v>951</v>
      </c>
      <c r="B65" s="1200" t="s">
        <v>952</v>
      </c>
      <c r="C65" s="2244">
        <f t="shared" si="6"/>
        <v>689</v>
      </c>
      <c r="D65" s="1200">
        <f t="shared" si="7"/>
        <v>0</v>
      </c>
      <c r="F65" s="1407">
        <f>F64/1000</f>
        <v>4.2130000000000001</v>
      </c>
      <c r="K65" s="1028" t="s">
        <v>953</v>
      </c>
      <c r="L65" s="383" t="s">
        <v>954</v>
      </c>
      <c r="M65" s="905">
        <v>108815</v>
      </c>
      <c r="N65" s="905">
        <v>0</v>
      </c>
      <c r="O65" s="1963">
        <f t="shared" si="3"/>
        <v>109</v>
      </c>
      <c r="P65" s="1963">
        <f t="shared" si="4"/>
        <v>0</v>
      </c>
    </row>
    <row r="66" spans="1:17" ht="15.6">
      <c r="A66" s="1205" t="s">
        <v>953</v>
      </c>
      <c r="B66" s="1200" t="s">
        <v>954</v>
      </c>
      <c r="C66" s="2244">
        <f t="shared" si="6"/>
        <v>109</v>
      </c>
      <c r="D66" s="1200">
        <f t="shared" si="7"/>
        <v>0</v>
      </c>
      <c r="K66" s="1028" t="s">
        <v>955</v>
      </c>
      <c r="L66" s="383" t="s">
        <v>956</v>
      </c>
      <c r="M66" s="905">
        <v>297661</v>
      </c>
      <c r="N66" s="905">
        <v>0</v>
      </c>
      <c r="O66" s="1963">
        <f t="shared" si="3"/>
        <v>298</v>
      </c>
      <c r="P66" s="1963">
        <f t="shared" si="4"/>
        <v>0</v>
      </c>
    </row>
    <row r="67" spans="1:17" ht="15.6">
      <c r="A67" s="1205" t="s">
        <v>955</v>
      </c>
      <c r="B67" s="1200" t="s">
        <v>956</v>
      </c>
      <c r="C67" s="2244">
        <f t="shared" si="6"/>
        <v>298</v>
      </c>
      <c r="D67" s="1200">
        <f t="shared" si="7"/>
        <v>0</v>
      </c>
      <c r="F67" s="1210">
        <f>C73-D74+C59+-D58+C57+-D56+C55+C53+C36+C37</f>
        <v>131932</v>
      </c>
      <c r="K67" s="1028" t="s">
        <v>957</v>
      </c>
      <c r="L67" s="383" t="s">
        <v>958</v>
      </c>
      <c r="M67" s="905">
        <v>56516</v>
      </c>
      <c r="N67" s="905">
        <v>0</v>
      </c>
      <c r="O67" s="1963">
        <f t="shared" si="3"/>
        <v>57</v>
      </c>
      <c r="P67" s="1963">
        <f t="shared" si="4"/>
        <v>0</v>
      </c>
    </row>
    <row r="68" spans="1:17" ht="15.6">
      <c r="A68" s="1205" t="s">
        <v>957</v>
      </c>
      <c r="B68" s="1200" t="s">
        <v>958</v>
      </c>
      <c r="C68" s="2244">
        <f t="shared" si="6"/>
        <v>57</v>
      </c>
      <c r="D68" s="1200">
        <f t="shared" si="7"/>
        <v>0</v>
      </c>
      <c r="K68" s="1028" t="s">
        <v>959</v>
      </c>
      <c r="L68" s="383" t="s">
        <v>960</v>
      </c>
      <c r="M68" s="905">
        <v>204392.49</v>
      </c>
      <c r="N68" s="905">
        <v>0</v>
      </c>
      <c r="O68" s="1963">
        <f t="shared" si="3"/>
        <v>204</v>
      </c>
      <c r="P68" s="1963">
        <f t="shared" si="4"/>
        <v>0</v>
      </c>
    </row>
    <row r="69" spans="1:17" ht="15.6">
      <c r="A69" s="1205" t="s">
        <v>959</v>
      </c>
      <c r="B69" s="1200" t="s">
        <v>960</v>
      </c>
      <c r="C69" s="2244">
        <f t="shared" si="6"/>
        <v>204</v>
      </c>
      <c r="D69" s="1200">
        <f t="shared" si="7"/>
        <v>0</v>
      </c>
      <c r="K69" s="1028" t="s">
        <v>961</v>
      </c>
      <c r="L69" s="383" t="s">
        <v>107</v>
      </c>
      <c r="M69" s="905">
        <v>3188690</v>
      </c>
      <c r="N69" s="905">
        <v>0</v>
      </c>
      <c r="O69" s="1963">
        <f t="shared" si="3"/>
        <v>3189</v>
      </c>
      <c r="P69" s="1963">
        <f t="shared" si="4"/>
        <v>0</v>
      </c>
    </row>
    <row r="70" spans="1:17" ht="15.6">
      <c r="A70" s="1205" t="s">
        <v>961</v>
      </c>
      <c r="B70" s="1200" t="s">
        <v>107</v>
      </c>
      <c r="C70" s="1200">
        <f t="shared" si="6"/>
        <v>3189</v>
      </c>
      <c r="D70" s="1200">
        <f t="shared" si="7"/>
        <v>0</v>
      </c>
      <c r="K70" s="1028" t="s">
        <v>962</v>
      </c>
      <c r="L70" s="383" t="s">
        <v>963</v>
      </c>
      <c r="M70" s="905">
        <v>0</v>
      </c>
      <c r="N70" s="905">
        <v>3188690</v>
      </c>
      <c r="O70" s="1963">
        <f t="shared" si="3"/>
        <v>0</v>
      </c>
      <c r="P70" s="1963">
        <f t="shared" si="4"/>
        <v>3189</v>
      </c>
    </row>
    <row r="71" spans="1:17" ht="15.6">
      <c r="A71" s="1205" t="s">
        <v>962</v>
      </c>
      <c r="B71" s="1200" t="s">
        <v>963</v>
      </c>
      <c r="C71" s="1200">
        <f t="shared" si="6"/>
        <v>0</v>
      </c>
      <c r="D71" s="1200">
        <f t="shared" si="7"/>
        <v>3189</v>
      </c>
      <c r="K71" s="1028" t="s">
        <v>736</v>
      </c>
      <c r="L71" s="383" t="s">
        <v>103</v>
      </c>
      <c r="M71" s="905">
        <v>217954</v>
      </c>
      <c r="N71" s="905">
        <v>0</v>
      </c>
      <c r="O71" s="1963">
        <f t="shared" si="3"/>
        <v>218</v>
      </c>
      <c r="P71" s="1963">
        <f t="shared" si="4"/>
        <v>0</v>
      </c>
    </row>
    <row r="72" spans="1:17" ht="15.6">
      <c r="A72" s="1205" t="s">
        <v>736</v>
      </c>
      <c r="B72" s="1200" t="s">
        <v>103</v>
      </c>
      <c r="C72" s="1200">
        <f t="shared" si="6"/>
        <v>218</v>
      </c>
      <c r="D72" s="1200">
        <f t="shared" si="7"/>
        <v>0</v>
      </c>
      <c r="F72" s="1210">
        <f>C48+C49+C55+C57+C58+C70+C71+C72+C73+C74-D58-D71-D74</f>
        <v>7043</v>
      </c>
      <c r="K72" s="1028" t="s">
        <v>3220</v>
      </c>
      <c r="L72" s="383" t="s">
        <v>3221</v>
      </c>
      <c r="M72" s="905">
        <v>3057139.4</v>
      </c>
      <c r="N72" s="905">
        <v>0</v>
      </c>
      <c r="O72" s="1963">
        <f t="shared" ref="O72:O135" si="8">ROUND(M72/1000,0)</f>
        <v>3057</v>
      </c>
      <c r="P72" s="1963">
        <f t="shared" ref="P72:P135" si="9">ROUND(N72/1000,0)</f>
        <v>0</v>
      </c>
      <c r="Q72" s="1210"/>
    </row>
    <row r="73" spans="1:17" ht="15.6">
      <c r="A73" s="1205" t="s">
        <v>2467</v>
      </c>
      <c r="B73" s="1200" t="s">
        <v>2468</v>
      </c>
      <c r="C73" s="1200">
        <f t="shared" si="6"/>
        <v>4937</v>
      </c>
      <c r="D73" s="1200">
        <f t="shared" si="7"/>
        <v>0</v>
      </c>
      <c r="K73" s="1028" t="s">
        <v>2467</v>
      </c>
      <c r="L73" s="383" t="s">
        <v>2468</v>
      </c>
      <c r="M73" s="905">
        <v>4936771.47</v>
      </c>
      <c r="N73" s="905">
        <v>0</v>
      </c>
      <c r="O73" s="1963">
        <f t="shared" si="8"/>
        <v>4937</v>
      </c>
      <c r="P73" s="1963">
        <f t="shared" si="9"/>
        <v>0</v>
      </c>
    </row>
    <row r="74" spans="1:17" ht="15.6">
      <c r="A74" s="1205" t="s">
        <v>2469</v>
      </c>
      <c r="B74" s="1200" t="s">
        <v>2470</v>
      </c>
      <c r="C74" s="1200">
        <f t="shared" si="6"/>
        <v>0</v>
      </c>
      <c r="D74" s="1200">
        <f t="shared" si="7"/>
        <v>4912</v>
      </c>
      <c r="K74" s="1028" t="s">
        <v>2469</v>
      </c>
      <c r="L74" s="383" t="s">
        <v>2470</v>
      </c>
      <c r="M74" s="905">
        <v>0</v>
      </c>
      <c r="N74" s="905">
        <v>4911634.0999999996</v>
      </c>
      <c r="O74" s="1963">
        <f t="shared" si="8"/>
        <v>0</v>
      </c>
      <c r="P74" s="1963">
        <f t="shared" si="9"/>
        <v>4912</v>
      </c>
      <c r="Q74" s="1963">
        <f>O73-P74</f>
        <v>25</v>
      </c>
    </row>
    <row r="75" spans="1:17" ht="16.2" thickBot="1">
      <c r="A75" s="1205" t="s">
        <v>3220</v>
      </c>
      <c r="B75" s="1200" t="s">
        <v>3221</v>
      </c>
      <c r="C75" s="1200">
        <f t="shared" si="6"/>
        <v>3057</v>
      </c>
      <c r="D75" s="1200">
        <f t="shared" si="7"/>
        <v>0</v>
      </c>
      <c r="E75" s="1210">
        <f>C73-D74</f>
        <v>25</v>
      </c>
      <c r="K75" s="1028" t="s">
        <v>3222</v>
      </c>
      <c r="L75" s="383" t="s">
        <v>3223</v>
      </c>
      <c r="M75" s="905">
        <v>4034882</v>
      </c>
      <c r="N75" s="905">
        <v>0</v>
      </c>
      <c r="O75" s="1963">
        <f t="shared" si="8"/>
        <v>4035</v>
      </c>
      <c r="P75" s="1963">
        <f t="shared" si="9"/>
        <v>0</v>
      </c>
    </row>
    <row r="76" spans="1:17" ht="16.2" thickBot="1">
      <c r="A76" s="1205"/>
      <c r="B76" s="1204" t="s">
        <v>2471</v>
      </c>
      <c r="C76" s="1200"/>
      <c r="D76" s="1200"/>
      <c r="E76" s="1210" t="e">
        <f>#REF!/1000</f>
        <v>#REF!</v>
      </c>
      <c r="K76" s="1028" t="s">
        <v>964</v>
      </c>
      <c r="L76" s="383" t="s">
        <v>965</v>
      </c>
      <c r="M76" s="905">
        <v>0</v>
      </c>
      <c r="N76" s="905">
        <v>616750379.00999999</v>
      </c>
      <c r="O76" s="1963">
        <f t="shared" si="8"/>
        <v>0</v>
      </c>
      <c r="P76" s="1963">
        <f t="shared" si="9"/>
        <v>616750</v>
      </c>
    </row>
    <row r="77" spans="1:17" ht="15.6">
      <c r="A77" s="1205" t="s">
        <v>964</v>
      </c>
      <c r="B77" s="1200" t="s">
        <v>965</v>
      </c>
      <c r="C77" s="1200">
        <f t="shared" ref="C77:C85" si="10">VLOOKUP(A77,$K$7:$P$166,5,0)</f>
        <v>0</v>
      </c>
      <c r="D77" s="1200">
        <f t="shared" ref="D77:D85" si="11">VLOOKUP(A77,$K$7:$P$166,6,0)</f>
        <v>616750</v>
      </c>
      <c r="F77" s="1201" t="s">
        <v>2495</v>
      </c>
      <c r="G77" s="1210">
        <f>ROUND(C73-D74+C72+C57-D56-D58+C53+C51+C50+C49+C37+C36,0)</f>
        <v>128837</v>
      </c>
      <c r="H77" s="1407">
        <f>G77/1000</f>
        <v>128.83699999999999</v>
      </c>
      <c r="K77" s="1028" t="s">
        <v>966</v>
      </c>
      <c r="L77" s="383" t="s">
        <v>967</v>
      </c>
      <c r="M77" s="905">
        <v>357194678.19</v>
      </c>
      <c r="N77" s="905">
        <v>0</v>
      </c>
      <c r="O77" s="1963">
        <f t="shared" si="8"/>
        <v>357195</v>
      </c>
      <c r="P77" s="1963">
        <f t="shared" si="9"/>
        <v>0</v>
      </c>
    </row>
    <row r="78" spans="1:17" ht="15.6">
      <c r="A78" s="1205" t="s">
        <v>966</v>
      </c>
      <c r="B78" s="1200" t="s">
        <v>967</v>
      </c>
      <c r="C78" s="1200">
        <f t="shared" si="10"/>
        <v>357195</v>
      </c>
      <c r="D78" s="1200">
        <f t="shared" si="11"/>
        <v>0</v>
      </c>
      <c r="K78" s="1028" t="s">
        <v>968</v>
      </c>
      <c r="L78" s="383" t="s">
        <v>969</v>
      </c>
      <c r="M78" s="905">
        <v>0</v>
      </c>
      <c r="N78" s="905">
        <v>810816089.42999995</v>
      </c>
      <c r="O78" s="1963">
        <f t="shared" si="8"/>
        <v>0</v>
      </c>
      <c r="P78" s="1963">
        <f t="shared" si="9"/>
        <v>810816</v>
      </c>
    </row>
    <row r="79" spans="1:17" ht="15.6">
      <c r="A79" s="1205" t="s">
        <v>968</v>
      </c>
      <c r="B79" s="1200" t="s">
        <v>969</v>
      </c>
      <c r="C79" s="1200">
        <f t="shared" si="10"/>
        <v>0</v>
      </c>
      <c r="D79" s="1200">
        <f t="shared" si="11"/>
        <v>810816</v>
      </c>
      <c r="K79" s="1028" t="s">
        <v>970</v>
      </c>
      <c r="L79" s="383" t="s">
        <v>971</v>
      </c>
      <c r="M79" s="905">
        <v>985243054.84000003</v>
      </c>
      <c r="N79" s="905">
        <v>0</v>
      </c>
      <c r="O79" s="1963">
        <f t="shared" si="8"/>
        <v>985243</v>
      </c>
      <c r="P79" s="1963">
        <f t="shared" si="9"/>
        <v>0</v>
      </c>
    </row>
    <row r="80" spans="1:17" ht="15.6">
      <c r="A80" s="1205" t="s">
        <v>970</v>
      </c>
      <c r="B80" s="1200" t="s">
        <v>971</v>
      </c>
      <c r="C80" s="1200">
        <f t="shared" si="10"/>
        <v>985243</v>
      </c>
      <c r="D80" s="1200">
        <f t="shared" si="11"/>
        <v>0</v>
      </c>
      <c r="K80" s="1028" t="s">
        <v>972</v>
      </c>
      <c r="L80" s="383" t="s">
        <v>973</v>
      </c>
      <c r="M80" s="905">
        <v>0</v>
      </c>
      <c r="N80" s="905">
        <v>4263745.01</v>
      </c>
      <c r="O80" s="1963">
        <f t="shared" si="8"/>
        <v>0</v>
      </c>
      <c r="P80" s="1963">
        <f t="shared" si="9"/>
        <v>4264</v>
      </c>
    </row>
    <row r="81" spans="1:19" ht="15.6">
      <c r="A81" s="1205" t="s">
        <v>972</v>
      </c>
      <c r="B81" s="1200" t="s">
        <v>973</v>
      </c>
      <c r="C81" s="1200">
        <f t="shared" si="10"/>
        <v>0</v>
      </c>
      <c r="D81" s="1200">
        <f t="shared" si="11"/>
        <v>4264</v>
      </c>
      <c r="K81" s="1028" t="s">
        <v>974</v>
      </c>
      <c r="L81" s="383" t="s">
        <v>975</v>
      </c>
      <c r="M81" s="905">
        <v>37091976.140000001</v>
      </c>
      <c r="N81" s="905">
        <v>0</v>
      </c>
      <c r="O81" s="1963">
        <f t="shared" si="8"/>
        <v>37092</v>
      </c>
      <c r="P81" s="1963">
        <f t="shared" si="9"/>
        <v>0</v>
      </c>
    </row>
    <row r="82" spans="1:19" ht="15.6">
      <c r="A82" s="1205" t="s">
        <v>974</v>
      </c>
      <c r="B82" s="1200" t="s">
        <v>975</v>
      </c>
      <c r="C82" s="1200">
        <f t="shared" si="10"/>
        <v>37092</v>
      </c>
      <c r="D82" s="1200">
        <f t="shared" si="11"/>
        <v>0</v>
      </c>
      <c r="K82" s="1028" t="s">
        <v>976</v>
      </c>
      <c r="L82" s="383" t="s">
        <v>977</v>
      </c>
      <c r="M82" s="905">
        <v>0</v>
      </c>
      <c r="N82" s="905">
        <v>12397182412.16</v>
      </c>
      <c r="O82" s="1963">
        <f t="shared" si="8"/>
        <v>0</v>
      </c>
      <c r="P82" s="1963">
        <f t="shared" si="9"/>
        <v>12397182</v>
      </c>
    </row>
    <row r="83" spans="1:19" ht="15.6">
      <c r="A83" s="1205" t="s">
        <v>843</v>
      </c>
      <c r="B83" s="1200" t="s">
        <v>844</v>
      </c>
      <c r="C83" s="1200" t="e">
        <f t="shared" si="10"/>
        <v>#N/A</v>
      </c>
      <c r="D83" s="1200" t="e">
        <f t="shared" si="11"/>
        <v>#N/A</v>
      </c>
      <c r="K83" s="1028" t="s">
        <v>760</v>
      </c>
      <c r="L83" s="383" t="s">
        <v>761</v>
      </c>
      <c r="M83" s="905">
        <v>0</v>
      </c>
      <c r="N83" s="905">
        <v>19992441.68</v>
      </c>
      <c r="O83" s="1963">
        <f t="shared" si="8"/>
        <v>0</v>
      </c>
      <c r="P83" s="1963">
        <f t="shared" si="9"/>
        <v>19992</v>
      </c>
    </row>
    <row r="84" spans="1:19" ht="15.6">
      <c r="A84" s="1205" t="s">
        <v>2472</v>
      </c>
      <c r="B84" s="1200" t="s">
        <v>2473</v>
      </c>
      <c r="C84" s="1200" t="e">
        <f t="shared" si="10"/>
        <v>#N/A</v>
      </c>
      <c r="D84" s="1200" t="e">
        <f t="shared" si="11"/>
        <v>#N/A</v>
      </c>
      <c r="K84" s="1028" t="s">
        <v>780</v>
      </c>
      <c r="L84" s="383" t="s">
        <v>781</v>
      </c>
      <c r="M84" s="905">
        <v>0</v>
      </c>
      <c r="N84" s="905">
        <v>1004005.85</v>
      </c>
      <c r="O84" s="1963">
        <f t="shared" si="8"/>
        <v>0</v>
      </c>
      <c r="P84" s="1963">
        <f t="shared" si="9"/>
        <v>1004</v>
      </c>
    </row>
    <row r="85" spans="1:19" ht="15.6">
      <c r="A85" s="1205" t="s">
        <v>976</v>
      </c>
      <c r="B85" s="1200" t="s">
        <v>977</v>
      </c>
      <c r="C85" s="1200">
        <f t="shared" si="10"/>
        <v>0</v>
      </c>
      <c r="D85" s="1200">
        <f t="shared" si="11"/>
        <v>12397182</v>
      </c>
      <c r="K85" s="1028" t="s">
        <v>2623</v>
      </c>
      <c r="L85" s="383" t="s">
        <v>2624</v>
      </c>
      <c r="M85" s="905">
        <v>0</v>
      </c>
      <c r="N85" s="905">
        <v>1.3900000000000001</v>
      </c>
      <c r="O85" s="1963">
        <f t="shared" si="8"/>
        <v>0</v>
      </c>
      <c r="P85" s="1963">
        <f t="shared" si="9"/>
        <v>0</v>
      </c>
    </row>
    <row r="86" spans="1:19" ht="15.6">
      <c r="A86" s="1205"/>
      <c r="B86" s="1200"/>
      <c r="C86" s="1200"/>
      <c r="D86" s="1200"/>
      <c r="K86" s="1028" t="s">
        <v>762</v>
      </c>
      <c r="L86" s="383" t="s">
        <v>763</v>
      </c>
      <c r="M86" s="905">
        <v>0</v>
      </c>
      <c r="N86" s="905">
        <v>2599128.08</v>
      </c>
      <c r="O86" s="1963">
        <f t="shared" si="8"/>
        <v>0</v>
      </c>
      <c r="P86" s="1963">
        <f t="shared" si="9"/>
        <v>2599</v>
      </c>
    </row>
    <row r="87" spans="1:19" ht="16.2" thickBot="1">
      <c r="A87" s="1205"/>
      <c r="B87" s="1200"/>
      <c r="C87" s="1200"/>
      <c r="D87" s="1200"/>
      <c r="K87" s="1028" t="s">
        <v>764</v>
      </c>
      <c r="L87" s="383" t="s">
        <v>765</v>
      </c>
      <c r="M87" s="905">
        <v>0</v>
      </c>
      <c r="N87" s="905">
        <v>54773935.039999999</v>
      </c>
      <c r="O87" s="1963">
        <f t="shared" si="8"/>
        <v>0</v>
      </c>
      <c r="P87" s="1963">
        <f t="shared" si="9"/>
        <v>54774</v>
      </c>
    </row>
    <row r="88" spans="1:19" ht="16.2" thickBot="1">
      <c r="A88" s="1205"/>
      <c r="B88" s="1204" t="s">
        <v>2474</v>
      </c>
      <c r="C88" s="1200"/>
      <c r="D88" s="1200"/>
      <c r="E88" s="1409"/>
      <c r="K88" s="1028" t="s">
        <v>766</v>
      </c>
      <c r="L88" s="383" t="s">
        <v>767</v>
      </c>
      <c r="M88" s="905">
        <v>0</v>
      </c>
      <c r="N88" s="905">
        <v>140645</v>
      </c>
      <c r="O88" s="1963">
        <f t="shared" si="8"/>
        <v>0</v>
      </c>
      <c r="P88" s="1963">
        <f t="shared" si="9"/>
        <v>141</v>
      </c>
    </row>
    <row r="89" spans="1:19" ht="15.6">
      <c r="A89" s="1205" t="s">
        <v>760</v>
      </c>
      <c r="B89" s="1200" t="s">
        <v>761</v>
      </c>
      <c r="C89" s="1200">
        <f t="shared" ref="C89:C124" si="12">VLOOKUP(A89,$K$7:$P$166,5,0)</f>
        <v>0</v>
      </c>
      <c r="D89" s="1200">
        <f t="shared" ref="D89:D124" si="13">VLOOKUP(A89,$K$7:$P$166,6,0)</f>
        <v>19992</v>
      </c>
      <c r="E89" s="1409">
        <f>D89</f>
        <v>19992</v>
      </c>
      <c r="K89" s="1028" t="s">
        <v>782</v>
      </c>
      <c r="L89" s="383" t="s">
        <v>783</v>
      </c>
      <c r="M89" s="905">
        <v>0</v>
      </c>
      <c r="N89" s="905">
        <v>3932683</v>
      </c>
      <c r="O89" s="1963">
        <f t="shared" si="8"/>
        <v>0</v>
      </c>
      <c r="P89" s="1963">
        <f t="shared" si="9"/>
        <v>3933</v>
      </c>
    </row>
    <row r="90" spans="1:19" ht="15.6">
      <c r="A90" s="1205" t="s">
        <v>780</v>
      </c>
      <c r="B90" s="1200" t="s">
        <v>781</v>
      </c>
      <c r="C90" s="1200">
        <f t="shared" si="12"/>
        <v>0</v>
      </c>
      <c r="D90" s="1200">
        <f t="shared" si="13"/>
        <v>1004</v>
      </c>
      <c r="E90" s="1409">
        <f t="shared" ref="E90:E124" si="14">D90</f>
        <v>1004</v>
      </c>
      <c r="K90" s="1028" t="s">
        <v>768</v>
      </c>
      <c r="L90" s="383" t="s">
        <v>769</v>
      </c>
      <c r="M90" s="905">
        <v>0</v>
      </c>
      <c r="N90" s="905">
        <v>1081866</v>
      </c>
      <c r="O90" s="1963">
        <f t="shared" si="8"/>
        <v>0</v>
      </c>
      <c r="P90" s="1963">
        <f t="shared" si="9"/>
        <v>1082</v>
      </c>
      <c r="S90" s="1210">
        <f t="shared" ref="S90:S99" si="15">+P90-D101</f>
        <v>696</v>
      </c>
    </row>
    <row r="91" spans="1:19" ht="15.6">
      <c r="A91" s="1205" t="s">
        <v>762</v>
      </c>
      <c r="B91" s="1200" t="s">
        <v>763</v>
      </c>
      <c r="C91" s="1200">
        <f t="shared" si="12"/>
        <v>0</v>
      </c>
      <c r="D91" s="1200">
        <f t="shared" si="13"/>
        <v>2599</v>
      </c>
      <c r="E91" s="1409">
        <f t="shared" si="14"/>
        <v>2599</v>
      </c>
      <c r="G91" s="1201" t="str">
        <f>BS!A19</f>
        <v>Payable to MCB-Arif Habib Savings and Investments Limited -</v>
      </c>
      <c r="K91" s="1028" t="s">
        <v>770</v>
      </c>
      <c r="L91" s="383" t="s">
        <v>771</v>
      </c>
      <c r="M91" s="905">
        <v>0</v>
      </c>
      <c r="N91" s="905">
        <v>4667</v>
      </c>
      <c r="O91" s="1963">
        <f t="shared" si="8"/>
        <v>0</v>
      </c>
      <c r="P91" s="1963">
        <f t="shared" si="9"/>
        <v>5</v>
      </c>
      <c r="S91" s="1210">
        <f t="shared" si="15"/>
        <v>-35</v>
      </c>
    </row>
    <row r="92" spans="1:19" ht="15.6">
      <c r="A92" s="1205" t="s">
        <v>764</v>
      </c>
      <c r="B92" s="1200" t="s">
        <v>765</v>
      </c>
      <c r="C92" s="1200">
        <f t="shared" si="12"/>
        <v>0</v>
      </c>
      <c r="D92" s="1200">
        <f t="shared" si="13"/>
        <v>54774</v>
      </c>
      <c r="E92" s="1409">
        <f t="shared" si="14"/>
        <v>54774</v>
      </c>
      <c r="G92" s="1201" t="str">
        <f>BS!A20</f>
        <v>Management Company</v>
      </c>
      <c r="H92" s="1211">
        <f>D89+D90+D91+D124+D123</f>
        <v>65466</v>
      </c>
      <c r="K92" s="1028" t="s">
        <v>772</v>
      </c>
      <c r="L92" s="383" t="s">
        <v>773</v>
      </c>
      <c r="M92" s="905">
        <v>0</v>
      </c>
      <c r="N92" s="905">
        <v>628801.69000000006</v>
      </c>
      <c r="O92" s="1963">
        <f t="shared" si="8"/>
        <v>0</v>
      </c>
      <c r="P92" s="1963">
        <f t="shared" si="9"/>
        <v>629</v>
      </c>
      <c r="S92" s="1210">
        <f t="shared" si="15"/>
        <v>496</v>
      </c>
    </row>
    <row r="93" spans="1:19" ht="15.6">
      <c r="A93" s="1205" t="s">
        <v>766</v>
      </c>
      <c r="B93" s="1200" t="s">
        <v>767</v>
      </c>
      <c r="C93" s="1200">
        <f t="shared" si="12"/>
        <v>0</v>
      </c>
      <c r="D93" s="1200">
        <f t="shared" si="13"/>
        <v>141</v>
      </c>
      <c r="E93" s="1409">
        <f t="shared" si="14"/>
        <v>141</v>
      </c>
      <c r="G93" s="1201" t="str">
        <f>BS!A21</f>
        <v xml:space="preserve">Payable to Central Depository Company of Pakistan Limited - </v>
      </c>
      <c r="H93" s="1211"/>
      <c r="K93" s="1028" t="s">
        <v>821</v>
      </c>
      <c r="L93" s="383" t="s">
        <v>822</v>
      </c>
      <c r="M93" s="905">
        <v>0</v>
      </c>
      <c r="N93" s="905">
        <v>236461597.28999999</v>
      </c>
      <c r="O93" s="1963">
        <f t="shared" si="8"/>
        <v>0</v>
      </c>
      <c r="P93" s="1963">
        <f t="shared" si="9"/>
        <v>236462</v>
      </c>
      <c r="S93" s="1210">
        <f t="shared" si="15"/>
        <v>236323</v>
      </c>
    </row>
    <row r="94" spans="1:19" ht="15.6">
      <c r="A94" s="1205" t="s">
        <v>782</v>
      </c>
      <c r="B94" s="1200" t="s">
        <v>783</v>
      </c>
      <c r="C94" s="1200">
        <f t="shared" si="12"/>
        <v>0</v>
      </c>
      <c r="D94" s="1200">
        <f t="shared" si="13"/>
        <v>3933</v>
      </c>
      <c r="E94" s="1409">
        <f t="shared" si="14"/>
        <v>3933</v>
      </c>
      <c r="G94" s="1201" t="str">
        <f>BS!A22</f>
        <v>Trustee</v>
      </c>
      <c r="H94" s="1211">
        <f>D95+D93</f>
        <v>1223</v>
      </c>
      <c r="K94" s="1028" t="s">
        <v>3240</v>
      </c>
      <c r="L94" s="383" t="s">
        <v>3241</v>
      </c>
      <c r="M94" s="905">
        <v>0</v>
      </c>
      <c r="N94" s="905">
        <v>984485000</v>
      </c>
      <c r="O94" s="1963">
        <f t="shared" si="8"/>
        <v>0</v>
      </c>
      <c r="P94" s="1963">
        <f t="shared" si="9"/>
        <v>984485</v>
      </c>
      <c r="S94" s="1210">
        <f t="shared" si="15"/>
        <v>984162</v>
      </c>
    </row>
    <row r="95" spans="1:19" ht="15.6">
      <c r="A95" s="1205" t="s">
        <v>768</v>
      </c>
      <c r="B95" s="1200" t="s">
        <v>769</v>
      </c>
      <c r="C95" s="1200">
        <f t="shared" si="12"/>
        <v>0</v>
      </c>
      <c r="D95" s="1200">
        <f t="shared" si="13"/>
        <v>1082</v>
      </c>
      <c r="E95" s="1409">
        <f t="shared" si="14"/>
        <v>1082</v>
      </c>
      <c r="G95" s="1201" t="str">
        <f>BS!A23</f>
        <v xml:space="preserve">Payable to the Securities and Exchange Commission of Pakistan </v>
      </c>
      <c r="H95" s="1211">
        <f>D97</f>
        <v>629</v>
      </c>
      <c r="K95" s="1028" t="s">
        <v>784</v>
      </c>
      <c r="L95" s="383" t="s">
        <v>165</v>
      </c>
      <c r="M95" s="905">
        <v>0</v>
      </c>
      <c r="N95" s="905">
        <v>385569.98</v>
      </c>
      <c r="O95" s="1963">
        <f t="shared" si="8"/>
        <v>0</v>
      </c>
      <c r="P95" s="1963">
        <f t="shared" si="9"/>
        <v>386</v>
      </c>
      <c r="S95" s="1210">
        <f t="shared" si="15"/>
        <v>-181</v>
      </c>
    </row>
    <row r="96" spans="1:19" ht="15.6">
      <c r="A96" s="1205" t="s">
        <v>770</v>
      </c>
      <c r="B96" s="1200" t="s">
        <v>771</v>
      </c>
      <c r="C96" s="1200">
        <f t="shared" si="12"/>
        <v>0</v>
      </c>
      <c r="D96" s="1200">
        <f t="shared" si="13"/>
        <v>5</v>
      </c>
      <c r="E96" s="1409">
        <f t="shared" si="14"/>
        <v>5</v>
      </c>
      <c r="G96" s="1201" t="str">
        <f>BS!A24</f>
        <v>Payable against purchase of investments</v>
      </c>
      <c r="H96" s="1211">
        <f>D98+D99</f>
        <v>1220947</v>
      </c>
      <c r="K96" s="1028" t="s">
        <v>785</v>
      </c>
      <c r="L96" s="383" t="s">
        <v>786</v>
      </c>
      <c r="M96" s="905">
        <v>0</v>
      </c>
      <c r="N96" s="905">
        <v>40396.300000000003</v>
      </c>
      <c r="O96" s="1963">
        <f t="shared" si="8"/>
        <v>0</v>
      </c>
      <c r="P96" s="1963">
        <f t="shared" si="9"/>
        <v>40</v>
      </c>
      <c r="S96" s="1210">
        <f t="shared" si="15"/>
        <v>-1455</v>
      </c>
    </row>
    <row r="97" spans="1:19" ht="15.6">
      <c r="A97" s="1205" t="s">
        <v>772</v>
      </c>
      <c r="B97" s="1200" t="s">
        <v>773</v>
      </c>
      <c r="C97" s="1200">
        <f t="shared" si="12"/>
        <v>0</v>
      </c>
      <c r="D97" s="1200">
        <f t="shared" si="13"/>
        <v>629</v>
      </c>
      <c r="E97" s="1409">
        <f t="shared" si="14"/>
        <v>629</v>
      </c>
      <c r="F97" s="1407">
        <f>E94+E92</f>
        <v>58707</v>
      </c>
      <c r="G97" s="1201" t="str">
        <f>BS!A26</f>
        <v>Accrued expenses and other liabilities</v>
      </c>
      <c r="H97" s="1211">
        <f>SUM(D89:D124)-H92-H94-H95-H96-(SUM(C89:C124))-H98</f>
        <v>78755</v>
      </c>
      <c r="K97" s="1028" t="s">
        <v>787</v>
      </c>
      <c r="L97" s="383" t="s">
        <v>788</v>
      </c>
      <c r="M97" s="905">
        <v>0</v>
      </c>
      <c r="N97" s="905">
        <v>132770</v>
      </c>
      <c r="O97" s="1963">
        <f t="shared" si="8"/>
        <v>0</v>
      </c>
      <c r="P97" s="1963">
        <f t="shared" si="9"/>
        <v>133</v>
      </c>
      <c r="S97" s="1210">
        <f t="shared" si="15"/>
        <v>-2117</v>
      </c>
    </row>
    <row r="98" spans="1:19" ht="15.6">
      <c r="A98" s="1205" t="s">
        <v>821</v>
      </c>
      <c r="B98" s="1200" t="s">
        <v>822</v>
      </c>
      <c r="C98" s="1200">
        <f t="shared" si="12"/>
        <v>0</v>
      </c>
      <c r="D98" s="1200">
        <f t="shared" si="13"/>
        <v>236462</v>
      </c>
      <c r="E98" s="1409">
        <f t="shared" si="14"/>
        <v>236462</v>
      </c>
      <c r="G98" s="1201" t="str">
        <f>BS!A25</f>
        <v>Payable against redemption of units</v>
      </c>
      <c r="H98" s="1210">
        <f>D100</f>
        <v>0</v>
      </c>
      <c r="K98" s="1028" t="s">
        <v>789</v>
      </c>
      <c r="L98" s="383" t="s">
        <v>790</v>
      </c>
      <c r="M98" s="905">
        <v>0</v>
      </c>
      <c r="N98" s="905">
        <v>138632</v>
      </c>
      <c r="O98" s="1963">
        <f t="shared" si="8"/>
        <v>0</v>
      </c>
      <c r="P98" s="1963">
        <f t="shared" si="9"/>
        <v>139</v>
      </c>
      <c r="S98" s="1210">
        <f t="shared" si="15"/>
        <v>-1494</v>
      </c>
    </row>
    <row r="99" spans="1:19" ht="15.6">
      <c r="A99" s="1205" t="s">
        <v>3240</v>
      </c>
      <c r="B99" s="1200" t="s">
        <v>3241</v>
      </c>
      <c r="C99" s="1200">
        <f t="shared" ref="C99" si="16">VLOOKUP(A99,$K$7:$P$166,5,0)</f>
        <v>0</v>
      </c>
      <c r="D99" s="1200">
        <f t="shared" ref="D99" si="17">VLOOKUP(A99,$K$7:$P$166,6,0)</f>
        <v>984485</v>
      </c>
      <c r="E99" s="1409">
        <f t="shared" si="14"/>
        <v>984485</v>
      </c>
      <c r="H99" s="1211">
        <f>SUM(H92:H98)</f>
        <v>1367020</v>
      </c>
      <c r="K99" s="1028" t="s">
        <v>791</v>
      </c>
      <c r="L99" s="383" t="s">
        <v>792</v>
      </c>
      <c r="M99" s="905">
        <v>0</v>
      </c>
      <c r="N99" s="905">
        <v>322594</v>
      </c>
      <c r="O99" s="1963">
        <f t="shared" si="8"/>
        <v>0</v>
      </c>
      <c r="P99" s="1963">
        <f t="shared" si="9"/>
        <v>323</v>
      </c>
      <c r="S99" s="1210">
        <f t="shared" si="15"/>
        <v>-1049</v>
      </c>
    </row>
    <row r="100" spans="1:19" ht="15.6">
      <c r="A100" s="1205"/>
      <c r="B100" s="1200"/>
      <c r="C100" s="1200"/>
      <c r="D100" s="1200"/>
      <c r="E100" s="1409">
        <f t="shared" si="14"/>
        <v>0</v>
      </c>
      <c r="G100" s="1210">
        <f>C100-D99</f>
        <v>-984485</v>
      </c>
      <c r="K100" s="1028" t="s">
        <v>793</v>
      </c>
      <c r="L100" s="383" t="s">
        <v>794</v>
      </c>
      <c r="M100" s="905">
        <v>0</v>
      </c>
      <c r="N100" s="905">
        <v>566948</v>
      </c>
      <c r="O100" s="1963">
        <f t="shared" si="8"/>
        <v>0</v>
      </c>
      <c r="P100" s="1963">
        <f t="shared" si="9"/>
        <v>567</v>
      </c>
      <c r="S100" s="1210"/>
    </row>
    <row r="101" spans="1:19" ht="15.6">
      <c r="A101" s="1205" t="s">
        <v>784</v>
      </c>
      <c r="B101" s="1200" t="s">
        <v>165</v>
      </c>
      <c r="C101" s="1200">
        <f t="shared" si="12"/>
        <v>0</v>
      </c>
      <c r="D101" s="1200">
        <f t="shared" si="13"/>
        <v>386</v>
      </c>
      <c r="E101" s="1409">
        <f t="shared" si="14"/>
        <v>386</v>
      </c>
      <c r="K101" s="1028" t="s">
        <v>795</v>
      </c>
      <c r="L101" s="383" t="s">
        <v>796</v>
      </c>
      <c r="M101" s="905">
        <v>0</v>
      </c>
      <c r="N101" s="905">
        <v>1495053</v>
      </c>
      <c r="O101" s="1963">
        <f t="shared" si="8"/>
        <v>0</v>
      </c>
      <c r="P101" s="1963">
        <f t="shared" si="9"/>
        <v>1495</v>
      </c>
      <c r="S101" s="1210">
        <f>+P101-D113</f>
        <v>-5969</v>
      </c>
    </row>
    <row r="102" spans="1:19" ht="15.6">
      <c r="A102" s="1205" t="s">
        <v>785</v>
      </c>
      <c r="B102" s="1200" t="s">
        <v>786</v>
      </c>
      <c r="C102" s="1200">
        <f t="shared" si="12"/>
        <v>0</v>
      </c>
      <c r="D102" s="1200">
        <f t="shared" si="13"/>
        <v>40</v>
      </c>
      <c r="E102" s="1409">
        <f t="shared" si="14"/>
        <v>40</v>
      </c>
      <c r="K102" s="1028" t="s">
        <v>797</v>
      </c>
      <c r="L102" s="383" t="s">
        <v>798</v>
      </c>
      <c r="M102" s="905">
        <v>0</v>
      </c>
      <c r="N102" s="905">
        <v>2249956</v>
      </c>
      <c r="O102" s="1963">
        <f t="shared" si="8"/>
        <v>0</v>
      </c>
      <c r="P102" s="1963">
        <f t="shared" si="9"/>
        <v>2250</v>
      </c>
      <c r="S102" s="1210">
        <f>+P102-D114</f>
        <v>2248</v>
      </c>
    </row>
    <row r="103" spans="1:19" ht="15.6">
      <c r="A103" s="1205" t="s">
        <v>787</v>
      </c>
      <c r="B103" s="1200" t="s">
        <v>788</v>
      </c>
      <c r="C103" s="1200">
        <f t="shared" si="12"/>
        <v>0</v>
      </c>
      <c r="D103" s="1200">
        <f t="shared" si="13"/>
        <v>133</v>
      </c>
      <c r="E103" s="1409">
        <f t="shared" si="14"/>
        <v>133</v>
      </c>
      <c r="K103" s="1028" t="s">
        <v>799</v>
      </c>
      <c r="L103" s="383" t="s">
        <v>800</v>
      </c>
      <c r="M103" s="905">
        <v>0</v>
      </c>
      <c r="N103" s="905">
        <v>1633081</v>
      </c>
      <c r="O103" s="1963">
        <f t="shared" si="8"/>
        <v>0</v>
      </c>
      <c r="P103" s="1963">
        <f t="shared" si="9"/>
        <v>1633</v>
      </c>
      <c r="S103" s="1210">
        <f>+P103-D115</f>
        <v>1633</v>
      </c>
    </row>
    <row r="104" spans="1:19" ht="15.6">
      <c r="A104" s="1205" t="s">
        <v>789</v>
      </c>
      <c r="B104" s="1200" t="s">
        <v>790</v>
      </c>
      <c r="C104" s="1200">
        <f t="shared" si="12"/>
        <v>0</v>
      </c>
      <c r="D104" s="1200">
        <f t="shared" si="13"/>
        <v>139</v>
      </c>
      <c r="E104" s="1409">
        <f t="shared" si="14"/>
        <v>139</v>
      </c>
      <c r="K104" s="1028" t="s">
        <v>801</v>
      </c>
      <c r="L104" s="383" t="s">
        <v>802</v>
      </c>
      <c r="M104" s="905">
        <v>0</v>
      </c>
      <c r="N104" s="905">
        <v>1372372</v>
      </c>
      <c r="O104" s="1963">
        <f t="shared" si="8"/>
        <v>0</v>
      </c>
      <c r="P104" s="1963">
        <f t="shared" si="9"/>
        <v>1372</v>
      </c>
      <c r="S104" s="1210">
        <f>+P104-D116</f>
        <v>1372</v>
      </c>
    </row>
    <row r="105" spans="1:19" ht="15.6">
      <c r="A105" s="1205" t="s">
        <v>791</v>
      </c>
      <c r="B105" s="1200" t="s">
        <v>792</v>
      </c>
      <c r="C105" s="1200">
        <f t="shared" si="12"/>
        <v>0</v>
      </c>
      <c r="D105" s="1200">
        <f t="shared" si="13"/>
        <v>323</v>
      </c>
      <c r="E105" s="1409">
        <f t="shared" si="14"/>
        <v>323</v>
      </c>
      <c r="K105" s="1028" t="s">
        <v>803</v>
      </c>
      <c r="L105" s="383" t="s">
        <v>804</v>
      </c>
      <c r="M105" s="905">
        <v>0</v>
      </c>
      <c r="N105" s="905">
        <v>1368048</v>
      </c>
      <c r="O105" s="1963">
        <f t="shared" si="8"/>
        <v>0</v>
      </c>
      <c r="P105" s="1963">
        <f t="shared" si="9"/>
        <v>1368</v>
      </c>
    </row>
    <row r="106" spans="1:19" ht="15.6">
      <c r="A106" s="1205" t="s">
        <v>793</v>
      </c>
      <c r="B106" s="1200" t="s">
        <v>794</v>
      </c>
      <c r="C106" s="1200">
        <f t="shared" si="12"/>
        <v>0</v>
      </c>
      <c r="D106" s="1200">
        <f t="shared" si="13"/>
        <v>567</v>
      </c>
      <c r="E106" s="1409">
        <f t="shared" si="14"/>
        <v>567</v>
      </c>
      <c r="K106" s="1028" t="s">
        <v>2783</v>
      </c>
      <c r="L106" s="383" t="s">
        <v>2784</v>
      </c>
      <c r="M106" s="905">
        <v>0</v>
      </c>
      <c r="N106" s="905">
        <v>402008</v>
      </c>
      <c r="O106" s="1963">
        <f t="shared" si="8"/>
        <v>0</v>
      </c>
      <c r="P106" s="1963">
        <f t="shared" si="9"/>
        <v>402</v>
      </c>
    </row>
    <row r="107" spans="1:19" ht="15.6">
      <c r="A107" s="1205" t="s">
        <v>795</v>
      </c>
      <c r="B107" s="1200" t="s">
        <v>796</v>
      </c>
      <c r="C107" s="1200">
        <f t="shared" si="12"/>
        <v>0</v>
      </c>
      <c r="D107" s="1200">
        <f t="shared" si="13"/>
        <v>1495</v>
      </c>
      <c r="E107" s="1409">
        <f t="shared" si="14"/>
        <v>1495</v>
      </c>
      <c r="K107" s="1028" t="s">
        <v>805</v>
      </c>
      <c r="L107" s="383" t="s">
        <v>806</v>
      </c>
      <c r="M107" s="905">
        <v>0</v>
      </c>
      <c r="N107" s="905">
        <v>7464391.3799999999</v>
      </c>
      <c r="O107" s="1963">
        <f t="shared" si="8"/>
        <v>0</v>
      </c>
      <c r="P107" s="1963">
        <f t="shared" si="9"/>
        <v>7464</v>
      </c>
    </row>
    <row r="108" spans="1:19" ht="15.6">
      <c r="A108" s="1205" t="s">
        <v>797</v>
      </c>
      <c r="B108" s="1200" t="s">
        <v>798</v>
      </c>
      <c r="C108" s="1200">
        <f t="shared" si="12"/>
        <v>0</v>
      </c>
      <c r="D108" s="1200">
        <f t="shared" si="13"/>
        <v>2250</v>
      </c>
      <c r="E108" s="1409">
        <f t="shared" si="14"/>
        <v>2250</v>
      </c>
      <c r="K108" s="1028" t="s">
        <v>807</v>
      </c>
      <c r="L108" s="383" t="s">
        <v>808</v>
      </c>
      <c r="M108" s="905">
        <v>0</v>
      </c>
      <c r="N108" s="905">
        <v>2189</v>
      </c>
      <c r="O108" s="1963">
        <f t="shared" si="8"/>
        <v>0</v>
      </c>
      <c r="P108" s="1963">
        <f t="shared" si="9"/>
        <v>2</v>
      </c>
    </row>
    <row r="109" spans="1:19" ht="15.6">
      <c r="A109" s="1205" t="s">
        <v>799</v>
      </c>
      <c r="B109" s="1200" t="s">
        <v>800</v>
      </c>
      <c r="C109" s="1200">
        <f t="shared" si="12"/>
        <v>0</v>
      </c>
      <c r="D109" s="1200">
        <f t="shared" si="13"/>
        <v>1633</v>
      </c>
      <c r="E109" s="1409">
        <f t="shared" si="14"/>
        <v>1633</v>
      </c>
      <c r="K109" s="1028" t="s">
        <v>809</v>
      </c>
      <c r="L109" s="383" t="s">
        <v>810</v>
      </c>
      <c r="M109" s="905">
        <v>1807</v>
      </c>
      <c r="N109" s="905">
        <v>0</v>
      </c>
      <c r="O109" s="1963">
        <f t="shared" si="8"/>
        <v>2</v>
      </c>
      <c r="P109" s="1963">
        <f t="shared" si="9"/>
        <v>0</v>
      </c>
    </row>
    <row r="110" spans="1:19" ht="15.6">
      <c r="A110" s="1205" t="s">
        <v>801</v>
      </c>
      <c r="B110" s="1200" t="s">
        <v>802</v>
      </c>
      <c r="C110" s="1200">
        <f t="shared" si="12"/>
        <v>0</v>
      </c>
      <c r="D110" s="1200">
        <f t="shared" si="13"/>
        <v>1372</v>
      </c>
      <c r="E110" s="1409">
        <f t="shared" si="14"/>
        <v>1372</v>
      </c>
      <c r="K110" s="1028" t="s">
        <v>823</v>
      </c>
      <c r="L110" s="383" t="s">
        <v>101</v>
      </c>
      <c r="M110" s="905">
        <v>0</v>
      </c>
      <c r="N110" s="905">
        <v>890224</v>
      </c>
      <c r="O110" s="1963">
        <f t="shared" si="8"/>
        <v>0</v>
      </c>
      <c r="P110" s="1963">
        <f t="shared" si="9"/>
        <v>890</v>
      </c>
    </row>
    <row r="111" spans="1:19" ht="15.6">
      <c r="A111" s="1205" t="s">
        <v>803</v>
      </c>
      <c r="B111" s="1200" t="s">
        <v>804</v>
      </c>
      <c r="C111" s="1200">
        <f t="shared" si="12"/>
        <v>0</v>
      </c>
      <c r="D111" s="1200">
        <f t="shared" si="13"/>
        <v>1368</v>
      </c>
      <c r="E111" s="1409">
        <f t="shared" si="14"/>
        <v>1368</v>
      </c>
      <c r="F111" s="1407">
        <f>SUM(D102:D112)</f>
        <v>9722</v>
      </c>
      <c r="K111" s="1028" t="s">
        <v>811</v>
      </c>
      <c r="L111" s="383" t="s">
        <v>812</v>
      </c>
      <c r="M111" s="905">
        <v>0</v>
      </c>
      <c r="N111" s="905">
        <v>992546.38</v>
      </c>
      <c r="O111" s="1963">
        <f t="shared" si="8"/>
        <v>0</v>
      </c>
      <c r="P111" s="1963">
        <f t="shared" si="9"/>
        <v>993</v>
      </c>
    </row>
    <row r="112" spans="1:19" ht="15.6">
      <c r="A112" s="1205" t="s">
        <v>2783</v>
      </c>
      <c r="B112" s="1200" t="s">
        <v>2784</v>
      </c>
      <c r="C112" s="1200">
        <f t="shared" si="12"/>
        <v>0</v>
      </c>
      <c r="D112" s="1200">
        <f t="shared" si="13"/>
        <v>402</v>
      </c>
      <c r="E112" s="1409">
        <f t="shared" si="14"/>
        <v>402</v>
      </c>
      <c r="K112" s="1028" t="s">
        <v>813</v>
      </c>
      <c r="L112" s="383" t="s">
        <v>814</v>
      </c>
      <c r="M112" s="905">
        <v>1044293</v>
      </c>
      <c r="N112" s="905">
        <v>0</v>
      </c>
      <c r="O112" s="1963">
        <f t="shared" si="8"/>
        <v>1044</v>
      </c>
      <c r="P112" s="1963">
        <f t="shared" si="9"/>
        <v>0</v>
      </c>
    </row>
    <row r="113" spans="1:18" ht="15.6">
      <c r="A113" s="1205" t="s">
        <v>805</v>
      </c>
      <c r="B113" s="1200" t="s">
        <v>806</v>
      </c>
      <c r="C113" s="1200">
        <f t="shared" si="12"/>
        <v>0</v>
      </c>
      <c r="D113" s="1200">
        <f t="shared" si="13"/>
        <v>7464</v>
      </c>
      <c r="E113" s="1409">
        <f t="shared" si="14"/>
        <v>7464</v>
      </c>
      <c r="K113" s="1028" t="s">
        <v>815</v>
      </c>
      <c r="L113" s="383" t="s">
        <v>816</v>
      </c>
      <c r="M113" s="905">
        <v>0</v>
      </c>
      <c r="N113" s="905">
        <v>1044293</v>
      </c>
      <c r="O113" s="1963">
        <f t="shared" si="8"/>
        <v>0</v>
      </c>
      <c r="P113" s="1963">
        <f t="shared" si="9"/>
        <v>1044</v>
      </c>
    </row>
    <row r="114" spans="1:18" ht="15.6">
      <c r="A114" s="1205" t="s">
        <v>807</v>
      </c>
      <c r="B114" s="1200" t="s">
        <v>808</v>
      </c>
      <c r="C114" s="1200">
        <f t="shared" si="12"/>
        <v>0</v>
      </c>
      <c r="D114" s="1200">
        <f t="shared" si="13"/>
        <v>2</v>
      </c>
      <c r="E114" s="1409">
        <f t="shared" si="14"/>
        <v>2</v>
      </c>
      <c r="F114" s="1407">
        <f>E113+E114-C115</f>
        <v>7464</v>
      </c>
      <c r="K114" s="1028" t="s">
        <v>817</v>
      </c>
      <c r="L114" s="383" t="s">
        <v>818</v>
      </c>
      <c r="M114" s="905">
        <v>0</v>
      </c>
      <c r="N114" s="905">
        <v>523021.02</v>
      </c>
      <c r="O114" s="1963">
        <f t="shared" si="8"/>
        <v>0</v>
      </c>
      <c r="P114" s="1963">
        <f t="shared" si="9"/>
        <v>523</v>
      </c>
    </row>
    <row r="115" spans="1:18" ht="15.6">
      <c r="A115" s="1205" t="s">
        <v>809</v>
      </c>
      <c r="B115" s="1200" t="s">
        <v>810</v>
      </c>
      <c r="C115" s="1200">
        <f t="shared" si="12"/>
        <v>2</v>
      </c>
      <c r="D115" s="1200">
        <f t="shared" si="13"/>
        <v>0</v>
      </c>
      <c r="E115" s="1409">
        <f t="shared" si="14"/>
        <v>0</v>
      </c>
      <c r="K115" s="1028" t="s">
        <v>776</v>
      </c>
      <c r="L115" s="383" t="s">
        <v>777</v>
      </c>
      <c r="M115" s="905">
        <v>0</v>
      </c>
      <c r="N115" s="905">
        <v>65143.37</v>
      </c>
      <c r="O115" s="1963">
        <f t="shared" si="8"/>
        <v>0</v>
      </c>
      <c r="P115" s="1963">
        <f t="shared" si="9"/>
        <v>65</v>
      </c>
    </row>
    <row r="116" spans="1:18" ht="15.6">
      <c r="A116" s="1205"/>
      <c r="B116" s="1200"/>
      <c r="C116" s="1200"/>
      <c r="D116" s="1200"/>
      <c r="E116" s="1409">
        <f t="shared" si="14"/>
        <v>0</v>
      </c>
      <c r="K116" s="1028" t="s">
        <v>778</v>
      </c>
      <c r="L116" s="383" t="s">
        <v>779</v>
      </c>
      <c r="M116" s="905">
        <v>0</v>
      </c>
      <c r="N116" s="905">
        <v>999383.08000000007</v>
      </c>
      <c r="O116" s="1963">
        <f t="shared" si="8"/>
        <v>0</v>
      </c>
      <c r="P116" s="1963">
        <f t="shared" si="9"/>
        <v>999</v>
      </c>
    </row>
    <row r="117" spans="1:18" ht="15.6">
      <c r="A117" s="1205" t="s">
        <v>823</v>
      </c>
      <c r="B117" s="1200" t="s">
        <v>101</v>
      </c>
      <c r="C117" s="1200">
        <f t="shared" si="12"/>
        <v>0</v>
      </c>
      <c r="D117" s="1200">
        <f t="shared" si="13"/>
        <v>890</v>
      </c>
      <c r="E117" s="1409">
        <f t="shared" si="14"/>
        <v>890</v>
      </c>
      <c r="K117" s="1028" t="s">
        <v>1121</v>
      </c>
      <c r="L117" s="383" t="s">
        <v>1137</v>
      </c>
      <c r="M117" s="905">
        <v>0</v>
      </c>
      <c r="N117" s="905">
        <v>40872213.350000001</v>
      </c>
      <c r="O117" s="1963">
        <f t="shared" si="8"/>
        <v>0</v>
      </c>
      <c r="P117" s="1963">
        <f t="shared" si="9"/>
        <v>40872</v>
      </c>
    </row>
    <row r="118" spans="1:18" ht="15.6">
      <c r="A118" s="1205" t="s">
        <v>811</v>
      </c>
      <c r="B118" s="1200" t="s">
        <v>812</v>
      </c>
      <c r="C118" s="1200">
        <f t="shared" si="12"/>
        <v>0</v>
      </c>
      <c r="D118" s="1200">
        <f t="shared" si="13"/>
        <v>993</v>
      </c>
      <c r="E118" s="1409">
        <f t="shared" si="14"/>
        <v>993</v>
      </c>
      <c r="F118" s="1407">
        <f>+D118+D119+D120-C119</f>
        <v>993</v>
      </c>
      <c r="K118" s="1028" t="s">
        <v>845</v>
      </c>
      <c r="L118" s="383" t="s">
        <v>846</v>
      </c>
      <c r="M118" s="905">
        <v>22878718.280000001</v>
      </c>
      <c r="N118" s="905">
        <v>0</v>
      </c>
      <c r="O118" s="1963">
        <f t="shared" si="8"/>
        <v>22879</v>
      </c>
      <c r="P118" s="1963">
        <f t="shared" si="9"/>
        <v>0</v>
      </c>
      <c r="Q118" s="1210">
        <f t="shared" ref="Q118:Q128" si="18">+P118-D133</f>
        <v>-1265</v>
      </c>
      <c r="R118" s="1200" t="s">
        <v>889</v>
      </c>
    </row>
    <row r="119" spans="1:18" ht="15.6">
      <c r="A119" s="1205" t="s">
        <v>813</v>
      </c>
      <c r="B119" s="1200" t="s">
        <v>814</v>
      </c>
      <c r="C119" s="1200">
        <f t="shared" si="12"/>
        <v>1044</v>
      </c>
      <c r="D119" s="1200">
        <f t="shared" si="13"/>
        <v>0</v>
      </c>
      <c r="E119" s="1409">
        <f t="shared" si="14"/>
        <v>0</v>
      </c>
      <c r="K119" s="1028" t="s">
        <v>855</v>
      </c>
      <c r="L119" s="383" t="s">
        <v>856</v>
      </c>
      <c r="M119" s="905">
        <v>2327500</v>
      </c>
      <c r="N119" s="905">
        <v>0</v>
      </c>
      <c r="O119" s="1963">
        <f t="shared" si="8"/>
        <v>2328</v>
      </c>
      <c r="P119" s="1963">
        <f t="shared" si="9"/>
        <v>0</v>
      </c>
      <c r="Q119" s="1210">
        <f t="shared" si="18"/>
        <v>-5</v>
      </c>
      <c r="R119" s="1200" t="s">
        <v>891</v>
      </c>
    </row>
    <row r="120" spans="1:18" ht="15.6">
      <c r="A120" s="1205" t="s">
        <v>815</v>
      </c>
      <c r="B120" s="1200" t="s">
        <v>816</v>
      </c>
      <c r="C120" s="1200">
        <f t="shared" si="12"/>
        <v>0</v>
      </c>
      <c r="D120" s="1200">
        <f t="shared" si="13"/>
        <v>1044</v>
      </c>
      <c r="E120" s="1409">
        <f t="shared" si="14"/>
        <v>1044</v>
      </c>
      <c r="K120" s="1028" t="s">
        <v>906</v>
      </c>
      <c r="L120" s="383" t="s">
        <v>142</v>
      </c>
      <c r="M120" s="905">
        <v>0</v>
      </c>
      <c r="N120" s="905">
        <v>175818017.25</v>
      </c>
      <c r="O120" s="1963">
        <f t="shared" si="8"/>
        <v>0</v>
      </c>
      <c r="P120" s="1963">
        <f t="shared" si="9"/>
        <v>175818</v>
      </c>
      <c r="Q120" s="1210">
        <f t="shared" si="18"/>
        <v>175751</v>
      </c>
      <c r="R120" s="1200" t="s">
        <v>893</v>
      </c>
    </row>
    <row r="121" spans="1:18" ht="15.6">
      <c r="A121" s="1205" t="s">
        <v>817</v>
      </c>
      <c r="B121" s="1200" t="s">
        <v>818</v>
      </c>
      <c r="C121" s="1200">
        <f t="shared" si="12"/>
        <v>0</v>
      </c>
      <c r="D121" s="1200">
        <f t="shared" si="13"/>
        <v>523</v>
      </c>
      <c r="E121" s="1409">
        <f t="shared" si="14"/>
        <v>523</v>
      </c>
      <c r="K121" s="1028" t="s">
        <v>847</v>
      </c>
      <c r="L121" s="383" t="s">
        <v>848</v>
      </c>
      <c r="M121" s="905">
        <v>813833175.67999995</v>
      </c>
      <c r="N121" s="905">
        <v>0</v>
      </c>
      <c r="O121" s="1963">
        <f t="shared" si="8"/>
        <v>813833</v>
      </c>
      <c r="P121" s="1963">
        <f t="shared" si="9"/>
        <v>0</v>
      </c>
      <c r="Q121" s="1210">
        <f t="shared" si="18"/>
        <v>-65</v>
      </c>
      <c r="R121" s="1200" t="s">
        <v>895</v>
      </c>
    </row>
    <row r="122" spans="1:18" ht="15.6">
      <c r="A122" s="1205" t="s">
        <v>776</v>
      </c>
      <c r="B122" s="1200" t="s">
        <v>777</v>
      </c>
      <c r="C122" s="1200">
        <f t="shared" si="12"/>
        <v>0</v>
      </c>
      <c r="D122" s="1200">
        <f t="shared" si="13"/>
        <v>65</v>
      </c>
      <c r="E122" s="1409">
        <f t="shared" si="14"/>
        <v>65</v>
      </c>
      <c r="K122" s="1028" t="s">
        <v>888</v>
      </c>
      <c r="L122" s="383" t="s">
        <v>889</v>
      </c>
      <c r="M122" s="905">
        <v>0</v>
      </c>
      <c r="N122" s="905">
        <v>1264618.6600000001</v>
      </c>
      <c r="O122" s="1963">
        <f t="shared" si="8"/>
        <v>0</v>
      </c>
      <c r="P122" s="1963">
        <f t="shared" si="9"/>
        <v>1265</v>
      </c>
      <c r="Q122" s="1210">
        <f t="shared" si="18"/>
        <v>-5497</v>
      </c>
      <c r="R122" s="1200" t="s">
        <v>1152</v>
      </c>
    </row>
    <row r="123" spans="1:18" ht="15.6">
      <c r="A123" s="1205" t="s">
        <v>778</v>
      </c>
      <c r="B123" s="1200" t="s">
        <v>779</v>
      </c>
      <c r="C123" s="1200">
        <f t="shared" si="12"/>
        <v>0</v>
      </c>
      <c r="D123" s="1200">
        <f t="shared" si="13"/>
        <v>999</v>
      </c>
      <c r="E123" s="1409">
        <f t="shared" si="14"/>
        <v>999</v>
      </c>
      <c r="K123" s="1028" t="s">
        <v>890</v>
      </c>
      <c r="L123" s="383" t="s">
        <v>891</v>
      </c>
      <c r="M123" s="905">
        <v>0</v>
      </c>
      <c r="N123" s="905">
        <v>5136.05</v>
      </c>
      <c r="O123" s="1963">
        <f t="shared" si="8"/>
        <v>0</v>
      </c>
      <c r="P123" s="1963">
        <f t="shared" si="9"/>
        <v>5</v>
      </c>
      <c r="Q123" s="1210">
        <f t="shared" si="18"/>
        <v>5</v>
      </c>
      <c r="R123" s="1200" t="s">
        <v>897</v>
      </c>
    </row>
    <row r="124" spans="1:18" ht="15.6">
      <c r="A124" s="1205" t="s">
        <v>1121</v>
      </c>
      <c r="B124" s="1200" t="s">
        <v>1137</v>
      </c>
      <c r="C124" s="1200">
        <f t="shared" si="12"/>
        <v>0</v>
      </c>
      <c r="D124" s="1200">
        <f t="shared" si="13"/>
        <v>40872</v>
      </c>
      <c r="E124" s="1409">
        <f t="shared" si="14"/>
        <v>40872</v>
      </c>
      <c r="F124" s="1407">
        <f>+D96</f>
        <v>5</v>
      </c>
      <c r="K124" s="1028" t="s">
        <v>892</v>
      </c>
      <c r="L124" s="383" t="s">
        <v>893</v>
      </c>
      <c r="M124" s="905">
        <v>0</v>
      </c>
      <c r="N124" s="905">
        <v>66554.559999999998</v>
      </c>
      <c r="O124" s="1963">
        <f t="shared" si="8"/>
        <v>0</v>
      </c>
      <c r="P124" s="1963">
        <f t="shared" si="9"/>
        <v>67</v>
      </c>
      <c r="Q124" s="1210">
        <f t="shared" si="18"/>
        <v>67</v>
      </c>
      <c r="R124" s="1200" t="s">
        <v>899</v>
      </c>
    </row>
    <row r="125" spans="1:18" ht="15.6">
      <c r="A125" s="1205"/>
      <c r="B125" s="1200"/>
      <c r="C125" s="1200"/>
      <c r="D125" s="1200"/>
      <c r="K125" s="1028" t="s">
        <v>894</v>
      </c>
      <c r="L125" s="383" t="s">
        <v>895</v>
      </c>
      <c r="M125" s="905">
        <v>0</v>
      </c>
      <c r="N125" s="905">
        <v>65268.26</v>
      </c>
      <c r="O125" s="1963">
        <f t="shared" si="8"/>
        <v>0</v>
      </c>
      <c r="P125" s="1963">
        <f t="shared" si="9"/>
        <v>65</v>
      </c>
      <c r="Q125" s="1210">
        <f t="shared" si="18"/>
        <v>58</v>
      </c>
      <c r="R125" s="1200" t="s">
        <v>1139</v>
      </c>
    </row>
    <row r="126" spans="1:18" ht="16.2" thickBot="1">
      <c r="A126" s="1205"/>
      <c r="B126" s="1200"/>
      <c r="C126" s="1200"/>
      <c r="D126" s="1200"/>
      <c r="K126" s="1028" t="s">
        <v>1151</v>
      </c>
      <c r="L126" s="383" t="s">
        <v>1152</v>
      </c>
      <c r="M126" s="905">
        <v>0</v>
      </c>
      <c r="N126" s="905">
        <v>6762378.2599999998</v>
      </c>
      <c r="O126" s="1963">
        <f t="shared" si="8"/>
        <v>0</v>
      </c>
      <c r="P126" s="1963">
        <f t="shared" si="9"/>
        <v>6762</v>
      </c>
      <c r="Q126" s="1210">
        <f t="shared" si="18"/>
        <v>6762</v>
      </c>
      <c r="R126" s="1200" t="s">
        <v>1140</v>
      </c>
    </row>
    <row r="127" spans="1:18" ht="16.2" thickBot="1">
      <c r="A127" s="1205"/>
      <c r="B127" s="1204" t="s">
        <v>2475</v>
      </c>
      <c r="C127" s="1200"/>
      <c r="D127" s="1200"/>
      <c r="H127" s="1201" t="str">
        <f>IS!A10</f>
        <v>(Loss) / gain on sale of investments - net</v>
      </c>
      <c r="I127" s="1210">
        <f>-C128-C129+D128+D129+1</f>
        <v>-25206</v>
      </c>
      <c r="K127" s="1028" t="s">
        <v>896</v>
      </c>
      <c r="L127" s="383" t="s">
        <v>897</v>
      </c>
      <c r="M127" s="905">
        <v>0</v>
      </c>
      <c r="N127" s="905">
        <v>264.7</v>
      </c>
      <c r="O127" s="1963">
        <f t="shared" si="8"/>
        <v>0</v>
      </c>
      <c r="P127" s="1963">
        <f t="shared" si="9"/>
        <v>0</v>
      </c>
      <c r="Q127" s="1210">
        <f t="shared" si="18"/>
        <v>0</v>
      </c>
      <c r="R127" s="1200" t="s">
        <v>2477</v>
      </c>
    </row>
    <row r="128" spans="1:18" ht="15.6">
      <c r="A128" s="1205" t="s">
        <v>845</v>
      </c>
      <c r="B128" s="1200" t="s">
        <v>846</v>
      </c>
      <c r="C128" s="1200">
        <f t="shared" ref="C128:C149" si="19">VLOOKUP(A128,$K$7:$P$166,5,0)</f>
        <v>22879</v>
      </c>
      <c r="D128" s="1200">
        <f t="shared" ref="D128:D149" si="20">VLOOKUP(A128,$K$7:$P$166,6,0)</f>
        <v>0</v>
      </c>
      <c r="F128" s="1407">
        <f>C128/1000</f>
        <v>22.879000000000001</v>
      </c>
      <c r="G128" s="1407">
        <f>F128+F129</f>
        <v>25.207000000000001</v>
      </c>
      <c r="H128" s="1201" t="str">
        <f>IS!A11</f>
        <v>Dividend income</v>
      </c>
      <c r="I128" s="1210">
        <f>D130</f>
        <v>175818</v>
      </c>
      <c r="K128" s="1028" t="s">
        <v>898</v>
      </c>
      <c r="L128" s="383" t="s">
        <v>899</v>
      </c>
      <c r="M128" s="905">
        <v>0</v>
      </c>
      <c r="N128" s="905">
        <v>141.61000000000001</v>
      </c>
      <c r="O128" s="1963">
        <f t="shared" si="8"/>
        <v>0</v>
      </c>
      <c r="P128" s="1963">
        <f t="shared" si="9"/>
        <v>0</v>
      </c>
      <c r="Q128" s="1210">
        <f t="shared" si="18"/>
        <v>0</v>
      </c>
      <c r="R128" s="1200" t="s">
        <v>2479</v>
      </c>
    </row>
    <row r="129" spans="1:17" ht="15.6">
      <c r="A129" s="1205" t="s">
        <v>855</v>
      </c>
      <c r="B129" s="1200" t="s">
        <v>856</v>
      </c>
      <c r="C129" s="1200">
        <f t="shared" si="19"/>
        <v>2328</v>
      </c>
      <c r="D129" s="1200">
        <f t="shared" si="20"/>
        <v>0</v>
      </c>
      <c r="F129" s="1407">
        <f>C129/1000</f>
        <v>2.3279999999999998</v>
      </c>
      <c r="H129" s="1201" t="str">
        <f>IS!A12</f>
        <v>Income from Government securities</v>
      </c>
      <c r="I129" s="1210" t="e">
        <f>D146</f>
        <v>#N/A</v>
      </c>
      <c r="J129" s="1211">
        <v>0</v>
      </c>
      <c r="K129" s="1028" t="s">
        <v>900</v>
      </c>
      <c r="L129" s="383" t="s">
        <v>901</v>
      </c>
      <c r="M129" s="905">
        <v>0</v>
      </c>
      <c r="N129" s="905">
        <v>7029.68</v>
      </c>
      <c r="O129" s="1963">
        <f t="shared" si="8"/>
        <v>0</v>
      </c>
      <c r="P129" s="1963">
        <f t="shared" si="9"/>
        <v>7</v>
      </c>
      <c r="Q129" s="1210" t="e">
        <f>+P129-D146</f>
        <v>#N/A</v>
      </c>
    </row>
    <row r="130" spans="1:17" ht="15.6">
      <c r="A130" s="1205" t="s">
        <v>906</v>
      </c>
      <c r="B130" s="1200" t="s">
        <v>142</v>
      </c>
      <c r="C130" s="1200">
        <f t="shared" si="19"/>
        <v>0</v>
      </c>
      <c r="D130" s="1200">
        <f t="shared" si="20"/>
        <v>175818</v>
      </c>
      <c r="F130" s="1410">
        <f>D130/1000</f>
        <v>175.81800000000001</v>
      </c>
      <c r="H130" s="1201" t="str">
        <f>IS!A13</f>
        <v>Profit on balances with banks</v>
      </c>
      <c r="I130" s="1210">
        <f>SUM(D133:D143)+D145+D144+1</f>
        <v>8201</v>
      </c>
      <c r="K130" s="1028" t="s">
        <v>1123</v>
      </c>
      <c r="L130" s="383" t="s">
        <v>1139</v>
      </c>
      <c r="M130" s="905">
        <v>0</v>
      </c>
      <c r="N130" s="905">
        <v>151.45000000000002</v>
      </c>
      <c r="O130" s="1963">
        <f t="shared" si="8"/>
        <v>0</v>
      </c>
      <c r="P130" s="1963">
        <f t="shared" si="9"/>
        <v>0</v>
      </c>
      <c r="Q130" s="1210">
        <f>+P130-D147</f>
        <v>0</v>
      </c>
    </row>
    <row r="131" spans="1:17" ht="15.6">
      <c r="A131" s="1205" t="s">
        <v>847</v>
      </c>
      <c r="B131" s="1200" t="s">
        <v>848</v>
      </c>
      <c r="C131" s="1200">
        <f t="shared" si="19"/>
        <v>813833</v>
      </c>
      <c r="D131" s="1200">
        <f t="shared" si="20"/>
        <v>0</v>
      </c>
      <c r="F131" s="1407">
        <f>C131/1000-0.5</f>
        <v>813.33299999999997</v>
      </c>
      <c r="H131" s="1201" t="str">
        <f>IS!A14</f>
        <v xml:space="preserve">Unrealised  (diminuition)  / appreciation on re-measurement of investments </v>
      </c>
      <c r="K131" s="1028" t="s">
        <v>2785</v>
      </c>
      <c r="L131" s="383" t="s">
        <v>2786</v>
      </c>
      <c r="M131" s="905">
        <v>0</v>
      </c>
      <c r="N131" s="905">
        <v>178.64000000000001</v>
      </c>
      <c r="O131" s="1963">
        <f t="shared" si="8"/>
        <v>0</v>
      </c>
      <c r="P131" s="1963">
        <f t="shared" si="9"/>
        <v>0</v>
      </c>
    </row>
    <row r="132" spans="1:17" ht="15.6">
      <c r="A132" s="1205" t="s">
        <v>857</v>
      </c>
      <c r="B132" s="1200" t="s">
        <v>858</v>
      </c>
      <c r="C132" s="1200" t="e">
        <f t="shared" si="19"/>
        <v>#N/A</v>
      </c>
      <c r="D132" s="1200" t="e">
        <f t="shared" si="20"/>
        <v>#N/A</v>
      </c>
      <c r="F132" s="1407" t="e">
        <f>D132/1000</f>
        <v>#N/A</v>
      </c>
      <c r="H132" s="1201" t="str">
        <f>IS!A15</f>
        <v>classified as at fair value through profit or loss - net</v>
      </c>
      <c r="I132" s="1210">
        <f>-C131+D131</f>
        <v>-813833</v>
      </c>
      <c r="K132" s="1028" t="s">
        <v>1124</v>
      </c>
      <c r="L132" s="383" t="s">
        <v>1140</v>
      </c>
      <c r="M132" s="905">
        <v>0</v>
      </c>
      <c r="N132" s="905">
        <v>0.01</v>
      </c>
      <c r="O132" s="1963">
        <f t="shared" si="8"/>
        <v>0</v>
      </c>
      <c r="P132" s="1963">
        <f t="shared" si="9"/>
        <v>0</v>
      </c>
    </row>
    <row r="133" spans="1:17" ht="15.6">
      <c r="A133" s="1205" t="s">
        <v>888</v>
      </c>
      <c r="B133" s="1200" t="s">
        <v>889</v>
      </c>
      <c r="C133" s="1200">
        <f t="shared" si="19"/>
        <v>0</v>
      </c>
      <c r="D133" s="1200">
        <f t="shared" si="20"/>
        <v>1265</v>
      </c>
      <c r="F133" s="1407">
        <f>D133/1000</f>
        <v>1.2649999999999999</v>
      </c>
      <c r="H133" s="1201" t="str">
        <f>IS!A16</f>
        <v>Other income</v>
      </c>
      <c r="I133" s="1210">
        <f>D149</f>
        <v>31</v>
      </c>
      <c r="K133" s="1028" t="s">
        <v>2476</v>
      </c>
      <c r="L133" s="383" t="s">
        <v>2477</v>
      </c>
      <c r="M133" s="905">
        <v>0</v>
      </c>
      <c r="N133" s="905">
        <v>29344.16</v>
      </c>
      <c r="O133" s="1963">
        <f t="shared" si="8"/>
        <v>0</v>
      </c>
      <c r="P133" s="1963">
        <f t="shared" si="9"/>
        <v>29</v>
      </c>
    </row>
    <row r="134" spans="1:17" ht="15.6">
      <c r="A134" s="1205" t="s">
        <v>890</v>
      </c>
      <c r="B134" s="1200" t="s">
        <v>891</v>
      </c>
      <c r="C134" s="1200">
        <f t="shared" si="19"/>
        <v>0</v>
      </c>
      <c r="D134" s="1200">
        <f t="shared" si="20"/>
        <v>5</v>
      </c>
      <c r="F134" s="1407">
        <f>D134/1000</f>
        <v>5.0000000000000001E-3</v>
      </c>
      <c r="H134" s="1201" t="str">
        <f>IS!A20</f>
        <v>Remuneration of the Management Company</v>
      </c>
      <c r="I134" s="1210">
        <f>C152</f>
        <v>62880</v>
      </c>
      <c r="K134" s="1028" t="s">
        <v>2478</v>
      </c>
      <c r="L134" s="383" t="s">
        <v>2479</v>
      </c>
      <c r="M134" s="905">
        <v>0</v>
      </c>
      <c r="N134" s="905">
        <v>64.680000000000007</v>
      </c>
      <c r="O134" s="1963">
        <f t="shared" si="8"/>
        <v>0</v>
      </c>
      <c r="P134" s="1963">
        <f t="shared" si="9"/>
        <v>0</v>
      </c>
    </row>
    <row r="135" spans="1:17" ht="15.6">
      <c r="A135" s="1205" t="s">
        <v>892</v>
      </c>
      <c r="B135" s="1200" t="s">
        <v>893</v>
      </c>
      <c r="C135" s="1200">
        <f t="shared" si="19"/>
        <v>0</v>
      </c>
      <c r="D135" s="1200">
        <f t="shared" si="20"/>
        <v>67</v>
      </c>
      <c r="F135" s="1407"/>
      <c r="H135" s="1201" t="str">
        <f>IS!A21</f>
        <v xml:space="preserve">Sindh Sales Tax on remuneration </v>
      </c>
      <c r="K135" s="1028" t="s">
        <v>2931</v>
      </c>
      <c r="L135" s="383" t="s">
        <v>2932</v>
      </c>
      <c r="M135" s="905">
        <v>0</v>
      </c>
      <c r="N135" s="905">
        <v>30958.260000000002</v>
      </c>
      <c r="O135" s="1963">
        <f t="shared" si="8"/>
        <v>0</v>
      </c>
      <c r="P135" s="1963">
        <f t="shared" si="9"/>
        <v>31</v>
      </c>
    </row>
    <row r="136" spans="1:17" ht="15.6">
      <c r="A136" s="1205" t="s">
        <v>894</v>
      </c>
      <c r="B136" s="1200" t="s">
        <v>895</v>
      </c>
      <c r="C136" s="1200">
        <f t="shared" si="19"/>
        <v>0</v>
      </c>
      <c r="D136" s="1200">
        <f t="shared" si="20"/>
        <v>65</v>
      </c>
      <c r="F136" s="1407">
        <f>D135/1000</f>
        <v>6.7000000000000004E-2</v>
      </c>
      <c r="H136" s="1201" t="str">
        <f>IS!A22</f>
        <v xml:space="preserve">        of the Management Company</v>
      </c>
      <c r="I136" s="1210">
        <f>C153</f>
        <v>8174</v>
      </c>
      <c r="K136" s="1028" t="s">
        <v>978</v>
      </c>
      <c r="L136" s="383" t="s">
        <v>979</v>
      </c>
      <c r="M136" s="905">
        <v>4263745.01</v>
      </c>
      <c r="N136" s="905">
        <v>0</v>
      </c>
      <c r="O136" s="1963">
        <f t="shared" ref="O136:O155" si="21">ROUND(M136/1000,0)</f>
        <v>4264</v>
      </c>
      <c r="P136" s="1963">
        <f t="shared" ref="P136:P155" si="22">ROUND(N136/1000,0)</f>
        <v>0</v>
      </c>
    </row>
    <row r="137" spans="1:17" ht="15.6">
      <c r="A137" s="1205" t="s">
        <v>1151</v>
      </c>
      <c r="B137" s="1200" t="s">
        <v>1152</v>
      </c>
      <c r="C137" s="1200">
        <f t="shared" si="19"/>
        <v>0</v>
      </c>
      <c r="D137" s="1200">
        <f t="shared" si="20"/>
        <v>6762</v>
      </c>
      <c r="F137" s="1407"/>
      <c r="H137" s="1201" t="str">
        <f>IS!A23</f>
        <v>Remuneration of the Trustee</v>
      </c>
      <c r="I137" s="1210">
        <f>C155</f>
        <v>3396</v>
      </c>
      <c r="K137" s="1028" t="s">
        <v>980</v>
      </c>
      <c r="L137" s="383" t="s">
        <v>981</v>
      </c>
      <c r="M137" s="905">
        <v>0</v>
      </c>
      <c r="N137" s="905">
        <v>37091976.140000001</v>
      </c>
      <c r="O137" s="1963">
        <f t="shared" si="21"/>
        <v>0</v>
      </c>
      <c r="P137" s="1963">
        <f t="shared" si="22"/>
        <v>37092</v>
      </c>
    </row>
    <row r="138" spans="1:17" ht="15.6">
      <c r="A138" s="1205" t="s">
        <v>896</v>
      </c>
      <c r="B138" s="1200" t="s">
        <v>897</v>
      </c>
      <c r="C138" s="1200">
        <f t="shared" si="19"/>
        <v>0</v>
      </c>
      <c r="D138" s="1200">
        <f t="shared" si="20"/>
        <v>0</v>
      </c>
      <c r="F138" s="1407">
        <f>D136/1000</f>
        <v>6.5000000000000002E-2</v>
      </c>
      <c r="H138" s="1201" t="str">
        <f>IS!A24</f>
        <v>Sindh Sales Tax on remuneration of the Trustee</v>
      </c>
      <c r="I138" s="1210">
        <f>C156</f>
        <v>441</v>
      </c>
      <c r="K138" s="1028" t="s">
        <v>865</v>
      </c>
      <c r="L138" s="383" t="s">
        <v>92</v>
      </c>
      <c r="M138" s="905">
        <v>62880241</v>
      </c>
      <c r="N138" s="905">
        <v>0</v>
      </c>
      <c r="O138" s="1963">
        <f t="shared" si="21"/>
        <v>62880</v>
      </c>
      <c r="P138" s="1963">
        <f t="shared" si="22"/>
        <v>0</v>
      </c>
    </row>
    <row r="139" spans="1:17" ht="15.6">
      <c r="A139" s="1205" t="s">
        <v>898</v>
      </c>
      <c r="B139" s="1200" t="s">
        <v>899</v>
      </c>
      <c r="C139" s="1200">
        <f t="shared" si="19"/>
        <v>0</v>
      </c>
      <c r="D139" s="1200">
        <f t="shared" si="20"/>
        <v>0</v>
      </c>
      <c r="F139" s="1407">
        <f>D137/1000</f>
        <v>6.7619999999999996</v>
      </c>
      <c r="H139" s="1201" t="str">
        <f>IS!A25</f>
        <v xml:space="preserve">Annual fee of the Securities and </v>
      </c>
      <c r="K139" s="1028" t="s">
        <v>866</v>
      </c>
      <c r="L139" s="383" t="s">
        <v>867</v>
      </c>
      <c r="M139" s="905">
        <v>8174431.3300000001</v>
      </c>
      <c r="N139" s="905">
        <v>0</v>
      </c>
      <c r="O139" s="1963">
        <f t="shared" si="21"/>
        <v>8174</v>
      </c>
      <c r="P139" s="1963">
        <f t="shared" si="22"/>
        <v>0</v>
      </c>
    </row>
    <row r="140" spans="1:17" ht="15.6">
      <c r="A140" s="1205" t="s">
        <v>900</v>
      </c>
      <c r="B140" s="1200" t="s">
        <v>901</v>
      </c>
      <c r="C140" s="1200">
        <f t="shared" si="19"/>
        <v>0</v>
      </c>
      <c r="D140" s="1200">
        <f t="shared" si="20"/>
        <v>7</v>
      </c>
      <c r="F140" s="1407">
        <f>D138/1000</f>
        <v>0</v>
      </c>
      <c r="H140" s="1201" t="str">
        <f>IS!A26</f>
        <v xml:space="preserve">        Exchange Commission of Pakistan</v>
      </c>
      <c r="I140" s="1210">
        <f>C157</f>
        <v>629</v>
      </c>
      <c r="K140" s="1028" t="s">
        <v>868</v>
      </c>
      <c r="L140" s="383" t="s">
        <v>91</v>
      </c>
      <c r="M140" s="905">
        <v>3396058</v>
      </c>
      <c r="N140" s="905">
        <v>0</v>
      </c>
      <c r="O140" s="1963">
        <f t="shared" si="21"/>
        <v>3396</v>
      </c>
      <c r="P140" s="1963">
        <f t="shared" si="22"/>
        <v>0</v>
      </c>
    </row>
    <row r="141" spans="1:17" ht="15.6">
      <c r="A141" s="1205" t="s">
        <v>1123</v>
      </c>
      <c r="B141" s="1200" t="s">
        <v>1139</v>
      </c>
      <c r="C141" s="1200">
        <f t="shared" si="19"/>
        <v>0</v>
      </c>
      <c r="D141" s="1200">
        <f t="shared" si="20"/>
        <v>0</v>
      </c>
      <c r="F141" s="1407">
        <f>D139/1000</f>
        <v>0</v>
      </c>
      <c r="H141" s="1201" t="str">
        <f>IS!A27</f>
        <v>Allocated expenses</v>
      </c>
      <c r="I141" s="1210">
        <f>C158</f>
        <v>3144</v>
      </c>
      <c r="K141" s="1028" t="s">
        <v>869</v>
      </c>
      <c r="L141" s="383" t="s">
        <v>870</v>
      </c>
      <c r="M141" s="905">
        <v>441485</v>
      </c>
      <c r="N141" s="905">
        <v>0</v>
      </c>
      <c r="O141" s="1963">
        <f t="shared" si="21"/>
        <v>441</v>
      </c>
      <c r="P141" s="1963">
        <f t="shared" si="22"/>
        <v>0</v>
      </c>
    </row>
    <row r="142" spans="1:17" ht="15.6">
      <c r="A142" s="1205" t="s">
        <v>2785</v>
      </c>
      <c r="B142" s="1200" t="s">
        <v>2786</v>
      </c>
      <c r="C142" s="1200">
        <f t="shared" si="19"/>
        <v>0</v>
      </c>
      <c r="D142" s="1200">
        <f t="shared" si="20"/>
        <v>0</v>
      </c>
      <c r="F142" s="1407">
        <f>D141/1000</f>
        <v>0</v>
      </c>
      <c r="G142" s="1407">
        <f>SUM(F133:F143)+F145</f>
        <v>8.1639999999999997</v>
      </c>
      <c r="H142" s="1201" t="str">
        <f>IS!A28</f>
        <v>Marketing And Selling expenses</v>
      </c>
      <c r="I142" s="1210">
        <f>C159</f>
        <v>40872</v>
      </c>
      <c r="K142" s="1028" t="s">
        <v>871</v>
      </c>
      <c r="L142" s="383" t="s">
        <v>87</v>
      </c>
      <c r="M142" s="905">
        <v>628827</v>
      </c>
      <c r="N142" s="905">
        <v>0</v>
      </c>
      <c r="O142" s="1963">
        <f t="shared" si="21"/>
        <v>629</v>
      </c>
      <c r="P142" s="1963">
        <f t="shared" si="22"/>
        <v>0</v>
      </c>
    </row>
    <row r="143" spans="1:17" ht="15.6">
      <c r="A143" s="1205" t="s">
        <v>1124</v>
      </c>
      <c r="B143" s="1200" t="s">
        <v>1140</v>
      </c>
      <c r="C143" s="1200">
        <f t="shared" si="19"/>
        <v>0</v>
      </c>
      <c r="D143" s="1200">
        <f t="shared" si="20"/>
        <v>0</v>
      </c>
      <c r="F143" s="1407">
        <f>D143/1000</f>
        <v>0</v>
      </c>
      <c r="H143" s="1201" t="str">
        <f>IS!A29</f>
        <v>Auditors' remuneration</v>
      </c>
      <c r="I143" s="1210">
        <f>C165</f>
        <v>267</v>
      </c>
      <c r="K143" s="1028" t="s">
        <v>872</v>
      </c>
      <c r="L143" s="383" t="s">
        <v>873</v>
      </c>
      <c r="M143" s="905">
        <v>3143936.93</v>
      </c>
      <c r="N143" s="905">
        <v>0</v>
      </c>
      <c r="O143" s="1963">
        <f t="shared" si="21"/>
        <v>3144</v>
      </c>
      <c r="P143" s="1963">
        <f t="shared" si="22"/>
        <v>0</v>
      </c>
    </row>
    <row r="144" spans="1:17" ht="15.6">
      <c r="A144" s="1205" t="s">
        <v>2476</v>
      </c>
      <c r="B144" s="1200" t="s">
        <v>2477</v>
      </c>
      <c r="C144" s="1200">
        <f t="shared" si="19"/>
        <v>0</v>
      </c>
      <c r="D144" s="1200">
        <f t="shared" si="20"/>
        <v>29</v>
      </c>
      <c r="F144" s="1407">
        <f>D144/1000</f>
        <v>2.9000000000000001E-2</v>
      </c>
      <c r="H144" s="1201" t="str">
        <f>IS!A30</f>
        <v>Securities transaction cost</v>
      </c>
      <c r="I144" s="1210">
        <f>C160</f>
        <v>14360</v>
      </c>
      <c r="K144" s="1028" t="s">
        <v>1126</v>
      </c>
      <c r="L144" s="383" t="s">
        <v>1142</v>
      </c>
      <c r="M144" s="905">
        <v>40872180.43</v>
      </c>
      <c r="N144" s="905">
        <v>0</v>
      </c>
      <c r="O144" s="1963">
        <f t="shared" si="21"/>
        <v>40872</v>
      </c>
      <c r="P144" s="1963">
        <f t="shared" si="22"/>
        <v>0</v>
      </c>
    </row>
    <row r="145" spans="1:16384" ht="15.6">
      <c r="A145" s="1205" t="s">
        <v>2478</v>
      </c>
      <c r="B145" s="1200" t="s">
        <v>2479</v>
      </c>
      <c r="C145" s="1200">
        <f t="shared" si="19"/>
        <v>0</v>
      </c>
      <c r="D145" s="1200">
        <f t="shared" si="20"/>
        <v>0</v>
      </c>
      <c r="F145" s="1407">
        <f>D145/1000</f>
        <v>0</v>
      </c>
      <c r="H145" s="1201" t="str">
        <f>IS!A31</f>
        <v>Settlement and bank charges</v>
      </c>
      <c r="I145" s="1210">
        <f>SUM(C169:C174)+C176+C161+C162</f>
        <v>1022</v>
      </c>
      <c r="K145" s="1028" t="s">
        <v>754</v>
      </c>
      <c r="L145" s="383" t="s">
        <v>755</v>
      </c>
      <c r="M145" s="905">
        <v>14360097.5</v>
      </c>
      <c r="N145" s="905">
        <v>0</v>
      </c>
      <c r="O145" s="1963">
        <f t="shared" si="21"/>
        <v>14360</v>
      </c>
      <c r="P145" s="1963">
        <f t="shared" si="22"/>
        <v>0</v>
      </c>
    </row>
    <row r="146" spans="1:16384" ht="15.6">
      <c r="A146" s="1205" t="s">
        <v>859</v>
      </c>
      <c r="B146" s="1200" t="s">
        <v>860</v>
      </c>
      <c r="C146" s="1200" t="e">
        <f>VLOOKUP(A146,$K$7:$P$166,5,0)</f>
        <v>#N/A</v>
      </c>
      <c r="D146" s="1200" t="e">
        <f t="shared" si="20"/>
        <v>#N/A</v>
      </c>
      <c r="F146" s="1407" t="e">
        <f>D146/1000</f>
        <v>#N/A</v>
      </c>
      <c r="H146" s="1201" t="str">
        <f>IS!A32</f>
        <v>Legal and professional charges</v>
      </c>
      <c r="I146" s="1210">
        <f>C166</f>
        <v>435</v>
      </c>
      <c r="K146" s="1028" t="s">
        <v>876</v>
      </c>
      <c r="L146" s="383" t="s">
        <v>877</v>
      </c>
      <c r="M146" s="905">
        <v>381598</v>
      </c>
      <c r="N146" s="905">
        <v>0</v>
      </c>
      <c r="O146" s="1963">
        <f t="shared" si="21"/>
        <v>382</v>
      </c>
      <c r="P146" s="1963">
        <f t="shared" si="22"/>
        <v>0</v>
      </c>
    </row>
    <row r="147" spans="1:16384" s="1207" customFormat="1" ht="15.6">
      <c r="A147" s="1205" t="s">
        <v>978</v>
      </c>
      <c r="B147" s="1200" t="s">
        <v>979</v>
      </c>
      <c r="C147" s="1200">
        <f t="shared" si="19"/>
        <v>4264</v>
      </c>
      <c r="D147" s="1200">
        <f t="shared" si="20"/>
        <v>0</v>
      </c>
      <c r="E147" s="1201"/>
      <c r="F147" s="1407">
        <f>C147/1000</f>
        <v>4.2640000000000002</v>
      </c>
      <c r="G147" s="1206"/>
      <c r="H147" s="1201" t="str">
        <f>IS!A33</f>
        <v>Fees and subscriptions</v>
      </c>
      <c r="I147" s="1206">
        <f>+C167</f>
        <v>7</v>
      </c>
      <c r="J147" s="1206"/>
      <c r="K147" s="1028" t="s">
        <v>758</v>
      </c>
      <c r="L147" s="383" t="s">
        <v>759</v>
      </c>
      <c r="M147" s="905">
        <v>569538.01</v>
      </c>
      <c r="N147" s="905">
        <v>0</v>
      </c>
      <c r="O147" s="1963">
        <f t="shared" si="21"/>
        <v>570</v>
      </c>
      <c r="P147" s="1963">
        <f t="shared" si="22"/>
        <v>0</v>
      </c>
      <c r="Q147" s="1206"/>
      <c r="R147" s="1206"/>
      <c r="S147" s="1206"/>
      <c r="T147" s="1206"/>
      <c r="U147" s="1206"/>
      <c r="V147" s="1206"/>
      <c r="W147" s="1206"/>
      <c r="X147" s="1206"/>
      <c r="Y147" s="1206"/>
      <c r="Z147" s="1206"/>
      <c r="AA147" s="1206"/>
      <c r="AB147" s="1206"/>
      <c r="AC147" s="1206"/>
      <c r="AD147" s="1206"/>
      <c r="AE147" s="1206"/>
      <c r="AF147" s="1206"/>
      <c r="AG147" s="1206"/>
      <c r="AH147" s="1206"/>
      <c r="AI147" s="1206"/>
      <c r="AJ147" s="1206"/>
      <c r="AK147" s="1206"/>
      <c r="AL147" s="1206"/>
      <c r="AM147" s="1206"/>
      <c r="AN147" s="1206"/>
      <c r="AO147" s="1206"/>
      <c r="AP147" s="1206"/>
      <c r="AQ147" s="1206"/>
      <c r="AR147" s="1206"/>
      <c r="AS147" s="1206"/>
      <c r="AT147" s="1206"/>
      <c r="AU147" s="1206"/>
      <c r="AV147" s="1206"/>
      <c r="AW147" s="1206"/>
      <c r="AX147" s="1206"/>
      <c r="AY147" s="1206"/>
      <c r="AZ147" s="1206"/>
      <c r="BA147" s="1206"/>
      <c r="BB147" s="1206"/>
      <c r="BC147" s="1206"/>
      <c r="BD147" s="1206"/>
      <c r="BE147" s="1206"/>
      <c r="BF147" s="1206"/>
      <c r="BG147" s="1206"/>
      <c r="BH147" s="1206"/>
      <c r="BI147" s="1206"/>
      <c r="BJ147" s="1206"/>
      <c r="BK147" s="1206"/>
      <c r="BL147" s="1206"/>
      <c r="BM147" s="1206"/>
      <c r="BN147" s="1206"/>
      <c r="BO147" s="1206"/>
      <c r="BP147" s="1206"/>
      <c r="BQ147" s="1206"/>
      <c r="BR147" s="1206"/>
      <c r="BS147" s="1206"/>
      <c r="BT147" s="1206"/>
      <c r="BU147" s="1206"/>
      <c r="BV147" s="1206"/>
      <c r="BW147" s="1206"/>
      <c r="BX147" s="1206"/>
      <c r="BY147" s="1206"/>
      <c r="BZ147" s="1206"/>
      <c r="CA147" s="1206"/>
      <c r="CB147" s="1206"/>
      <c r="CC147" s="1206"/>
      <c r="CD147" s="1206"/>
      <c r="CE147" s="1206"/>
      <c r="CF147" s="1206"/>
      <c r="CG147" s="1206"/>
      <c r="CH147" s="1206"/>
      <c r="CI147" s="1206"/>
      <c r="CJ147" s="1206"/>
      <c r="CK147" s="1206"/>
      <c r="CL147" s="1206"/>
      <c r="CM147" s="1206"/>
      <c r="CN147" s="1206"/>
      <c r="CO147" s="1206"/>
      <c r="CP147" s="1206"/>
      <c r="CQ147" s="1206"/>
      <c r="CR147" s="1206"/>
      <c r="CS147" s="1206"/>
      <c r="CT147" s="1206"/>
      <c r="CU147" s="1206"/>
      <c r="CV147" s="1206"/>
      <c r="CW147" s="1206"/>
      <c r="CX147" s="1206"/>
      <c r="CY147" s="1206"/>
      <c r="CZ147" s="1206"/>
      <c r="DA147" s="1206"/>
      <c r="DB147" s="1206"/>
      <c r="DC147" s="1206"/>
      <c r="DD147" s="1206"/>
      <c r="DE147" s="1206"/>
      <c r="DF147" s="1206"/>
      <c r="DG147" s="1206"/>
      <c r="DH147" s="1206"/>
      <c r="DI147" s="1206"/>
      <c r="DJ147" s="1206"/>
      <c r="DK147" s="1206"/>
      <c r="DL147" s="1206"/>
      <c r="DM147" s="1206"/>
      <c r="DN147" s="1206"/>
      <c r="DO147" s="1206"/>
      <c r="DP147" s="1206"/>
      <c r="DQ147" s="1206"/>
      <c r="DR147" s="1206"/>
      <c r="DS147" s="1206"/>
      <c r="DT147" s="1206"/>
      <c r="DU147" s="1206"/>
      <c r="DV147" s="1206"/>
      <c r="DW147" s="1206"/>
      <c r="DX147" s="1206"/>
      <c r="DY147" s="1206"/>
      <c r="DZ147" s="1206"/>
      <c r="EA147" s="1206"/>
      <c r="EB147" s="1206"/>
      <c r="EC147" s="1206"/>
      <c r="ED147" s="1206"/>
      <c r="EE147" s="1206"/>
      <c r="EF147" s="1206"/>
      <c r="EG147" s="1206"/>
      <c r="EH147" s="1206"/>
      <c r="EI147" s="1206"/>
      <c r="EJ147" s="1206"/>
      <c r="EK147" s="1206"/>
      <c r="EL147" s="1206"/>
      <c r="EM147" s="1206"/>
      <c r="EN147" s="1206"/>
      <c r="EO147" s="1206"/>
      <c r="EP147" s="1206"/>
      <c r="EQ147" s="1206"/>
      <c r="ER147" s="1206"/>
      <c r="ES147" s="1206"/>
      <c r="ET147" s="1206"/>
      <c r="EU147" s="1206"/>
      <c r="EV147" s="1206"/>
      <c r="EW147" s="1206"/>
      <c r="EX147" s="1206"/>
      <c r="EY147" s="1206"/>
      <c r="EZ147" s="1206"/>
      <c r="FA147" s="1206"/>
      <c r="FB147" s="1206"/>
      <c r="FC147" s="1206"/>
      <c r="FD147" s="1206"/>
      <c r="FE147" s="1206"/>
      <c r="FF147" s="1206"/>
      <c r="FG147" s="1206"/>
      <c r="FH147" s="1206"/>
      <c r="FI147" s="1206"/>
      <c r="FJ147" s="1206"/>
      <c r="FK147" s="1206"/>
      <c r="FL147" s="1206"/>
      <c r="FM147" s="1206"/>
      <c r="FN147" s="1206"/>
      <c r="FO147" s="1206"/>
      <c r="FP147" s="1206"/>
      <c r="FQ147" s="1206"/>
      <c r="FR147" s="1206"/>
      <c r="FS147" s="1206"/>
      <c r="FT147" s="1206"/>
      <c r="FU147" s="1206"/>
      <c r="FV147" s="1206"/>
      <c r="FW147" s="1206"/>
      <c r="FX147" s="1206"/>
      <c r="FY147" s="1206"/>
      <c r="FZ147" s="1206"/>
      <c r="GA147" s="1206"/>
      <c r="GB147" s="1206"/>
      <c r="GC147" s="1206"/>
      <c r="GD147" s="1206"/>
      <c r="GE147" s="1206"/>
      <c r="GF147" s="1206"/>
      <c r="GG147" s="1206"/>
      <c r="GH147" s="1206"/>
      <c r="GI147" s="1206"/>
      <c r="GJ147" s="1206"/>
      <c r="GK147" s="1206"/>
      <c r="GL147" s="1206"/>
      <c r="GM147" s="1206"/>
      <c r="GN147" s="1206"/>
      <c r="GO147" s="1206"/>
      <c r="GP147" s="1206"/>
      <c r="GQ147" s="1206"/>
      <c r="GR147" s="1206"/>
      <c r="GS147" s="1206"/>
      <c r="GT147" s="1206"/>
      <c r="GU147" s="1206"/>
      <c r="GV147" s="1206"/>
      <c r="GW147" s="1206"/>
      <c r="GX147" s="1206"/>
      <c r="GY147" s="1206"/>
      <c r="GZ147" s="1206"/>
      <c r="HA147" s="1206"/>
      <c r="HB147" s="1206"/>
      <c r="HC147" s="1206"/>
      <c r="HD147" s="1206"/>
      <c r="HE147" s="1206"/>
      <c r="HF147" s="1206"/>
      <c r="HG147" s="1206"/>
      <c r="HH147" s="1206"/>
      <c r="HI147" s="1206"/>
      <c r="HJ147" s="1206"/>
      <c r="HK147" s="1206"/>
      <c r="HL147" s="1206"/>
      <c r="HM147" s="1206"/>
      <c r="HN147" s="1206"/>
      <c r="HO147" s="1206"/>
      <c r="HP147" s="1206"/>
      <c r="HQ147" s="1206"/>
      <c r="HR147" s="1206"/>
      <c r="HS147" s="1206"/>
      <c r="HT147" s="1206"/>
      <c r="HU147" s="1206"/>
      <c r="HV147" s="1206"/>
      <c r="HW147" s="1206"/>
      <c r="HX147" s="1206"/>
      <c r="HY147" s="1206"/>
      <c r="HZ147" s="1206"/>
      <c r="IA147" s="1206"/>
      <c r="IB147" s="1206"/>
      <c r="IC147" s="1206"/>
      <c r="ID147" s="1206"/>
      <c r="IE147" s="1206"/>
      <c r="IF147" s="1206"/>
      <c r="IG147" s="1206"/>
      <c r="IH147" s="1206"/>
      <c r="II147" s="1206"/>
      <c r="IJ147" s="1206"/>
      <c r="IK147" s="1206"/>
      <c r="IL147" s="1206"/>
      <c r="IM147" s="1206"/>
      <c r="IN147" s="1206"/>
      <c r="IO147" s="1206"/>
      <c r="IP147" s="1206"/>
      <c r="IQ147" s="1206"/>
      <c r="IR147" s="1206"/>
      <c r="IS147" s="1206"/>
      <c r="IT147" s="1206"/>
      <c r="IU147" s="1206"/>
      <c r="IV147" s="1206"/>
      <c r="IW147" s="1206"/>
      <c r="IX147" s="1206"/>
      <c r="IY147" s="1206"/>
      <c r="IZ147" s="1206"/>
      <c r="JA147" s="1206"/>
      <c r="JB147" s="1206"/>
      <c r="JC147" s="1206"/>
      <c r="JD147" s="1206"/>
      <c r="JE147" s="1206"/>
      <c r="JF147" s="1206"/>
      <c r="JG147" s="1206"/>
      <c r="JH147" s="1206"/>
      <c r="JI147" s="1206"/>
      <c r="JJ147" s="1206"/>
      <c r="JK147" s="1206"/>
      <c r="JL147" s="1206"/>
      <c r="JM147" s="1206"/>
      <c r="JN147" s="1206"/>
      <c r="JO147" s="1206"/>
      <c r="JP147" s="1206"/>
      <c r="JQ147" s="1206"/>
      <c r="JR147" s="1206"/>
      <c r="JS147" s="1206"/>
      <c r="JT147" s="1206"/>
      <c r="JU147" s="1206"/>
      <c r="JV147" s="1206"/>
      <c r="JW147" s="1206"/>
      <c r="JX147" s="1206"/>
      <c r="JY147" s="1206"/>
      <c r="JZ147" s="1206"/>
      <c r="KA147" s="1206"/>
      <c r="KB147" s="1206"/>
      <c r="KC147" s="1206"/>
      <c r="KD147" s="1206"/>
      <c r="KE147" s="1206"/>
      <c r="KF147" s="1206"/>
      <c r="KG147" s="1206"/>
      <c r="KH147" s="1206"/>
      <c r="KI147" s="1206"/>
      <c r="KJ147" s="1206"/>
      <c r="KK147" s="1206"/>
      <c r="KL147" s="1206"/>
      <c r="KM147" s="1206"/>
      <c r="KN147" s="1206"/>
      <c r="KO147" s="1206"/>
      <c r="KP147" s="1206"/>
      <c r="KQ147" s="1206"/>
      <c r="KR147" s="1206"/>
      <c r="KS147" s="1206"/>
      <c r="KT147" s="1206"/>
      <c r="KU147" s="1206"/>
      <c r="KV147" s="1206"/>
      <c r="KW147" s="1206"/>
      <c r="KX147" s="1206"/>
      <c r="KY147" s="1206"/>
      <c r="KZ147" s="1206"/>
      <c r="LA147" s="1206"/>
      <c r="LB147" s="1206"/>
      <c r="LC147" s="1206"/>
      <c r="LD147" s="1206"/>
      <c r="LE147" s="1206"/>
      <c r="LF147" s="1206"/>
      <c r="LG147" s="1206"/>
      <c r="LH147" s="1206"/>
      <c r="LI147" s="1206"/>
      <c r="LJ147" s="1206"/>
      <c r="LK147" s="1206"/>
      <c r="LL147" s="1206"/>
      <c r="LM147" s="1206"/>
      <c r="LN147" s="1206"/>
      <c r="LO147" s="1206"/>
      <c r="LP147" s="1206"/>
      <c r="LQ147" s="1206"/>
      <c r="LR147" s="1206"/>
      <c r="LS147" s="1206"/>
      <c r="LT147" s="1206"/>
      <c r="LU147" s="1206"/>
      <c r="LV147" s="1206"/>
      <c r="LW147" s="1206"/>
      <c r="LX147" s="1206"/>
      <c r="LY147" s="1206"/>
      <c r="LZ147" s="1206"/>
      <c r="MA147" s="1206"/>
      <c r="MB147" s="1206"/>
      <c r="MC147" s="1206"/>
      <c r="MD147" s="1206"/>
      <c r="ME147" s="1206"/>
      <c r="MF147" s="1206"/>
      <c r="MG147" s="1206"/>
      <c r="MH147" s="1206"/>
      <c r="MI147" s="1206"/>
      <c r="MJ147" s="1206"/>
      <c r="MK147" s="1206"/>
      <c r="ML147" s="1206"/>
      <c r="MM147" s="1206"/>
      <c r="MN147" s="1206"/>
      <c r="MO147" s="1206"/>
      <c r="MP147" s="1206"/>
      <c r="MQ147" s="1206"/>
      <c r="MR147" s="1206"/>
      <c r="MS147" s="1206"/>
      <c r="MT147" s="1206"/>
      <c r="MU147" s="1206"/>
      <c r="MV147" s="1206"/>
      <c r="MW147" s="1206"/>
      <c r="MX147" s="1206"/>
      <c r="MY147" s="1206"/>
      <c r="MZ147" s="1206"/>
      <c r="NA147" s="1206"/>
      <c r="NB147" s="1206"/>
      <c r="NC147" s="1206"/>
      <c r="ND147" s="1206"/>
      <c r="NE147" s="1206"/>
      <c r="NF147" s="1206"/>
      <c r="NG147" s="1206"/>
      <c r="NH147" s="1206"/>
      <c r="NI147" s="1206"/>
      <c r="NJ147" s="1206"/>
      <c r="NK147" s="1206"/>
      <c r="NL147" s="1206"/>
      <c r="NM147" s="1206"/>
      <c r="NN147" s="1206"/>
      <c r="NO147" s="1206"/>
      <c r="NP147" s="1206"/>
      <c r="NQ147" s="1206"/>
      <c r="NR147" s="1206"/>
      <c r="NS147" s="1206"/>
      <c r="NT147" s="1206"/>
      <c r="NU147" s="1206"/>
      <c r="NV147" s="1206"/>
      <c r="NW147" s="1206"/>
      <c r="NX147" s="1206"/>
      <c r="NY147" s="1206"/>
      <c r="NZ147" s="1206"/>
      <c r="OA147" s="1206"/>
      <c r="OB147" s="1206"/>
      <c r="OC147" s="1206"/>
      <c r="OD147" s="1206"/>
      <c r="OE147" s="1206"/>
      <c r="OF147" s="1206"/>
      <c r="OG147" s="1206"/>
      <c r="OH147" s="1206"/>
      <c r="OI147" s="1206"/>
      <c r="OJ147" s="1206"/>
      <c r="OK147" s="1206"/>
      <c r="OL147" s="1206"/>
      <c r="OM147" s="1206"/>
      <c r="ON147" s="1206"/>
      <c r="OO147" s="1206"/>
      <c r="OP147" s="1206"/>
      <c r="OQ147" s="1206"/>
      <c r="OR147" s="1206"/>
      <c r="OS147" s="1206"/>
      <c r="OT147" s="1206"/>
      <c r="OU147" s="1206"/>
      <c r="OV147" s="1206"/>
      <c r="OW147" s="1206"/>
      <c r="OX147" s="1206"/>
      <c r="OY147" s="1206"/>
      <c r="OZ147" s="1206"/>
      <c r="PA147" s="1206"/>
      <c r="PB147" s="1206"/>
      <c r="PC147" s="1206"/>
      <c r="PD147" s="1206"/>
      <c r="PE147" s="1206"/>
      <c r="PF147" s="1206"/>
      <c r="PG147" s="1206"/>
      <c r="PH147" s="1206"/>
      <c r="PI147" s="1206"/>
      <c r="PJ147" s="1206"/>
      <c r="PK147" s="1206"/>
      <c r="PL147" s="1206"/>
      <c r="PM147" s="1206"/>
      <c r="PN147" s="1206"/>
      <c r="PO147" s="1206"/>
      <c r="PP147" s="1206"/>
      <c r="PQ147" s="1206"/>
      <c r="PR147" s="1206"/>
      <c r="PS147" s="1206"/>
      <c r="PT147" s="1206"/>
      <c r="PU147" s="1206"/>
      <c r="PV147" s="1206"/>
      <c r="PW147" s="1206"/>
      <c r="PX147" s="1206"/>
      <c r="PY147" s="1206"/>
      <c r="PZ147" s="1206"/>
      <c r="QA147" s="1206"/>
      <c r="QB147" s="1206"/>
      <c r="QC147" s="1206"/>
      <c r="QD147" s="1206"/>
      <c r="QE147" s="1206"/>
      <c r="QF147" s="1206"/>
      <c r="QG147" s="1206"/>
      <c r="QH147" s="1206"/>
      <c r="QI147" s="1206"/>
      <c r="QJ147" s="1206"/>
      <c r="QK147" s="1206"/>
      <c r="QL147" s="1206"/>
      <c r="QM147" s="1206"/>
      <c r="QN147" s="1206"/>
      <c r="QO147" s="1206"/>
      <c r="QP147" s="1206"/>
      <c r="QQ147" s="1206"/>
      <c r="QR147" s="1206"/>
      <c r="QS147" s="1206"/>
      <c r="QT147" s="1206"/>
      <c r="QU147" s="1206"/>
      <c r="QV147" s="1206"/>
      <c r="QW147" s="1206"/>
      <c r="QX147" s="1206"/>
      <c r="QY147" s="1206"/>
      <c r="QZ147" s="1206"/>
      <c r="RA147" s="1206"/>
      <c r="RB147" s="1206"/>
      <c r="RC147" s="1206"/>
      <c r="RD147" s="1206"/>
      <c r="RE147" s="1206"/>
      <c r="RF147" s="1206"/>
      <c r="RG147" s="1206"/>
      <c r="RH147" s="1206"/>
      <c r="RI147" s="1206"/>
      <c r="RJ147" s="1206"/>
      <c r="RK147" s="1206"/>
      <c r="RL147" s="1206"/>
      <c r="RM147" s="1206"/>
      <c r="RN147" s="1206"/>
      <c r="RO147" s="1206"/>
      <c r="RP147" s="1206"/>
      <c r="RQ147" s="1206"/>
      <c r="RR147" s="1206"/>
      <c r="RS147" s="1206"/>
      <c r="RT147" s="1206"/>
      <c r="RU147" s="1206"/>
      <c r="RV147" s="1206"/>
      <c r="RW147" s="1206"/>
      <c r="RX147" s="1206"/>
      <c r="RY147" s="1206"/>
      <c r="RZ147" s="1206"/>
      <c r="SA147" s="1206"/>
      <c r="SB147" s="1206"/>
      <c r="SC147" s="1206"/>
      <c r="SD147" s="1206"/>
      <c r="SE147" s="1206"/>
      <c r="SF147" s="1206"/>
      <c r="SG147" s="1206"/>
      <c r="SH147" s="1206"/>
      <c r="SI147" s="1206"/>
      <c r="SJ147" s="1206"/>
      <c r="SK147" s="1206"/>
      <c r="SL147" s="1206"/>
      <c r="SM147" s="1206"/>
      <c r="SN147" s="1206"/>
      <c r="SO147" s="1206"/>
      <c r="SP147" s="1206"/>
      <c r="SQ147" s="1206"/>
      <c r="SR147" s="1206"/>
      <c r="SS147" s="1206"/>
      <c r="ST147" s="1206"/>
      <c r="SU147" s="1206"/>
      <c r="SV147" s="1206"/>
      <c r="SW147" s="1206"/>
      <c r="SX147" s="1206"/>
      <c r="SY147" s="1206"/>
      <c r="SZ147" s="1206"/>
      <c r="TA147" s="1206"/>
      <c r="TB147" s="1206"/>
      <c r="TC147" s="1206"/>
      <c r="TD147" s="1206"/>
      <c r="TE147" s="1206"/>
      <c r="TF147" s="1206"/>
      <c r="TG147" s="1206"/>
      <c r="TH147" s="1206"/>
      <c r="TI147" s="1206"/>
      <c r="TJ147" s="1206"/>
      <c r="TK147" s="1206"/>
      <c r="TL147" s="1206"/>
      <c r="TM147" s="1206"/>
      <c r="TN147" s="1206"/>
      <c r="TO147" s="1206"/>
      <c r="TP147" s="1206"/>
      <c r="TQ147" s="1206"/>
      <c r="TR147" s="1206"/>
      <c r="TS147" s="1206"/>
      <c r="TT147" s="1206"/>
      <c r="TU147" s="1206"/>
      <c r="TV147" s="1206"/>
      <c r="TW147" s="1206"/>
      <c r="TX147" s="1206"/>
      <c r="TY147" s="1206"/>
      <c r="TZ147" s="1206"/>
      <c r="UA147" s="1206"/>
      <c r="UB147" s="1206"/>
      <c r="UC147" s="1206"/>
      <c r="UD147" s="1206"/>
      <c r="UE147" s="1206"/>
      <c r="UF147" s="1206"/>
      <c r="UG147" s="1206"/>
      <c r="UH147" s="1206"/>
      <c r="UI147" s="1206"/>
      <c r="UJ147" s="1206"/>
      <c r="UK147" s="1206"/>
      <c r="UL147" s="1206"/>
      <c r="UM147" s="1206"/>
      <c r="UN147" s="1206"/>
      <c r="UO147" s="1206"/>
      <c r="UP147" s="1206"/>
      <c r="UQ147" s="1206"/>
      <c r="UR147" s="1206"/>
      <c r="US147" s="1206"/>
      <c r="UT147" s="1206"/>
      <c r="UU147" s="1206"/>
      <c r="UV147" s="1206"/>
      <c r="UW147" s="1206"/>
      <c r="UX147" s="1206"/>
      <c r="UY147" s="1206"/>
      <c r="UZ147" s="1206"/>
      <c r="VA147" s="1206"/>
      <c r="VB147" s="1206"/>
      <c r="VC147" s="1206"/>
      <c r="VD147" s="1206"/>
      <c r="VE147" s="1206"/>
      <c r="VF147" s="1206"/>
      <c r="VG147" s="1206"/>
      <c r="VH147" s="1206"/>
      <c r="VI147" s="1206"/>
      <c r="VJ147" s="1206"/>
      <c r="VK147" s="1206"/>
      <c r="VL147" s="1206"/>
      <c r="VM147" s="1206"/>
      <c r="VN147" s="1206"/>
      <c r="VO147" s="1206"/>
      <c r="VP147" s="1206"/>
      <c r="VQ147" s="1206"/>
      <c r="VR147" s="1206"/>
      <c r="VS147" s="1206"/>
      <c r="VT147" s="1206"/>
      <c r="VU147" s="1206"/>
      <c r="VV147" s="1206"/>
      <c r="VW147" s="1206"/>
      <c r="VX147" s="1206"/>
      <c r="VY147" s="1206"/>
      <c r="VZ147" s="1206"/>
      <c r="WA147" s="1206"/>
      <c r="WB147" s="1206"/>
      <c r="WC147" s="1206"/>
      <c r="WD147" s="1206"/>
      <c r="WE147" s="1206"/>
      <c r="WF147" s="1206"/>
      <c r="WG147" s="1206"/>
      <c r="WH147" s="1206"/>
      <c r="WI147" s="1206"/>
      <c r="WJ147" s="1206"/>
      <c r="WK147" s="1206"/>
      <c r="WL147" s="1206"/>
      <c r="WM147" s="1206"/>
      <c r="WN147" s="1206"/>
      <c r="WO147" s="1206"/>
      <c r="WP147" s="1206"/>
      <c r="WQ147" s="1206"/>
      <c r="WR147" s="1206"/>
      <c r="WS147" s="1206"/>
      <c r="WT147" s="1206"/>
      <c r="WU147" s="1206"/>
      <c r="WV147" s="1206"/>
      <c r="WW147" s="1206"/>
      <c r="WX147" s="1206"/>
      <c r="WY147" s="1206"/>
      <c r="WZ147" s="1206"/>
      <c r="XA147" s="1206"/>
      <c r="XB147" s="1206"/>
      <c r="XC147" s="1206"/>
      <c r="XD147" s="1206"/>
      <c r="XE147" s="1206"/>
      <c r="XF147" s="1206"/>
      <c r="XG147" s="1206"/>
      <c r="XH147" s="1206"/>
      <c r="XI147" s="1206"/>
      <c r="XJ147" s="1206"/>
      <c r="XK147" s="1206"/>
      <c r="XL147" s="1206"/>
      <c r="XM147" s="1206"/>
      <c r="XN147" s="1206"/>
      <c r="XO147" s="1206"/>
      <c r="XP147" s="1206"/>
      <c r="XQ147" s="1206"/>
      <c r="XR147" s="1206"/>
      <c r="XS147" s="1206"/>
      <c r="XT147" s="1206"/>
      <c r="XU147" s="1206"/>
      <c r="XV147" s="1206"/>
      <c r="XW147" s="1206"/>
      <c r="XX147" s="1206"/>
      <c r="XY147" s="1206"/>
      <c r="XZ147" s="1206"/>
      <c r="YA147" s="1206"/>
      <c r="YB147" s="1206"/>
      <c r="YC147" s="1206"/>
      <c r="YD147" s="1206"/>
      <c r="YE147" s="1206"/>
      <c r="YF147" s="1206"/>
      <c r="YG147" s="1206"/>
      <c r="YH147" s="1206"/>
      <c r="YI147" s="1206"/>
      <c r="YJ147" s="1206"/>
      <c r="YK147" s="1206"/>
      <c r="YL147" s="1206"/>
      <c r="YM147" s="1206"/>
      <c r="YN147" s="1206"/>
      <c r="YO147" s="1206"/>
      <c r="YP147" s="1206"/>
      <c r="YQ147" s="1206"/>
      <c r="YR147" s="1206"/>
      <c r="YS147" s="1206"/>
      <c r="YT147" s="1206"/>
      <c r="YU147" s="1206"/>
      <c r="YV147" s="1206"/>
      <c r="YW147" s="1206"/>
      <c r="YX147" s="1206"/>
      <c r="YY147" s="1206"/>
      <c r="YZ147" s="1206"/>
      <c r="ZA147" s="1206"/>
      <c r="ZB147" s="1206"/>
      <c r="ZC147" s="1206"/>
      <c r="ZD147" s="1206"/>
      <c r="ZE147" s="1206"/>
      <c r="ZF147" s="1206"/>
      <c r="ZG147" s="1206"/>
      <c r="ZH147" s="1206"/>
      <c r="ZI147" s="1206"/>
      <c r="ZJ147" s="1206"/>
      <c r="ZK147" s="1206"/>
      <c r="ZL147" s="1206"/>
      <c r="ZM147" s="1206"/>
      <c r="ZN147" s="1206"/>
      <c r="ZO147" s="1206"/>
      <c r="ZP147" s="1206"/>
      <c r="ZQ147" s="1206"/>
      <c r="ZR147" s="1206"/>
      <c r="ZS147" s="1206"/>
      <c r="ZT147" s="1206"/>
      <c r="ZU147" s="1206"/>
      <c r="ZV147" s="1206"/>
      <c r="ZW147" s="1206"/>
      <c r="ZX147" s="1206"/>
      <c r="ZY147" s="1206"/>
      <c r="ZZ147" s="1206"/>
      <c r="AAA147" s="1206"/>
      <c r="AAB147" s="1206"/>
      <c r="AAC147" s="1206"/>
      <c r="AAD147" s="1206"/>
      <c r="AAE147" s="1206"/>
      <c r="AAF147" s="1206"/>
      <c r="AAG147" s="1206"/>
      <c r="AAH147" s="1206"/>
      <c r="AAI147" s="1206"/>
      <c r="AAJ147" s="1206"/>
      <c r="AAK147" s="1206"/>
      <c r="AAL147" s="1206"/>
      <c r="AAM147" s="1206"/>
      <c r="AAN147" s="1206"/>
      <c r="AAO147" s="1206"/>
      <c r="AAP147" s="1206"/>
      <c r="AAQ147" s="1206"/>
      <c r="AAR147" s="1206"/>
      <c r="AAS147" s="1206"/>
      <c r="AAT147" s="1206"/>
      <c r="AAU147" s="1206"/>
      <c r="AAV147" s="1206"/>
      <c r="AAW147" s="1206"/>
      <c r="AAX147" s="1206"/>
      <c r="AAY147" s="1206"/>
      <c r="AAZ147" s="1206"/>
      <c r="ABA147" s="1206"/>
      <c r="ABB147" s="1206"/>
      <c r="ABC147" s="1206"/>
      <c r="ABD147" s="1206"/>
      <c r="ABE147" s="1206"/>
      <c r="ABF147" s="1206"/>
      <c r="ABG147" s="1206"/>
      <c r="ABH147" s="1206"/>
      <c r="ABI147" s="1206"/>
      <c r="ABJ147" s="1206"/>
      <c r="ABK147" s="1206"/>
      <c r="ABL147" s="1206"/>
      <c r="ABM147" s="1206"/>
      <c r="ABN147" s="1206"/>
      <c r="ABO147" s="1206"/>
      <c r="ABP147" s="1206"/>
      <c r="ABQ147" s="1206"/>
      <c r="ABR147" s="1206"/>
      <c r="ABS147" s="1206"/>
      <c r="ABT147" s="1206"/>
      <c r="ABU147" s="1206"/>
      <c r="ABV147" s="1206"/>
      <c r="ABW147" s="1206"/>
      <c r="ABX147" s="1206"/>
      <c r="ABY147" s="1206"/>
      <c r="ABZ147" s="1206"/>
      <c r="ACA147" s="1206"/>
      <c r="ACB147" s="1206"/>
      <c r="ACC147" s="1206"/>
      <c r="ACD147" s="1206"/>
      <c r="ACE147" s="1206"/>
      <c r="ACF147" s="1206"/>
      <c r="ACG147" s="1206"/>
      <c r="ACH147" s="1206"/>
      <c r="ACI147" s="1206"/>
      <c r="ACJ147" s="1206"/>
      <c r="ACK147" s="1206"/>
      <c r="ACL147" s="1206"/>
      <c r="ACM147" s="1206"/>
      <c r="ACN147" s="1206"/>
      <c r="ACO147" s="1206"/>
      <c r="ACP147" s="1206"/>
      <c r="ACQ147" s="1206"/>
      <c r="ACR147" s="1206"/>
      <c r="ACS147" s="1206"/>
      <c r="ACT147" s="1206"/>
      <c r="ACU147" s="1206"/>
      <c r="ACV147" s="1206"/>
      <c r="ACW147" s="1206"/>
      <c r="ACX147" s="1206"/>
      <c r="ACY147" s="1206"/>
      <c r="ACZ147" s="1206"/>
      <c r="ADA147" s="1206"/>
      <c r="ADB147" s="1206"/>
      <c r="ADC147" s="1206"/>
      <c r="ADD147" s="1206"/>
      <c r="ADE147" s="1206"/>
      <c r="ADF147" s="1206"/>
      <c r="ADG147" s="1206"/>
      <c r="ADH147" s="1206"/>
      <c r="ADI147" s="1206"/>
      <c r="ADJ147" s="1206"/>
      <c r="ADK147" s="1206"/>
      <c r="ADL147" s="1206"/>
      <c r="ADM147" s="1206"/>
      <c r="ADN147" s="1206"/>
      <c r="ADO147" s="1206"/>
      <c r="ADP147" s="1206"/>
      <c r="ADQ147" s="1206"/>
      <c r="ADR147" s="1206"/>
      <c r="ADS147" s="1206"/>
      <c r="ADT147" s="1206"/>
      <c r="ADU147" s="1206"/>
      <c r="ADV147" s="1206"/>
      <c r="ADW147" s="1206"/>
      <c r="ADX147" s="1206"/>
      <c r="ADY147" s="1206"/>
      <c r="ADZ147" s="1206"/>
      <c r="AEA147" s="1206"/>
      <c r="AEB147" s="1206"/>
      <c r="AEC147" s="1206"/>
      <c r="AED147" s="1206"/>
      <c r="AEE147" s="1206"/>
      <c r="AEF147" s="1206"/>
      <c r="AEG147" s="1206"/>
      <c r="AEH147" s="1206"/>
      <c r="AEI147" s="1206"/>
      <c r="AEJ147" s="1206"/>
      <c r="AEK147" s="1206"/>
      <c r="AEL147" s="1206"/>
      <c r="AEM147" s="1206"/>
      <c r="AEN147" s="1206"/>
      <c r="AEO147" s="1206"/>
      <c r="AEP147" s="1206"/>
      <c r="AEQ147" s="1206"/>
      <c r="AER147" s="1206"/>
      <c r="AES147" s="1206"/>
      <c r="AET147" s="1206"/>
      <c r="AEU147" s="1206"/>
      <c r="AEV147" s="1206"/>
      <c r="AEW147" s="1206"/>
      <c r="AEX147" s="1206"/>
      <c r="AEY147" s="1206"/>
      <c r="AEZ147" s="1206"/>
      <c r="AFA147" s="1206"/>
      <c r="AFB147" s="1206"/>
      <c r="AFC147" s="1206"/>
      <c r="AFD147" s="1206"/>
      <c r="AFE147" s="1206"/>
      <c r="AFF147" s="1206"/>
      <c r="AFG147" s="1206"/>
      <c r="AFH147" s="1206"/>
      <c r="AFI147" s="1206"/>
      <c r="AFJ147" s="1206"/>
      <c r="AFK147" s="1206"/>
      <c r="AFL147" s="1206"/>
      <c r="AFM147" s="1206"/>
      <c r="AFN147" s="1206"/>
      <c r="AFO147" s="1206"/>
      <c r="AFP147" s="1206"/>
      <c r="AFQ147" s="1206"/>
      <c r="AFR147" s="1206"/>
      <c r="AFS147" s="1206"/>
      <c r="AFT147" s="1206"/>
      <c r="AFU147" s="1206"/>
      <c r="AFV147" s="1206"/>
      <c r="AFW147" s="1206"/>
      <c r="AFX147" s="1206"/>
      <c r="AFY147" s="1206"/>
      <c r="AFZ147" s="1206"/>
      <c r="AGA147" s="1206"/>
      <c r="AGB147" s="1206"/>
      <c r="AGC147" s="1206"/>
      <c r="AGD147" s="1206"/>
      <c r="AGE147" s="1206"/>
      <c r="AGF147" s="1206"/>
      <c r="AGG147" s="1206"/>
      <c r="AGH147" s="1206"/>
      <c r="AGI147" s="1206"/>
      <c r="AGJ147" s="1206"/>
      <c r="AGK147" s="1206"/>
      <c r="AGL147" s="1206"/>
      <c r="AGM147" s="1206"/>
      <c r="AGN147" s="1206"/>
      <c r="AGO147" s="1206"/>
      <c r="AGP147" s="1206"/>
      <c r="AGQ147" s="1206"/>
      <c r="AGR147" s="1206"/>
      <c r="AGS147" s="1206"/>
      <c r="AGT147" s="1206"/>
      <c r="AGU147" s="1206"/>
      <c r="AGV147" s="1206"/>
      <c r="AGW147" s="1206"/>
      <c r="AGX147" s="1206"/>
      <c r="AGY147" s="1206"/>
      <c r="AGZ147" s="1206"/>
      <c r="AHA147" s="1206"/>
      <c r="AHB147" s="1206"/>
      <c r="AHC147" s="1206"/>
      <c r="AHD147" s="1206"/>
      <c r="AHE147" s="1206"/>
      <c r="AHF147" s="1206"/>
      <c r="AHG147" s="1206"/>
      <c r="AHH147" s="1206"/>
      <c r="AHI147" s="1206"/>
      <c r="AHJ147" s="1206"/>
      <c r="AHK147" s="1206"/>
      <c r="AHL147" s="1206"/>
      <c r="AHM147" s="1206"/>
      <c r="AHN147" s="1206"/>
      <c r="AHO147" s="1206"/>
      <c r="AHP147" s="1206"/>
      <c r="AHQ147" s="1206"/>
      <c r="AHR147" s="1206"/>
      <c r="AHS147" s="1206"/>
      <c r="AHT147" s="1206"/>
      <c r="AHU147" s="1206"/>
      <c r="AHV147" s="1206"/>
      <c r="AHW147" s="1206"/>
      <c r="AHX147" s="1206"/>
      <c r="AHY147" s="1206"/>
      <c r="AHZ147" s="1206"/>
      <c r="AIA147" s="1206"/>
      <c r="AIB147" s="1206"/>
      <c r="AIC147" s="1206"/>
      <c r="AID147" s="1206"/>
      <c r="AIE147" s="1206"/>
      <c r="AIF147" s="1206"/>
      <c r="AIG147" s="1206"/>
      <c r="AIH147" s="1206"/>
      <c r="AII147" s="1206"/>
      <c r="AIJ147" s="1206"/>
      <c r="AIK147" s="1206"/>
      <c r="AIL147" s="1206"/>
      <c r="AIM147" s="1206"/>
      <c r="AIN147" s="1206"/>
      <c r="AIO147" s="1206"/>
      <c r="AIP147" s="1206"/>
      <c r="AIQ147" s="1206"/>
      <c r="AIR147" s="1206"/>
      <c r="AIS147" s="1206"/>
      <c r="AIT147" s="1206"/>
      <c r="AIU147" s="1206"/>
      <c r="AIV147" s="1206"/>
      <c r="AIW147" s="1206"/>
      <c r="AIX147" s="1206"/>
      <c r="AIY147" s="1206"/>
      <c r="AIZ147" s="1206"/>
      <c r="AJA147" s="1206"/>
      <c r="AJB147" s="1206"/>
      <c r="AJC147" s="1206"/>
      <c r="AJD147" s="1206"/>
      <c r="AJE147" s="1206"/>
      <c r="AJF147" s="1206"/>
      <c r="AJG147" s="1206"/>
      <c r="AJH147" s="1206"/>
      <c r="AJI147" s="1206"/>
      <c r="AJJ147" s="1206"/>
      <c r="AJK147" s="1206"/>
      <c r="AJL147" s="1206"/>
      <c r="AJM147" s="1206"/>
      <c r="AJN147" s="1206"/>
      <c r="AJO147" s="1206"/>
      <c r="AJP147" s="1206"/>
      <c r="AJQ147" s="1206"/>
      <c r="AJR147" s="1206"/>
      <c r="AJS147" s="1206"/>
      <c r="AJT147" s="1206"/>
      <c r="AJU147" s="1206"/>
      <c r="AJV147" s="1206"/>
      <c r="AJW147" s="1206"/>
      <c r="AJX147" s="1206"/>
      <c r="AJY147" s="1206"/>
      <c r="AJZ147" s="1206"/>
      <c r="AKA147" s="1206"/>
      <c r="AKB147" s="1206"/>
      <c r="AKC147" s="1206"/>
      <c r="AKD147" s="1206"/>
      <c r="AKE147" s="1206"/>
      <c r="AKF147" s="1206"/>
      <c r="AKG147" s="1206"/>
      <c r="AKH147" s="1206"/>
      <c r="AKI147" s="1206"/>
      <c r="AKJ147" s="1206"/>
      <c r="AKK147" s="1206"/>
      <c r="AKL147" s="1206"/>
      <c r="AKM147" s="1206"/>
      <c r="AKN147" s="1206"/>
      <c r="AKO147" s="1206"/>
      <c r="AKP147" s="1206"/>
      <c r="AKQ147" s="1206"/>
      <c r="AKR147" s="1206"/>
      <c r="AKS147" s="1206"/>
      <c r="AKT147" s="1206"/>
      <c r="AKU147" s="1206"/>
      <c r="AKV147" s="1206"/>
      <c r="AKW147" s="1206"/>
      <c r="AKX147" s="1206"/>
      <c r="AKY147" s="1206"/>
      <c r="AKZ147" s="1206"/>
      <c r="ALA147" s="1206"/>
      <c r="ALB147" s="1206"/>
      <c r="ALC147" s="1206"/>
      <c r="ALD147" s="1206"/>
      <c r="ALE147" s="1206"/>
      <c r="ALF147" s="1206"/>
      <c r="ALG147" s="1206"/>
      <c r="ALH147" s="1206"/>
      <c r="ALI147" s="1206"/>
      <c r="ALJ147" s="1206"/>
      <c r="ALK147" s="1206"/>
      <c r="ALL147" s="1206"/>
      <c r="ALM147" s="1206"/>
      <c r="ALN147" s="1206"/>
      <c r="ALO147" s="1206"/>
      <c r="ALP147" s="1206"/>
      <c r="ALQ147" s="1206"/>
      <c r="ALR147" s="1206"/>
      <c r="ALS147" s="1206"/>
      <c r="ALT147" s="1206"/>
      <c r="ALU147" s="1206"/>
      <c r="ALV147" s="1206"/>
      <c r="ALW147" s="1206"/>
      <c r="ALX147" s="1206"/>
      <c r="ALY147" s="1206"/>
      <c r="ALZ147" s="1206"/>
      <c r="AMA147" s="1206"/>
      <c r="AMB147" s="1206"/>
      <c r="AMC147" s="1206"/>
      <c r="AMD147" s="1206"/>
      <c r="AME147" s="1206"/>
      <c r="AMF147" s="1206"/>
      <c r="AMG147" s="1206"/>
      <c r="AMH147" s="1206"/>
      <c r="AMI147" s="1206"/>
      <c r="AMJ147" s="1206"/>
      <c r="AMK147" s="1206"/>
      <c r="AML147" s="1206"/>
      <c r="AMM147" s="1206"/>
      <c r="AMN147" s="1206"/>
      <c r="AMO147" s="1206"/>
      <c r="AMP147" s="1206"/>
      <c r="AMQ147" s="1206"/>
      <c r="AMR147" s="1206"/>
      <c r="AMS147" s="1206"/>
      <c r="AMT147" s="1206"/>
      <c r="AMU147" s="1206"/>
      <c r="AMV147" s="1206"/>
      <c r="AMW147" s="1206"/>
      <c r="AMX147" s="1206"/>
      <c r="AMY147" s="1206"/>
      <c r="AMZ147" s="1206"/>
      <c r="ANA147" s="1206"/>
      <c r="ANB147" s="1206"/>
      <c r="ANC147" s="1206"/>
      <c r="AND147" s="1206"/>
      <c r="ANE147" s="1206"/>
      <c r="ANF147" s="1206"/>
      <c r="ANG147" s="1206"/>
      <c r="ANH147" s="1206"/>
      <c r="ANI147" s="1206"/>
      <c r="ANJ147" s="1206"/>
      <c r="ANK147" s="1206"/>
      <c r="ANL147" s="1206"/>
      <c r="ANM147" s="1206"/>
      <c r="ANN147" s="1206"/>
      <c r="ANO147" s="1206"/>
      <c r="ANP147" s="1206"/>
      <c r="ANQ147" s="1206"/>
      <c r="ANR147" s="1206"/>
      <c r="ANS147" s="1206"/>
      <c r="ANT147" s="1206"/>
      <c r="ANU147" s="1206"/>
      <c r="ANV147" s="1206"/>
      <c r="ANW147" s="1206"/>
      <c r="ANX147" s="1206"/>
      <c r="ANY147" s="1206"/>
      <c r="ANZ147" s="1206"/>
      <c r="AOA147" s="1206"/>
      <c r="AOB147" s="1206"/>
      <c r="AOC147" s="1206"/>
      <c r="AOD147" s="1206"/>
      <c r="AOE147" s="1206"/>
      <c r="AOF147" s="1206"/>
      <c r="AOG147" s="1206"/>
      <c r="AOH147" s="1206"/>
      <c r="AOI147" s="1206"/>
      <c r="AOJ147" s="1206"/>
      <c r="AOK147" s="1206"/>
      <c r="AOL147" s="1206"/>
      <c r="AOM147" s="1206"/>
      <c r="AON147" s="1206"/>
      <c r="AOO147" s="1206"/>
      <c r="AOP147" s="1206"/>
      <c r="AOQ147" s="1206"/>
      <c r="AOR147" s="1206"/>
      <c r="AOS147" s="1206"/>
      <c r="AOT147" s="1206"/>
      <c r="AOU147" s="1206"/>
      <c r="AOV147" s="1206"/>
      <c r="AOW147" s="1206"/>
      <c r="AOX147" s="1206"/>
      <c r="AOY147" s="1206"/>
      <c r="AOZ147" s="1206"/>
      <c r="APA147" s="1206"/>
      <c r="APB147" s="1206"/>
      <c r="APC147" s="1206"/>
      <c r="APD147" s="1206"/>
      <c r="APE147" s="1206"/>
      <c r="APF147" s="1206"/>
      <c r="APG147" s="1206"/>
      <c r="APH147" s="1206"/>
      <c r="API147" s="1206"/>
      <c r="APJ147" s="1206"/>
      <c r="APK147" s="1206"/>
      <c r="APL147" s="1206"/>
      <c r="APM147" s="1206"/>
      <c r="APN147" s="1206"/>
      <c r="APO147" s="1206"/>
      <c r="APP147" s="1206"/>
      <c r="APQ147" s="1206"/>
      <c r="APR147" s="1206"/>
      <c r="APS147" s="1206"/>
      <c r="APT147" s="1206"/>
      <c r="APU147" s="1206"/>
      <c r="APV147" s="1206"/>
      <c r="APW147" s="1206"/>
      <c r="APX147" s="1206"/>
      <c r="APY147" s="1206"/>
      <c r="APZ147" s="1206"/>
      <c r="AQA147" s="1206"/>
      <c r="AQB147" s="1206"/>
      <c r="AQC147" s="1206"/>
      <c r="AQD147" s="1206"/>
      <c r="AQE147" s="1206"/>
      <c r="AQF147" s="1206"/>
      <c r="AQG147" s="1206"/>
      <c r="AQH147" s="1206"/>
      <c r="AQI147" s="1206"/>
      <c r="AQJ147" s="1206"/>
      <c r="AQK147" s="1206"/>
      <c r="AQL147" s="1206"/>
      <c r="AQM147" s="1206"/>
      <c r="AQN147" s="1206"/>
      <c r="AQO147" s="1206"/>
      <c r="AQP147" s="1206"/>
      <c r="AQQ147" s="1206"/>
      <c r="AQR147" s="1206"/>
      <c r="AQS147" s="1206"/>
      <c r="AQT147" s="1206"/>
      <c r="AQU147" s="1206"/>
      <c r="AQV147" s="1206"/>
      <c r="AQW147" s="1206"/>
      <c r="AQX147" s="1206"/>
      <c r="AQY147" s="1206"/>
      <c r="AQZ147" s="1206"/>
      <c r="ARA147" s="1206"/>
      <c r="ARB147" s="1206"/>
      <c r="ARC147" s="1206"/>
      <c r="ARD147" s="1206"/>
      <c r="ARE147" s="1206"/>
      <c r="ARF147" s="1206"/>
      <c r="ARG147" s="1206"/>
      <c r="ARH147" s="1206"/>
      <c r="ARI147" s="1206"/>
      <c r="ARJ147" s="1206"/>
      <c r="ARK147" s="1206"/>
      <c r="ARL147" s="1206"/>
      <c r="ARM147" s="1206"/>
      <c r="ARN147" s="1206"/>
      <c r="ARO147" s="1206"/>
      <c r="ARP147" s="1206"/>
      <c r="ARQ147" s="1206"/>
      <c r="ARR147" s="1206"/>
      <c r="ARS147" s="1206"/>
      <c r="ART147" s="1206"/>
      <c r="ARU147" s="1206"/>
      <c r="ARV147" s="1206"/>
      <c r="ARW147" s="1206"/>
      <c r="ARX147" s="1206"/>
      <c r="ARY147" s="1206"/>
      <c r="ARZ147" s="1206"/>
      <c r="ASA147" s="1206"/>
      <c r="ASB147" s="1206"/>
      <c r="ASC147" s="1206"/>
      <c r="ASD147" s="1206"/>
      <c r="ASE147" s="1206"/>
      <c r="ASF147" s="1206"/>
      <c r="ASG147" s="1206"/>
      <c r="ASH147" s="1206"/>
      <c r="ASI147" s="1206"/>
      <c r="ASJ147" s="1206"/>
      <c r="ASK147" s="1206"/>
      <c r="ASL147" s="1206"/>
      <c r="ASM147" s="1206"/>
      <c r="ASN147" s="1206"/>
      <c r="ASO147" s="1206"/>
      <c r="ASP147" s="1206"/>
      <c r="ASQ147" s="1206"/>
      <c r="ASR147" s="1206"/>
      <c r="ASS147" s="1206"/>
      <c r="AST147" s="1206"/>
      <c r="ASU147" s="1206"/>
      <c r="ASV147" s="1206"/>
      <c r="ASW147" s="1206"/>
      <c r="ASX147" s="1206"/>
      <c r="ASY147" s="1206"/>
      <c r="ASZ147" s="1206"/>
      <c r="ATA147" s="1206"/>
      <c r="ATB147" s="1206"/>
      <c r="ATC147" s="1206"/>
      <c r="ATD147" s="1206"/>
      <c r="ATE147" s="1206"/>
      <c r="ATF147" s="1206"/>
      <c r="ATG147" s="1206"/>
      <c r="ATH147" s="1206"/>
      <c r="ATI147" s="1206"/>
      <c r="ATJ147" s="1206"/>
      <c r="ATK147" s="1206"/>
      <c r="ATL147" s="1206"/>
      <c r="ATM147" s="1206"/>
      <c r="ATN147" s="1206"/>
      <c r="ATO147" s="1206"/>
      <c r="ATP147" s="1206"/>
      <c r="ATQ147" s="1206"/>
      <c r="ATR147" s="1206"/>
      <c r="ATS147" s="1206"/>
      <c r="ATT147" s="1206"/>
      <c r="ATU147" s="1206"/>
      <c r="ATV147" s="1206"/>
      <c r="ATW147" s="1206"/>
      <c r="ATX147" s="1206"/>
      <c r="ATY147" s="1206"/>
      <c r="ATZ147" s="1206"/>
      <c r="AUA147" s="1206"/>
      <c r="AUB147" s="1206"/>
      <c r="AUC147" s="1206"/>
      <c r="AUD147" s="1206"/>
      <c r="AUE147" s="1206"/>
      <c r="AUF147" s="1206"/>
      <c r="AUG147" s="1206"/>
      <c r="AUH147" s="1206"/>
      <c r="AUI147" s="1206"/>
      <c r="AUJ147" s="1206"/>
      <c r="AUK147" s="1206"/>
      <c r="AUL147" s="1206"/>
      <c r="AUM147" s="1206"/>
      <c r="AUN147" s="1206"/>
      <c r="AUO147" s="1206"/>
      <c r="AUP147" s="1206"/>
      <c r="AUQ147" s="1206"/>
      <c r="AUR147" s="1206"/>
      <c r="AUS147" s="1206"/>
      <c r="AUT147" s="1206"/>
      <c r="AUU147" s="1206"/>
      <c r="AUV147" s="1206"/>
      <c r="AUW147" s="1206"/>
      <c r="AUX147" s="1206"/>
      <c r="AUY147" s="1206"/>
      <c r="AUZ147" s="1206"/>
      <c r="AVA147" s="1206"/>
      <c r="AVB147" s="1206"/>
      <c r="AVC147" s="1206"/>
      <c r="AVD147" s="1206"/>
      <c r="AVE147" s="1206"/>
      <c r="AVF147" s="1206"/>
      <c r="AVG147" s="1206"/>
      <c r="AVH147" s="1206"/>
      <c r="AVI147" s="1206"/>
      <c r="AVJ147" s="1206"/>
      <c r="AVK147" s="1206"/>
      <c r="AVL147" s="1206"/>
      <c r="AVM147" s="1206"/>
      <c r="AVN147" s="1206"/>
      <c r="AVO147" s="1206"/>
      <c r="AVP147" s="1206"/>
      <c r="AVQ147" s="1206"/>
      <c r="AVR147" s="1206"/>
      <c r="AVS147" s="1206"/>
      <c r="AVT147" s="1206"/>
      <c r="AVU147" s="1206"/>
      <c r="AVV147" s="1206"/>
      <c r="AVW147" s="1206"/>
      <c r="AVX147" s="1206"/>
      <c r="AVY147" s="1206"/>
      <c r="AVZ147" s="1206"/>
      <c r="AWA147" s="1206"/>
      <c r="AWB147" s="1206"/>
      <c r="AWC147" s="1206"/>
      <c r="AWD147" s="1206"/>
      <c r="AWE147" s="1206"/>
      <c r="AWF147" s="1206"/>
      <c r="AWG147" s="1206"/>
      <c r="AWH147" s="1206"/>
      <c r="AWI147" s="1206"/>
      <c r="AWJ147" s="1206"/>
      <c r="AWK147" s="1206"/>
      <c r="AWL147" s="1206"/>
      <c r="AWM147" s="1206"/>
      <c r="AWN147" s="1206"/>
      <c r="AWO147" s="1206"/>
      <c r="AWP147" s="1206"/>
      <c r="AWQ147" s="1206"/>
      <c r="AWR147" s="1206"/>
      <c r="AWS147" s="1206"/>
      <c r="AWT147" s="1206"/>
      <c r="AWU147" s="1206"/>
      <c r="AWV147" s="1206"/>
      <c r="AWW147" s="1206"/>
      <c r="AWX147" s="1206"/>
      <c r="AWY147" s="1206"/>
      <c r="AWZ147" s="1206"/>
      <c r="AXA147" s="1206"/>
      <c r="AXB147" s="1206"/>
      <c r="AXC147" s="1206"/>
      <c r="AXD147" s="1206"/>
      <c r="AXE147" s="1206"/>
      <c r="AXF147" s="1206"/>
      <c r="AXG147" s="1206"/>
      <c r="AXH147" s="1206"/>
      <c r="AXI147" s="1206"/>
      <c r="AXJ147" s="1206"/>
      <c r="AXK147" s="1206"/>
      <c r="AXL147" s="1206"/>
      <c r="AXM147" s="1206"/>
      <c r="AXN147" s="1206"/>
      <c r="AXO147" s="1206"/>
      <c r="AXP147" s="1206"/>
      <c r="AXQ147" s="1206"/>
      <c r="AXR147" s="1206"/>
      <c r="AXS147" s="1206"/>
      <c r="AXT147" s="1206"/>
      <c r="AXU147" s="1206"/>
      <c r="AXV147" s="1206"/>
      <c r="AXW147" s="1206"/>
      <c r="AXX147" s="1206"/>
      <c r="AXY147" s="1206"/>
      <c r="AXZ147" s="1206"/>
      <c r="AYA147" s="1206"/>
      <c r="AYB147" s="1206"/>
      <c r="AYC147" s="1206"/>
      <c r="AYD147" s="1206"/>
      <c r="AYE147" s="1206"/>
      <c r="AYF147" s="1206"/>
      <c r="AYG147" s="1206"/>
      <c r="AYH147" s="1206"/>
      <c r="AYI147" s="1206"/>
      <c r="AYJ147" s="1206"/>
      <c r="AYK147" s="1206"/>
      <c r="AYL147" s="1206"/>
      <c r="AYM147" s="1206"/>
      <c r="AYN147" s="1206"/>
      <c r="AYO147" s="1206"/>
      <c r="AYP147" s="1206"/>
      <c r="AYQ147" s="1206"/>
      <c r="AYR147" s="1206"/>
      <c r="AYS147" s="1206"/>
      <c r="AYT147" s="1206"/>
      <c r="AYU147" s="1206"/>
      <c r="AYV147" s="1206"/>
      <c r="AYW147" s="1206"/>
      <c r="AYX147" s="1206"/>
      <c r="AYY147" s="1206"/>
      <c r="AYZ147" s="1206"/>
      <c r="AZA147" s="1206"/>
      <c r="AZB147" s="1206"/>
      <c r="AZC147" s="1206"/>
      <c r="AZD147" s="1206"/>
      <c r="AZE147" s="1206"/>
      <c r="AZF147" s="1206"/>
      <c r="AZG147" s="1206"/>
      <c r="AZH147" s="1206"/>
      <c r="AZI147" s="1206"/>
      <c r="AZJ147" s="1206"/>
      <c r="AZK147" s="1206"/>
      <c r="AZL147" s="1206"/>
      <c r="AZM147" s="1206"/>
      <c r="AZN147" s="1206"/>
      <c r="AZO147" s="1206"/>
      <c r="AZP147" s="1206"/>
      <c r="AZQ147" s="1206"/>
      <c r="AZR147" s="1206"/>
      <c r="AZS147" s="1206"/>
      <c r="AZT147" s="1206"/>
      <c r="AZU147" s="1206"/>
      <c r="AZV147" s="1206"/>
      <c r="AZW147" s="1206"/>
      <c r="AZX147" s="1206"/>
      <c r="AZY147" s="1206"/>
      <c r="AZZ147" s="1206"/>
      <c r="BAA147" s="1206"/>
      <c r="BAB147" s="1206"/>
      <c r="BAC147" s="1206"/>
      <c r="BAD147" s="1206"/>
      <c r="BAE147" s="1206"/>
      <c r="BAF147" s="1206"/>
      <c r="BAG147" s="1206"/>
      <c r="BAH147" s="1206"/>
      <c r="BAI147" s="1206"/>
      <c r="BAJ147" s="1206"/>
      <c r="BAK147" s="1206"/>
      <c r="BAL147" s="1206"/>
      <c r="BAM147" s="1206"/>
      <c r="BAN147" s="1206"/>
      <c r="BAO147" s="1206"/>
      <c r="BAP147" s="1206"/>
      <c r="BAQ147" s="1206"/>
      <c r="BAR147" s="1206"/>
      <c r="BAS147" s="1206"/>
      <c r="BAT147" s="1206"/>
      <c r="BAU147" s="1206"/>
      <c r="BAV147" s="1206"/>
      <c r="BAW147" s="1206"/>
      <c r="BAX147" s="1206"/>
      <c r="BAY147" s="1206"/>
      <c r="BAZ147" s="1206"/>
      <c r="BBA147" s="1206"/>
      <c r="BBB147" s="1206"/>
      <c r="BBC147" s="1206"/>
      <c r="BBD147" s="1206"/>
      <c r="BBE147" s="1206"/>
      <c r="BBF147" s="1206"/>
      <c r="BBG147" s="1206"/>
      <c r="BBH147" s="1206"/>
      <c r="BBI147" s="1206"/>
      <c r="BBJ147" s="1206"/>
      <c r="BBK147" s="1206"/>
      <c r="BBL147" s="1206"/>
      <c r="BBM147" s="1206"/>
      <c r="BBN147" s="1206"/>
      <c r="BBO147" s="1206"/>
      <c r="BBP147" s="1206"/>
      <c r="BBQ147" s="1206"/>
      <c r="BBR147" s="1206"/>
      <c r="BBS147" s="1206"/>
      <c r="BBT147" s="1206"/>
      <c r="BBU147" s="1206"/>
      <c r="BBV147" s="1206"/>
      <c r="BBW147" s="1206"/>
      <c r="BBX147" s="1206"/>
      <c r="BBY147" s="1206"/>
      <c r="BBZ147" s="1206"/>
      <c r="BCA147" s="1206"/>
      <c r="BCB147" s="1206"/>
      <c r="BCC147" s="1206"/>
      <c r="BCD147" s="1206"/>
      <c r="BCE147" s="1206"/>
      <c r="BCF147" s="1206"/>
      <c r="BCG147" s="1206"/>
      <c r="BCH147" s="1206"/>
      <c r="BCI147" s="1206"/>
      <c r="BCJ147" s="1206"/>
      <c r="BCK147" s="1206"/>
      <c r="BCL147" s="1206"/>
      <c r="BCM147" s="1206"/>
      <c r="BCN147" s="1206"/>
      <c r="BCO147" s="1206"/>
      <c r="BCP147" s="1206"/>
      <c r="BCQ147" s="1206"/>
      <c r="BCR147" s="1206"/>
      <c r="BCS147" s="1206"/>
      <c r="BCT147" s="1206"/>
      <c r="BCU147" s="1206"/>
      <c r="BCV147" s="1206"/>
      <c r="BCW147" s="1206"/>
      <c r="BCX147" s="1206"/>
      <c r="BCY147" s="1206"/>
      <c r="BCZ147" s="1206"/>
      <c r="BDA147" s="1206"/>
      <c r="BDB147" s="1206"/>
      <c r="BDC147" s="1206"/>
      <c r="BDD147" s="1206"/>
      <c r="BDE147" s="1206"/>
      <c r="BDF147" s="1206"/>
      <c r="BDG147" s="1206"/>
      <c r="BDH147" s="1206"/>
      <c r="BDI147" s="1206"/>
      <c r="BDJ147" s="1206"/>
      <c r="BDK147" s="1206"/>
      <c r="BDL147" s="1206"/>
      <c r="BDM147" s="1206"/>
      <c r="BDN147" s="1206"/>
      <c r="BDO147" s="1206"/>
      <c r="BDP147" s="1206"/>
      <c r="BDQ147" s="1206"/>
      <c r="BDR147" s="1206"/>
      <c r="BDS147" s="1206"/>
      <c r="BDT147" s="1206"/>
      <c r="BDU147" s="1206"/>
      <c r="BDV147" s="1206"/>
      <c r="BDW147" s="1206"/>
      <c r="BDX147" s="1206"/>
      <c r="BDY147" s="1206"/>
      <c r="BDZ147" s="1206"/>
      <c r="BEA147" s="1206"/>
      <c r="BEB147" s="1206"/>
      <c r="BEC147" s="1206"/>
      <c r="BED147" s="1206"/>
      <c r="BEE147" s="1206"/>
      <c r="BEF147" s="1206"/>
      <c r="BEG147" s="1206"/>
      <c r="BEH147" s="1206"/>
      <c r="BEI147" s="1206"/>
      <c r="BEJ147" s="1206"/>
      <c r="BEK147" s="1206"/>
      <c r="BEL147" s="1206"/>
      <c r="BEM147" s="1206"/>
      <c r="BEN147" s="1206"/>
      <c r="BEO147" s="1206"/>
      <c r="BEP147" s="1206"/>
      <c r="BEQ147" s="1206"/>
      <c r="BER147" s="1206"/>
      <c r="BES147" s="1206"/>
      <c r="BET147" s="1206"/>
      <c r="BEU147" s="1206"/>
      <c r="BEV147" s="1206"/>
      <c r="BEW147" s="1206"/>
      <c r="BEX147" s="1206"/>
      <c r="BEY147" s="1206"/>
      <c r="BEZ147" s="1206"/>
      <c r="BFA147" s="1206"/>
      <c r="BFB147" s="1206"/>
      <c r="BFC147" s="1206"/>
      <c r="BFD147" s="1206"/>
      <c r="BFE147" s="1206"/>
      <c r="BFF147" s="1206"/>
      <c r="BFG147" s="1206"/>
      <c r="BFH147" s="1206"/>
      <c r="BFI147" s="1206"/>
      <c r="BFJ147" s="1206"/>
      <c r="BFK147" s="1206"/>
      <c r="BFL147" s="1206"/>
      <c r="BFM147" s="1206"/>
      <c r="BFN147" s="1206"/>
      <c r="BFO147" s="1206"/>
      <c r="BFP147" s="1206"/>
      <c r="BFQ147" s="1206"/>
      <c r="BFR147" s="1206"/>
      <c r="BFS147" s="1206"/>
      <c r="BFT147" s="1206"/>
      <c r="BFU147" s="1206"/>
      <c r="BFV147" s="1206"/>
      <c r="BFW147" s="1206"/>
      <c r="BFX147" s="1206"/>
      <c r="BFY147" s="1206"/>
      <c r="BFZ147" s="1206"/>
      <c r="BGA147" s="1206"/>
      <c r="BGB147" s="1206"/>
      <c r="BGC147" s="1206"/>
      <c r="BGD147" s="1206"/>
      <c r="BGE147" s="1206"/>
      <c r="BGF147" s="1206"/>
      <c r="BGG147" s="1206"/>
      <c r="BGH147" s="1206"/>
      <c r="BGI147" s="1206"/>
      <c r="BGJ147" s="1206"/>
      <c r="BGK147" s="1206"/>
      <c r="BGL147" s="1206"/>
      <c r="BGM147" s="1206"/>
      <c r="BGN147" s="1206"/>
      <c r="BGO147" s="1206"/>
      <c r="BGP147" s="1206"/>
      <c r="BGQ147" s="1206"/>
      <c r="BGR147" s="1206"/>
      <c r="BGS147" s="1206"/>
      <c r="BGT147" s="1206"/>
      <c r="BGU147" s="1206"/>
      <c r="BGV147" s="1206"/>
      <c r="BGW147" s="1206"/>
      <c r="BGX147" s="1206"/>
      <c r="BGY147" s="1206"/>
      <c r="BGZ147" s="1206"/>
      <c r="BHA147" s="1206"/>
      <c r="BHB147" s="1206"/>
      <c r="BHC147" s="1206"/>
      <c r="BHD147" s="1206"/>
      <c r="BHE147" s="1206"/>
      <c r="BHF147" s="1206"/>
      <c r="BHG147" s="1206"/>
      <c r="BHH147" s="1206"/>
      <c r="BHI147" s="1206"/>
      <c r="BHJ147" s="1206"/>
      <c r="BHK147" s="1206"/>
      <c r="BHL147" s="1206"/>
      <c r="BHM147" s="1206"/>
      <c r="BHN147" s="1206"/>
      <c r="BHO147" s="1206"/>
      <c r="BHP147" s="1206"/>
      <c r="BHQ147" s="1206"/>
      <c r="BHR147" s="1206"/>
      <c r="BHS147" s="1206"/>
      <c r="BHT147" s="1206"/>
      <c r="BHU147" s="1206"/>
      <c r="BHV147" s="1206"/>
      <c r="BHW147" s="1206"/>
      <c r="BHX147" s="1206"/>
      <c r="BHY147" s="1206"/>
      <c r="BHZ147" s="1206"/>
      <c r="BIA147" s="1206"/>
      <c r="BIB147" s="1206"/>
      <c r="BIC147" s="1206"/>
      <c r="BID147" s="1206"/>
      <c r="BIE147" s="1206"/>
      <c r="BIF147" s="1206"/>
      <c r="BIG147" s="1206"/>
      <c r="BIH147" s="1206"/>
      <c r="BII147" s="1206"/>
      <c r="BIJ147" s="1206"/>
      <c r="BIK147" s="1206"/>
      <c r="BIL147" s="1206"/>
      <c r="BIM147" s="1206"/>
      <c r="BIN147" s="1206"/>
      <c r="BIO147" s="1206"/>
      <c r="BIP147" s="1206"/>
      <c r="BIQ147" s="1206"/>
      <c r="BIR147" s="1206"/>
      <c r="BIS147" s="1206"/>
      <c r="BIT147" s="1206"/>
      <c r="BIU147" s="1206"/>
      <c r="BIV147" s="1206"/>
      <c r="BIW147" s="1206"/>
      <c r="BIX147" s="1206"/>
      <c r="BIY147" s="1206"/>
      <c r="BIZ147" s="1206"/>
      <c r="BJA147" s="1206"/>
      <c r="BJB147" s="1206"/>
      <c r="BJC147" s="1206"/>
      <c r="BJD147" s="1206"/>
      <c r="BJE147" s="1206"/>
      <c r="BJF147" s="1206"/>
      <c r="BJG147" s="1206"/>
      <c r="BJH147" s="1206"/>
      <c r="BJI147" s="1206"/>
      <c r="BJJ147" s="1206"/>
      <c r="BJK147" s="1206"/>
      <c r="BJL147" s="1206"/>
      <c r="BJM147" s="1206"/>
      <c r="BJN147" s="1206"/>
      <c r="BJO147" s="1206"/>
      <c r="BJP147" s="1206"/>
      <c r="BJQ147" s="1206"/>
      <c r="BJR147" s="1206"/>
      <c r="BJS147" s="1206"/>
      <c r="BJT147" s="1206"/>
      <c r="BJU147" s="1206"/>
      <c r="BJV147" s="1206"/>
      <c r="BJW147" s="1206"/>
      <c r="BJX147" s="1206"/>
      <c r="BJY147" s="1206"/>
      <c r="BJZ147" s="1206"/>
      <c r="BKA147" s="1206"/>
      <c r="BKB147" s="1206"/>
      <c r="BKC147" s="1206"/>
      <c r="BKD147" s="1206"/>
      <c r="BKE147" s="1206"/>
      <c r="BKF147" s="1206"/>
      <c r="BKG147" s="1206"/>
      <c r="BKH147" s="1206"/>
      <c r="BKI147" s="1206"/>
      <c r="BKJ147" s="1206"/>
      <c r="BKK147" s="1206"/>
      <c r="BKL147" s="1206"/>
      <c r="BKM147" s="1206"/>
      <c r="BKN147" s="1206"/>
      <c r="BKO147" s="1206"/>
      <c r="BKP147" s="1206"/>
      <c r="BKQ147" s="1206"/>
      <c r="BKR147" s="1206"/>
      <c r="BKS147" s="1206"/>
      <c r="BKT147" s="1206"/>
      <c r="BKU147" s="1206"/>
      <c r="BKV147" s="1206"/>
      <c r="BKW147" s="1206"/>
      <c r="BKX147" s="1206"/>
      <c r="BKY147" s="1206"/>
      <c r="BKZ147" s="1206"/>
      <c r="BLA147" s="1206"/>
      <c r="BLB147" s="1206"/>
      <c r="BLC147" s="1206"/>
      <c r="BLD147" s="1206"/>
      <c r="BLE147" s="1206"/>
      <c r="BLF147" s="1206"/>
      <c r="BLG147" s="1206"/>
      <c r="BLH147" s="1206"/>
      <c r="BLI147" s="1206"/>
      <c r="BLJ147" s="1206"/>
      <c r="BLK147" s="1206"/>
      <c r="BLL147" s="1206"/>
      <c r="BLM147" s="1206"/>
      <c r="BLN147" s="1206"/>
      <c r="BLO147" s="1206"/>
      <c r="BLP147" s="1206"/>
      <c r="BLQ147" s="1206"/>
      <c r="BLR147" s="1206"/>
      <c r="BLS147" s="1206"/>
      <c r="BLT147" s="1206"/>
      <c r="BLU147" s="1206"/>
      <c r="BLV147" s="1206"/>
      <c r="BLW147" s="1206"/>
      <c r="BLX147" s="1206"/>
      <c r="BLY147" s="1206"/>
      <c r="BLZ147" s="1206"/>
      <c r="BMA147" s="1206"/>
      <c r="BMB147" s="1206"/>
      <c r="BMC147" s="1206"/>
      <c r="BMD147" s="1206"/>
      <c r="BME147" s="1206"/>
      <c r="BMF147" s="1206"/>
      <c r="BMG147" s="1206"/>
      <c r="BMH147" s="1206"/>
      <c r="BMI147" s="1206"/>
      <c r="BMJ147" s="1206"/>
      <c r="BMK147" s="1206"/>
      <c r="BML147" s="1206"/>
      <c r="BMM147" s="1206"/>
      <c r="BMN147" s="1206"/>
      <c r="BMO147" s="1206"/>
      <c r="BMP147" s="1206"/>
      <c r="BMQ147" s="1206"/>
      <c r="BMR147" s="1206"/>
      <c r="BMS147" s="1206"/>
      <c r="BMT147" s="1206"/>
      <c r="BMU147" s="1206"/>
      <c r="BMV147" s="1206"/>
      <c r="BMW147" s="1206"/>
      <c r="BMX147" s="1206"/>
      <c r="BMY147" s="1206"/>
      <c r="BMZ147" s="1206"/>
      <c r="BNA147" s="1206"/>
      <c r="BNB147" s="1206"/>
      <c r="BNC147" s="1206"/>
      <c r="BND147" s="1206"/>
      <c r="BNE147" s="1206"/>
      <c r="BNF147" s="1206"/>
      <c r="BNG147" s="1206"/>
      <c r="BNH147" s="1206"/>
      <c r="BNI147" s="1206"/>
      <c r="BNJ147" s="1206"/>
      <c r="BNK147" s="1206"/>
      <c r="BNL147" s="1206"/>
      <c r="BNM147" s="1206"/>
      <c r="BNN147" s="1206"/>
      <c r="BNO147" s="1206"/>
      <c r="BNP147" s="1206"/>
      <c r="BNQ147" s="1206"/>
      <c r="BNR147" s="1206"/>
      <c r="BNS147" s="1206"/>
      <c r="BNT147" s="1206"/>
      <c r="BNU147" s="1206"/>
      <c r="BNV147" s="1206"/>
      <c r="BNW147" s="1206"/>
      <c r="BNX147" s="1206"/>
      <c r="BNY147" s="1206"/>
      <c r="BNZ147" s="1206"/>
      <c r="BOA147" s="1206"/>
      <c r="BOB147" s="1206"/>
      <c r="BOC147" s="1206"/>
      <c r="BOD147" s="1206"/>
      <c r="BOE147" s="1206"/>
      <c r="BOF147" s="1206"/>
      <c r="BOG147" s="1206"/>
      <c r="BOH147" s="1206"/>
      <c r="BOI147" s="1206"/>
      <c r="BOJ147" s="1206"/>
      <c r="BOK147" s="1206"/>
      <c r="BOL147" s="1206"/>
      <c r="BOM147" s="1206"/>
      <c r="BON147" s="1206"/>
      <c r="BOO147" s="1206"/>
      <c r="BOP147" s="1206"/>
      <c r="BOQ147" s="1206"/>
      <c r="BOR147" s="1206"/>
      <c r="BOS147" s="1206"/>
      <c r="BOT147" s="1206"/>
      <c r="BOU147" s="1206"/>
      <c r="BOV147" s="1206"/>
      <c r="BOW147" s="1206"/>
      <c r="BOX147" s="1206"/>
      <c r="BOY147" s="1206"/>
      <c r="BOZ147" s="1206"/>
      <c r="BPA147" s="1206"/>
      <c r="BPB147" s="1206"/>
      <c r="BPC147" s="1206"/>
      <c r="BPD147" s="1206"/>
      <c r="BPE147" s="1206"/>
      <c r="BPF147" s="1206"/>
      <c r="BPG147" s="1206"/>
      <c r="BPH147" s="1206"/>
      <c r="BPI147" s="1206"/>
      <c r="BPJ147" s="1206"/>
      <c r="BPK147" s="1206"/>
      <c r="BPL147" s="1206"/>
      <c r="BPM147" s="1206"/>
      <c r="BPN147" s="1206"/>
      <c r="BPO147" s="1206"/>
      <c r="BPP147" s="1206"/>
      <c r="BPQ147" s="1206"/>
      <c r="BPR147" s="1206"/>
      <c r="BPS147" s="1206"/>
      <c r="BPT147" s="1206"/>
      <c r="BPU147" s="1206"/>
      <c r="BPV147" s="1206"/>
      <c r="BPW147" s="1206"/>
      <c r="BPX147" s="1206"/>
      <c r="BPY147" s="1206"/>
      <c r="BPZ147" s="1206"/>
      <c r="BQA147" s="1206"/>
      <c r="BQB147" s="1206"/>
      <c r="BQC147" s="1206"/>
      <c r="BQD147" s="1206"/>
      <c r="BQE147" s="1206"/>
      <c r="BQF147" s="1206"/>
      <c r="BQG147" s="1206"/>
      <c r="BQH147" s="1206"/>
      <c r="BQI147" s="1206"/>
      <c r="BQJ147" s="1206"/>
      <c r="BQK147" s="1206"/>
      <c r="BQL147" s="1206"/>
      <c r="BQM147" s="1206"/>
      <c r="BQN147" s="1206"/>
      <c r="BQO147" s="1206"/>
      <c r="BQP147" s="1206"/>
      <c r="BQQ147" s="1206"/>
      <c r="BQR147" s="1206"/>
      <c r="BQS147" s="1206"/>
      <c r="BQT147" s="1206"/>
      <c r="BQU147" s="1206"/>
      <c r="BQV147" s="1206"/>
      <c r="BQW147" s="1206"/>
      <c r="BQX147" s="1206"/>
      <c r="BQY147" s="1206"/>
      <c r="BQZ147" s="1206"/>
      <c r="BRA147" s="1206"/>
      <c r="BRB147" s="1206"/>
      <c r="BRC147" s="1206"/>
      <c r="BRD147" s="1206"/>
      <c r="BRE147" s="1206"/>
      <c r="BRF147" s="1206"/>
      <c r="BRG147" s="1206"/>
      <c r="BRH147" s="1206"/>
      <c r="BRI147" s="1206"/>
      <c r="BRJ147" s="1206"/>
      <c r="BRK147" s="1206"/>
      <c r="BRL147" s="1206"/>
      <c r="BRM147" s="1206"/>
      <c r="BRN147" s="1206"/>
      <c r="BRO147" s="1206"/>
      <c r="BRP147" s="1206"/>
      <c r="BRQ147" s="1206"/>
      <c r="BRR147" s="1206"/>
      <c r="BRS147" s="1206"/>
      <c r="BRT147" s="1206"/>
      <c r="BRU147" s="1206"/>
      <c r="BRV147" s="1206"/>
      <c r="BRW147" s="1206"/>
      <c r="BRX147" s="1206"/>
      <c r="BRY147" s="1206"/>
      <c r="BRZ147" s="1206"/>
      <c r="BSA147" s="1206"/>
      <c r="BSB147" s="1206"/>
      <c r="BSC147" s="1206"/>
      <c r="BSD147" s="1206"/>
      <c r="BSE147" s="1206"/>
      <c r="BSF147" s="1206"/>
      <c r="BSG147" s="1206"/>
      <c r="BSH147" s="1206"/>
      <c r="BSI147" s="1206"/>
      <c r="BSJ147" s="1206"/>
      <c r="BSK147" s="1206"/>
      <c r="BSL147" s="1206"/>
      <c r="BSM147" s="1206"/>
      <c r="BSN147" s="1206"/>
      <c r="BSO147" s="1206"/>
      <c r="BSP147" s="1206"/>
      <c r="BSQ147" s="1206"/>
      <c r="BSR147" s="1206"/>
      <c r="BSS147" s="1206"/>
      <c r="BST147" s="1206"/>
      <c r="BSU147" s="1206"/>
      <c r="BSV147" s="1206"/>
      <c r="BSW147" s="1206"/>
      <c r="BSX147" s="1206"/>
      <c r="BSY147" s="1206"/>
      <c r="BSZ147" s="1206"/>
      <c r="BTA147" s="1206"/>
      <c r="BTB147" s="1206"/>
      <c r="BTC147" s="1206"/>
      <c r="BTD147" s="1206"/>
      <c r="BTE147" s="1206"/>
      <c r="BTF147" s="1206"/>
      <c r="BTG147" s="1206"/>
      <c r="BTH147" s="1206"/>
      <c r="BTI147" s="1206"/>
      <c r="BTJ147" s="1206"/>
      <c r="BTK147" s="1206"/>
      <c r="BTL147" s="1206"/>
      <c r="BTM147" s="1206"/>
      <c r="BTN147" s="1206"/>
      <c r="BTO147" s="1206"/>
      <c r="BTP147" s="1206"/>
      <c r="BTQ147" s="1206"/>
      <c r="BTR147" s="1206"/>
      <c r="BTS147" s="1206"/>
      <c r="BTT147" s="1206"/>
      <c r="BTU147" s="1206"/>
      <c r="BTV147" s="1206"/>
      <c r="BTW147" s="1206"/>
      <c r="BTX147" s="1206"/>
      <c r="BTY147" s="1206"/>
      <c r="BTZ147" s="1206"/>
      <c r="BUA147" s="1206"/>
      <c r="BUB147" s="1206"/>
      <c r="BUC147" s="1206"/>
      <c r="BUD147" s="1206"/>
      <c r="BUE147" s="1206"/>
      <c r="BUF147" s="1206"/>
      <c r="BUG147" s="1206"/>
      <c r="BUH147" s="1206"/>
      <c r="BUI147" s="1206"/>
      <c r="BUJ147" s="1206"/>
      <c r="BUK147" s="1206"/>
      <c r="BUL147" s="1206"/>
      <c r="BUM147" s="1206"/>
      <c r="BUN147" s="1206"/>
      <c r="BUO147" s="1206"/>
      <c r="BUP147" s="1206"/>
      <c r="BUQ147" s="1206"/>
      <c r="BUR147" s="1206"/>
      <c r="BUS147" s="1206"/>
      <c r="BUT147" s="1206"/>
      <c r="BUU147" s="1206"/>
      <c r="BUV147" s="1206"/>
      <c r="BUW147" s="1206"/>
      <c r="BUX147" s="1206"/>
      <c r="BUY147" s="1206"/>
      <c r="BUZ147" s="1206"/>
      <c r="BVA147" s="1206"/>
      <c r="BVB147" s="1206"/>
      <c r="BVC147" s="1206"/>
      <c r="BVD147" s="1206"/>
      <c r="BVE147" s="1206"/>
      <c r="BVF147" s="1206"/>
      <c r="BVG147" s="1206"/>
      <c r="BVH147" s="1206"/>
      <c r="BVI147" s="1206"/>
      <c r="BVJ147" s="1206"/>
      <c r="BVK147" s="1206"/>
      <c r="BVL147" s="1206"/>
      <c r="BVM147" s="1206"/>
      <c r="BVN147" s="1206"/>
      <c r="BVO147" s="1206"/>
      <c r="BVP147" s="1206"/>
      <c r="BVQ147" s="1206"/>
      <c r="BVR147" s="1206"/>
      <c r="BVS147" s="1206"/>
      <c r="BVT147" s="1206"/>
      <c r="BVU147" s="1206"/>
      <c r="BVV147" s="1206"/>
      <c r="BVW147" s="1206"/>
      <c r="BVX147" s="1206"/>
      <c r="BVY147" s="1206"/>
      <c r="BVZ147" s="1206"/>
      <c r="BWA147" s="1206"/>
      <c r="BWB147" s="1206"/>
      <c r="BWC147" s="1206"/>
      <c r="BWD147" s="1206"/>
      <c r="BWE147" s="1206"/>
      <c r="BWF147" s="1206"/>
      <c r="BWG147" s="1206"/>
      <c r="BWH147" s="1206"/>
      <c r="BWI147" s="1206"/>
      <c r="BWJ147" s="1206"/>
      <c r="BWK147" s="1206"/>
      <c r="BWL147" s="1206"/>
      <c r="BWM147" s="1206"/>
      <c r="BWN147" s="1206"/>
      <c r="BWO147" s="1206"/>
      <c r="BWP147" s="1206"/>
      <c r="BWQ147" s="1206"/>
      <c r="BWR147" s="1206"/>
      <c r="BWS147" s="1206"/>
      <c r="BWT147" s="1206"/>
      <c r="BWU147" s="1206"/>
      <c r="BWV147" s="1206"/>
      <c r="BWW147" s="1206"/>
      <c r="BWX147" s="1206"/>
      <c r="BWY147" s="1206"/>
      <c r="BWZ147" s="1206"/>
      <c r="BXA147" s="1206"/>
      <c r="BXB147" s="1206"/>
      <c r="BXC147" s="1206"/>
      <c r="BXD147" s="1206"/>
      <c r="BXE147" s="1206"/>
      <c r="BXF147" s="1206"/>
      <c r="BXG147" s="1206"/>
      <c r="BXH147" s="1206"/>
      <c r="BXI147" s="1206"/>
      <c r="BXJ147" s="1206"/>
      <c r="BXK147" s="1206"/>
      <c r="BXL147" s="1206"/>
      <c r="BXM147" s="1206"/>
      <c r="BXN147" s="1206"/>
      <c r="BXO147" s="1206"/>
      <c r="BXP147" s="1206"/>
      <c r="BXQ147" s="1206"/>
      <c r="BXR147" s="1206"/>
      <c r="BXS147" s="1206"/>
      <c r="BXT147" s="1206"/>
      <c r="BXU147" s="1206"/>
      <c r="BXV147" s="1206"/>
      <c r="BXW147" s="1206"/>
      <c r="BXX147" s="1206"/>
      <c r="BXY147" s="1206"/>
      <c r="BXZ147" s="1206"/>
      <c r="BYA147" s="1206"/>
      <c r="BYB147" s="1206"/>
      <c r="BYC147" s="1206"/>
      <c r="BYD147" s="1206"/>
      <c r="BYE147" s="1206"/>
      <c r="BYF147" s="1206"/>
      <c r="BYG147" s="1206"/>
      <c r="BYH147" s="1206"/>
      <c r="BYI147" s="1206"/>
      <c r="BYJ147" s="1206"/>
      <c r="BYK147" s="1206"/>
      <c r="BYL147" s="1206"/>
      <c r="BYM147" s="1206"/>
      <c r="BYN147" s="1206"/>
      <c r="BYO147" s="1206"/>
      <c r="BYP147" s="1206"/>
      <c r="BYQ147" s="1206"/>
      <c r="BYR147" s="1206"/>
      <c r="BYS147" s="1206"/>
      <c r="BYT147" s="1206"/>
      <c r="BYU147" s="1206"/>
      <c r="BYV147" s="1206"/>
      <c r="BYW147" s="1206"/>
      <c r="BYX147" s="1206"/>
      <c r="BYY147" s="1206"/>
      <c r="BYZ147" s="1206"/>
      <c r="BZA147" s="1206"/>
      <c r="BZB147" s="1206"/>
      <c r="BZC147" s="1206"/>
      <c r="BZD147" s="1206"/>
      <c r="BZE147" s="1206"/>
      <c r="BZF147" s="1206"/>
      <c r="BZG147" s="1206"/>
      <c r="BZH147" s="1206"/>
      <c r="BZI147" s="1206"/>
      <c r="BZJ147" s="1206"/>
      <c r="BZK147" s="1206"/>
      <c r="BZL147" s="1206"/>
      <c r="BZM147" s="1206"/>
      <c r="BZN147" s="1206"/>
      <c r="BZO147" s="1206"/>
      <c r="BZP147" s="1206"/>
      <c r="BZQ147" s="1206"/>
      <c r="BZR147" s="1206"/>
      <c r="BZS147" s="1206"/>
      <c r="BZT147" s="1206"/>
      <c r="BZU147" s="1206"/>
      <c r="BZV147" s="1206"/>
      <c r="BZW147" s="1206"/>
      <c r="BZX147" s="1206"/>
      <c r="BZY147" s="1206"/>
      <c r="BZZ147" s="1206"/>
      <c r="CAA147" s="1206"/>
      <c r="CAB147" s="1206"/>
      <c r="CAC147" s="1206"/>
      <c r="CAD147" s="1206"/>
      <c r="CAE147" s="1206"/>
      <c r="CAF147" s="1206"/>
      <c r="CAG147" s="1206"/>
      <c r="CAH147" s="1206"/>
      <c r="CAI147" s="1206"/>
      <c r="CAJ147" s="1206"/>
      <c r="CAK147" s="1206"/>
      <c r="CAL147" s="1206"/>
      <c r="CAM147" s="1206"/>
      <c r="CAN147" s="1206"/>
      <c r="CAO147" s="1206"/>
      <c r="CAP147" s="1206"/>
      <c r="CAQ147" s="1206"/>
      <c r="CAR147" s="1206"/>
      <c r="CAS147" s="1206"/>
      <c r="CAT147" s="1206"/>
      <c r="CAU147" s="1206"/>
      <c r="CAV147" s="1206"/>
      <c r="CAW147" s="1206"/>
      <c r="CAX147" s="1206"/>
      <c r="CAY147" s="1206"/>
      <c r="CAZ147" s="1206"/>
      <c r="CBA147" s="1206"/>
      <c r="CBB147" s="1206"/>
      <c r="CBC147" s="1206"/>
      <c r="CBD147" s="1206"/>
      <c r="CBE147" s="1206"/>
      <c r="CBF147" s="1206"/>
      <c r="CBG147" s="1206"/>
      <c r="CBH147" s="1206"/>
      <c r="CBI147" s="1206"/>
      <c r="CBJ147" s="1206"/>
      <c r="CBK147" s="1206"/>
      <c r="CBL147" s="1206"/>
      <c r="CBM147" s="1206"/>
      <c r="CBN147" s="1206"/>
      <c r="CBO147" s="1206"/>
      <c r="CBP147" s="1206"/>
      <c r="CBQ147" s="1206"/>
      <c r="CBR147" s="1206"/>
      <c r="CBS147" s="1206"/>
      <c r="CBT147" s="1206"/>
      <c r="CBU147" s="1206"/>
      <c r="CBV147" s="1206"/>
      <c r="CBW147" s="1206"/>
      <c r="CBX147" s="1206"/>
      <c r="CBY147" s="1206"/>
      <c r="CBZ147" s="1206"/>
      <c r="CCA147" s="1206"/>
      <c r="CCB147" s="1206"/>
      <c r="CCC147" s="1206"/>
      <c r="CCD147" s="1206"/>
      <c r="CCE147" s="1206"/>
      <c r="CCF147" s="1206"/>
      <c r="CCG147" s="1206"/>
      <c r="CCH147" s="1206"/>
      <c r="CCI147" s="1206"/>
      <c r="CCJ147" s="1206"/>
      <c r="CCK147" s="1206"/>
      <c r="CCL147" s="1206"/>
      <c r="CCM147" s="1206"/>
      <c r="CCN147" s="1206"/>
      <c r="CCO147" s="1206"/>
      <c r="CCP147" s="1206"/>
      <c r="CCQ147" s="1206"/>
      <c r="CCR147" s="1206"/>
      <c r="CCS147" s="1206"/>
      <c r="CCT147" s="1206"/>
      <c r="CCU147" s="1206"/>
      <c r="CCV147" s="1206"/>
      <c r="CCW147" s="1206"/>
      <c r="CCX147" s="1206"/>
      <c r="CCY147" s="1206"/>
      <c r="CCZ147" s="1206"/>
      <c r="CDA147" s="1206"/>
      <c r="CDB147" s="1206"/>
      <c r="CDC147" s="1206"/>
      <c r="CDD147" s="1206"/>
      <c r="CDE147" s="1206"/>
      <c r="CDF147" s="1206"/>
      <c r="CDG147" s="1206"/>
      <c r="CDH147" s="1206"/>
      <c r="CDI147" s="1206"/>
      <c r="CDJ147" s="1206"/>
      <c r="CDK147" s="1206"/>
      <c r="CDL147" s="1206"/>
      <c r="CDM147" s="1206"/>
      <c r="CDN147" s="1206"/>
      <c r="CDO147" s="1206"/>
      <c r="CDP147" s="1206"/>
      <c r="CDQ147" s="1206"/>
      <c r="CDR147" s="1206"/>
      <c r="CDS147" s="1206"/>
      <c r="CDT147" s="1206"/>
      <c r="CDU147" s="1206"/>
      <c r="CDV147" s="1206"/>
      <c r="CDW147" s="1206"/>
      <c r="CDX147" s="1206"/>
      <c r="CDY147" s="1206"/>
      <c r="CDZ147" s="1206"/>
      <c r="CEA147" s="1206"/>
      <c r="CEB147" s="1206"/>
      <c r="CEC147" s="1206"/>
      <c r="CED147" s="1206"/>
      <c r="CEE147" s="1206"/>
      <c r="CEF147" s="1206"/>
      <c r="CEG147" s="1206"/>
      <c r="CEH147" s="1206"/>
      <c r="CEI147" s="1206"/>
      <c r="CEJ147" s="1206"/>
      <c r="CEK147" s="1206"/>
      <c r="CEL147" s="1206"/>
      <c r="CEM147" s="1206"/>
      <c r="CEN147" s="1206"/>
      <c r="CEO147" s="1206"/>
      <c r="CEP147" s="1206"/>
      <c r="CEQ147" s="1206"/>
      <c r="CER147" s="1206"/>
      <c r="CES147" s="1206"/>
      <c r="CET147" s="1206"/>
      <c r="CEU147" s="1206"/>
      <c r="CEV147" s="1206"/>
      <c r="CEW147" s="1206"/>
      <c r="CEX147" s="1206"/>
      <c r="CEY147" s="1206"/>
      <c r="CEZ147" s="1206"/>
      <c r="CFA147" s="1206"/>
      <c r="CFB147" s="1206"/>
      <c r="CFC147" s="1206"/>
      <c r="CFD147" s="1206"/>
      <c r="CFE147" s="1206"/>
      <c r="CFF147" s="1206"/>
      <c r="CFG147" s="1206"/>
      <c r="CFH147" s="1206"/>
      <c r="CFI147" s="1206"/>
      <c r="CFJ147" s="1206"/>
      <c r="CFK147" s="1206"/>
      <c r="CFL147" s="1206"/>
      <c r="CFM147" s="1206"/>
      <c r="CFN147" s="1206"/>
      <c r="CFO147" s="1206"/>
      <c r="CFP147" s="1206"/>
      <c r="CFQ147" s="1206"/>
      <c r="CFR147" s="1206"/>
      <c r="CFS147" s="1206"/>
      <c r="CFT147" s="1206"/>
      <c r="CFU147" s="1206"/>
      <c r="CFV147" s="1206"/>
      <c r="CFW147" s="1206"/>
      <c r="CFX147" s="1206"/>
      <c r="CFY147" s="1206"/>
      <c r="CFZ147" s="1206"/>
      <c r="CGA147" s="1206"/>
      <c r="CGB147" s="1206"/>
      <c r="CGC147" s="1206"/>
      <c r="CGD147" s="1206"/>
      <c r="CGE147" s="1206"/>
      <c r="CGF147" s="1206"/>
      <c r="CGG147" s="1206"/>
      <c r="CGH147" s="1206"/>
      <c r="CGI147" s="1206"/>
      <c r="CGJ147" s="1206"/>
      <c r="CGK147" s="1206"/>
      <c r="CGL147" s="1206"/>
      <c r="CGM147" s="1206"/>
      <c r="CGN147" s="1206"/>
      <c r="CGO147" s="1206"/>
      <c r="CGP147" s="1206"/>
      <c r="CGQ147" s="1206"/>
      <c r="CGR147" s="1206"/>
      <c r="CGS147" s="1206"/>
      <c r="CGT147" s="1206"/>
      <c r="CGU147" s="1206"/>
      <c r="CGV147" s="1206"/>
      <c r="CGW147" s="1206"/>
      <c r="CGX147" s="1206"/>
      <c r="CGY147" s="1206"/>
      <c r="CGZ147" s="1206"/>
      <c r="CHA147" s="1206"/>
      <c r="CHB147" s="1206"/>
      <c r="CHC147" s="1206"/>
      <c r="CHD147" s="1206"/>
      <c r="CHE147" s="1206"/>
      <c r="CHF147" s="1206"/>
      <c r="CHG147" s="1206"/>
      <c r="CHH147" s="1206"/>
      <c r="CHI147" s="1206"/>
      <c r="CHJ147" s="1206"/>
      <c r="CHK147" s="1206"/>
      <c r="CHL147" s="1206"/>
      <c r="CHM147" s="1206"/>
      <c r="CHN147" s="1206"/>
      <c r="CHO147" s="1206"/>
      <c r="CHP147" s="1206"/>
      <c r="CHQ147" s="1206"/>
      <c r="CHR147" s="1206"/>
      <c r="CHS147" s="1206"/>
      <c r="CHT147" s="1206"/>
      <c r="CHU147" s="1206"/>
      <c r="CHV147" s="1206"/>
      <c r="CHW147" s="1206"/>
      <c r="CHX147" s="1206"/>
      <c r="CHY147" s="1206"/>
      <c r="CHZ147" s="1206"/>
      <c r="CIA147" s="1206"/>
      <c r="CIB147" s="1206"/>
      <c r="CIC147" s="1206"/>
      <c r="CID147" s="1206"/>
      <c r="CIE147" s="1206"/>
      <c r="CIF147" s="1206"/>
      <c r="CIG147" s="1206"/>
      <c r="CIH147" s="1206"/>
      <c r="CII147" s="1206"/>
      <c r="CIJ147" s="1206"/>
      <c r="CIK147" s="1206"/>
      <c r="CIL147" s="1206"/>
      <c r="CIM147" s="1206"/>
      <c r="CIN147" s="1206"/>
      <c r="CIO147" s="1206"/>
      <c r="CIP147" s="1206"/>
      <c r="CIQ147" s="1206"/>
      <c r="CIR147" s="1206"/>
      <c r="CIS147" s="1206"/>
      <c r="CIT147" s="1206"/>
      <c r="CIU147" s="1206"/>
      <c r="CIV147" s="1206"/>
      <c r="CIW147" s="1206"/>
      <c r="CIX147" s="1206"/>
      <c r="CIY147" s="1206"/>
      <c r="CIZ147" s="1206"/>
      <c r="CJA147" s="1206"/>
      <c r="CJB147" s="1206"/>
      <c r="CJC147" s="1206"/>
      <c r="CJD147" s="1206"/>
      <c r="CJE147" s="1206"/>
      <c r="CJF147" s="1206"/>
      <c r="CJG147" s="1206"/>
      <c r="CJH147" s="1206"/>
      <c r="CJI147" s="1206"/>
      <c r="CJJ147" s="1206"/>
      <c r="CJK147" s="1206"/>
      <c r="CJL147" s="1206"/>
      <c r="CJM147" s="1206"/>
      <c r="CJN147" s="1206"/>
      <c r="CJO147" s="1206"/>
      <c r="CJP147" s="1206"/>
      <c r="CJQ147" s="1206"/>
      <c r="CJR147" s="1206"/>
      <c r="CJS147" s="1206"/>
      <c r="CJT147" s="1206"/>
      <c r="CJU147" s="1206"/>
      <c r="CJV147" s="1206"/>
      <c r="CJW147" s="1206"/>
      <c r="CJX147" s="1206"/>
      <c r="CJY147" s="1206"/>
      <c r="CJZ147" s="1206"/>
      <c r="CKA147" s="1206"/>
      <c r="CKB147" s="1206"/>
      <c r="CKC147" s="1206"/>
      <c r="CKD147" s="1206"/>
      <c r="CKE147" s="1206"/>
      <c r="CKF147" s="1206"/>
      <c r="CKG147" s="1206"/>
      <c r="CKH147" s="1206"/>
      <c r="CKI147" s="1206"/>
      <c r="CKJ147" s="1206"/>
      <c r="CKK147" s="1206"/>
      <c r="CKL147" s="1206"/>
      <c r="CKM147" s="1206"/>
      <c r="CKN147" s="1206"/>
      <c r="CKO147" s="1206"/>
      <c r="CKP147" s="1206"/>
      <c r="CKQ147" s="1206"/>
      <c r="CKR147" s="1206"/>
      <c r="CKS147" s="1206"/>
      <c r="CKT147" s="1206"/>
      <c r="CKU147" s="1206"/>
      <c r="CKV147" s="1206"/>
      <c r="CKW147" s="1206"/>
      <c r="CKX147" s="1206"/>
      <c r="CKY147" s="1206"/>
      <c r="CKZ147" s="1206"/>
      <c r="CLA147" s="1206"/>
      <c r="CLB147" s="1206"/>
      <c r="CLC147" s="1206"/>
      <c r="CLD147" s="1206"/>
      <c r="CLE147" s="1206"/>
      <c r="CLF147" s="1206"/>
      <c r="CLG147" s="1206"/>
      <c r="CLH147" s="1206"/>
      <c r="CLI147" s="1206"/>
      <c r="CLJ147" s="1206"/>
      <c r="CLK147" s="1206"/>
      <c r="CLL147" s="1206"/>
      <c r="CLM147" s="1206"/>
      <c r="CLN147" s="1206"/>
      <c r="CLO147" s="1206"/>
      <c r="CLP147" s="1206"/>
      <c r="CLQ147" s="1206"/>
      <c r="CLR147" s="1206"/>
      <c r="CLS147" s="1206"/>
      <c r="CLT147" s="1206"/>
      <c r="CLU147" s="1206"/>
      <c r="CLV147" s="1206"/>
      <c r="CLW147" s="1206"/>
      <c r="CLX147" s="1206"/>
      <c r="CLY147" s="1206"/>
      <c r="CLZ147" s="1206"/>
      <c r="CMA147" s="1206"/>
      <c r="CMB147" s="1206"/>
      <c r="CMC147" s="1206"/>
      <c r="CMD147" s="1206"/>
      <c r="CME147" s="1206"/>
      <c r="CMF147" s="1206"/>
      <c r="CMG147" s="1206"/>
      <c r="CMH147" s="1206"/>
      <c r="CMI147" s="1206"/>
      <c r="CMJ147" s="1206"/>
      <c r="CMK147" s="1206"/>
      <c r="CML147" s="1206"/>
      <c r="CMM147" s="1206"/>
      <c r="CMN147" s="1206"/>
      <c r="CMO147" s="1206"/>
      <c r="CMP147" s="1206"/>
      <c r="CMQ147" s="1206"/>
      <c r="CMR147" s="1206"/>
      <c r="CMS147" s="1206"/>
      <c r="CMT147" s="1206"/>
      <c r="CMU147" s="1206"/>
      <c r="CMV147" s="1206"/>
      <c r="CMW147" s="1206"/>
      <c r="CMX147" s="1206"/>
      <c r="CMY147" s="1206"/>
      <c r="CMZ147" s="1206"/>
      <c r="CNA147" s="1206"/>
      <c r="CNB147" s="1206"/>
      <c r="CNC147" s="1206"/>
      <c r="CND147" s="1206"/>
      <c r="CNE147" s="1206"/>
      <c r="CNF147" s="1206"/>
      <c r="CNG147" s="1206"/>
      <c r="CNH147" s="1206"/>
      <c r="CNI147" s="1206"/>
      <c r="CNJ147" s="1206"/>
      <c r="CNK147" s="1206"/>
      <c r="CNL147" s="1206"/>
      <c r="CNM147" s="1206"/>
      <c r="CNN147" s="1206"/>
      <c r="CNO147" s="1206"/>
      <c r="CNP147" s="1206"/>
      <c r="CNQ147" s="1206"/>
      <c r="CNR147" s="1206"/>
      <c r="CNS147" s="1206"/>
      <c r="CNT147" s="1206"/>
      <c r="CNU147" s="1206"/>
      <c r="CNV147" s="1206"/>
      <c r="CNW147" s="1206"/>
      <c r="CNX147" s="1206"/>
      <c r="CNY147" s="1206"/>
      <c r="CNZ147" s="1206"/>
      <c r="COA147" s="1206"/>
      <c r="COB147" s="1206"/>
      <c r="COC147" s="1206"/>
      <c r="COD147" s="1206"/>
      <c r="COE147" s="1206"/>
      <c r="COF147" s="1206"/>
      <c r="COG147" s="1206"/>
      <c r="COH147" s="1206"/>
      <c r="COI147" s="1206"/>
      <c r="COJ147" s="1206"/>
      <c r="COK147" s="1206"/>
      <c r="COL147" s="1206"/>
      <c r="COM147" s="1206"/>
      <c r="CON147" s="1206"/>
      <c r="COO147" s="1206"/>
      <c r="COP147" s="1206"/>
      <c r="COQ147" s="1206"/>
      <c r="COR147" s="1206"/>
      <c r="COS147" s="1206"/>
      <c r="COT147" s="1206"/>
      <c r="COU147" s="1206"/>
      <c r="COV147" s="1206"/>
      <c r="COW147" s="1206"/>
      <c r="COX147" s="1206"/>
      <c r="COY147" s="1206"/>
      <c r="COZ147" s="1206"/>
      <c r="CPA147" s="1206"/>
      <c r="CPB147" s="1206"/>
      <c r="CPC147" s="1206"/>
      <c r="CPD147" s="1206"/>
      <c r="CPE147" s="1206"/>
      <c r="CPF147" s="1206"/>
      <c r="CPG147" s="1206"/>
      <c r="CPH147" s="1206"/>
      <c r="CPI147" s="1206"/>
      <c r="CPJ147" s="1206"/>
      <c r="CPK147" s="1206"/>
      <c r="CPL147" s="1206"/>
      <c r="CPM147" s="1206"/>
      <c r="CPN147" s="1206"/>
      <c r="CPO147" s="1206"/>
      <c r="CPP147" s="1206"/>
      <c r="CPQ147" s="1206"/>
      <c r="CPR147" s="1206"/>
      <c r="CPS147" s="1206"/>
      <c r="CPT147" s="1206"/>
      <c r="CPU147" s="1206"/>
      <c r="CPV147" s="1206"/>
      <c r="CPW147" s="1206"/>
      <c r="CPX147" s="1206"/>
      <c r="CPY147" s="1206"/>
      <c r="CPZ147" s="1206"/>
      <c r="CQA147" s="1206"/>
      <c r="CQB147" s="1206"/>
      <c r="CQC147" s="1206"/>
      <c r="CQD147" s="1206"/>
      <c r="CQE147" s="1206"/>
      <c r="CQF147" s="1206"/>
      <c r="CQG147" s="1206"/>
      <c r="CQH147" s="1206"/>
      <c r="CQI147" s="1206"/>
      <c r="CQJ147" s="1206"/>
      <c r="CQK147" s="1206"/>
      <c r="CQL147" s="1206"/>
      <c r="CQM147" s="1206"/>
      <c r="CQN147" s="1206"/>
      <c r="CQO147" s="1206"/>
      <c r="CQP147" s="1206"/>
      <c r="CQQ147" s="1206"/>
      <c r="CQR147" s="1206"/>
      <c r="CQS147" s="1206"/>
      <c r="CQT147" s="1206"/>
      <c r="CQU147" s="1206"/>
      <c r="CQV147" s="1206"/>
      <c r="CQW147" s="1206"/>
      <c r="CQX147" s="1206"/>
      <c r="CQY147" s="1206"/>
      <c r="CQZ147" s="1206"/>
      <c r="CRA147" s="1206"/>
      <c r="CRB147" s="1206"/>
      <c r="CRC147" s="1206"/>
      <c r="CRD147" s="1206"/>
      <c r="CRE147" s="1206"/>
      <c r="CRF147" s="1206"/>
      <c r="CRG147" s="1206"/>
      <c r="CRH147" s="1206"/>
      <c r="CRI147" s="1206"/>
      <c r="CRJ147" s="1206"/>
      <c r="CRK147" s="1206"/>
      <c r="CRL147" s="1206"/>
      <c r="CRM147" s="1206"/>
      <c r="CRN147" s="1206"/>
      <c r="CRO147" s="1206"/>
      <c r="CRP147" s="1206"/>
      <c r="CRQ147" s="1206"/>
      <c r="CRR147" s="1206"/>
      <c r="CRS147" s="1206"/>
      <c r="CRT147" s="1206"/>
      <c r="CRU147" s="1206"/>
      <c r="CRV147" s="1206"/>
      <c r="CRW147" s="1206"/>
      <c r="CRX147" s="1206"/>
      <c r="CRY147" s="1206"/>
      <c r="CRZ147" s="1206"/>
      <c r="CSA147" s="1206"/>
      <c r="CSB147" s="1206"/>
      <c r="CSC147" s="1206"/>
      <c r="CSD147" s="1206"/>
      <c r="CSE147" s="1206"/>
      <c r="CSF147" s="1206"/>
      <c r="CSG147" s="1206"/>
      <c r="CSH147" s="1206"/>
      <c r="CSI147" s="1206"/>
      <c r="CSJ147" s="1206"/>
      <c r="CSK147" s="1206"/>
      <c r="CSL147" s="1206"/>
      <c r="CSM147" s="1206"/>
      <c r="CSN147" s="1206"/>
      <c r="CSO147" s="1206"/>
      <c r="CSP147" s="1206"/>
      <c r="CSQ147" s="1206"/>
      <c r="CSR147" s="1206"/>
      <c r="CSS147" s="1206"/>
      <c r="CST147" s="1206"/>
      <c r="CSU147" s="1206"/>
      <c r="CSV147" s="1206"/>
      <c r="CSW147" s="1206"/>
      <c r="CSX147" s="1206"/>
      <c r="CSY147" s="1206"/>
      <c r="CSZ147" s="1206"/>
      <c r="CTA147" s="1206"/>
      <c r="CTB147" s="1206"/>
      <c r="CTC147" s="1206"/>
      <c r="CTD147" s="1206"/>
      <c r="CTE147" s="1206"/>
      <c r="CTF147" s="1206"/>
      <c r="CTG147" s="1206"/>
      <c r="CTH147" s="1206"/>
      <c r="CTI147" s="1206"/>
      <c r="CTJ147" s="1206"/>
      <c r="CTK147" s="1206"/>
      <c r="CTL147" s="1206"/>
      <c r="CTM147" s="1206"/>
      <c r="CTN147" s="1206"/>
      <c r="CTO147" s="1206"/>
      <c r="CTP147" s="1206"/>
      <c r="CTQ147" s="1206"/>
      <c r="CTR147" s="1206"/>
      <c r="CTS147" s="1206"/>
      <c r="CTT147" s="1206"/>
      <c r="CTU147" s="1206"/>
      <c r="CTV147" s="1206"/>
      <c r="CTW147" s="1206"/>
      <c r="CTX147" s="1206"/>
      <c r="CTY147" s="1206"/>
      <c r="CTZ147" s="1206"/>
      <c r="CUA147" s="1206"/>
      <c r="CUB147" s="1206"/>
      <c r="CUC147" s="1206"/>
      <c r="CUD147" s="1206"/>
      <c r="CUE147" s="1206"/>
      <c r="CUF147" s="1206"/>
      <c r="CUG147" s="1206"/>
      <c r="CUH147" s="1206"/>
      <c r="CUI147" s="1206"/>
      <c r="CUJ147" s="1206"/>
      <c r="CUK147" s="1206"/>
      <c r="CUL147" s="1206"/>
      <c r="CUM147" s="1206"/>
      <c r="CUN147" s="1206"/>
      <c r="CUO147" s="1206"/>
      <c r="CUP147" s="1206"/>
      <c r="CUQ147" s="1206"/>
      <c r="CUR147" s="1206"/>
      <c r="CUS147" s="1206"/>
      <c r="CUT147" s="1206"/>
      <c r="CUU147" s="1206"/>
      <c r="CUV147" s="1206"/>
      <c r="CUW147" s="1206"/>
      <c r="CUX147" s="1206"/>
      <c r="CUY147" s="1206"/>
      <c r="CUZ147" s="1206"/>
      <c r="CVA147" s="1206"/>
      <c r="CVB147" s="1206"/>
      <c r="CVC147" s="1206"/>
      <c r="CVD147" s="1206"/>
      <c r="CVE147" s="1206"/>
      <c r="CVF147" s="1206"/>
      <c r="CVG147" s="1206"/>
      <c r="CVH147" s="1206"/>
      <c r="CVI147" s="1206"/>
      <c r="CVJ147" s="1206"/>
      <c r="CVK147" s="1206"/>
      <c r="CVL147" s="1206"/>
      <c r="CVM147" s="1206"/>
      <c r="CVN147" s="1206"/>
      <c r="CVO147" s="1206"/>
      <c r="CVP147" s="1206"/>
      <c r="CVQ147" s="1206"/>
      <c r="CVR147" s="1206"/>
      <c r="CVS147" s="1206"/>
      <c r="CVT147" s="1206"/>
      <c r="CVU147" s="1206"/>
      <c r="CVV147" s="1206"/>
      <c r="CVW147" s="1206"/>
      <c r="CVX147" s="1206"/>
      <c r="CVY147" s="1206"/>
      <c r="CVZ147" s="1206"/>
      <c r="CWA147" s="1206"/>
      <c r="CWB147" s="1206"/>
      <c r="CWC147" s="1206"/>
      <c r="CWD147" s="1206"/>
      <c r="CWE147" s="1206"/>
      <c r="CWF147" s="1206"/>
      <c r="CWG147" s="1206"/>
      <c r="CWH147" s="1206"/>
      <c r="CWI147" s="1206"/>
      <c r="CWJ147" s="1206"/>
      <c r="CWK147" s="1206"/>
      <c r="CWL147" s="1206"/>
      <c r="CWM147" s="1206"/>
      <c r="CWN147" s="1206"/>
      <c r="CWO147" s="1206"/>
      <c r="CWP147" s="1206"/>
      <c r="CWQ147" s="1206"/>
      <c r="CWR147" s="1206"/>
      <c r="CWS147" s="1206"/>
      <c r="CWT147" s="1206"/>
      <c r="CWU147" s="1206"/>
      <c r="CWV147" s="1206"/>
      <c r="CWW147" s="1206"/>
      <c r="CWX147" s="1206"/>
      <c r="CWY147" s="1206"/>
      <c r="CWZ147" s="1206"/>
      <c r="CXA147" s="1206"/>
      <c r="CXB147" s="1206"/>
      <c r="CXC147" s="1206"/>
      <c r="CXD147" s="1206"/>
      <c r="CXE147" s="1206"/>
      <c r="CXF147" s="1206"/>
      <c r="CXG147" s="1206"/>
      <c r="CXH147" s="1206"/>
      <c r="CXI147" s="1206"/>
      <c r="CXJ147" s="1206"/>
      <c r="CXK147" s="1206"/>
      <c r="CXL147" s="1206"/>
      <c r="CXM147" s="1206"/>
      <c r="CXN147" s="1206"/>
      <c r="CXO147" s="1206"/>
      <c r="CXP147" s="1206"/>
      <c r="CXQ147" s="1206"/>
      <c r="CXR147" s="1206"/>
      <c r="CXS147" s="1206"/>
      <c r="CXT147" s="1206"/>
      <c r="CXU147" s="1206"/>
      <c r="CXV147" s="1206"/>
      <c r="CXW147" s="1206"/>
      <c r="CXX147" s="1206"/>
      <c r="CXY147" s="1206"/>
      <c r="CXZ147" s="1206"/>
      <c r="CYA147" s="1206"/>
      <c r="CYB147" s="1206"/>
      <c r="CYC147" s="1206"/>
      <c r="CYD147" s="1206"/>
      <c r="CYE147" s="1206"/>
      <c r="CYF147" s="1206"/>
      <c r="CYG147" s="1206"/>
      <c r="CYH147" s="1206"/>
      <c r="CYI147" s="1206"/>
      <c r="CYJ147" s="1206"/>
      <c r="CYK147" s="1206"/>
      <c r="CYL147" s="1206"/>
      <c r="CYM147" s="1206"/>
      <c r="CYN147" s="1206"/>
      <c r="CYO147" s="1206"/>
      <c r="CYP147" s="1206"/>
      <c r="CYQ147" s="1206"/>
      <c r="CYR147" s="1206"/>
      <c r="CYS147" s="1206"/>
      <c r="CYT147" s="1206"/>
      <c r="CYU147" s="1206"/>
      <c r="CYV147" s="1206"/>
      <c r="CYW147" s="1206"/>
      <c r="CYX147" s="1206"/>
      <c r="CYY147" s="1206"/>
      <c r="CYZ147" s="1206"/>
      <c r="CZA147" s="1206"/>
      <c r="CZB147" s="1206"/>
      <c r="CZC147" s="1206"/>
      <c r="CZD147" s="1206"/>
      <c r="CZE147" s="1206"/>
      <c r="CZF147" s="1206"/>
      <c r="CZG147" s="1206"/>
      <c r="CZH147" s="1206"/>
      <c r="CZI147" s="1206"/>
      <c r="CZJ147" s="1206"/>
      <c r="CZK147" s="1206"/>
      <c r="CZL147" s="1206"/>
      <c r="CZM147" s="1206"/>
      <c r="CZN147" s="1206"/>
      <c r="CZO147" s="1206"/>
      <c r="CZP147" s="1206"/>
      <c r="CZQ147" s="1206"/>
      <c r="CZR147" s="1206"/>
      <c r="CZS147" s="1206"/>
      <c r="CZT147" s="1206"/>
      <c r="CZU147" s="1206"/>
      <c r="CZV147" s="1206"/>
      <c r="CZW147" s="1206"/>
      <c r="CZX147" s="1206"/>
      <c r="CZY147" s="1206"/>
      <c r="CZZ147" s="1206"/>
      <c r="DAA147" s="1206"/>
      <c r="DAB147" s="1206"/>
      <c r="DAC147" s="1206"/>
      <c r="DAD147" s="1206"/>
      <c r="DAE147" s="1206"/>
      <c r="DAF147" s="1206"/>
      <c r="DAG147" s="1206"/>
      <c r="DAH147" s="1206"/>
      <c r="DAI147" s="1206"/>
      <c r="DAJ147" s="1206"/>
      <c r="DAK147" s="1206"/>
      <c r="DAL147" s="1206"/>
      <c r="DAM147" s="1206"/>
      <c r="DAN147" s="1206"/>
      <c r="DAO147" s="1206"/>
      <c r="DAP147" s="1206"/>
      <c r="DAQ147" s="1206"/>
      <c r="DAR147" s="1206"/>
      <c r="DAS147" s="1206"/>
      <c r="DAT147" s="1206"/>
      <c r="DAU147" s="1206"/>
      <c r="DAV147" s="1206"/>
      <c r="DAW147" s="1206"/>
      <c r="DAX147" s="1206"/>
      <c r="DAY147" s="1206"/>
      <c r="DAZ147" s="1206"/>
      <c r="DBA147" s="1206"/>
      <c r="DBB147" s="1206"/>
      <c r="DBC147" s="1206"/>
      <c r="DBD147" s="1206"/>
      <c r="DBE147" s="1206"/>
      <c r="DBF147" s="1206"/>
      <c r="DBG147" s="1206"/>
      <c r="DBH147" s="1206"/>
      <c r="DBI147" s="1206"/>
      <c r="DBJ147" s="1206"/>
      <c r="DBK147" s="1206"/>
      <c r="DBL147" s="1206"/>
      <c r="DBM147" s="1206"/>
      <c r="DBN147" s="1206"/>
      <c r="DBO147" s="1206"/>
      <c r="DBP147" s="1206"/>
      <c r="DBQ147" s="1206"/>
      <c r="DBR147" s="1206"/>
      <c r="DBS147" s="1206"/>
      <c r="DBT147" s="1206"/>
      <c r="DBU147" s="1206"/>
      <c r="DBV147" s="1206"/>
      <c r="DBW147" s="1206"/>
      <c r="DBX147" s="1206"/>
      <c r="DBY147" s="1206"/>
      <c r="DBZ147" s="1206"/>
      <c r="DCA147" s="1206"/>
      <c r="DCB147" s="1206"/>
      <c r="DCC147" s="1206"/>
      <c r="DCD147" s="1206"/>
      <c r="DCE147" s="1206"/>
      <c r="DCF147" s="1206"/>
      <c r="DCG147" s="1206"/>
      <c r="DCH147" s="1206"/>
      <c r="DCI147" s="1206"/>
      <c r="DCJ147" s="1206"/>
      <c r="DCK147" s="1206"/>
      <c r="DCL147" s="1206"/>
      <c r="DCM147" s="1206"/>
      <c r="DCN147" s="1206"/>
      <c r="DCO147" s="1206"/>
      <c r="DCP147" s="1206"/>
      <c r="DCQ147" s="1206"/>
      <c r="DCR147" s="1206"/>
      <c r="DCS147" s="1206"/>
      <c r="DCT147" s="1206"/>
      <c r="DCU147" s="1206"/>
      <c r="DCV147" s="1206"/>
      <c r="DCW147" s="1206"/>
      <c r="DCX147" s="1206"/>
      <c r="DCY147" s="1206"/>
      <c r="DCZ147" s="1206"/>
      <c r="DDA147" s="1206"/>
      <c r="DDB147" s="1206"/>
      <c r="DDC147" s="1206"/>
      <c r="DDD147" s="1206"/>
      <c r="DDE147" s="1206"/>
      <c r="DDF147" s="1206"/>
      <c r="DDG147" s="1206"/>
      <c r="DDH147" s="1206"/>
      <c r="DDI147" s="1206"/>
      <c r="DDJ147" s="1206"/>
      <c r="DDK147" s="1206"/>
      <c r="DDL147" s="1206"/>
      <c r="DDM147" s="1206"/>
      <c r="DDN147" s="1206"/>
      <c r="DDO147" s="1206"/>
      <c r="DDP147" s="1206"/>
      <c r="DDQ147" s="1206"/>
      <c r="DDR147" s="1206"/>
      <c r="DDS147" s="1206"/>
      <c r="DDT147" s="1206"/>
      <c r="DDU147" s="1206"/>
      <c r="DDV147" s="1206"/>
      <c r="DDW147" s="1206"/>
      <c r="DDX147" s="1206"/>
      <c r="DDY147" s="1206"/>
      <c r="DDZ147" s="1206"/>
      <c r="DEA147" s="1206"/>
      <c r="DEB147" s="1206"/>
      <c r="DEC147" s="1206"/>
      <c r="DED147" s="1206"/>
      <c r="DEE147" s="1206"/>
      <c r="DEF147" s="1206"/>
      <c r="DEG147" s="1206"/>
      <c r="DEH147" s="1206"/>
      <c r="DEI147" s="1206"/>
      <c r="DEJ147" s="1206"/>
      <c r="DEK147" s="1206"/>
      <c r="DEL147" s="1206"/>
      <c r="DEM147" s="1206"/>
      <c r="DEN147" s="1206"/>
      <c r="DEO147" s="1206"/>
      <c r="DEP147" s="1206"/>
      <c r="DEQ147" s="1206"/>
      <c r="DER147" s="1206"/>
      <c r="DES147" s="1206"/>
      <c r="DET147" s="1206"/>
      <c r="DEU147" s="1206"/>
      <c r="DEV147" s="1206"/>
      <c r="DEW147" s="1206"/>
      <c r="DEX147" s="1206"/>
      <c r="DEY147" s="1206"/>
      <c r="DEZ147" s="1206"/>
      <c r="DFA147" s="1206"/>
      <c r="DFB147" s="1206"/>
      <c r="DFC147" s="1206"/>
      <c r="DFD147" s="1206"/>
      <c r="DFE147" s="1206"/>
      <c r="DFF147" s="1206"/>
      <c r="DFG147" s="1206"/>
      <c r="DFH147" s="1206"/>
      <c r="DFI147" s="1206"/>
      <c r="DFJ147" s="1206"/>
      <c r="DFK147" s="1206"/>
      <c r="DFL147" s="1206"/>
      <c r="DFM147" s="1206"/>
      <c r="DFN147" s="1206"/>
      <c r="DFO147" s="1206"/>
      <c r="DFP147" s="1206"/>
      <c r="DFQ147" s="1206"/>
      <c r="DFR147" s="1206"/>
      <c r="DFS147" s="1206"/>
      <c r="DFT147" s="1206"/>
      <c r="DFU147" s="1206"/>
      <c r="DFV147" s="1206"/>
      <c r="DFW147" s="1206"/>
      <c r="DFX147" s="1206"/>
      <c r="DFY147" s="1206"/>
      <c r="DFZ147" s="1206"/>
      <c r="DGA147" s="1206"/>
      <c r="DGB147" s="1206"/>
      <c r="DGC147" s="1206"/>
      <c r="DGD147" s="1206"/>
      <c r="DGE147" s="1206"/>
      <c r="DGF147" s="1206"/>
      <c r="DGG147" s="1206"/>
      <c r="DGH147" s="1206"/>
      <c r="DGI147" s="1206"/>
      <c r="DGJ147" s="1206"/>
      <c r="DGK147" s="1206"/>
      <c r="DGL147" s="1206"/>
      <c r="DGM147" s="1206"/>
      <c r="DGN147" s="1206"/>
      <c r="DGO147" s="1206"/>
      <c r="DGP147" s="1206"/>
      <c r="DGQ147" s="1206"/>
      <c r="DGR147" s="1206"/>
      <c r="DGS147" s="1206"/>
      <c r="DGT147" s="1206"/>
      <c r="DGU147" s="1206"/>
      <c r="DGV147" s="1206"/>
      <c r="DGW147" s="1206"/>
      <c r="DGX147" s="1206"/>
      <c r="DGY147" s="1206"/>
      <c r="DGZ147" s="1206"/>
      <c r="DHA147" s="1206"/>
      <c r="DHB147" s="1206"/>
      <c r="DHC147" s="1206"/>
      <c r="DHD147" s="1206"/>
      <c r="DHE147" s="1206"/>
      <c r="DHF147" s="1206"/>
      <c r="DHG147" s="1206"/>
      <c r="DHH147" s="1206"/>
      <c r="DHI147" s="1206"/>
      <c r="DHJ147" s="1206"/>
      <c r="DHK147" s="1206"/>
      <c r="DHL147" s="1206"/>
      <c r="DHM147" s="1206"/>
      <c r="DHN147" s="1206"/>
      <c r="DHO147" s="1206"/>
      <c r="DHP147" s="1206"/>
      <c r="DHQ147" s="1206"/>
      <c r="DHR147" s="1206"/>
      <c r="DHS147" s="1206"/>
      <c r="DHT147" s="1206"/>
      <c r="DHU147" s="1206"/>
      <c r="DHV147" s="1206"/>
      <c r="DHW147" s="1206"/>
      <c r="DHX147" s="1206"/>
      <c r="DHY147" s="1206"/>
      <c r="DHZ147" s="1206"/>
      <c r="DIA147" s="1206"/>
      <c r="DIB147" s="1206"/>
      <c r="DIC147" s="1206"/>
      <c r="DID147" s="1206"/>
      <c r="DIE147" s="1206"/>
      <c r="DIF147" s="1206"/>
      <c r="DIG147" s="1206"/>
      <c r="DIH147" s="1206"/>
      <c r="DII147" s="1206"/>
      <c r="DIJ147" s="1206"/>
      <c r="DIK147" s="1206"/>
      <c r="DIL147" s="1206"/>
      <c r="DIM147" s="1206"/>
      <c r="DIN147" s="1206"/>
      <c r="DIO147" s="1206"/>
      <c r="DIP147" s="1206"/>
      <c r="DIQ147" s="1206"/>
      <c r="DIR147" s="1206"/>
      <c r="DIS147" s="1206"/>
      <c r="DIT147" s="1206"/>
      <c r="DIU147" s="1206"/>
      <c r="DIV147" s="1206"/>
      <c r="DIW147" s="1206"/>
      <c r="DIX147" s="1206"/>
      <c r="DIY147" s="1206"/>
      <c r="DIZ147" s="1206"/>
      <c r="DJA147" s="1206"/>
      <c r="DJB147" s="1206"/>
      <c r="DJC147" s="1206"/>
      <c r="DJD147" s="1206"/>
      <c r="DJE147" s="1206"/>
      <c r="DJF147" s="1206"/>
      <c r="DJG147" s="1206"/>
      <c r="DJH147" s="1206"/>
      <c r="DJI147" s="1206"/>
      <c r="DJJ147" s="1206"/>
      <c r="DJK147" s="1206"/>
      <c r="DJL147" s="1206"/>
      <c r="DJM147" s="1206"/>
      <c r="DJN147" s="1206"/>
      <c r="DJO147" s="1206"/>
      <c r="DJP147" s="1206"/>
      <c r="DJQ147" s="1206"/>
      <c r="DJR147" s="1206"/>
      <c r="DJS147" s="1206"/>
      <c r="DJT147" s="1206"/>
      <c r="DJU147" s="1206"/>
      <c r="DJV147" s="1206"/>
      <c r="DJW147" s="1206"/>
      <c r="DJX147" s="1206"/>
      <c r="DJY147" s="1206"/>
      <c r="DJZ147" s="1206"/>
      <c r="DKA147" s="1206"/>
      <c r="DKB147" s="1206"/>
      <c r="DKC147" s="1206"/>
      <c r="DKD147" s="1206"/>
      <c r="DKE147" s="1206"/>
      <c r="DKF147" s="1206"/>
      <c r="DKG147" s="1206"/>
      <c r="DKH147" s="1206"/>
      <c r="DKI147" s="1206"/>
      <c r="DKJ147" s="1206"/>
      <c r="DKK147" s="1206"/>
      <c r="DKL147" s="1206"/>
      <c r="DKM147" s="1206"/>
      <c r="DKN147" s="1206"/>
      <c r="DKO147" s="1206"/>
      <c r="DKP147" s="1206"/>
      <c r="DKQ147" s="1206"/>
      <c r="DKR147" s="1206"/>
      <c r="DKS147" s="1206"/>
      <c r="DKT147" s="1206"/>
      <c r="DKU147" s="1206"/>
      <c r="DKV147" s="1206"/>
      <c r="DKW147" s="1206"/>
      <c r="DKX147" s="1206"/>
      <c r="DKY147" s="1206"/>
      <c r="DKZ147" s="1206"/>
      <c r="DLA147" s="1206"/>
      <c r="DLB147" s="1206"/>
      <c r="DLC147" s="1206"/>
      <c r="DLD147" s="1206"/>
      <c r="DLE147" s="1206"/>
      <c r="DLF147" s="1206"/>
      <c r="DLG147" s="1206"/>
      <c r="DLH147" s="1206"/>
      <c r="DLI147" s="1206"/>
      <c r="DLJ147" s="1206"/>
      <c r="DLK147" s="1206"/>
      <c r="DLL147" s="1206"/>
      <c r="DLM147" s="1206"/>
      <c r="DLN147" s="1206"/>
      <c r="DLO147" s="1206"/>
      <c r="DLP147" s="1206"/>
      <c r="DLQ147" s="1206"/>
      <c r="DLR147" s="1206"/>
      <c r="DLS147" s="1206"/>
      <c r="DLT147" s="1206"/>
      <c r="DLU147" s="1206"/>
      <c r="DLV147" s="1206"/>
      <c r="DLW147" s="1206"/>
      <c r="DLX147" s="1206"/>
      <c r="DLY147" s="1206"/>
      <c r="DLZ147" s="1206"/>
      <c r="DMA147" s="1206"/>
      <c r="DMB147" s="1206"/>
      <c r="DMC147" s="1206"/>
      <c r="DMD147" s="1206"/>
      <c r="DME147" s="1206"/>
      <c r="DMF147" s="1206"/>
      <c r="DMG147" s="1206"/>
      <c r="DMH147" s="1206"/>
      <c r="DMI147" s="1206"/>
      <c r="DMJ147" s="1206"/>
      <c r="DMK147" s="1206"/>
      <c r="DML147" s="1206"/>
      <c r="DMM147" s="1206"/>
      <c r="DMN147" s="1206"/>
      <c r="DMO147" s="1206"/>
      <c r="DMP147" s="1206"/>
      <c r="DMQ147" s="1206"/>
      <c r="DMR147" s="1206"/>
      <c r="DMS147" s="1206"/>
      <c r="DMT147" s="1206"/>
      <c r="DMU147" s="1206"/>
      <c r="DMV147" s="1206"/>
      <c r="DMW147" s="1206"/>
      <c r="DMX147" s="1206"/>
      <c r="DMY147" s="1206"/>
      <c r="DMZ147" s="1206"/>
      <c r="DNA147" s="1206"/>
      <c r="DNB147" s="1206"/>
      <c r="DNC147" s="1206"/>
      <c r="DND147" s="1206"/>
      <c r="DNE147" s="1206"/>
      <c r="DNF147" s="1206"/>
      <c r="DNG147" s="1206"/>
      <c r="DNH147" s="1206"/>
      <c r="DNI147" s="1206"/>
      <c r="DNJ147" s="1206"/>
      <c r="DNK147" s="1206"/>
      <c r="DNL147" s="1206"/>
      <c r="DNM147" s="1206"/>
      <c r="DNN147" s="1206"/>
      <c r="DNO147" s="1206"/>
      <c r="DNP147" s="1206"/>
      <c r="DNQ147" s="1206"/>
      <c r="DNR147" s="1206"/>
      <c r="DNS147" s="1206"/>
      <c r="DNT147" s="1206"/>
      <c r="DNU147" s="1206"/>
      <c r="DNV147" s="1206"/>
      <c r="DNW147" s="1206"/>
      <c r="DNX147" s="1206"/>
      <c r="DNY147" s="1206"/>
      <c r="DNZ147" s="1206"/>
      <c r="DOA147" s="1206"/>
      <c r="DOB147" s="1206"/>
      <c r="DOC147" s="1206"/>
      <c r="DOD147" s="1206"/>
      <c r="DOE147" s="1206"/>
      <c r="DOF147" s="1206"/>
      <c r="DOG147" s="1206"/>
      <c r="DOH147" s="1206"/>
      <c r="DOI147" s="1206"/>
      <c r="DOJ147" s="1206"/>
      <c r="DOK147" s="1206"/>
      <c r="DOL147" s="1206"/>
      <c r="DOM147" s="1206"/>
      <c r="DON147" s="1206"/>
      <c r="DOO147" s="1206"/>
      <c r="DOP147" s="1206"/>
      <c r="DOQ147" s="1206"/>
      <c r="DOR147" s="1206"/>
      <c r="DOS147" s="1206"/>
      <c r="DOT147" s="1206"/>
      <c r="DOU147" s="1206"/>
      <c r="DOV147" s="1206"/>
      <c r="DOW147" s="1206"/>
      <c r="DOX147" s="1206"/>
      <c r="DOY147" s="1206"/>
      <c r="DOZ147" s="1206"/>
      <c r="DPA147" s="1206"/>
      <c r="DPB147" s="1206"/>
      <c r="DPC147" s="1206"/>
      <c r="DPD147" s="1206"/>
      <c r="DPE147" s="1206"/>
      <c r="DPF147" s="1206"/>
      <c r="DPG147" s="1206"/>
      <c r="DPH147" s="1206"/>
      <c r="DPI147" s="1206"/>
      <c r="DPJ147" s="1206"/>
      <c r="DPK147" s="1206"/>
      <c r="DPL147" s="1206"/>
      <c r="DPM147" s="1206"/>
      <c r="DPN147" s="1206"/>
      <c r="DPO147" s="1206"/>
      <c r="DPP147" s="1206"/>
      <c r="DPQ147" s="1206"/>
      <c r="DPR147" s="1206"/>
      <c r="DPS147" s="1206"/>
      <c r="DPT147" s="1206"/>
      <c r="DPU147" s="1206"/>
      <c r="DPV147" s="1206"/>
      <c r="DPW147" s="1206"/>
      <c r="DPX147" s="1206"/>
      <c r="DPY147" s="1206"/>
      <c r="DPZ147" s="1206"/>
      <c r="DQA147" s="1206"/>
      <c r="DQB147" s="1206"/>
      <c r="DQC147" s="1206"/>
      <c r="DQD147" s="1206"/>
      <c r="DQE147" s="1206"/>
      <c r="DQF147" s="1206"/>
      <c r="DQG147" s="1206"/>
      <c r="DQH147" s="1206"/>
      <c r="DQI147" s="1206"/>
      <c r="DQJ147" s="1206"/>
      <c r="DQK147" s="1206"/>
      <c r="DQL147" s="1206"/>
      <c r="DQM147" s="1206"/>
      <c r="DQN147" s="1206"/>
      <c r="DQO147" s="1206"/>
      <c r="DQP147" s="1206"/>
      <c r="DQQ147" s="1206"/>
      <c r="DQR147" s="1206"/>
      <c r="DQS147" s="1206"/>
      <c r="DQT147" s="1206"/>
      <c r="DQU147" s="1206"/>
      <c r="DQV147" s="1206"/>
      <c r="DQW147" s="1206"/>
      <c r="DQX147" s="1206"/>
      <c r="DQY147" s="1206"/>
      <c r="DQZ147" s="1206"/>
      <c r="DRA147" s="1206"/>
      <c r="DRB147" s="1206"/>
      <c r="DRC147" s="1206"/>
      <c r="DRD147" s="1206"/>
      <c r="DRE147" s="1206"/>
      <c r="DRF147" s="1206"/>
      <c r="DRG147" s="1206"/>
      <c r="DRH147" s="1206"/>
      <c r="DRI147" s="1206"/>
      <c r="DRJ147" s="1206"/>
      <c r="DRK147" s="1206"/>
      <c r="DRL147" s="1206"/>
      <c r="DRM147" s="1206"/>
      <c r="DRN147" s="1206"/>
      <c r="DRO147" s="1206"/>
      <c r="DRP147" s="1206"/>
      <c r="DRQ147" s="1206"/>
      <c r="DRR147" s="1206"/>
      <c r="DRS147" s="1206"/>
      <c r="DRT147" s="1206"/>
      <c r="DRU147" s="1206"/>
      <c r="DRV147" s="1206"/>
      <c r="DRW147" s="1206"/>
      <c r="DRX147" s="1206"/>
      <c r="DRY147" s="1206"/>
      <c r="DRZ147" s="1206"/>
      <c r="DSA147" s="1206"/>
      <c r="DSB147" s="1206"/>
      <c r="DSC147" s="1206"/>
      <c r="DSD147" s="1206"/>
      <c r="DSE147" s="1206"/>
      <c r="DSF147" s="1206"/>
      <c r="DSG147" s="1206"/>
      <c r="DSH147" s="1206"/>
      <c r="DSI147" s="1206"/>
      <c r="DSJ147" s="1206"/>
      <c r="DSK147" s="1206"/>
      <c r="DSL147" s="1206"/>
      <c r="DSM147" s="1206"/>
      <c r="DSN147" s="1206"/>
      <c r="DSO147" s="1206"/>
      <c r="DSP147" s="1206"/>
      <c r="DSQ147" s="1206"/>
      <c r="DSR147" s="1206"/>
      <c r="DSS147" s="1206"/>
      <c r="DST147" s="1206"/>
      <c r="DSU147" s="1206"/>
      <c r="DSV147" s="1206"/>
      <c r="DSW147" s="1206"/>
      <c r="DSX147" s="1206"/>
      <c r="DSY147" s="1206"/>
      <c r="DSZ147" s="1206"/>
      <c r="DTA147" s="1206"/>
      <c r="DTB147" s="1206"/>
      <c r="DTC147" s="1206"/>
      <c r="DTD147" s="1206"/>
      <c r="DTE147" s="1206"/>
      <c r="DTF147" s="1206"/>
      <c r="DTG147" s="1206"/>
      <c r="DTH147" s="1206"/>
      <c r="DTI147" s="1206"/>
      <c r="DTJ147" s="1206"/>
      <c r="DTK147" s="1206"/>
      <c r="DTL147" s="1206"/>
      <c r="DTM147" s="1206"/>
      <c r="DTN147" s="1206"/>
      <c r="DTO147" s="1206"/>
      <c r="DTP147" s="1206"/>
      <c r="DTQ147" s="1206"/>
      <c r="DTR147" s="1206"/>
      <c r="DTS147" s="1206"/>
      <c r="DTT147" s="1206"/>
      <c r="DTU147" s="1206"/>
      <c r="DTV147" s="1206"/>
      <c r="DTW147" s="1206"/>
      <c r="DTX147" s="1206"/>
      <c r="DTY147" s="1206"/>
      <c r="DTZ147" s="1206"/>
      <c r="DUA147" s="1206"/>
      <c r="DUB147" s="1206"/>
      <c r="DUC147" s="1206"/>
      <c r="DUD147" s="1206"/>
      <c r="DUE147" s="1206"/>
      <c r="DUF147" s="1206"/>
      <c r="DUG147" s="1206"/>
      <c r="DUH147" s="1206"/>
      <c r="DUI147" s="1206"/>
      <c r="DUJ147" s="1206"/>
      <c r="DUK147" s="1206"/>
      <c r="DUL147" s="1206"/>
      <c r="DUM147" s="1206"/>
      <c r="DUN147" s="1206"/>
      <c r="DUO147" s="1206"/>
      <c r="DUP147" s="1206"/>
      <c r="DUQ147" s="1206"/>
      <c r="DUR147" s="1206"/>
      <c r="DUS147" s="1206"/>
      <c r="DUT147" s="1206"/>
      <c r="DUU147" s="1206"/>
      <c r="DUV147" s="1206"/>
      <c r="DUW147" s="1206"/>
      <c r="DUX147" s="1206"/>
      <c r="DUY147" s="1206"/>
      <c r="DUZ147" s="1206"/>
      <c r="DVA147" s="1206"/>
      <c r="DVB147" s="1206"/>
      <c r="DVC147" s="1206"/>
      <c r="DVD147" s="1206"/>
      <c r="DVE147" s="1206"/>
      <c r="DVF147" s="1206"/>
      <c r="DVG147" s="1206"/>
      <c r="DVH147" s="1206"/>
      <c r="DVI147" s="1206"/>
      <c r="DVJ147" s="1206"/>
      <c r="DVK147" s="1206"/>
      <c r="DVL147" s="1206"/>
      <c r="DVM147" s="1206"/>
      <c r="DVN147" s="1206"/>
      <c r="DVO147" s="1206"/>
      <c r="DVP147" s="1206"/>
      <c r="DVQ147" s="1206"/>
      <c r="DVR147" s="1206"/>
      <c r="DVS147" s="1206"/>
      <c r="DVT147" s="1206"/>
      <c r="DVU147" s="1206"/>
      <c r="DVV147" s="1206"/>
      <c r="DVW147" s="1206"/>
      <c r="DVX147" s="1206"/>
      <c r="DVY147" s="1206"/>
      <c r="DVZ147" s="1206"/>
      <c r="DWA147" s="1206"/>
      <c r="DWB147" s="1206"/>
      <c r="DWC147" s="1206"/>
      <c r="DWD147" s="1206"/>
      <c r="DWE147" s="1206"/>
      <c r="DWF147" s="1206"/>
      <c r="DWG147" s="1206"/>
      <c r="DWH147" s="1206"/>
      <c r="DWI147" s="1206"/>
      <c r="DWJ147" s="1206"/>
      <c r="DWK147" s="1206"/>
      <c r="DWL147" s="1206"/>
      <c r="DWM147" s="1206"/>
      <c r="DWN147" s="1206"/>
      <c r="DWO147" s="1206"/>
      <c r="DWP147" s="1206"/>
      <c r="DWQ147" s="1206"/>
      <c r="DWR147" s="1206"/>
      <c r="DWS147" s="1206"/>
      <c r="DWT147" s="1206"/>
      <c r="DWU147" s="1206"/>
      <c r="DWV147" s="1206"/>
      <c r="DWW147" s="1206"/>
      <c r="DWX147" s="1206"/>
      <c r="DWY147" s="1206"/>
      <c r="DWZ147" s="1206"/>
      <c r="DXA147" s="1206"/>
      <c r="DXB147" s="1206"/>
      <c r="DXC147" s="1206"/>
      <c r="DXD147" s="1206"/>
      <c r="DXE147" s="1206"/>
      <c r="DXF147" s="1206"/>
      <c r="DXG147" s="1206"/>
      <c r="DXH147" s="1206"/>
      <c r="DXI147" s="1206"/>
      <c r="DXJ147" s="1206"/>
      <c r="DXK147" s="1206"/>
      <c r="DXL147" s="1206"/>
      <c r="DXM147" s="1206"/>
      <c r="DXN147" s="1206"/>
      <c r="DXO147" s="1206"/>
      <c r="DXP147" s="1206"/>
      <c r="DXQ147" s="1206"/>
      <c r="DXR147" s="1206"/>
      <c r="DXS147" s="1206"/>
      <c r="DXT147" s="1206"/>
      <c r="DXU147" s="1206"/>
      <c r="DXV147" s="1206"/>
      <c r="DXW147" s="1206"/>
      <c r="DXX147" s="1206"/>
      <c r="DXY147" s="1206"/>
      <c r="DXZ147" s="1206"/>
      <c r="DYA147" s="1206"/>
      <c r="DYB147" s="1206"/>
      <c r="DYC147" s="1206"/>
      <c r="DYD147" s="1206"/>
      <c r="DYE147" s="1206"/>
      <c r="DYF147" s="1206"/>
      <c r="DYG147" s="1206"/>
      <c r="DYH147" s="1206"/>
      <c r="DYI147" s="1206"/>
      <c r="DYJ147" s="1206"/>
      <c r="DYK147" s="1206"/>
      <c r="DYL147" s="1206"/>
      <c r="DYM147" s="1206"/>
      <c r="DYN147" s="1206"/>
      <c r="DYO147" s="1206"/>
      <c r="DYP147" s="1206"/>
      <c r="DYQ147" s="1206"/>
      <c r="DYR147" s="1206"/>
      <c r="DYS147" s="1206"/>
      <c r="DYT147" s="1206"/>
      <c r="DYU147" s="1206"/>
      <c r="DYV147" s="1206"/>
      <c r="DYW147" s="1206"/>
      <c r="DYX147" s="1206"/>
      <c r="DYY147" s="1206"/>
      <c r="DYZ147" s="1206"/>
      <c r="DZA147" s="1206"/>
      <c r="DZB147" s="1206"/>
      <c r="DZC147" s="1206"/>
      <c r="DZD147" s="1206"/>
      <c r="DZE147" s="1206"/>
      <c r="DZF147" s="1206"/>
      <c r="DZG147" s="1206"/>
      <c r="DZH147" s="1206"/>
      <c r="DZI147" s="1206"/>
      <c r="DZJ147" s="1206"/>
      <c r="DZK147" s="1206"/>
      <c r="DZL147" s="1206"/>
      <c r="DZM147" s="1206"/>
      <c r="DZN147" s="1206"/>
      <c r="DZO147" s="1206"/>
      <c r="DZP147" s="1206"/>
      <c r="DZQ147" s="1206"/>
      <c r="DZR147" s="1206"/>
      <c r="DZS147" s="1206"/>
      <c r="DZT147" s="1206"/>
      <c r="DZU147" s="1206"/>
      <c r="DZV147" s="1206"/>
      <c r="DZW147" s="1206"/>
      <c r="DZX147" s="1206"/>
      <c r="DZY147" s="1206"/>
      <c r="DZZ147" s="1206"/>
      <c r="EAA147" s="1206"/>
      <c r="EAB147" s="1206"/>
      <c r="EAC147" s="1206"/>
      <c r="EAD147" s="1206"/>
      <c r="EAE147" s="1206"/>
      <c r="EAF147" s="1206"/>
      <c r="EAG147" s="1206"/>
      <c r="EAH147" s="1206"/>
      <c r="EAI147" s="1206"/>
      <c r="EAJ147" s="1206"/>
      <c r="EAK147" s="1206"/>
      <c r="EAL147" s="1206"/>
      <c r="EAM147" s="1206"/>
      <c r="EAN147" s="1206"/>
      <c r="EAO147" s="1206"/>
      <c r="EAP147" s="1206"/>
      <c r="EAQ147" s="1206"/>
      <c r="EAR147" s="1206"/>
      <c r="EAS147" s="1206"/>
      <c r="EAT147" s="1206"/>
      <c r="EAU147" s="1206"/>
      <c r="EAV147" s="1206"/>
      <c r="EAW147" s="1206"/>
      <c r="EAX147" s="1206"/>
      <c r="EAY147" s="1206"/>
      <c r="EAZ147" s="1206"/>
      <c r="EBA147" s="1206"/>
      <c r="EBB147" s="1206"/>
      <c r="EBC147" s="1206"/>
      <c r="EBD147" s="1206"/>
      <c r="EBE147" s="1206"/>
      <c r="EBF147" s="1206"/>
      <c r="EBG147" s="1206"/>
      <c r="EBH147" s="1206"/>
      <c r="EBI147" s="1206"/>
      <c r="EBJ147" s="1206"/>
      <c r="EBK147" s="1206"/>
      <c r="EBL147" s="1206"/>
      <c r="EBM147" s="1206"/>
      <c r="EBN147" s="1206"/>
      <c r="EBO147" s="1206"/>
      <c r="EBP147" s="1206"/>
      <c r="EBQ147" s="1206"/>
      <c r="EBR147" s="1206"/>
      <c r="EBS147" s="1206"/>
      <c r="EBT147" s="1206"/>
      <c r="EBU147" s="1206"/>
      <c r="EBV147" s="1206"/>
      <c r="EBW147" s="1206"/>
      <c r="EBX147" s="1206"/>
      <c r="EBY147" s="1206"/>
      <c r="EBZ147" s="1206"/>
      <c r="ECA147" s="1206"/>
      <c r="ECB147" s="1206"/>
      <c r="ECC147" s="1206"/>
      <c r="ECD147" s="1206"/>
      <c r="ECE147" s="1206"/>
      <c r="ECF147" s="1206"/>
      <c r="ECG147" s="1206"/>
      <c r="ECH147" s="1206"/>
      <c r="ECI147" s="1206"/>
      <c r="ECJ147" s="1206"/>
      <c r="ECK147" s="1206"/>
      <c r="ECL147" s="1206"/>
      <c r="ECM147" s="1206"/>
      <c r="ECN147" s="1206"/>
      <c r="ECO147" s="1206"/>
      <c r="ECP147" s="1206"/>
      <c r="ECQ147" s="1206"/>
      <c r="ECR147" s="1206"/>
      <c r="ECS147" s="1206"/>
      <c r="ECT147" s="1206"/>
      <c r="ECU147" s="1206"/>
      <c r="ECV147" s="1206"/>
      <c r="ECW147" s="1206"/>
      <c r="ECX147" s="1206"/>
      <c r="ECY147" s="1206"/>
      <c r="ECZ147" s="1206"/>
      <c r="EDA147" s="1206"/>
      <c r="EDB147" s="1206"/>
      <c r="EDC147" s="1206"/>
      <c r="EDD147" s="1206"/>
      <c r="EDE147" s="1206"/>
      <c r="EDF147" s="1206"/>
      <c r="EDG147" s="1206"/>
      <c r="EDH147" s="1206"/>
      <c r="EDI147" s="1206"/>
      <c r="EDJ147" s="1206"/>
      <c r="EDK147" s="1206"/>
      <c r="EDL147" s="1206"/>
      <c r="EDM147" s="1206"/>
      <c r="EDN147" s="1206"/>
      <c r="EDO147" s="1206"/>
      <c r="EDP147" s="1206"/>
      <c r="EDQ147" s="1206"/>
      <c r="EDR147" s="1206"/>
      <c r="EDS147" s="1206"/>
      <c r="EDT147" s="1206"/>
      <c r="EDU147" s="1206"/>
      <c r="EDV147" s="1206"/>
      <c r="EDW147" s="1206"/>
      <c r="EDX147" s="1206"/>
      <c r="EDY147" s="1206"/>
      <c r="EDZ147" s="1206"/>
      <c r="EEA147" s="1206"/>
      <c r="EEB147" s="1206"/>
      <c r="EEC147" s="1206"/>
      <c r="EED147" s="1206"/>
      <c r="EEE147" s="1206"/>
      <c r="EEF147" s="1206"/>
      <c r="EEG147" s="1206"/>
      <c r="EEH147" s="1206"/>
      <c r="EEI147" s="1206"/>
      <c r="EEJ147" s="1206"/>
      <c r="EEK147" s="1206"/>
      <c r="EEL147" s="1206"/>
      <c r="EEM147" s="1206"/>
      <c r="EEN147" s="1206"/>
      <c r="EEO147" s="1206"/>
      <c r="EEP147" s="1206"/>
      <c r="EEQ147" s="1206"/>
      <c r="EER147" s="1206"/>
      <c r="EES147" s="1206"/>
      <c r="EET147" s="1206"/>
      <c r="EEU147" s="1206"/>
      <c r="EEV147" s="1206"/>
      <c r="EEW147" s="1206"/>
      <c r="EEX147" s="1206"/>
      <c r="EEY147" s="1206"/>
      <c r="EEZ147" s="1206"/>
      <c r="EFA147" s="1206"/>
      <c r="EFB147" s="1206"/>
      <c r="EFC147" s="1206"/>
      <c r="EFD147" s="1206"/>
      <c r="EFE147" s="1206"/>
      <c r="EFF147" s="1206"/>
      <c r="EFG147" s="1206"/>
      <c r="EFH147" s="1206"/>
      <c r="EFI147" s="1206"/>
      <c r="EFJ147" s="1206"/>
      <c r="EFK147" s="1206"/>
      <c r="EFL147" s="1206"/>
      <c r="EFM147" s="1206"/>
      <c r="EFN147" s="1206"/>
      <c r="EFO147" s="1206"/>
      <c r="EFP147" s="1206"/>
      <c r="EFQ147" s="1206"/>
      <c r="EFR147" s="1206"/>
      <c r="EFS147" s="1206"/>
      <c r="EFT147" s="1206"/>
      <c r="EFU147" s="1206"/>
      <c r="EFV147" s="1206"/>
      <c r="EFW147" s="1206"/>
      <c r="EFX147" s="1206"/>
      <c r="EFY147" s="1206"/>
      <c r="EFZ147" s="1206"/>
      <c r="EGA147" s="1206"/>
      <c r="EGB147" s="1206"/>
      <c r="EGC147" s="1206"/>
      <c r="EGD147" s="1206"/>
      <c r="EGE147" s="1206"/>
      <c r="EGF147" s="1206"/>
      <c r="EGG147" s="1206"/>
      <c r="EGH147" s="1206"/>
      <c r="EGI147" s="1206"/>
      <c r="EGJ147" s="1206"/>
      <c r="EGK147" s="1206"/>
      <c r="EGL147" s="1206"/>
      <c r="EGM147" s="1206"/>
      <c r="EGN147" s="1206"/>
      <c r="EGO147" s="1206"/>
      <c r="EGP147" s="1206"/>
      <c r="EGQ147" s="1206"/>
      <c r="EGR147" s="1206"/>
      <c r="EGS147" s="1206"/>
      <c r="EGT147" s="1206"/>
      <c r="EGU147" s="1206"/>
      <c r="EGV147" s="1206"/>
      <c r="EGW147" s="1206"/>
      <c r="EGX147" s="1206"/>
      <c r="EGY147" s="1206"/>
      <c r="EGZ147" s="1206"/>
      <c r="EHA147" s="1206"/>
      <c r="EHB147" s="1206"/>
      <c r="EHC147" s="1206"/>
      <c r="EHD147" s="1206"/>
      <c r="EHE147" s="1206"/>
      <c r="EHF147" s="1206"/>
      <c r="EHG147" s="1206"/>
      <c r="EHH147" s="1206"/>
      <c r="EHI147" s="1206"/>
      <c r="EHJ147" s="1206"/>
      <c r="EHK147" s="1206"/>
      <c r="EHL147" s="1206"/>
      <c r="EHM147" s="1206"/>
      <c r="EHN147" s="1206"/>
      <c r="EHO147" s="1206"/>
      <c r="EHP147" s="1206"/>
      <c r="EHQ147" s="1206"/>
      <c r="EHR147" s="1206"/>
      <c r="EHS147" s="1206"/>
      <c r="EHT147" s="1206"/>
      <c r="EHU147" s="1206"/>
      <c r="EHV147" s="1206"/>
      <c r="EHW147" s="1206"/>
      <c r="EHX147" s="1206"/>
      <c r="EHY147" s="1206"/>
      <c r="EHZ147" s="1206"/>
      <c r="EIA147" s="1206"/>
      <c r="EIB147" s="1206"/>
      <c r="EIC147" s="1206"/>
      <c r="EID147" s="1206"/>
      <c r="EIE147" s="1206"/>
      <c r="EIF147" s="1206"/>
      <c r="EIG147" s="1206"/>
      <c r="EIH147" s="1206"/>
      <c r="EII147" s="1206"/>
      <c r="EIJ147" s="1206"/>
      <c r="EIK147" s="1206"/>
      <c r="EIL147" s="1206"/>
      <c r="EIM147" s="1206"/>
      <c r="EIN147" s="1206"/>
      <c r="EIO147" s="1206"/>
      <c r="EIP147" s="1206"/>
      <c r="EIQ147" s="1206"/>
      <c r="EIR147" s="1206"/>
      <c r="EIS147" s="1206"/>
      <c r="EIT147" s="1206"/>
      <c r="EIU147" s="1206"/>
      <c r="EIV147" s="1206"/>
      <c r="EIW147" s="1206"/>
      <c r="EIX147" s="1206"/>
      <c r="EIY147" s="1206"/>
      <c r="EIZ147" s="1206"/>
      <c r="EJA147" s="1206"/>
      <c r="EJB147" s="1206"/>
      <c r="EJC147" s="1206"/>
      <c r="EJD147" s="1206"/>
      <c r="EJE147" s="1206"/>
      <c r="EJF147" s="1206"/>
      <c r="EJG147" s="1206"/>
      <c r="EJH147" s="1206"/>
      <c r="EJI147" s="1206"/>
      <c r="EJJ147" s="1206"/>
      <c r="EJK147" s="1206"/>
      <c r="EJL147" s="1206"/>
      <c r="EJM147" s="1206"/>
      <c r="EJN147" s="1206"/>
      <c r="EJO147" s="1206"/>
      <c r="EJP147" s="1206"/>
      <c r="EJQ147" s="1206"/>
      <c r="EJR147" s="1206"/>
      <c r="EJS147" s="1206"/>
      <c r="EJT147" s="1206"/>
      <c r="EJU147" s="1206"/>
      <c r="EJV147" s="1206"/>
      <c r="EJW147" s="1206"/>
      <c r="EJX147" s="1206"/>
      <c r="EJY147" s="1206"/>
      <c r="EJZ147" s="1206"/>
      <c r="EKA147" s="1206"/>
      <c r="EKB147" s="1206"/>
      <c r="EKC147" s="1206"/>
      <c r="EKD147" s="1206"/>
      <c r="EKE147" s="1206"/>
      <c r="EKF147" s="1206"/>
      <c r="EKG147" s="1206"/>
      <c r="EKH147" s="1206"/>
      <c r="EKI147" s="1206"/>
      <c r="EKJ147" s="1206"/>
      <c r="EKK147" s="1206"/>
      <c r="EKL147" s="1206"/>
      <c r="EKM147" s="1206"/>
      <c r="EKN147" s="1206"/>
      <c r="EKO147" s="1206"/>
      <c r="EKP147" s="1206"/>
      <c r="EKQ147" s="1206"/>
      <c r="EKR147" s="1206"/>
      <c r="EKS147" s="1206"/>
      <c r="EKT147" s="1206"/>
      <c r="EKU147" s="1206"/>
      <c r="EKV147" s="1206"/>
      <c r="EKW147" s="1206"/>
      <c r="EKX147" s="1206"/>
      <c r="EKY147" s="1206"/>
      <c r="EKZ147" s="1206"/>
      <c r="ELA147" s="1206"/>
      <c r="ELB147" s="1206"/>
      <c r="ELC147" s="1206"/>
      <c r="ELD147" s="1206"/>
      <c r="ELE147" s="1206"/>
      <c r="ELF147" s="1206"/>
      <c r="ELG147" s="1206"/>
      <c r="ELH147" s="1206"/>
      <c r="ELI147" s="1206"/>
      <c r="ELJ147" s="1206"/>
      <c r="ELK147" s="1206"/>
      <c r="ELL147" s="1206"/>
      <c r="ELM147" s="1206"/>
      <c r="ELN147" s="1206"/>
      <c r="ELO147" s="1206"/>
      <c r="ELP147" s="1206"/>
      <c r="ELQ147" s="1206"/>
      <c r="ELR147" s="1206"/>
      <c r="ELS147" s="1206"/>
      <c r="ELT147" s="1206"/>
      <c r="ELU147" s="1206"/>
      <c r="ELV147" s="1206"/>
      <c r="ELW147" s="1206"/>
      <c r="ELX147" s="1206"/>
      <c r="ELY147" s="1206"/>
      <c r="ELZ147" s="1206"/>
      <c r="EMA147" s="1206"/>
      <c r="EMB147" s="1206"/>
      <c r="EMC147" s="1206"/>
      <c r="EMD147" s="1206"/>
      <c r="EME147" s="1206"/>
      <c r="EMF147" s="1206"/>
      <c r="EMG147" s="1206"/>
      <c r="EMH147" s="1206"/>
      <c r="EMI147" s="1206"/>
      <c r="EMJ147" s="1206"/>
      <c r="EMK147" s="1206"/>
      <c r="EML147" s="1206"/>
      <c r="EMM147" s="1206"/>
      <c r="EMN147" s="1206"/>
      <c r="EMO147" s="1206"/>
      <c r="EMP147" s="1206"/>
      <c r="EMQ147" s="1206"/>
      <c r="EMR147" s="1206"/>
      <c r="EMS147" s="1206"/>
      <c r="EMT147" s="1206"/>
      <c r="EMU147" s="1206"/>
      <c r="EMV147" s="1206"/>
      <c r="EMW147" s="1206"/>
      <c r="EMX147" s="1206"/>
      <c r="EMY147" s="1206"/>
      <c r="EMZ147" s="1206"/>
      <c r="ENA147" s="1206"/>
      <c r="ENB147" s="1206"/>
      <c r="ENC147" s="1206"/>
      <c r="END147" s="1206"/>
      <c r="ENE147" s="1206"/>
      <c r="ENF147" s="1206"/>
      <c r="ENG147" s="1206"/>
      <c r="ENH147" s="1206"/>
      <c r="ENI147" s="1206"/>
      <c r="ENJ147" s="1206"/>
      <c r="ENK147" s="1206"/>
      <c r="ENL147" s="1206"/>
      <c r="ENM147" s="1206"/>
      <c r="ENN147" s="1206"/>
      <c r="ENO147" s="1206"/>
      <c r="ENP147" s="1206"/>
      <c r="ENQ147" s="1206"/>
      <c r="ENR147" s="1206"/>
      <c r="ENS147" s="1206"/>
      <c r="ENT147" s="1206"/>
      <c r="ENU147" s="1206"/>
      <c r="ENV147" s="1206"/>
      <c r="ENW147" s="1206"/>
      <c r="ENX147" s="1206"/>
      <c r="ENY147" s="1206"/>
      <c r="ENZ147" s="1206"/>
      <c r="EOA147" s="1206"/>
      <c r="EOB147" s="1206"/>
      <c r="EOC147" s="1206"/>
      <c r="EOD147" s="1206"/>
      <c r="EOE147" s="1206"/>
      <c r="EOF147" s="1206"/>
      <c r="EOG147" s="1206"/>
      <c r="EOH147" s="1206"/>
      <c r="EOI147" s="1206"/>
      <c r="EOJ147" s="1206"/>
      <c r="EOK147" s="1206"/>
      <c r="EOL147" s="1206"/>
      <c r="EOM147" s="1206"/>
      <c r="EON147" s="1206"/>
      <c r="EOO147" s="1206"/>
      <c r="EOP147" s="1206"/>
      <c r="EOQ147" s="1206"/>
      <c r="EOR147" s="1206"/>
      <c r="EOS147" s="1206"/>
      <c r="EOT147" s="1206"/>
      <c r="EOU147" s="1206"/>
      <c r="EOV147" s="1206"/>
      <c r="EOW147" s="1206"/>
      <c r="EOX147" s="1206"/>
      <c r="EOY147" s="1206"/>
      <c r="EOZ147" s="1206"/>
      <c r="EPA147" s="1206"/>
      <c r="EPB147" s="1206"/>
      <c r="EPC147" s="1206"/>
      <c r="EPD147" s="1206"/>
      <c r="EPE147" s="1206"/>
      <c r="EPF147" s="1206"/>
      <c r="EPG147" s="1206"/>
      <c r="EPH147" s="1206"/>
      <c r="EPI147" s="1206"/>
      <c r="EPJ147" s="1206"/>
      <c r="EPK147" s="1206"/>
      <c r="EPL147" s="1206"/>
      <c r="EPM147" s="1206"/>
      <c r="EPN147" s="1206"/>
      <c r="EPO147" s="1206"/>
      <c r="EPP147" s="1206"/>
      <c r="EPQ147" s="1206"/>
      <c r="EPR147" s="1206"/>
      <c r="EPS147" s="1206"/>
      <c r="EPT147" s="1206"/>
      <c r="EPU147" s="1206"/>
      <c r="EPV147" s="1206"/>
      <c r="EPW147" s="1206"/>
      <c r="EPX147" s="1206"/>
      <c r="EPY147" s="1206"/>
      <c r="EPZ147" s="1206"/>
      <c r="EQA147" s="1206"/>
      <c r="EQB147" s="1206"/>
      <c r="EQC147" s="1206"/>
      <c r="EQD147" s="1206"/>
      <c r="EQE147" s="1206"/>
      <c r="EQF147" s="1206"/>
      <c r="EQG147" s="1206"/>
      <c r="EQH147" s="1206"/>
      <c r="EQI147" s="1206"/>
      <c r="EQJ147" s="1206"/>
      <c r="EQK147" s="1206"/>
      <c r="EQL147" s="1206"/>
      <c r="EQM147" s="1206"/>
      <c r="EQN147" s="1206"/>
      <c r="EQO147" s="1206"/>
      <c r="EQP147" s="1206"/>
      <c r="EQQ147" s="1206"/>
      <c r="EQR147" s="1206"/>
      <c r="EQS147" s="1206"/>
      <c r="EQT147" s="1206"/>
      <c r="EQU147" s="1206"/>
      <c r="EQV147" s="1206"/>
      <c r="EQW147" s="1206"/>
      <c r="EQX147" s="1206"/>
      <c r="EQY147" s="1206"/>
      <c r="EQZ147" s="1206"/>
      <c r="ERA147" s="1206"/>
      <c r="ERB147" s="1206"/>
      <c r="ERC147" s="1206"/>
      <c r="ERD147" s="1206"/>
      <c r="ERE147" s="1206"/>
      <c r="ERF147" s="1206"/>
      <c r="ERG147" s="1206"/>
      <c r="ERH147" s="1206"/>
      <c r="ERI147" s="1206"/>
      <c r="ERJ147" s="1206"/>
      <c r="ERK147" s="1206"/>
      <c r="ERL147" s="1206"/>
      <c r="ERM147" s="1206"/>
      <c r="ERN147" s="1206"/>
      <c r="ERO147" s="1206"/>
      <c r="ERP147" s="1206"/>
      <c r="ERQ147" s="1206"/>
      <c r="ERR147" s="1206"/>
      <c r="ERS147" s="1206"/>
      <c r="ERT147" s="1206"/>
      <c r="ERU147" s="1206"/>
      <c r="ERV147" s="1206"/>
      <c r="ERW147" s="1206"/>
      <c r="ERX147" s="1206"/>
      <c r="ERY147" s="1206"/>
      <c r="ERZ147" s="1206"/>
      <c r="ESA147" s="1206"/>
      <c r="ESB147" s="1206"/>
      <c r="ESC147" s="1206"/>
      <c r="ESD147" s="1206"/>
      <c r="ESE147" s="1206"/>
      <c r="ESF147" s="1206"/>
      <c r="ESG147" s="1206"/>
      <c r="ESH147" s="1206"/>
      <c r="ESI147" s="1206"/>
      <c r="ESJ147" s="1206"/>
      <c r="ESK147" s="1206"/>
      <c r="ESL147" s="1206"/>
      <c r="ESM147" s="1206"/>
      <c r="ESN147" s="1206"/>
      <c r="ESO147" s="1206"/>
      <c r="ESP147" s="1206"/>
      <c r="ESQ147" s="1206"/>
      <c r="ESR147" s="1206"/>
      <c r="ESS147" s="1206"/>
      <c r="EST147" s="1206"/>
      <c r="ESU147" s="1206"/>
      <c r="ESV147" s="1206"/>
      <c r="ESW147" s="1206"/>
      <c r="ESX147" s="1206"/>
      <c r="ESY147" s="1206"/>
      <c r="ESZ147" s="1206"/>
      <c r="ETA147" s="1206"/>
      <c r="ETB147" s="1206"/>
      <c r="ETC147" s="1206"/>
      <c r="ETD147" s="1206"/>
      <c r="ETE147" s="1206"/>
      <c r="ETF147" s="1206"/>
      <c r="ETG147" s="1206"/>
      <c r="ETH147" s="1206"/>
      <c r="ETI147" s="1206"/>
      <c r="ETJ147" s="1206"/>
      <c r="ETK147" s="1206"/>
      <c r="ETL147" s="1206"/>
      <c r="ETM147" s="1206"/>
      <c r="ETN147" s="1206"/>
      <c r="ETO147" s="1206"/>
      <c r="ETP147" s="1206"/>
      <c r="ETQ147" s="1206"/>
      <c r="ETR147" s="1206"/>
      <c r="ETS147" s="1206"/>
      <c r="ETT147" s="1206"/>
      <c r="ETU147" s="1206"/>
      <c r="ETV147" s="1206"/>
      <c r="ETW147" s="1206"/>
      <c r="ETX147" s="1206"/>
      <c r="ETY147" s="1206"/>
      <c r="ETZ147" s="1206"/>
      <c r="EUA147" s="1206"/>
      <c r="EUB147" s="1206"/>
      <c r="EUC147" s="1206"/>
      <c r="EUD147" s="1206"/>
      <c r="EUE147" s="1206"/>
      <c r="EUF147" s="1206"/>
      <c r="EUG147" s="1206"/>
      <c r="EUH147" s="1206"/>
      <c r="EUI147" s="1206"/>
      <c r="EUJ147" s="1206"/>
      <c r="EUK147" s="1206"/>
      <c r="EUL147" s="1206"/>
      <c r="EUM147" s="1206"/>
      <c r="EUN147" s="1206"/>
      <c r="EUO147" s="1206"/>
      <c r="EUP147" s="1206"/>
      <c r="EUQ147" s="1206"/>
      <c r="EUR147" s="1206"/>
      <c r="EUS147" s="1206"/>
      <c r="EUT147" s="1206"/>
      <c r="EUU147" s="1206"/>
      <c r="EUV147" s="1206"/>
      <c r="EUW147" s="1206"/>
      <c r="EUX147" s="1206"/>
      <c r="EUY147" s="1206"/>
      <c r="EUZ147" s="1206"/>
      <c r="EVA147" s="1206"/>
      <c r="EVB147" s="1206"/>
      <c r="EVC147" s="1206"/>
      <c r="EVD147" s="1206"/>
      <c r="EVE147" s="1206"/>
      <c r="EVF147" s="1206"/>
      <c r="EVG147" s="1206"/>
      <c r="EVH147" s="1206"/>
      <c r="EVI147" s="1206"/>
      <c r="EVJ147" s="1206"/>
      <c r="EVK147" s="1206"/>
      <c r="EVL147" s="1206"/>
      <c r="EVM147" s="1206"/>
      <c r="EVN147" s="1206"/>
      <c r="EVO147" s="1206"/>
      <c r="EVP147" s="1206"/>
      <c r="EVQ147" s="1206"/>
      <c r="EVR147" s="1206"/>
      <c r="EVS147" s="1206"/>
      <c r="EVT147" s="1206"/>
      <c r="EVU147" s="1206"/>
      <c r="EVV147" s="1206"/>
      <c r="EVW147" s="1206"/>
      <c r="EVX147" s="1206"/>
      <c r="EVY147" s="1206"/>
      <c r="EVZ147" s="1206"/>
      <c r="EWA147" s="1206"/>
      <c r="EWB147" s="1206"/>
      <c r="EWC147" s="1206"/>
      <c r="EWD147" s="1206"/>
      <c r="EWE147" s="1206"/>
      <c r="EWF147" s="1206"/>
      <c r="EWG147" s="1206"/>
      <c r="EWH147" s="1206"/>
      <c r="EWI147" s="1206"/>
      <c r="EWJ147" s="1206"/>
      <c r="EWK147" s="1206"/>
      <c r="EWL147" s="1206"/>
      <c r="EWM147" s="1206"/>
      <c r="EWN147" s="1206"/>
      <c r="EWO147" s="1206"/>
      <c r="EWP147" s="1206"/>
      <c r="EWQ147" s="1206"/>
      <c r="EWR147" s="1206"/>
      <c r="EWS147" s="1206"/>
      <c r="EWT147" s="1206"/>
      <c r="EWU147" s="1206"/>
      <c r="EWV147" s="1206"/>
      <c r="EWW147" s="1206"/>
      <c r="EWX147" s="1206"/>
      <c r="EWY147" s="1206"/>
      <c r="EWZ147" s="1206"/>
      <c r="EXA147" s="1206"/>
      <c r="EXB147" s="1206"/>
      <c r="EXC147" s="1206"/>
      <c r="EXD147" s="1206"/>
      <c r="EXE147" s="1206"/>
      <c r="EXF147" s="1206"/>
      <c r="EXG147" s="1206"/>
      <c r="EXH147" s="1206"/>
      <c r="EXI147" s="1206"/>
      <c r="EXJ147" s="1206"/>
      <c r="EXK147" s="1206"/>
      <c r="EXL147" s="1206"/>
      <c r="EXM147" s="1206"/>
      <c r="EXN147" s="1206"/>
      <c r="EXO147" s="1206"/>
      <c r="EXP147" s="1206"/>
      <c r="EXQ147" s="1206"/>
      <c r="EXR147" s="1206"/>
      <c r="EXS147" s="1206"/>
      <c r="EXT147" s="1206"/>
      <c r="EXU147" s="1206"/>
      <c r="EXV147" s="1206"/>
      <c r="EXW147" s="1206"/>
      <c r="EXX147" s="1206"/>
      <c r="EXY147" s="1206"/>
      <c r="EXZ147" s="1206"/>
      <c r="EYA147" s="1206"/>
      <c r="EYB147" s="1206"/>
      <c r="EYC147" s="1206"/>
      <c r="EYD147" s="1206"/>
      <c r="EYE147" s="1206"/>
      <c r="EYF147" s="1206"/>
      <c r="EYG147" s="1206"/>
      <c r="EYH147" s="1206"/>
      <c r="EYI147" s="1206"/>
      <c r="EYJ147" s="1206"/>
      <c r="EYK147" s="1206"/>
      <c r="EYL147" s="1206"/>
      <c r="EYM147" s="1206"/>
      <c r="EYN147" s="1206"/>
      <c r="EYO147" s="1206"/>
      <c r="EYP147" s="1206"/>
      <c r="EYQ147" s="1206"/>
      <c r="EYR147" s="1206"/>
      <c r="EYS147" s="1206"/>
      <c r="EYT147" s="1206"/>
      <c r="EYU147" s="1206"/>
      <c r="EYV147" s="1206"/>
      <c r="EYW147" s="1206"/>
      <c r="EYX147" s="1206"/>
      <c r="EYY147" s="1206"/>
      <c r="EYZ147" s="1206"/>
      <c r="EZA147" s="1206"/>
      <c r="EZB147" s="1206"/>
      <c r="EZC147" s="1206"/>
      <c r="EZD147" s="1206"/>
      <c r="EZE147" s="1206"/>
      <c r="EZF147" s="1206"/>
      <c r="EZG147" s="1206"/>
      <c r="EZH147" s="1206"/>
      <c r="EZI147" s="1206"/>
      <c r="EZJ147" s="1206"/>
      <c r="EZK147" s="1206"/>
      <c r="EZL147" s="1206"/>
      <c r="EZM147" s="1206"/>
      <c r="EZN147" s="1206"/>
      <c r="EZO147" s="1206"/>
      <c r="EZP147" s="1206"/>
      <c r="EZQ147" s="1206"/>
      <c r="EZR147" s="1206"/>
      <c r="EZS147" s="1206"/>
      <c r="EZT147" s="1206"/>
      <c r="EZU147" s="1206"/>
      <c r="EZV147" s="1206"/>
      <c r="EZW147" s="1206"/>
      <c r="EZX147" s="1206"/>
      <c r="EZY147" s="1206"/>
      <c r="EZZ147" s="1206"/>
      <c r="FAA147" s="1206"/>
      <c r="FAB147" s="1206"/>
      <c r="FAC147" s="1206"/>
      <c r="FAD147" s="1206"/>
      <c r="FAE147" s="1206"/>
      <c r="FAF147" s="1206"/>
      <c r="FAG147" s="1206"/>
      <c r="FAH147" s="1206"/>
      <c r="FAI147" s="1206"/>
      <c r="FAJ147" s="1206"/>
      <c r="FAK147" s="1206"/>
      <c r="FAL147" s="1206"/>
      <c r="FAM147" s="1206"/>
      <c r="FAN147" s="1206"/>
      <c r="FAO147" s="1206"/>
      <c r="FAP147" s="1206"/>
      <c r="FAQ147" s="1206"/>
      <c r="FAR147" s="1206"/>
      <c r="FAS147" s="1206"/>
      <c r="FAT147" s="1206"/>
      <c r="FAU147" s="1206"/>
      <c r="FAV147" s="1206"/>
      <c r="FAW147" s="1206"/>
      <c r="FAX147" s="1206"/>
      <c r="FAY147" s="1206"/>
      <c r="FAZ147" s="1206"/>
      <c r="FBA147" s="1206"/>
      <c r="FBB147" s="1206"/>
      <c r="FBC147" s="1206"/>
      <c r="FBD147" s="1206"/>
      <c r="FBE147" s="1206"/>
      <c r="FBF147" s="1206"/>
      <c r="FBG147" s="1206"/>
      <c r="FBH147" s="1206"/>
      <c r="FBI147" s="1206"/>
      <c r="FBJ147" s="1206"/>
      <c r="FBK147" s="1206"/>
      <c r="FBL147" s="1206"/>
      <c r="FBM147" s="1206"/>
      <c r="FBN147" s="1206"/>
      <c r="FBO147" s="1206"/>
      <c r="FBP147" s="1206"/>
      <c r="FBQ147" s="1206"/>
      <c r="FBR147" s="1206"/>
      <c r="FBS147" s="1206"/>
      <c r="FBT147" s="1206"/>
      <c r="FBU147" s="1206"/>
      <c r="FBV147" s="1206"/>
      <c r="FBW147" s="1206"/>
      <c r="FBX147" s="1206"/>
      <c r="FBY147" s="1206"/>
      <c r="FBZ147" s="1206"/>
      <c r="FCA147" s="1206"/>
      <c r="FCB147" s="1206"/>
      <c r="FCC147" s="1206"/>
      <c r="FCD147" s="1206"/>
      <c r="FCE147" s="1206"/>
      <c r="FCF147" s="1206"/>
      <c r="FCG147" s="1206"/>
      <c r="FCH147" s="1206"/>
      <c r="FCI147" s="1206"/>
      <c r="FCJ147" s="1206"/>
      <c r="FCK147" s="1206"/>
      <c r="FCL147" s="1206"/>
      <c r="FCM147" s="1206"/>
      <c r="FCN147" s="1206"/>
      <c r="FCO147" s="1206"/>
      <c r="FCP147" s="1206"/>
      <c r="FCQ147" s="1206"/>
      <c r="FCR147" s="1206"/>
      <c r="FCS147" s="1206"/>
      <c r="FCT147" s="1206"/>
      <c r="FCU147" s="1206"/>
      <c r="FCV147" s="1206"/>
      <c r="FCW147" s="1206"/>
      <c r="FCX147" s="1206"/>
      <c r="FCY147" s="1206"/>
      <c r="FCZ147" s="1206"/>
      <c r="FDA147" s="1206"/>
      <c r="FDB147" s="1206"/>
      <c r="FDC147" s="1206"/>
      <c r="FDD147" s="1206"/>
      <c r="FDE147" s="1206"/>
      <c r="FDF147" s="1206"/>
      <c r="FDG147" s="1206"/>
      <c r="FDH147" s="1206"/>
      <c r="FDI147" s="1206"/>
      <c r="FDJ147" s="1206"/>
      <c r="FDK147" s="1206"/>
      <c r="FDL147" s="1206"/>
      <c r="FDM147" s="1206"/>
      <c r="FDN147" s="1206"/>
      <c r="FDO147" s="1206"/>
      <c r="FDP147" s="1206"/>
      <c r="FDQ147" s="1206"/>
      <c r="FDR147" s="1206"/>
      <c r="FDS147" s="1206"/>
      <c r="FDT147" s="1206"/>
      <c r="FDU147" s="1206"/>
      <c r="FDV147" s="1206"/>
      <c r="FDW147" s="1206"/>
      <c r="FDX147" s="1206"/>
      <c r="FDY147" s="1206"/>
      <c r="FDZ147" s="1206"/>
      <c r="FEA147" s="1206"/>
      <c r="FEB147" s="1206"/>
      <c r="FEC147" s="1206"/>
      <c r="FED147" s="1206"/>
      <c r="FEE147" s="1206"/>
      <c r="FEF147" s="1206"/>
      <c r="FEG147" s="1206"/>
      <c r="FEH147" s="1206"/>
      <c r="FEI147" s="1206"/>
      <c r="FEJ147" s="1206"/>
      <c r="FEK147" s="1206"/>
      <c r="FEL147" s="1206"/>
      <c r="FEM147" s="1206"/>
      <c r="FEN147" s="1206"/>
      <c r="FEO147" s="1206"/>
      <c r="FEP147" s="1206"/>
      <c r="FEQ147" s="1206"/>
      <c r="FER147" s="1206"/>
      <c r="FES147" s="1206"/>
      <c r="FET147" s="1206"/>
      <c r="FEU147" s="1206"/>
      <c r="FEV147" s="1206"/>
      <c r="FEW147" s="1206"/>
      <c r="FEX147" s="1206"/>
      <c r="FEY147" s="1206"/>
      <c r="FEZ147" s="1206"/>
      <c r="FFA147" s="1206"/>
      <c r="FFB147" s="1206"/>
      <c r="FFC147" s="1206"/>
      <c r="FFD147" s="1206"/>
      <c r="FFE147" s="1206"/>
      <c r="FFF147" s="1206"/>
      <c r="FFG147" s="1206"/>
      <c r="FFH147" s="1206"/>
      <c r="FFI147" s="1206"/>
      <c r="FFJ147" s="1206"/>
      <c r="FFK147" s="1206"/>
      <c r="FFL147" s="1206"/>
      <c r="FFM147" s="1206"/>
      <c r="FFN147" s="1206"/>
      <c r="FFO147" s="1206"/>
      <c r="FFP147" s="1206"/>
      <c r="FFQ147" s="1206"/>
      <c r="FFR147" s="1206"/>
      <c r="FFS147" s="1206"/>
      <c r="FFT147" s="1206"/>
      <c r="FFU147" s="1206"/>
      <c r="FFV147" s="1206"/>
      <c r="FFW147" s="1206"/>
      <c r="FFX147" s="1206"/>
      <c r="FFY147" s="1206"/>
      <c r="FFZ147" s="1206"/>
      <c r="FGA147" s="1206"/>
      <c r="FGB147" s="1206"/>
      <c r="FGC147" s="1206"/>
      <c r="FGD147" s="1206"/>
      <c r="FGE147" s="1206"/>
      <c r="FGF147" s="1206"/>
      <c r="FGG147" s="1206"/>
      <c r="FGH147" s="1206"/>
      <c r="FGI147" s="1206"/>
      <c r="FGJ147" s="1206"/>
      <c r="FGK147" s="1206"/>
      <c r="FGL147" s="1206"/>
      <c r="FGM147" s="1206"/>
      <c r="FGN147" s="1206"/>
      <c r="FGO147" s="1206"/>
      <c r="FGP147" s="1206"/>
      <c r="FGQ147" s="1206"/>
      <c r="FGR147" s="1206"/>
      <c r="FGS147" s="1206"/>
      <c r="FGT147" s="1206"/>
      <c r="FGU147" s="1206"/>
      <c r="FGV147" s="1206"/>
      <c r="FGW147" s="1206"/>
      <c r="FGX147" s="1206"/>
      <c r="FGY147" s="1206"/>
      <c r="FGZ147" s="1206"/>
      <c r="FHA147" s="1206"/>
      <c r="FHB147" s="1206"/>
      <c r="FHC147" s="1206"/>
      <c r="FHD147" s="1206"/>
      <c r="FHE147" s="1206"/>
      <c r="FHF147" s="1206"/>
      <c r="FHG147" s="1206"/>
      <c r="FHH147" s="1206"/>
      <c r="FHI147" s="1206"/>
      <c r="FHJ147" s="1206"/>
      <c r="FHK147" s="1206"/>
      <c r="FHL147" s="1206"/>
      <c r="FHM147" s="1206"/>
      <c r="FHN147" s="1206"/>
      <c r="FHO147" s="1206"/>
      <c r="FHP147" s="1206"/>
      <c r="FHQ147" s="1206"/>
      <c r="FHR147" s="1206"/>
      <c r="FHS147" s="1206"/>
      <c r="FHT147" s="1206"/>
      <c r="FHU147" s="1206"/>
      <c r="FHV147" s="1206"/>
      <c r="FHW147" s="1206"/>
      <c r="FHX147" s="1206"/>
      <c r="FHY147" s="1206"/>
      <c r="FHZ147" s="1206"/>
      <c r="FIA147" s="1206"/>
      <c r="FIB147" s="1206"/>
      <c r="FIC147" s="1206"/>
      <c r="FID147" s="1206"/>
      <c r="FIE147" s="1206"/>
      <c r="FIF147" s="1206"/>
      <c r="FIG147" s="1206"/>
      <c r="FIH147" s="1206"/>
      <c r="FII147" s="1206"/>
      <c r="FIJ147" s="1206"/>
      <c r="FIK147" s="1206"/>
      <c r="FIL147" s="1206"/>
      <c r="FIM147" s="1206"/>
      <c r="FIN147" s="1206"/>
      <c r="FIO147" s="1206"/>
      <c r="FIP147" s="1206"/>
      <c r="FIQ147" s="1206"/>
      <c r="FIR147" s="1206"/>
      <c r="FIS147" s="1206"/>
      <c r="FIT147" s="1206"/>
      <c r="FIU147" s="1206"/>
      <c r="FIV147" s="1206"/>
      <c r="FIW147" s="1206"/>
      <c r="FIX147" s="1206"/>
      <c r="FIY147" s="1206"/>
      <c r="FIZ147" s="1206"/>
      <c r="FJA147" s="1206"/>
      <c r="FJB147" s="1206"/>
      <c r="FJC147" s="1206"/>
      <c r="FJD147" s="1206"/>
      <c r="FJE147" s="1206"/>
      <c r="FJF147" s="1206"/>
      <c r="FJG147" s="1206"/>
      <c r="FJH147" s="1206"/>
      <c r="FJI147" s="1206"/>
      <c r="FJJ147" s="1206"/>
      <c r="FJK147" s="1206"/>
      <c r="FJL147" s="1206"/>
      <c r="FJM147" s="1206"/>
      <c r="FJN147" s="1206"/>
      <c r="FJO147" s="1206"/>
      <c r="FJP147" s="1206"/>
      <c r="FJQ147" s="1206"/>
      <c r="FJR147" s="1206"/>
      <c r="FJS147" s="1206"/>
      <c r="FJT147" s="1206"/>
      <c r="FJU147" s="1206"/>
      <c r="FJV147" s="1206"/>
      <c r="FJW147" s="1206"/>
      <c r="FJX147" s="1206"/>
      <c r="FJY147" s="1206"/>
      <c r="FJZ147" s="1206"/>
      <c r="FKA147" s="1206"/>
      <c r="FKB147" s="1206"/>
      <c r="FKC147" s="1206"/>
      <c r="FKD147" s="1206"/>
      <c r="FKE147" s="1206"/>
      <c r="FKF147" s="1206"/>
      <c r="FKG147" s="1206"/>
      <c r="FKH147" s="1206"/>
      <c r="FKI147" s="1206"/>
      <c r="FKJ147" s="1206"/>
      <c r="FKK147" s="1206"/>
      <c r="FKL147" s="1206"/>
      <c r="FKM147" s="1206"/>
      <c r="FKN147" s="1206"/>
      <c r="FKO147" s="1206"/>
      <c r="FKP147" s="1206"/>
      <c r="FKQ147" s="1206"/>
      <c r="FKR147" s="1206"/>
      <c r="FKS147" s="1206"/>
      <c r="FKT147" s="1206"/>
      <c r="FKU147" s="1206"/>
      <c r="FKV147" s="1206"/>
      <c r="FKW147" s="1206"/>
      <c r="FKX147" s="1206"/>
      <c r="FKY147" s="1206"/>
      <c r="FKZ147" s="1206"/>
      <c r="FLA147" s="1206"/>
      <c r="FLB147" s="1206"/>
      <c r="FLC147" s="1206"/>
      <c r="FLD147" s="1206"/>
      <c r="FLE147" s="1206"/>
      <c r="FLF147" s="1206"/>
      <c r="FLG147" s="1206"/>
      <c r="FLH147" s="1206"/>
      <c r="FLI147" s="1206"/>
      <c r="FLJ147" s="1206"/>
      <c r="FLK147" s="1206"/>
      <c r="FLL147" s="1206"/>
      <c r="FLM147" s="1206"/>
      <c r="FLN147" s="1206"/>
      <c r="FLO147" s="1206"/>
      <c r="FLP147" s="1206"/>
      <c r="FLQ147" s="1206"/>
      <c r="FLR147" s="1206"/>
      <c r="FLS147" s="1206"/>
      <c r="FLT147" s="1206"/>
      <c r="FLU147" s="1206"/>
      <c r="FLV147" s="1206"/>
      <c r="FLW147" s="1206"/>
      <c r="FLX147" s="1206"/>
      <c r="FLY147" s="1206"/>
      <c r="FLZ147" s="1206"/>
      <c r="FMA147" s="1206"/>
      <c r="FMB147" s="1206"/>
      <c r="FMC147" s="1206"/>
      <c r="FMD147" s="1206"/>
      <c r="FME147" s="1206"/>
      <c r="FMF147" s="1206"/>
      <c r="FMG147" s="1206"/>
      <c r="FMH147" s="1206"/>
      <c r="FMI147" s="1206"/>
      <c r="FMJ147" s="1206"/>
      <c r="FMK147" s="1206"/>
      <c r="FML147" s="1206"/>
      <c r="FMM147" s="1206"/>
      <c r="FMN147" s="1206"/>
      <c r="FMO147" s="1206"/>
      <c r="FMP147" s="1206"/>
      <c r="FMQ147" s="1206"/>
      <c r="FMR147" s="1206"/>
      <c r="FMS147" s="1206"/>
      <c r="FMT147" s="1206"/>
      <c r="FMU147" s="1206"/>
      <c r="FMV147" s="1206"/>
      <c r="FMW147" s="1206"/>
      <c r="FMX147" s="1206"/>
      <c r="FMY147" s="1206"/>
      <c r="FMZ147" s="1206"/>
      <c r="FNA147" s="1206"/>
      <c r="FNB147" s="1206"/>
      <c r="FNC147" s="1206"/>
      <c r="FND147" s="1206"/>
      <c r="FNE147" s="1206"/>
      <c r="FNF147" s="1206"/>
      <c r="FNG147" s="1206"/>
      <c r="FNH147" s="1206"/>
      <c r="FNI147" s="1206"/>
      <c r="FNJ147" s="1206"/>
      <c r="FNK147" s="1206"/>
      <c r="FNL147" s="1206"/>
      <c r="FNM147" s="1206"/>
      <c r="FNN147" s="1206"/>
      <c r="FNO147" s="1206"/>
      <c r="FNP147" s="1206"/>
      <c r="FNQ147" s="1206"/>
      <c r="FNR147" s="1206"/>
      <c r="FNS147" s="1206"/>
      <c r="FNT147" s="1206"/>
      <c r="FNU147" s="1206"/>
      <c r="FNV147" s="1206"/>
      <c r="FNW147" s="1206"/>
      <c r="FNX147" s="1206"/>
      <c r="FNY147" s="1206"/>
      <c r="FNZ147" s="1206"/>
      <c r="FOA147" s="1206"/>
      <c r="FOB147" s="1206"/>
      <c r="FOC147" s="1206"/>
      <c r="FOD147" s="1206"/>
      <c r="FOE147" s="1206"/>
      <c r="FOF147" s="1206"/>
      <c r="FOG147" s="1206"/>
      <c r="FOH147" s="1206"/>
      <c r="FOI147" s="1206"/>
      <c r="FOJ147" s="1206"/>
      <c r="FOK147" s="1206"/>
      <c r="FOL147" s="1206"/>
      <c r="FOM147" s="1206"/>
      <c r="FON147" s="1206"/>
      <c r="FOO147" s="1206"/>
      <c r="FOP147" s="1206"/>
      <c r="FOQ147" s="1206"/>
      <c r="FOR147" s="1206"/>
      <c r="FOS147" s="1206"/>
      <c r="FOT147" s="1206"/>
      <c r="FOU147" s="1206"/>
      <c r="FOV147" s="1206"/>
      <c r="FOW147" s="1206"/>
      <c r="FOX147" s="1206"/>
      <c r="FOY147" s="1206"/>
      <c r="FOZ147" s="1206"/>
      <c r="FPA147" s="1206"/>
      <c r="FPB147" s="1206"/>
      <c r="FPC147" s="1206"/>
      <c r="FPD147" s="1206"/>
      <c r="FPE147" s="1206"/>
      <c r="FPF147" s="1206"/>
      <c r="FPG147" s="1206"/>
      <c r="FPH147" s="1206"/>
      <c r="FPI147" s="1206"/>
      <c r="FPJ147" s="1206"/>
      <c r="FPK147" s="1206"/>
      <c r="FPL147" s="1206"/>
      <c r="FPM147" s="1206"/>
      <c r="FPN147" s="1206"/>
      <c r="FPO147" s="1206"/>
      <c r="FPP147" s="1206"/>
      <c r="FPQ147" s="1206"/>
      <c r="FPR147" s="1206"/>
      <c r="FPS147" s="1206"/>
      <c r="FPT147" s="1206"/>
      <c r="FPU147" s="1206"/>
      <c r="FPV147" s="1206"/>
      <c r="FPW147" s="1206"/>
      <c r="FPX147" s="1206"/>
      <c r="FPY147" s="1206"/>
      <c r="FPZ147" s="1206"/>
      <c r="FQA147" s="1206"/>
      <c r="FQB147" s="1206"/>
      <c r="FQC147" s="1206"/>
      <c r="FQD147" s="1206"/>
      <c r="FQE147" s="1206"/>
      <c r="FQF147" s="1206"/>
      <c r="FQG147" s="1206"/>
      <c r="FQH147" s="1206"/>
      <c r="FQI147" s="1206"/>
      <c r="FQJ147" s="1206"/>
      <c r="FQK147" s="1206"/>
      <c r="FQL147" s="1206"/>
      <c r="FQM147" s="1206"/>
      <c r="FQN147" s="1206"/>
      <c r="FQO147" s="1206"/>
      <c r="FQP147" s="1206"/>
      <c r="FQQ147" s="1206"/>
      <c r="FQR147" s="1206"/>
      <c r="FQS147" s="1206"/>
      <c r="FQT147" s="1206"/>
      <c r="FQU147" s="1206"/>
      <c r="FQV147" s="1206"/>
      <c r="FQW147" s="1206"/>
      <c r="FQX147" s="1206"/>
      <c r="FQY147" s="1206"/>
      <c r="FQZ147" s="1206"/>
      <c r="FRA147" s="1206"/>
      <c r="FRB147" s="1206"/>
      <c r="FRC147" s="1206"/>
      <c r="FRD147" s="1206"/>
      <c r="FRE147" s="1206"/>
      <c r="FRF147" s="1206"/>
      <c r="FRG147" s="1206"/>
      <c r="FRH147" s="1206"/>
      <c r="FRI147" s="1206"/>
      <c r="FRJ147" s="1206"/>
      <c r="FRK147" s="1206"/>
      <c r="FRL147" s="1206"/>
      <c r="FRM147" s="1206"/>
      <c r="FRN147" s="1206"/>
      <c r="FRO147" s="1206"/>
      <c r="FRP147" s="1206"/>
      <c r="FRQ147" s="1206"/>
      <c r="FRR147" s="1206"/>
      <c r="FRS147" s="1206"/>
      <c r="FRT147" s="1206"/>
      <c r="FRU147" s="1206"/>
      <c r="FRV147" s="1206"/>
      <c r="FRW147" s="1206"/>
      <c r="FRX147" s="1206"/>
      <c r="FRY147" s="1206"/>
      <c r="FRZ147" s="1206"/>
      <c r="FSA147" s="1206"/>
      <c r="FSB147" s="1206"/>
      <c r="FSC147" s="1206"/>
      <c r="FSD147" s="1206"/>
      <c r="FSE147" s="1206"/>
      <c r="FSF147" s="1206"/>
      <c r="FSG147" s="1206"/>
      <c r="FSH147" s="1206"/>
      <c r="FSI147" s="1206"/>
      <c r="FSJ147" s="1206"/>
      <c r="FSK147" s="1206"/>
      <c r="FSL147" s="1206"/>
      <c r="FSM147" s="1206"/>
      <c r="FSN147" s="1206"/>
      <c r="FSO147" s="1206"/>
      <c r="FSP147" s="1206"/>
      <c r="FSQ147" s="1206"/>
      <c r="FSR147" s="1206"/>
      <c r="FSS147" s="1206"/>
      <c r="FST147" s="1206"/>
      <c r="FSU147" s="1206"/>
      <c r="FSV147" s="1206"/>
      <c r="FSW147" s="1206"/>
      <c r="FSX147" s="1206"/>
      <c r="FSY147" s="1206"/>
      <c r="FSZ147" s="1206"/>
      <c r="FTA147" s="1206"/>
      <c r="FTB147" s="1206"/>
      <c r="FTC147" s="1206"/>
      <c r="FTD147" s="1206"/>
      <c r="FTE147" s="1206"/>
      <c r="FTF147" s="1206"/>
      <c r="FTG147" s="1206"/>
      <c r="FTH147" s="1206"/>
      <c r="FTI147" s="1206"/>
      <c r="FTJ147" s="1206"/>
      <c r="FTK147" s="1206"/>
      <c r="FTL147" s="1206"/>
      <c r="FTM147" s="1206"/>
      <c r="FTN147" s="1206"/>
      <c r="FTO147" s="1206"/>
      <c r="FTP147" s="1206"/>
      <c r="FTQ147" s="1206"/>
      <c r="FTR147" s="1206"/>
      <c r="FTS147" s="1206"/>
      <c r="FTT147" s="1206"/>
      <c r="FTU147" s="1206"/>
      <c r="FTV147" s="1206"/>
      <c r="FTW147" s="1206"/>
      <c r="FTX147" s="1206"/>
      <c r="FTY147" s="1206"/>
      <c r="FTZ147" s="1206"/>
      <c r="FUA147" s="1206"/>
      <c r="FUB147" s="1206"/>
      <c r="FUC147" s="1206"/>
      <c r="FUD147" s="1206"/>
      <c r="FUE147" s="1206"/>
      <c r="FUF147" s="1206"/>
      <c r="FUG147" s="1206"/>
      <c r="FUH147" s="1206"/>
      <c r="FUI147" s="1206"/>
      <c r="FUJ147" s="1206"/>
      <c r="FUK147" s="1206"/>
      <c r="FUL147" s="1206"/>
      <c r="FUM147" s="1206"/>
      <c r="FUN147" s="1206"/>
      <c r="FUO147" s="1206"/>
      <c r="FUP147" s="1206"/>
      <c r="FUQ147" s="1206"/>
      <c r="FUR147" s="1206"/>
      <c r="FUS147" s="1206"/>
      <c r="FUT147" s="1206"/>
      <c r="FUU147" s="1206"/>
      <c r="FUV147" s="1206"/>
      <c r="FUW147" s="1206"/>
      <c r="FUX147" s="1206"/>
      <c r="FUY147" s="1206"/>
      <c r="FUZ147" s="1206"/>
      <c r="FVA147" s="1206"/>
      <c r="FVB147" s="1206"/>
      <c r="FVC147" s="1206"/>
      <c r="FVD147" s="1206"/>
      <c r="FVE147" s="1206"/>
      <c r="FVF147" s="1206"/>
      <c r="FVG147" s="1206"/>
      <c r="FVH147" s="1206"/>
      <c r="FVI147" s="1206"/>
      <c r="FVJ147" s="1206"/>
      <c r="FVK147" s="1206"/>
      <c r="FVL147" s="1206"/>
      <c r="FVM147" s="1206"/>
      <c r="FVN147" s="1206"/>
      <c r="FVO147" s="1206"/>
      <c r="FVP147" s="1206"/>
      <c r="FVQ147" s="1206"/>
      <c r="FVR147" s="1206"/>
      <c r="FVS147" s="1206"/>
      <c r="FVT147" s="1206"/>
      <c r="FVU147" s="1206"/>
      <c r="FVV147" s="1206"/>
      <c r="FVW147" s="1206"/>
      <c r="FVX147" s="1206"/>
      <c r="FVY147" s="1206"/>
      <c r="FVZ147" s="1206"/>
      <c r="FWA147" s="1206"/>
      <c r="FWB147" s="1206"/>
      <c r="FWC147" s="1206"/>
      <c r="FWD147" s="1206"/>
      <c r="FWE147" s="1206"/>
      <c r="FWF147" s="1206"/>
      <c r="FWG147" s="1206"/>
      <c r="FWH147" s="1206"/>
      <c r="FWI147" s="1206"/>
      <c r="FWJ147" s="1206"/>
      <c r="FWK147" s="1206"/>
      <c r="FWL147" s="1206"/>
      <c r="FWM147" s="1206"/>
      <c r="FWN147" s="1206"/>
      <c r="FWO147" s="1206"/>
      <c r="FWP147" s="1206"/>
      <c r="FWQ147" s="1206"/>
      <c r="FWR147" s="1206"/>
      <c r="FWS147" s="1206"/>
      <c r="FWT147" s="1206"/>
      <c r="FWU147" s="1206"/>
      <c r="FWV147" s="1206"/>
      <c r="FWW147" s="1206"/>
      <c r="FWX147" s="1206"/>
      <c r="FWY147" s="1206"/>
      <c r="FWZ147" s="1206"/>
      <c r="FXA147" s="1206"/>
      <c r="FXB147" s="1206"/>
      <c r="FXC147" s="1206"/>
      <c r="FXD147" s="1206"/>
      <c r="FXE147" s="1206"/>
      <c r="FXF147" s="1206"/>
      <c r="FXG147" s="1206"/>
      <c r="FXH147" s="1206"/>
      <c r="FXI147" s="1206"/>
      <c r="FXJ147" s="1206"/>
      <c r="FXK147" s="1206"/>
      <c r="FXL147" s="1206"/>
      <c r="FXM147" s="1206"/>
      <c r="FXN147" s="1206"/>
      <c r="FXO147" s="1206"/>
      <c r="FXP147" s="1206"/>
      <c r="FXQ147" s="1206"/>
      <c r="FXR147" s="1206"/>
      <c r="FXS147" s="1206"/>
      <c r="FXT147" s="1206"/>
      <c r="FXU147" s="1206"/>
      <c r="FXV147" s="1206"/>
      <c r="FXW147" s="1206"/>
      <c r="FXX147" s="1206"/>
      <c r="FXY147" s="1206"/>
      <c r="FXZ147" s="1206"/>
      <c r="FYA147" s="1206"/>
      <c r="FYB147" s="1206"/>
      <c r="FYC147" s="1206"/>
      <c r="FYD147" s="1206"/>
      <c r="FYE147" s="1206"/>
      <c r="FYF147" s="1206"/>
      <c r="FYG147" s="1206"/>
      <c r="FYH147" s="1206"/>
      <c r="FYI147" s="1206"/>
      <c r="FYJ147" s="1206"/>
      <c r="FYK147" s="1206"/>
      <c r="FYL147" s="1206"/>
      <c r="FYM147" s="1206"/>
      <c r="FYN147" s="1206"/>
      <c r="FYO147" s="1206"/>
      <c r="FYP147" s="1206"/>
      <c r="FYQ147" s="1206"/>
      <c r="FYR147" s="1206"/>
      <c r="FYS147" s="1206"/>
      <c r="FYT147" s="1206"/>
      <c r="FYU147" s="1206"/>
      <c r="FYV147" s="1206"/>
      <c r="FYW147" s="1206"/>
      <c r="FYX147" s="1206"/>
      <c r="FYY147" s="1206"/>
      <c r="FYZ147" s="1206"/>
      <c r="FZA147" s="1206"/>
      <c r="FZB147" s="1206"/>
      <c r="FZC147" s="1206"/>
      <c r="FZD147" s="1206"/>
      <c r="FZE147" s="1206"/>
      <c r="FZF147" s="1206"/>
      <c r="FZG147" s="1206"/>
      <c r="FZH147" s="1206"/>
      <c r="FZI147" s="1206"/>
      <c r="FZJ147" s="1206"/>
      <c r="FZK147" s="1206"/>
      <c r="FZL147" s="1206"/>
      <c r="FZM147" s="1206"/>
      <c r="FZN147" s="1206"/>
      <c r="FZO147" s="1206"/>
      <c r="FZP147" s="1206"/>
      <c r="FZQ147" s="1206"/>
      <c r="FZR147" s="1206"/>
      <c r="FZS147" s="1206"/>
      <c r="FZT147" s="1206"/>
      <c r="FZU147" s="1206"/>
      <c r="FZV147" s="1206"/>
      <c r="FZW147" s="1206"/>
      <c r="FZX147" s="1206"/>
      <c r="FZY147" s="1206"/>
      <c r="FZZ147" s="1206"/>
      <c r="GAA147" s="1206"/>
      <c r="GAB147" s="1206"/>
      <c r="GAC147" s="1206"/>
      <c r="GAD147" s="1206"/>
      <c r="GAE147" s="1206"/>
      <c r="GAF147" s="1206"/>
      <c r="GAG147" s="1206"/>
      <c r="GAH147" s="1206"/>
      <c r="GAI147" s="1206"/>
      <c r="GAJ147" s="1206"/>
      <c r="GAK147" s="1206"/>
      <c r="GAL147" s="1206"/>
      <c r="GAM147" s="1206"/>
      <c r="GAN147" s="1206"/>
      <c r="GAO147" s="1206"/>
      <c r="GAP147" s="1206"/>
      <c r="GAQ147" s="1206"/>
      <c r="GAR147" s="1206"/>
      <c r="GAS147" s="1206"/>
      <c r="GAT147" s="1206"/>
      <c r="GAU147" s="1206"/>
      <c r="GAV147" s="1206"/>
      <c r="GAW147" s="1206"/>
      <c r="GAX147" s="1206"/>
      <c r="GAY147" s="1206"/>
      <c r="GAZ147" s="1206"/>
      <c r="GBA147" s="1206"/>
      <c r="GBB147" s="1206"/>
      <c r="GBC147" s="1206"/>
      <c r="GBD147" s="1206"/>
      <c r="GBE147" s="1206"/>
      <c r="GBF147" s="1206"/>
      <c r="GBG147" s="1206"/>
      <c r="GBH147" s="1206"/>
      <c r="GBI147" s="1206"/>
      <c r="GBJ147" s="1206"/>
      <c r="GBK147" s="1206"/>
      <c r="GBL147" s="1206"/>
      <c r="GBM147" s="1206"/>
      <c r="GBN147" s="1206"/>
      <c r="GBO147" s="1206"/>
      <c r="GBP147" s="1206"/>
      <c r="GBQ147" s="1206"/>
      <c r="GBR147" s="1206"/>
      <c r="GBS147" s="1206"/>
      <c r="GBT147" s="1206"/>
      <c r="GBU147" s="1206"/>
      <c r="GBV147" s="1206"/>
      <c r="GBW147" s="1206"/>
      <c r="GBX147" s="1206"/>
      <c r="GBY147" s="1206"/>
      <c r="GBZ147" s="1206"/>
      <c r="GCA147" s="1206"/>
      <c r="GCB147" s="1206"/>
      <c r="GCC147" s="1206"/>
      <c r="GCD147" s="1206"/>
      <c r="GCE147" s="1206"/>
      <c r="GCF147" s="1206"/>
      <c r="GCG147" s="1206"/>
      <c r="GCH147" s="1206"/>
      <c r="GCI147" s="1206"/>
      <c r="GCJ147" s="1206"/>
      <c r="GCK147" s="1206"/>
      <c r="GCL147" s="1206"/>
      <c r="GCM147" s="1206"/>
      <c r="GCN147" s="1206"/>
      <c r="GCO147" s="1206"/>
      <c r="GCP147" s="1206"/>
      <c r="GCQ147" s="1206"/>
      <c r="GCR147" s="1206"/>
      <c r="GCS147" s="1206"/>
      <c r="GCT147" s="1206"/>
      <c r="GCU147" s="1206"/>
      <c r="GCV147" s="1206"/>
      <c r="GCW147" s="1206"/>
      <c r="GCX147" s="1206"/>
      <c r="GCY147" s="1206"/>
      <c r="GCZ147" s="1206"/>
      <c r="GDA147" s="1206"/>
      <c r="GDB147" s="1206"/>
      <c r="GDC147" s="1206"/>
      <c r="GDD147" s="1206"/>
      <c r="GDE147" s="1206"/>
      <c r="GDF147" s="1206"/>
      <c r="GDG147" s="1206"/>
      <c r="GDH147" s="1206"/>
      <c r="GDI147" s="1206"/>
      <c r="GDJ147" s="1206"/>
      <c r="GDK147" s="1206"/>
      <c r="GDL147" s="1206"/>
      <c r="GDM147" s="1206"/>
      <c r="GDN147" s="1206"/>
      <c r="GDO147" s="1206"/>
      <c r="GDP147" s="1206"/>
      <c r="GDQ147" s="1206"/>
      <c r="GDR147" s="1206"/>
      <c r="GDS147" s="1206"/>
      <c r="GDT147" s="1206"/>
      <c r="GDU147" s="1206"/>
      <c r="GDV147" s="1206"/>
      <c r="GDW147" s="1206"/>
      <c r="GDX147" s="1206"/>
      <c r="GDY147" s="1206"/>
      <c r="GDZ147" s="1206"/>
      <c r="GEA147" s="1206"/>
      <c r="GEB147" s="1206"/>
      <c r="GEC147" s="1206"/>
      <c r="GED147" s="1206"/>
      <c r="GEE147" s="1206"/>
      <c r="GEF147" s="1206"/>
      <c r="GEG147" s="1206"/>
      <c r="GEH147" s="1206"/>
      <c r="GEI147" s="1206"/>
      <c r="GEJ147" s="1206"/>
      <c r="GEK147" s="1206"/>
      <c r="GEL147" s="1206"/>
      <c r="GEM147" s="1206"/>
      <c r="GEN147" s="1206"/>
      <c r="GEO147" s="1206"/>
      <c r="GEP147" s="1206"/>
      <c r="GEQ147" s="1206"/>
      <c r="GER147" s="1206"/>
      <c r="GES147" s="1206"/>
      <c r="GET147" s="1206"/>
      <c r="GEU147" s="1206"/>
      <c r="GEV147" s="1206"/>
      <c r="GEW147" s="1206"/>
      <c r="GEX147" s="1206"/>
      <c r="GEY147" s="1206"/>
      <c r="GEZ147" s="1206"/>
      <c r="GFA147" s="1206"/>
      <c r="GFB147" s="1206"/>
      <c r="GFC147" s="1206"/>
      <c r="GFD147" s="1206"/>
      <c r="GFE147" s="1206"/>
      <c r="GFF147" s="1206"/>
      <c r="GFG147" s="1206"/>
      <c r="GFH147" s="1206"/>
      <c r="GFI147" s="1206"/>
      <c r="GFJ147" s="1206"/>
      <c r="GFK147" s="1206"/>
      <c r="GFL147" s="1206"/>
      <c r="GFM147" s="1206"/>
      <c r="GFN147" s="1206"/>
      <c r="GFO147" s="1206"/>
      <c r="GFP147" s="1206"/>
      <c r="GFQ147" s="1206"/>
      <c r="GFR147" s="1206"/>
      <c r="GFS147" s="1206"/>
      <c r="GFT147" s="1206"/>
      <c r="GFU147" s="1206"/>
      <c r="GFV147" s="1206"/>
      <c r="GFW147" s="1206"/>
      <c r="GFX147" s="1206"/>
      <c r="GFY147" s="1206"/>
      <c r="GFZ147" s="1206"/>
      <c r="GGA147" s="1206"/>
      <c r="GGB147" s="1206"/>
      <c r="GGC147" s="1206"/>
      <c r="GGD147" s="1206"/>
      <c r="GGE147" s="1206"/>
      <c r="GGF147" s="1206"/>
      <c r="GGG147" s="1206"/>
      <c r="GGH147" s="1206"/>
      <c r="GGI147" s="1206"/>
      <c r="GGJ147" s="1206"/>
      <c r="GGK147" s="1206"/>
      <c r="GGL147" s="1206"/>
      <c r="GGM147" s="1206"/>
      <c r="GGN147" s="1206"/>
      <c r="GGO147" s="1206"/>
      <c r="GGP147" s="1206"/>
      <c r="GGQ147" s="1206"/>
      <c r="GGR147" s="1206"/>
      <c r="GGS147" s="1206"/>
      <c r="GGT147" s="1206"/>
      <c r="GGU147" s="1206"/>
      <c r="GGV147" s="1206"/>
      <c r="GGW147" s="1206"/>
      <c r="GGX147" s="1206"/>
      <c r="GGY147" s="1206"/>
      <c r="GGZ147" s="1206"/>
      <c r="GHA147" s="1206"/>
      <c r="GHB147" s="1206"/>
      <c r="GHC147" s="1206"/>
      <c r="GHD147" s="1206"/>
      <c r="GHE147" s="1206"/>
      <c r="GHF147" s="1206"/>
      <c r="GHG147" s="1206"/>
      <c r="GHH147" s="1206"/>
      <c r="GHI147" s="1206"/>
      <c r="GHJ147" s="1206"/>
      <c r="GHK147" s="1206"/>
      <c r="GHL147" s="1206"/>
      <c r="GHM147" s="1206"/>
      <c r="GHN147" s="1206"/>
      <c r="GHO147" s="1206"/>
      <c r="GHP147" s="1206"/>
      <c r="GHQ147" s="1206"/>
      <c r="GHR147" s="1206"/>
      <c r="GHS147" s="1206"/>
      <c r="GHT147" s="1206"/>
      <c r="GHU147" s="1206"/>
      <c r="GHV147" s="1206"/>
      <c r="GHW147" s="1206"/>
      <c r="GHX147" s="1206"/>
      <c r="GHY147" s="1206"/>
      <c r="GHZ147" s="1206"/>
      <c r="GIA147" s="1206"/>
      <c r="GIB147" s="1206"/>
      <c r="GIC147" s="1206"/>
      <c r="GID147" s="1206"/>
      <c r="GIE147" s="1206"/>
      <c r="GIF147" s="1206"/>
      <c r="GIG147" s="1206"/>
      <c r="GIH147" s="1206"/>
      <c r="GII147" s="1206"/>
      <c r="GIJ147" s="1206"/>
      <c r="GIK147" s="1206"/>
      <c r="GIL147" s="1206"/>
      <c r="GIM147" s="1206"/>
      <c r="GIN147" s="1206"/>
      <c r="GIO147" s="1206"/>
      <c r="GIP147" s="1206"/>
      <c r="GIQ147" s="1206"/>
      <c r="GIR147" s="1206"/>
      <c r="GIS147" s="1206"/>
      <c r="GIT147" s="1206"/>
      <c r="GIU147" s="1206"/>
      <c r="GIV147" s="1206"/>
      <c r="GIW147" s="1206"/>
      <c r="GIX147" s="1206"/>
      <c r="GIY147" s="1206"/>
      <c r="GIZ147" s="1206"/>
      <c r="GJA147" s="1206"/>
      <c r="GJB147" s="1206"/>
      <c r="GJC147" s="1206"/>
      <c r="GJD147" s="1206"/>
      <c r="GJE147" s="1206"/>
      <c r="GJF147" s="1206"/>
      <c r="GJG147" s="1206"/>
      <c r="GJH147" s="1206"/>
      <c r="GJI147" s="1206"/>
      <c r="GJJ147" s="1206"/>
      <c r="GJK147" s="1206"/>
      <c r="GJL147" s="1206"/>
      <c r="GJM147" s="1206"/>
      <c r="GJN147" s="1206"/>
      <c r="GJO147" s="1206"/>
      <c r="GJP147" s="1206"/>
      <c r="GJQ147" s="1206"/>
      <c r="GJR147" s="1206"/>
      <c r="GJS147" s="1206"/>
      <c r="GJT147" s="1206"/>
      <c r="GJU147" s="1206"/>
      <c r="GJV147" s="1206"/>
      <c r="GJW147" s="1206"/>
      <c r="GJX147" s="1206"/>
      <c r="GJY147" s="1206"/>
      <c r="GJZ147" s="1206"/>
      <c r="GKA147" s="1206"/>
      <c r="GKB147" s="1206"/>
      <c r="GKC147" s="1206"/>
      <c r="GKD147" s="1206"/>
      <c r="GKE147" s="1206"/>
      <c r="GKF147" s="1206"/>
      <c r="GKG147" s="1206"/>
      <c r="GKH147" s="1206"/>
      <c r="GKI147" s="1206"/>
      <c r="GKJ147" s="1206"/>
      <c r="GKK147" s="1206"/>
      <c r="GKL147" s="1206"/>
      <c r="GKM147" s="1206"/>
      <c r="GKN147" s="1206"/>
      <c r="GKO147" s="1206"/>
      <c r="GKP147" s="1206"/>
      <c r="GKQ147" s="1206"/>
      <c r="GKR147" s="1206"/>
      <c r="GKS147" s="1206"/>
      <c r="GKT147" s="1206"/>
      <c r="GKU147" s="1206"/>
      <c r="GKV147" s="1206"/>
      <c r="GKW147" s="1206"/>
      <c r="GKX147" s="1206"/>
      <c r="GKY147" s="1206"/>
      <c r="GKZ147" s="1206"/>
      <c r="GLA147" s="1206"/>
      <c r="GLB147" s="1206"/>
      <c r="GLC147" s="1206"/>
      <c r="GLD147" s="1206"/>
      <c r="GLE147" s="1206"/>
      <c r="GLF147" s="1206"/>
      <c r="GLG147" s="1206"/>
      <c r="GLH147" s="1206"/>
      <c r="GLI147" s="1206"/>
      <c r="GLJ147" s="1206"/>
      <c r="GLK147" s="1206"/>
      <c r="GLL147" s="1206"/>
      <c r="GLM147" s="1206"/>
      <c r="GLN147" s="1206"/>
      <c r="GLO147" s="1206"/>
      <c r="GLP147" s="1206"/>
      <c r="GLQ147" s="1206"/>
      <c r="GLR147" s="1206"/>
      <c r="GLS147" s="1206"/>
      <c r="GLT147" s="1206"/>
      <c r="GLU147" s="1206"/>
      <c r="GLV147" s="1206"/>
      <c r="GLW147" s="1206"/>
      <c r="GLX147" s="1206"/>
      <c r="GLY147" s="1206"/>
      <c r="GLZ147" s="1206"/>
      <c r="GMA147" s="1206"/>
      <c r="GMB147" s="1206"/>
      <c r="GMC147" s="1206"/>
      <c r="GMD147" s="1206"/>
      <c r="GME147" s="1206"/>
      <c r="GMF147" s="1206"/>
      <c r="GMG147" s="1206"/>
      <c r="GMH147" s="1206"/>
      <c r="GMI147" s="1206"/>
      <c r="GMJ147" s="1206"/>
      <c r="GMK147" s="1206"/>
      <c r="GML147" s="1206"/>
      <c r="GMM147" s="1206"/>
      <c r="GMN147" s="1206"/>
      <c r="GMO147" s="1206"/>
      <c r="GMP147" s="1206"/>
      <c r="GMQ147" s="1206"/>
      <c r="GMR147" s="1206"/>
      <c r="GMS147" s="1206"/>
      <c r="GMT147" s="1206"/>
      <c r="GMU147" s="1206"/>
      <c r="GMV147" s="1206"/>
      <c r="GMW147" s="1206"/>
      <c r="GMX147" s="1206"/>
      <c r="GMY147" s="1206"/>
      <c r="GMZ147" s="1206"/>
      <c r="GNA147" s="1206"/>
      <c r="GNB147" s="1206"/>
      <c r="GNC147" s="1206"/>
      <c r="GND147" s="1206"/>
      <c r="GNE147" s="1206"/>
      <c r="GNF147" s="1206"/>
      <c r="GNG147" s="1206"/>
      <c r="GNH147" s="1206"/>
      <c r="GNI147" s="1206"/>
      <c r="GNJ147" s="1206"/>
      <c r="GNK147" s="1206"/>
      <c r="GNL147" s="1206"/>
      <c r="GNM147" s="1206"/>
      <c r="GNN147" s="1206"/>
      <c r="GNO147" s="1206"/>
      <c r="GNP147" s="1206"/>
      <c r="GNQ147" s="1206"/>
      <c r="GNR147" s="1206"/>
      <c r="GNS147" s="1206"/>
      <c r="GNT147" s="1206"/>
      <c r="GNU147" s="1206"/>
      <c r="GNV147" s="1206"/>
      <c r="GNW147" s="1206"/>
      <c r="GNX147" s="1206"/>
      <c r="GNY147" s="1206"/>
      <c r="GNZ147" s="1206"/>
      <c r="GOA147" s="1206"/>
      <c r="GOB147" s="1206"/>
      <c r="GOC147" s="1206"/>
      <c r="GOD147" s="1206"/>
      <c r="GOE147" s="1206"/>
      <c r="GOF147" s="1206"/>
      <c r="GOG147" s="1206"/>
      <c r="GOH147" s="1206"/>
      <c r="GOI147" s="1206"/>
      <c r="GOJ147" s="1206"/>
      <c r="GOK147" s="1206"/>
      <c r="GOL147" s="1206"/>
      <c r="GOM147" s="1206"/>
      <c r="GON147" s="1206"/>
      <c r="GOO147" s="1206"/>
      <c r="GOP147" s="1206"/>
      <c r="GOQ147" s="1206"/>
      <c r="GOR147" s="1206"/>
      <c r="GOS147" s="1206"/>
      <c r="GOT147" s="1206"/>
      <c r="GOU147" s="1206"/>
      <c r="GOV147" s="1206"/>
      <c r="GOW147" s="1206"/>
      <c r="GOX147" s="1206"/>
      <c r="GOY147" s="1206"/>
      <c r="GOZ147" s="1206"/>
      <c r="GPA147" s="1206"/>
      <c r="GPB147" s="1206"/>
      <c r="GPC147" s="1206"/>
      <c r="GPD147" s="1206"/>
      <c r="GPE147" s="1206"/>
      <c r="GPF147" s="1206"/>
      <c r="GPG147" s="1206"/>
      <c r="GPH147" s="1206"/>
      <c r="GPI147" s="1206"/>
      <c r="GPJ147" s="1206"/>
      <c r="GPK147" s="1206"/>
      <c r="GPL147" s="1206"/>
      <c r="GPM147" s="1206"/>
      <c r="GPN147" s="1206"/>
      <c r="GPO147" s="1206"/>
      <c r="GPP147" s="1206"/>
      <c r="GPQ147" s="1206"/>
      <c r="GPR147" s="1206"/>
      <c r="GPS147" s="1206"/>
      <c r="GPT147" s="1206"/>
      <c r="GPU147" s="1206"/>
      <c r="GPV147" s="1206"/>
      <c r="GPW147" s="1206"/>
      <c r="GPX147" s="1206"/>
      <c r="GPY147" s="1206"/>
      <c r="GPZ147" s="1206"/>
      <c r="GQA147" s="1206"/>
      <c r="GQB147" s="1206"/>
      <c r="GQC147" s="1206"/>
      <c r="GQD147" s="1206"/>
      <c r="GQE147" s="1206"/>
      <c r="GQF147" s="1206"/>
      <c r="GQG147" s="1206"/>
      <c r="GQH147" s="1206"/>
      <c r="GQI147" s="1206"/>
      <c r="GQJ147" s="1206"/>
      <c r="GQK147" s="1206"/>
      <c r="GQL147" s="1206"/>
      <c r="GQM147" s="1206"/>
      <c r="GQN147" s="1206"/>
      <c r="GQO147" s="1206"/>
      <c r="GQP147" s="1206"/>
      <c r="GQQ147" s="1206"/>
      <c r="GQR147" s="1206"/>
      <c r="GQS147" s="1206"/>
      <c r="GQT147" s="1206"/>
      <c r="GQU147" s="1206"/>
      <c r="GQV147" s="1206"/>
      <c r="GQW147" s="1206"/>
      <c r="GQX147" s="1206"/>
      <c r="GQY147" s="1206"/>
      <c r="GQZ147" s="1206"/>
      <c r="GRA147" s="1206"/>
      <c r="GRB147" s="1206"/>
      <c r="GRC147" s="1206"/>
      <c r="GRD147" s="1206"/>
      <c r="GRE147" s="1206"/>
      <c r="GRF147" s="1206"/>
      <c r="GRG147" s="1206"/>
      <c r="GRH147" s="1206"/>
      <c r="GRI147" s="1206"/>
      <c r="GRJ147" s="1206"/>
      <c r="GRK147" s="1206"/>
      <c r="GRL147" s="1206"/>
      <c r="GRM147" s="1206"/>
      <c r="GRN147" s="1206"/>
      <c r="GRO147" s="1206"/>
      <c r="GRP147" s="1206"/>
      <c r="GRQ147" s="1206"/>
      <c r="GRR147" s="1206"/>
      <c r="GRS147" s="1206"/>
      <c r="GRT147" s="1206"/>
      <c r="GRU147" s="1206"/>
      <c r="GRV147" s="1206"/>
      <c r="GRW147" s="1206"/>
      <c r="GRX147" s="1206"/>
      <c r="GRY147" s="1206"/>
      <c r="GRZ147" s="1206"/>
      <c r="GSA147" s="1206"/>
      <c r="GSB147" s="1206"/>
      <c r="GSC147" s="1206"/>
      <c r="GSD147" s="1206"/>
      <c r="GSE147" s="1206"/>
      <c r="GSF147" s="1206"/>
      <c r="GSG147" s="1206"/>
      <c r="GSH147" s="1206"/>
      <c r="GSI147" s="1206"/>
      <c r="GSJ147" s="1206"/>
      <c r="GSK147" s="1206"/>
      <c r="GSL147" s="1206"/>
      <c r="GSM147" s="1206"/>
      <c r="GSN147" s="1206"/>
      <c r="GSO147" s="1206"/>
      <c r="GSP147" s="1206"/>
      <c r="GSQ147" s="1206"/>
      <c r="GSR147" s="1206"/>
      <c r="GSS147" s="1206"/>
      <c r="GST147" s="1206"/>
      <c r="GSU147" s="1206"/>
      <c r="GSV147" s="1206"/>
      <c r="GSW147" s="1206"/>
      <c r="GSX147" s="1206"/>
      <c r="GSY147" s="1206"/>
      <c r="GSZ147" s="1206"/>
      <c r="GTA147" s="1206"/>
      <c r="GTB147" s="1206"/>
      <c r="GTC147" s="1206"/>
      <c r="GTD147" s="1206"/>
      <c r="GTE147" s="1206"/>
      <c r="GTF147" s="1206"/>
      <c r="GTG147" s="1206"/>
      <c r="GTH147" s="1206"/>
      <c r="GTI147" s="1206"/>
      <c r="GTJ147" s="1206"/>
      <c r="GTK147" s="1206"/>
      <c r="GTL147" s="1206"/>
      <c r="GTM147" s="1206"/>
      <c r="GTN147" s="1206"/>
      <c r="GTO147" s="1206"/>
      <c r="GTP147" s="1206"/>
      <c r="GTQ147" s="1206"/>
      <c r="GTR147" s="1206"/>
      <c r="GTS147" s="1206"/>
      <c r="GTT147" s="1206"/>
      <c r="GTU147" s="1206"/>
      <c r="GTV147" s="1206"/>
      <c r="GTW147" s="1206"/>
      <c r="GTX147" s="1206"/>
      <c r="GTY147" s="1206"/>
      <c r="GTZ147" s="1206"/>
      <c r="GUA147" s="1206"/>
      <c r="GUB147" s="1206"/>
      <c r="GUC147" s="1206"/>
      <c r="GUD147" s="1206"/>
      <c r="GUE147" s="1206"/>
      <c r="GUF147" s="1206"/>
      <c r="GUG147" s="1206"/>
      <c r="GUH147" s="1206"/>
      <c r="GUI147" s="1206"/>
      <c r="GUJ147" s="1206"/>
      <c r="GUK147" s="1206"/>
      <c r="GUL147" s="1206"/>
      <c r="GUM147" s="1206"/>
      <c r="GUN147" s="1206"/>
      <c r="GUO147" s="1206"/>
      <c r="GUP147" s="1206"/>
      <c r="GUQ147" s="1206"/>
      <c r="GUR147" s="1206"/>
      <c r="GUS147" s="1206"/>
      <c r="GUT147" s="1206"/>
      <c r="GUU147" s="1206"/>
      <c r="GUV147" s="1206"/>
      <c r="GUW147" s="1206"/>
      <c r="GUX147" s="1206"/>
      <c r="GUY147" s="1206"/>
      <c r="GUZ147" s="1206"/>
      <c r="GVA147" s="1206"/>
      <c r="GVB147" s="1206"/>
      <c r="GVC147" s="1206"/>
      <c r="GVD147" s="1206"/>
      <c r="GVE147" s="1206"/>
      <c r="GVF147" s="1206"/>
      <c r="GVG147" s="1206"/>
      <c r="GVH147" s="1206"/>
      <c r="GVI147" s="1206"/>
      <c r="GVJ147" s="1206"/>
      <c r="GVK147" s="1206"/>
      <c r="GVL147" s="1206"/>
      <c r="GVM147" s="1206"/>
      <c r="GVN147" s="1206"/>
      <c r="GVO147" s="1206"/>
      <c r="GVP147" s="1206"/>
      <c r="GVQ147" s="1206"/>
      <c r="GVR147" s="1206"/>
      <c r="GVS147" s="1206"/>
      <c r="GVT147" s="1206"/>
      <c r="GVU147" s="1206"/>
      <c r="GVV147" s="1206"/>
      <c r="GVW147" s="1206"/>
      <c r="GVX147" s="1206"/>
      <c r="GVY147" s="1206"/>
      <c r="GVZ147" s="1206"/>
      <c r="GWA147" s="1206"/>
      <c r="GWB147" s="1206"/>
      <c r="GWC147" s="1206"/>
      <c r="GWD147" s="1206"/>
      <c r="GWE147" s="1206"/>
      <c r="GWF147" s="1206"/>
      <c r="GWG147" s="1206"/>
      <c r="GWH147" s="1206"/>
      <c r="GWI147" s="1206"/>
      <c r="GWJ147" s="1206"/>
      <c r="GWK147" s="1206"/>
      <c r="GWL147" s="1206"/>
      <c r="GWM147" s="1206"/>
      <c r="GWN147" s="1206"/>
      <c r="GWO147" s="1206"/>
      <c r="GWP147" s="1206"/>
      <c r="GWQ147" s="1206"/>
      <c r="GWR147" s="1206"/>
      <c r="GWS147" s="1206"/>
      <c r="GWT147" s="1206"/>
      <c r="GWU147" s="1206"/>
      <c r="GWV147" s="1206"/>
      <c r="GWW147" s="1206"/>
      <c r="GWX147" s="1206"/>
      <c r="GWY147" s="1206"/>
      <c r="GWZ147" s="1206"/>
      <c r="GXA147" s="1206"/>
      <c r="GXB147" s="1206"/>
      <c r="GXC147" s="1206"/>
      <c r="GXD147" s="1206"/>
      <c r="GXE147" s="1206"/>
      <c r="GXF147" s="1206"/>
      <c r="GXG147" s="1206"/>
      <c r="GXH147" s="1206"/>
      <c r="GXI147" s="1206"/>
      <c r="GXJ147" s="1206"/>
      <c r="GXK147" s="1206"/>
      <c r="GXL147" s="1206"/>
      <c r="GXM147" s="1206"/>
      <c r="GXN147" s="1206"/>
      <c r="GXO147" s="1206"/>
      <c r="GXP147" s="1206"/>
      <c r="GXQ147" s="1206"/>
      <c r="GXR147" s="1206"/>
      <c r="GXS147" s="1206"/>
      <c r="GXT147" s="1206"/>
      <c r="GXU147" s="1206"/>
      <c r="GXV147" s="1206"/>
      <c r="GXW147" s="1206"/>
      <c r="GXX147" s="1206"/>
      <c r="GXY147" s="1206"/>
      <c r="GXZ147" s="1206"/>
      <c r="GYA147" s="1206"/>
      <c r="GYB147" s="1206"/>
      <c r="GYC147" s="1206"/>
      <c r="GYD147" s="1206"/>
      <c r="GYE147" s="1206"/>
      <c r="GYF147" s="1206"/>
      <c r="GYG147" s="1206"/>
      <c r="GYH147" s="1206"/>
      <c r="GYI147" s="1206"/>
      <c r="GYJ147" s="1206"/>
      <c r="GYK147" s="1206"/>
      <c r="GYL147" s="1206"/>
      <c r="GYM147" s="1206"/>
      <c r="GYN147" s="1206"/>
      <c r="GYO147" s="1206"/>
      <c r="GYP147" s="1206"/>
      <c r="GYQ147" s="1206"/>
      <c r="GYR147" s="1206"/>
      <c r="GYS147" s="1206"/>
      <c r="GYT147" s="1206"/>
      <c r="GYU147" s="1206"/>
      <c r="GYV147" s="1206"/>
      <c r="GYW147" s="1206"/>
      <c r="GYX147" s="1206"/>
      <c r="GYY147" s="1206"/>
      <c r="GYZ147" s="1206"/>
      <c r="GZA147" s="1206"/>
      <c r="GZB147" s="1206"/>
      <c r="GZC147" s="1206"/>
      <c r="GZD147" s="1206"/>
      <c r="GZE147" s="1206"/>
      <c r="GZF147" s="1206"/>
      <c r="GZG147" s="1206"/>
      <c r="GZH147" s="1206"/>
      <c r="GZI147" s="1206"/>
      <c r="GZJ147" s="1206"/>
      <c r="GZK147" s="1206"/>
      <c r="GZL147" s="1206"/>
      <c r="GZM147" s="1206"/>
      <c r="GZN147" s="1206"/>
      <c r="GZO147" s="1206"/>
      <c r="GZP147" s="1206"/>
      <c r="GZQ147" s="1206"/>
      <c r="GZR147" s="1206"/>
      <c r="GZS147" s="1206"/>
      <c r="GZT147" s="1206"/>
      <c r="GZU147" s="1206"/>
      <c r="GZV147" s="1206"/>
      <c r="GZW147" s="1206"/>
      <c r="GZX147" s="1206"/>
      <c r="GZY147" s="1206"/>
      <c r="GZZ147" s="1206"/>
      <c r="HAA147" s="1206"/>
      <c r="HAB147" s="1206"/>
      <c r="HAC147" s="1206"/>
      <c r="HAD147" s="1206"/>
      <c r="HAE147" s="1206"/>
      <c r="HAF147" s="1206"/>
      <c r="HAG147" s="1206"/>
      <c r="HAH147" s="1206"/>
      <c r="HAI147" s="1206"/>
      <c r="HAJ147" s="1206"/>
      <c r="HAK147" s="1206"/>
      <c r="HAL147" s="1206"/>
      <c r="HAM147" s="1206"/>
      <c r="HAN147" s="1206"/>
      <c r="HAO147" s="1206"/>
      <c r="HAP147" s="1206"/>
      <c r="HAQ147" s="1206"/>
      <c r="HAR147" s="1206"/>
      <c r="HAS147" s="1206"/>
      <c r="HAT147" s="1206"/>
      <c r="HAU147" s="1206"/>
      <c r="HAV147" s="1206"/>
      <c r="HAW147" s="1206"/>
      <c r="HAX147" s="1206"/>
      <c r="HAY147" s="1206"/>
      <c r="HAZ147" s="1206"/>
      <c r="HBA147" s="1206"/>
      <c r="HBB147" s="1206"/>
      <c r="HBC147" s="1206"/>
      <c r="HBD147" s="1206"/>
      <c r="HBE147" s="1206"/>
      <c r="HBF147" s="1206"/>
      <c r="HBG147" s="1206"/>
      <c r="HBH147" s="1206"/>
      <c r="HBI147" s="1206"/>
      <c r="HBJ147" s="1206"/>
      <c r="HBK147" s="1206"/>
      <c r="HBL147" s="1206"/>
      <c r="HBM147" s="1206"/>
      <c r="HBN147" s="1206"/>
      <c r="HBO147" s="1206"/>
      <c r="HBP147" s="1206"/>
      <c r="HBQ147" s="1206"/>
      <c r="HBR147" s="1206"/>
      <c r="HBS147" s="1206"/>
      <c r="HBT147" s="1206"/>
      <c r="HBU147" s="1206"/>
      <c r="HBV147" s="1206"/>
      <c r="HBW147" s="1206"/>
      <c r="HBX147" s="1206"/>
      <c r="HBY147" s="1206"/>
      <c r="HBZ147" s="1206"/>
      <c r="HCA147" s="1206"/>
      <c r="HCB147" s="1206"/>
      <c r="HCC147" s="1206"/>
      <c r="HCD147" s="1206"/>
      <c r="HCE147" s="1206"/>
      <c r="HCF147" s="1206"/>
      <c r="HCG147" s="1206"/>
      <c r="HCH147" s="1206"/>
      <c r="HCI147" s="1206"/>
      <c r="HCJ147" s="1206"/>
      <c r="HCK147" s="1206"/>
      <c r="HCL147" s="1206"/>
      <c r="HCM147" s="1206"/>
      <c r="HCN147" s="1206"/>
      <c r="HCO147" s="1206"/>
      <c r="HCP147" s="1206"/>
      <c r="HCQ147" s="1206"/>
      <c r="HCR147" s="1206"/>
      <c r="HCS147" s="1206"/>
      <c r="HCT147" s="1206"/>
      <c r="HCU147" s="1206"/>
      <c r="HCV147" s="1206"/>
      <c r="HCW147" s="1206"/>
      <c r="HCX147" s="1206"/>
      <c r="HCY147" s="1206"/>
      <c r="HCZ147" s="1206"/>
      <c r="HDA147" s="1206"/>
      <c r="HDB147" s="1206"/>
      <c r="HDC147" s="1206"/>
      <c r="HDD147" s="1206"/>
      <c r="HDE147" s="1206"/>
      <c r="HDF147" s="1206"/>
      <c r="HDG147" s="1206"/>
      <c r="HDH147" s="1206"/>
      <c r="HDI147" s="1206"/>
      <c r="HDJ147" s="1206"/>
      <c r="HDK147" s="1206"/>
      <c r="HDL147" s="1206"/>
      <c r="HDM147" s="1206"/>
      <c r="HDN147" s="1206"/>
      <c r="HDO147" s="1206"/>
      <c r="HDP147" s="1206"/>
      <c r="HDQ147" s="1206"/>
      <c r="HDR147" s="1206"/>
      <c r="HDS147" s="1206"/>
      <c r="HDT147" s="1206"/>
      <c r="HDU147" s="1206"/>
      <c r="HDV147" s="1206"/>
      <c r="HDW147" s="1206"/>
      <c r="HDX147" s="1206"/>
      <c r="HDY147" s="1206"/>
      <c r="HDZ147" s="1206"/>
      <c r="HEA147" s="1206"/>
      <c r="HEB147" s="1206"/>
      <c r="HEC147" s="1206"/>
      <c r="HED147" s="1206"/>
      <c r="HEE147" s="1206"/>
      <c r="HEF147" s="1206"/>
      <c r="HEG147" s="1206"/>
      <c r="HEH147" s="1206"/>
      <c r="HEI147" s="1206"/>
      <c r="HEJ147" s="1206"/>
      <c r="HEK147" s="1206"/>
      <c r="HEL147" s="1206"/>
      <c r="HEM147" s="1206"/>
      <c r="HEN147" s="1206"/>
      <c r="HEO147" s="1206"/>
      <c r="HEP147" s="1206"/>
      <c r="HEQ147" s="1206"/>
      <c r="HER147" s="1206"/>
      <c r="HES147" s="1206"/>
      <c r="HET147" s="1206"/>
      <c r="HEU147" s="1206"/>
      <c r="HEV147" s="1206"/>
      <c r="HEW147" s="1206"/>
      <c r="HEX147" s="1206"/>
      <c r="HEY147" s="1206"/>
      <c r="HEZ147" s="1206"/>
      <c r="HFA147" s="1206"/>
      <c r="HFB147" s="1206"/>
      <c r="HFC147" s="1206"/>
      <c r="HFD147" s="1206"/>
      <c r="HFE147" s="1206"/>
      <c r="HFF147" s="1206"/>
      <c r="HFG147" s="1206"/>
      <c r="HFH147" s="1206"/>
      <c r="HFI147" s="1206"/>
      <c r="HFJ147" s="1206"/>
      <c r="HFK147" s="1206"/>
      <c r="HFL147" s="1206"/>
      <c r="HFM147" s="1206"/>
      <c r="HFN147" s="1206"/>
      <c r="HFO147" s="1206"/>
      <c r="HFP147" s="1206"/>
      <c r="HFQ147" s="1206"/>
      <c r="HFR147" s="1206"/>
      <c r="HFS147" s="1206"/>
      <c r="HFT147" s="1206"/>
      <c r="HFU147" s="1206"/>
      <c r="HFV147" s="1206"/>
      <c r="HFW147" s="1206"/>
      <c r="HFX147" s="1206"/>
      <c r="HFY147" s="1206"/>
      <c r="HFZ147" s="1206"/>
      <c r="HGA147" s="1206"/>
      <c r="HGB147" s="1206"/>
      <c r="HGC147" s="1206"/>
      <c r="HGD147" s="1206"/>
      <c r="HGE147" s="1206"/>
      <c r="HGF147" s="1206"/>
      <c r="HGG147" s="1206"/>
      <c r="HGH147" s="1206"/>
      <c r="HGI147" s="1206"/>
      <c r="HGJ147" s="1206"/>
      <c r="HGK147" s="1206"/>
      <c r="HGL147" s="1206"/>
      <c r="HGM147" s="1206"/>
      <c r="HGN147" s="1206"/>
      <c r="HGO147" s="1206"/>
      <c r="HGP147" s="1206"/>
      <c r="HGQ147" s="1206"/>
      <c r="HGR147" s="1206"/>
      <c r="HGS147" s="1206"/>
      <c r="HGT147" s="1206"/>
      <c r="HGU147" s="1206"/>
      <c r="HGV147" s="1206"/>
      <c r="HGW147" s="1206"/>
      <c r="HGX147" s="1206"/>
      <c r="HGY147" s="1206"/>
      <c r="HGZ147" s="1206"/>
      <c r="HHA147" s="1206"/>
      <c r="HHB147" s="1206"/>
      <c r="HHC147" s="1206"/>
      <c r="HHD147" s="1206"/>
      <c r="HHE147" s="1206"/>
      <c r="HHF147" s="1206"/>
      <c r="HHG147" s="1206"/>
      <c r="HHH147" s="1206"/>
      <c r="HHI147" s="1206"/>
      <c r="HHJ147" s="1206"/>
      <c r="HHK147" s="1206"/>
      <c r="HHL147" s="1206"/>
      <c r="HHM147" s="1206"/>
      <c r="HHN147" s="1206"/>
      <c r="HHO147" s="1206"/>
      <c r="HHP147" s="1206"/>
      <c r="HHQ147" s="1206"/>
      <c r="HHR147" s="1206"/>
      <c r="HHS147" s="1206"/>
      <c r="HHT147" s="1206"/>
      <c r="HHU147" s="1206"/>
      <c r="HHV147" s="1206"/>
      <c r="HHW147" s="1206"/>
      <c r="HHX147" s="1206"/>
      <c r="HHY147" s="1206"/>
      <c r="HHZ147" s="1206"/>
      <c r="HIA147" s="1206"/>
      <c r="HIB147" s="1206"/>
      <c r="HIC147" s="1206"/>
      <c r="HID147" s="1206"/>
      <c r="HIE147" s="1206"/>
      <c r="HIF147" s="1206"/>
      <c r="HIG147" s="1206"/>
      <c r="HIH147" s="1206"/>
      <c r="HII147" s="1206"/>
      <c r="HIJ147" s="1206"/>
      <c r="HIK147" s="1206"/>
      <c r="HIL147" s="1206"/>
      <c r="HIM147" s="1206"/>
      <c r="HIN147" s="1206"/>
      <c r="HIO147" s="1206"/>
      <c r="HIP147" s="1206"/>
      <c r="HIQ147" s="1206"/>
      <c r="HIR147" s="1206"/>
      <c r="HIS147" s="1206"/>
      <c r="HIT147" s="1206"/>
      <c r="HIU147" s="1206"/>
      <c r="HIV147" s="1206"/>
      <c r="HIW147" s="1206"/>
      <c r="HIX147" s="1206"/>
      <c r="HIY147" s="1206"/>
      <c r="HIZ147" s="1206"/>
      <c r="HJA147" s="1206"/>
      <c r="HJB147" s="1206"/>
      <c r="HJC147" s="1206"/>
      <c r="HJD147" s="1206"/>
      <c r="HJE147" s="1206"/>
      <c r="HJF147" s="1206"/>
      <c r="HJG147" s="1206"/>
      <c r="HJH147" s="1206"/>
      <c r="HJI147" s="1206"/>
      <c r="HJJ147" s="1206"/>
      <c r="HJK147" s="1206"/>
      <c r="HJL147" s="1206"/>
      <c r="HJM147" s="1206"/>
      <c r="HJN147" s="1206"/>
      <c r="HJO147" s="1206"/>
      <c r="HJP147" s="1206"/>
      <c r="HJQ147" s="1206"/>
      <c r="HJR147" s="1206"/>
      <c r="HJS147" s="1206"/>
      <c r="HJT147" s="1206"/>
      <c r="HJU147" s="1206"/>
      <c r="HJV147" s="1206"/>
      <c r="HJW147" s="1206"/>
      <c r="HJX147" s="1206"/>
      <c r="HJY147" s="1206"/>
      <c r="HJZ147" s="1206"/>
      <c r="HKA147" s="1206"/>
      <c r="HKB147" s="1206"/>
      <c r="HKC147" s="1206"/>
      <c r="HKD147" s="1206"/>
      <c r="HKE147" s="1206"/>
      <c r="HKF147" s="1206"/>
      <c r="HKG147" s="1206"/>
      <c r="HKH147" s="1206"/>
      <c r="HKI147" s="1206"/>
      <c r="HKJ147" s="1206"/>
      <c r="HKK147" s="1206"/>
      <c r="HKL147" s="1206"/>
      <c r="HKM147" s="1206"/>
      <c r="HKN147" s="1206"/>
      <c r="HKO147" s="1206"/>
      <c r="HKP147" s="1206"/>
      <c r="HKQ147" s="1206"/>
      <c r="HKR147" s="1206"/>
      <c r="HKS147" s="1206"/>
      <c r="HKT147" s="1206"/>
      <c r="HKU147" s="1206"/>
      <c r="HKV147" s="1206"/>
      <c r="HKW147" s="1206"/>
      <c r="HKX147" s="1206"/>
      <c r="HKY147" s="1206"/>
      <c r="HKZ147" s="1206"/>
      <c r="HLA147" s="1206"/>
      <c r="HLB147" s="1206"/>
      <c r="HLC147" s="1206"/>
      <c r="HLD147" s="1206"/>
      <c r="HLE147" s="1206"/>
      <c r="HLF147" s="1206"/>
      <c r="HLG147" s="1206"/>
      <c r="HLH147" s="1206"/>
      <c r="HLI147" s="1206"/>
      <c r="HLJ147" s="1206"/>
      <c r="HLK147" s="1206"/>
      <c r="HLL147" s="1206"/>
      <c r="HLM147" s="1206"/>
      <c r="HLN147" s="1206"/>
      <c r="HLO147" s="1206"/>
      <c r="HLP147" s="1206"/>
      <c r="HLQ147" s="1206"/>
      <c r="HLR147" s="1206"/>
      <c r="HLS147" s="1206"/>
      <c r="HLT147" s="1206"/>
      <c r="HLU147" s="1206"/>
      <c r="HLV147" s="1206"/>
      <c r="HLW147" s="1206"/>
      <c r="HLX147" s="1206"/>
      <c r="HLY147" s="1206"/>
      <c r="HLZ147" s="1206"/>
      <c r="HMA147" s="1206"/>
      <c r="HMB147" s="1206"/>
      <c r="HMC147" s="1206"/>
      <c r="HMD147" s="1206"/>
      <c r="HME147" s="1206"/>
      <c r="HMF147" s="1206"/>
      <c r="HMG147" s="1206"/>
      <c r="HMH147" s="1206"/>
      <c r="HMI147" s="1206"/>
      <c r="HMJ147" s="1206"/>
      <c r="HMK147" s="1206"/>
      <c r="HML147" s="1206"/>
      <c r="HMM147" s="1206"/>
      <c r="HMN147" s="1206"/>
      <c r="HMO147" s="1206"/>
      <c r="HMP147" s="1206"/>
      <c r="HMQ147" s="1206"/>
      <c r="HMR147" s="1206"/>
      <c r="HMS147" s="1206"/>
      <c r="HMT147" s="1206"/>
      <c r="HMU147" s="1206"/>
      <c r="HMV147" s="1206"/>
      <c r="HMW147" s="1206"/>
      <c r="HMX147" s="1206"/>
      <c r="HMY147" s="1206"/>
      <c r="HMZ147" s="1206"/>
      <c r="HNA147" s="1206"/>
      <c r="HNB147" s="1206"/>
      <c r="HNC147" s="1206"/>
      <c r="HND147" s="1206"/>
      <c r="HNE147" s="1206"/>
      <c r="HNF147" s="1206"/>
      <c r="HNG147" s="1206"/>
      <c r="HNH147" s="1206"/>
      <c r="HNI147" s="1206"/>
      <c r="HNJ147" s="1206"/>
      <c r="HNK147" s="1206"/>
      <c r="HNL147" s="1206"/>
      <c r="HNM147" s="1206"/>
      <c r="HNN147" s="1206"/>
      <c r="HNO147" s="1206"/>
      <c r="HNP147" s="1206"/>
      <c r="HNQ147" s="1206"/>
      <c r="HNR147" s="1206"/>
      <c r="HNS147" s="1206"/>
      <c r="HNT147" s="1206"/>
      <c r="HNU147" s="1206"/>
      <c r="HNV147" s="1206"/>
      <c r="HNW147" s="1206"/>
      <c r="HNX147" s="1206"/>
      <c r="HNY147" s="1206"/>
      <c r="HNZ147" s="1206"/>
      <c r="HOA147" s="1206"/>
      <c r="HOB147" s="1206"/>
      <c r="HOC147" s="1206"/>
      <c r="HOD147" s="1206"/>
      <c r="HOE147" s="1206"/>
      <c r="HOF147" s="1206"/>
      <c r="HOG147" s="1206"/>
      <c r="HOH147" s="1206"/>
      <c r="HOI147" s="1206"/>
      <c r="HOJ147" s="1206"/>
      <c r="HOK147" s="1206"/>
      <c r="HOL147" s="1206"/>
      <c r="HOM147" s="1206"/>
      <c r="HON147" s="1206"/>
      <c r="HOO147" s="1206"/>
      <c r="HOP147" s="1206"/>
      <c r="HOQ147" s="1206"/>
      <c r="HOR147" s="1206"/>
      <c r="HOS147" s="1206"/>
      <c r="HOT147" s="1206"/>
      <c r="HOU147" s="1206"/>
      <c r="HOV147" s="1206"/>
      <c r="HOW147" s="1206"/>
      <c r="HOX147" s="1206"/>
      <c r="HOY147" s="1206"/>
      <c r="HOZ147" s="1206"/>
      <c r="HPA147" s="1206"/>
      <c r="HPB147" s="1206"/>
      <c r="HPC147" s="1206"/>
      <c r="HPD147" s="1206"/>
      <c r="HPE147" s="1206"/>
      <c r="HPF147" s="1206"/>
      <c r="HPG147" s="1206"/>
      <c r="HPH147" s="1206"/>
      <c r="HPI147" s="1206"/>
      <c r="HPJ147" s="1206"/>
      <c r="HPK147" s="1206"/>
      <c r="HPL147" s="1206"/>
      <c r="HPM147" s="1206"/>
      <c r="HPN147" s="1206"/>
      <c r="HPO147" s="1206"/>
      <c r="HPP147" s="1206"/>
      <c r="HPQ147" s="1206"/>
      <c r="HPR147" s="1206"/>
      <c r="HPS147" s="1206"/>
      <c r="HPT147" s="1206"/>
      <c r="HPU147" s="1206"/>
      <c r="HPV147" s="1206"/>
      <c r="HPW147" s="1206"/>
      <c r="HPX147" s="1206"/>
      <c r="HPY147" s="1206"/>
      <c r="HPZ147" s="1206"/>
      <c r="HQA147" s="1206"/>
      <c r="HQB147" s="1206"/>
      <c r="HQC147" s="1206"/>
      <c r="HQD147" s="1206"/>
      <c r="HQE147" s="1206"/>
      <c r="HQF147" s="1206"/>
      <c r="HQG147" s="1206"/>
      <c r="HQH147" s="1206"/>
      <c r="HQI147" s="1206"/>
      <c r="HQJ147" s="1206"/>
      <c r="HQK147" s="1206"/>
      <c r="HQL147" s="1206"/>
      <c r="HQM147" s="1206"/>
      <c r="HQN147" s="1206"/>
      <c r="HQO147" s="1206"/>
      <c r="HQP147" s="1206"/>
      <c r="HQQ147" s="1206"/>
      <c r="HQR147" s="1206"/>
      <c r="HQS147" s="1206"/>
      <c r="HQT147" s="1206"/>
      <c r="HQU147" s="1206"/>
      <c r="HQV147" s="1206"/>
      <c r="HQW147" s="1206"/>
      <c r="HQX147" s="1206"/>
      <c r="HQY147" s="1206"/>
      <c r="HQZ147" s="1206"/>
      <c r="HRA147" s="1206"/>
      <c r="HRB147" s="1206"/>
      <c r="HRC147" s="1206"/>
      <c r="HRD147" s="1206"/>
      <c r="HRE147" s="1206"/>
      <c r="HRF147" s="1206"/>
      <c r="HRG147" s="1206"/>
      <c r="HRH147" s="1206"/>
      <c r="HRI147" s="1206"/>
      <c r="HRJ147" s="1206"/>
      <c r="HRK147" s="1206"/>
      <c r="HRL147" s="1206"/>
      <c r="HRM147" s="1206"/>
      <c r="HRN147" s="1206"/>
      <c r="HRO147" s="1206"/>
      <c r="HRP147" s="1206"/>
      <c r="HRQ147" s="1206"/>
      <c r="HRR147" s="1206"/>
      <c r="HRS147" s="1206"/>
      <c r="HRT147" s="1206"/>
      <c r="HRU147" s="1206"/>
      <c r="HRV147" s="1206"/>
      <c r="HRW147" s="1206"/>
      <c r="HRX147" s="1206"/>
      <c r="HRY147" s="1206"/>
      <c r="HRZ147" s="1206"/>
      <c r="HSA147" s="1206"/>
      <c r="HSB147" s="1206"/>
      <c r="HSC147" s="1206"/>
      <c r="HSD147" s="1206"/>
      <c r="HSE147" s="1206"/>
      <c r="HSF147" s="1206"/>
      <c r="HSG147" s="1206"/>
      <c r="HSH147" s="1206"/>
      <c r="HSI147" s="1206"/>
      <c r="HSJ147" s="1206"/>
      <c r="HSK147" s="1206"/>
      <c r="HSL147" s="1206"/>
      <c r="HSM147" s="1206"/>
      <c r="HSN147" s="1206"/>
      <c r="HSO147" s="1206"/>
      <c r="HSP147" s="1206"/>
      <c r="HSQ147" s="1206"/>
      <c r="HSR147" s="1206"/>
      <c r="HSS147" s="1206"/>
      <c r="HST147" s="1206"/>
      <c r="HSU147" s="1206"/>
      <c r="HSV147" s="1206"/>
      <c r="HSW147" s="1206"/>
      <c r="HSX147" s="1206"/>
      <c r="HSY147" s="1206"/>
      <c r="HSZ147" s="1206"/>
      <c r="HTA147" s="1206"/>
      <c r="HTB147" s="1206"/>
      <c r="HTC147" s="1206"/>
      <c r="HTD147" s="1206"/>
      <c r="HTE147" s="1206"/>
      <c r="HTF147" s="1206"/>
      <c r="HTG147" s="1206"/>
      <c r="HTH147" s="1206"/>
      <c r="HTI147" s="1206"/>
      <c r="HTJ147" s="1206"/>
      <c r="HTK147" s="1206"/>
      <c r="HTL147" s="1206"/>
      <c r="HTM147" s="1206"/>
      <c r="HTN147" s="1206"/>
      <c r="HTO147" s="1206"/>
      <c r="HTP147" s="1206"/>
      <c r="HTQ147" s="1206"/>
      <c r="HTR147" s="1206"/>
      <c r="HTS147" s="1206"/>
      <c r="HTT147" s="1206"/>
      <c r="HTU147" s="1206"/>
      <c r="HTV147" s="1206"/>
      <c r="HTW147" s="1206"/>
      <c r="HTX147" s="1206"/>
      <c r="HTY147" s="1206"/>
      <c r="HTZ147" s="1206"/>
      <c r="HUA147" s="1206"/>
      <c r="HUB147" s="1206"/>
      <c r="HUC147" s="1206"/>
      <c r="HUD147" s="1206"/>
      <c r="HUE147" s="1206"/>
      <c r="HUF147" s="1206"/>
      <c r="HUG147" s="1206"/>
      <c r="HUH147" s="1206"/>
      <c r="HUI147" s="1206"/>
      <c r="HUJ147" s="1206"/>
      <c r="HUK147" s="1206"/>
      <c r="HUL147" s="1206"/>
      <c r="HUM147" s="1206"/>
      <c r="HUN147" s="1206"/>
      <c r="HUO147" s="1206"/>
      <c r="HUP147" s="1206"/>
      <c r="HUQ147" s="1206"/>
      <c r="HUR147" s="1206"/>
      <c r="HUS147" s="1206"/>
      <c r="HUT147" s="1206"/>
      <c r="HUU147" s="1206"/>
      <c r="HUV147" s="1206"/>
      <c r="HUW147" s="1206"/>
      <c r="HUX147" s="1206"/>
      <c r="HUY147" s="1206"/>
      <c r="HUZ147" s="1206"/>
      <c r="HVA147" s="1206"/>
      <c r="HVB147" s="1206"/>
      <c r="HVC147" s="1206"/>
      <c r="HVD147" s="1206"/>
      <c r="HVE147" s="1206"/>
      <c r="HVF147" s="1206"/>
      <c r="HVG147" s="1206"/>
      <c r="HVH147" s="1206"/>
      <c r="HVI147" s="1206"/>
      <c r="HVJ147" s="1206"/>
      <c r="HVK147" s="1206"/>
      <c r="HVL147" s="1206"/>
      <c r="HVM147" s="1206"/>
      <c r="HVN147" s="1206"/>
      <c r="HVO147" s="1206"/>
      <c r="HVP147" s="1206"/>
      <c r="HVQ147" s="1206"/>
      <c r="HVR147" s="1206"/>
      <c r="HVS147" s="1206"/>
      <c r="HVT147" s="1206"/>
      <c r="HVU147" s="1206"/>
      <c r="HVV147" s="1206"/>
      <c r="HVW147" s="1206"/>
      <c r="HVX147" s="1206"/>
      <c r="HVY147" s="1206"/>
      <c r="HVZ147" s="1206"/>
      <c r="HWA147" s="1206"/>
      <c r="HWB147" s="1206"/>
      <c r="HWC147" s="1206"/>
      <c r="HWD147" s="1206"/>
      <c r="HWE147" s="1206"/>
      <c r="HWF147" s="1206"/>
      <c r="HWG147" s="1206"/>
      <c r="HWH147" s="1206"/>
      <c r="HWI147" s="1206"/>
      <c r="HWJ147" s="1206"/>
      <c r="HWK147" s="1206"/>
      <c r="HWL147" s="1206"/>
      <c r="HWM147" s="1206"/>
      <c r="HWN147" s="1206"/>
      <c r="HWO147" s="1206"/>
      <c r="HWP147" s="1206"/>
      <c r="HWQ147" s="1206"/>
      <c r="HWR147" s="1206"/>
      <c r="HWS147" s="1206"/>
      <c r="HWT147" s="1206"/>
      <c r="HWU147" s="1206"/>
      <c r="HWV147" s="1206"/>
      <c r="HWW147" s="1206"/>
      <c r="HWX147" s="1206"/>
      <c r="HWY147" s="1206"/>
      <c r="HWZ147" s="1206"/>
      <c r="HXA147" s="1206"/>
      <c r="HXB147" s="1206"/>
      <c r="HXC147" s="1206"/>
      <c r="HXD147" s="1206"/>
      <c r="HXE147" s="1206"/>
      <c r="HXF147" s="1206"/>
      <c r="HXG147" s="1206"/>
      <c r="HXH147" s="1206"/>
      <c r="HXI147" s="1206"/>
      <c r="HXJ147" s="1206"/>
      <c r="HXK147" s="1206"/>
      <c r="HXL147" s="1206"/>
      <c r="HXM147" s="1206"/>
      <c r="HXN147" s="1206"/>
      <c r="HXO147" s="1206"/>
      <c r="HXP147" s="1206"/>
      <c r="HXQ147" s="1206"/>
      <c r="HXR147" s="1206"/>
      <c r="HXS147" s="1206"/>
      <c r="HXT147" s="1206"/>
      <c r="HXU147" s="1206"/>
      <c r="HXV147" s="1206"/>
      <c r="HXW147" s="1206"/>
      <c r="HXX147" s="1206"/>
      <c r="HXY147" s="1206"/>
      <c r="HXZ147" s="1206"/>
      <c r="HYA147" s="1206"/>
      <c r="HYB147" s="1206"/>
      <c r="HYC147" s="1206"/>
      <c r="HYD147" s="1206"/>
      <c r="HYE147" s="1206"/>
      <c r="HYF147" s="1206"/>
      <c r="HYG147" s="1206"/>
      <c r="HYH147" s="1206"/>
      <c r="HYI147" s="1206"/>
      <c r="HYJ147" s="1206"/>
      <c r="HYK147" s="1206"/>
      <c r="HYL147" s="1206"/>
      <c r="HYM147" s="1206"/>
      <c r="HYN147" s="1206"/>
      <c r="HYO147" s="1206"/>
      <c r="HYP147" s="1206"/>
      <c r="HYQ147" s="1206"/>
      <c r="HYR147" s="1206"/>
      <c r="HYS147" s="1206"/>
      <c r="HYT147" s="1206"/>
      <c r="HYU147" s="1206"/>
      <c r="HYV147" s="1206"/>
      <c r="HYW147" s="1206"/>
      <c r="HYX147" s="1206"/>
      <c r="HYY147" s="1206"/>
      <c r="HYZ147" s="1206"/>
      <c r="HZA147" s="1206"/>
      <c r="HZB147" s="1206"/>
      <c r="HZC147" s="1206"/>
      <c r="HZD147" s="1206"/>
      <c r="HZE147" s="1206"/>
      <c r="HZF147" s="1206"/>
      <c r="HZG147" s="1206"/>
      <c r="HZH147" s="1206"/>
      <c r="HZI147" s="1206"/>
      <c r="HZJ147" s="1206"/>
      <c r="HZK147" s="1206"/>
      <c r="HZL147" s="1206"/>
      <c r="HZM147" s="1206"/>
      <c r="HZN147" s="1206"/>
      <c r="HZO147" s="1206"/>
      <c r="HZP147" s="1206"/>
      <c r="HZQ147" s="1206"/>
      <c r="HZR147" s="1206"/>
      <c r="HZS147" s="1206"/>
      <c r="HZT147" s="1206"/>
      <c r="HZU147" s="1206"/>
      <c r="HZV147" s="1206"/>
      <c r="HZW147" s="1206"/>
      <c r="HZX147" s="1206"/>
      <c r="HZY147" s="1206"/>
      <c r="HZZ147" s="1206"/>
      <c r="IAA147" s="1206"/>
      <c r="IAB147" s="1206"/>
      <c r="IAC147" s="1206"/>
      <c r="IAD147" s="1206"/>
      <c r="IAE147" s="1206"/>
      <c r="IAF147" s="1206"/>
      <c r="IAG147" s="1206"/>
      <c r="IAH147" s="1206"/>
      <c r="IAI147" s="1206"/>
      <c r="IAJ147" s="1206"/>
      <c r="IAK147" s="1206"/>
      <c r="IAL147" s="1206"/>
      <c r="IAM147" s="1206"/>
      <c r="IAN147" s="1206"/>
      <c r="IAO147" s="1206"/>
      <c r="IAP147" s="1206"/>
      <c r="IAQ147" s="1206"/>
      <c r="IAR147" s="1206"/>
      <c r="IAS147" s="1206"/>
      <c r="IAT147" s="1206"/>
      <c r="IAU147" s="1206"/>
      <c r="IAV147" s="1206"/>
      <c r="IAW147" s="1206"/>
      <c r="IAX147" s="1206"/>
      <c r="IAY147" s="1206"/>
      <c r="IAZ147" s="1206"/>
      <c r="IBA147" s="1206"/>
      <c r="IBB147" s="1206"/>
      <c r="IBC147" s="1206"/>
      <c r="IBD147" s="1206"/>
      <c r="IBE147" s="1206"/>
      <c r="IBF147" s="1206"/>
      <c r="IBG147" s="1206"/>
      <c r="IBH147" s="1206"/>
      <c r="IBI147" s="1206"/>
      <c r="IBJ147" s="1206"/>
      <c r="IBK147" s="1206"/>
      <c r="IBL147" s="1206"/>
      <c r="IBM147" s="1206"/>
      <c r="IBN147" s="1206"/>
      <c r="IBO147" s="1206"/>
      <c r="IBP147" s="1206"/>
      <c r="IBQ147" s="1206"/>
      <c r="IBR147" s="1206"/>
      <c r="IBS147" s="1206"/>
      <c r="IBT147" s="1206"/>
      <c r="IBU147" s="1206"/>
      <c r="IBV147" s="1206"/>
      <c r="IBW147" s="1206"/>
      <c r="IBX147" s="1206"/>
      <c r="IBY147" s="1206"/>
      <c r="IBZ147" s="1206"/>
      <c r="ICA147" s="1206"/>
      <c r="ICB147" s="1206"/>
      <c r="ICC147" s="1206"/>
      <c r="ICD147" s="1206"/>
      <c r="ICE147" s="1206"/>
      <c r="ICF147" s="1206"/>
      <c r="ICG147" s="1206"/>
      <c r="ICH147" s="1206"/>
      <c r="ICI147" s="1206"/>
      <c r="ICJ147" s="1206"/>
      <c r="ICK147" s="1206"/>
      <c r="ICL147" s="1206"/>
      <c r="ICM147" s="1206"/>
      <c r="ICN147" s="1206"/>
      <c r="ICO147" s="1206"/>
      <c r="ICP147" s="1206"/>
      <c r="ICQ147" s="1206"/>
      <c r="ICR147" s="1206"/>
      <c r="ICS147" s="1206"/>
      <c r="ICT147" s="1206"/>
      <c r="ICU147" s="1206"/>
      <c r="ICV147" s="1206"/>
      <c r="ICW147" s="1206"/>
      <c r="ICX147" s="1206"/>
      <c r="ICY147" s="1206"/>
      <c r="ICZ147" s="1206"/>
      <c r="IDA147" s="1206"/>
      <c r="IDB147" s="1206"/>
      <c r="IDC147" s="1206"/>
      <c r="IDD147" s="1206"/>
      <c r="IDE147" s="1206"/>
      <c r="IDF147" s="1206"/>
      <c r="IDG147" s="1206"/>
      <c r="IDH147" s="1206"/>
      <c r="IDI147" s="1206"/>
      <c r="IDJ147" s="1206"/>
      <c r="IDK147" s="1206"/>
      <c r="IDL147" s="1206"/>
      <c r="IDM147" s="1206"/>
      <c r="IDN147" s="1206"/>
      <c r="IDO147" s="1206"/>
      <c r="IDP147" s="1206"/>
      <c r="IDQ147" s="1206"/>
      <c r="IDR147" s="1206"/>
      <c r="IDS147" s="1206"/>
      <c r="IDT147" s="1206"/>
      <c r="IDU147" s="1206"/>
      <c r="IDV147" s="1206"/>
      <c r="IDW147" s="1206"/>
      <c r="IDX147" s="1206"/>
      <c r="IDY147" s="1206"/>
      <c r="IDZ147" s="1206"/>
      <c r="IEA147" s="1206"/>
      <c r="IEB147" s="1206"/>
      <c r="IEC147" s="1206"/>
      <c r="IED147" s="1206"/>
      <c r="IEE147" s="1206"/>
      <c r="IEF147" s="1206"/>
      <c r="IEG147" s="1206"/>
      <c r="IEH147" s="1206"/>
      <c r="IEI147" s="1206"/>
      <c r="IEJ147" s="1206"/>
      <c r="IEK147" s="1206"/>
      <c r="IEL147" s="1206"/>
      <c r="IEM147" s="1206"/>
      <c r="IEN147" s="1206"/>
      <c r="IEO147" s="1206"/>
      <c r="IEP147" s="1206"/>
      <c r="IEQ147" s="1206"/>
      <c r="IER147" s="1206"/>
      <c r="IES147" s="1206"/>
      <c r="IET147" s="1206"/>
      <c r="IEU147" s="1206"/>
      <c r="IEV147" s="1206"/>
      <c r="IEW147" s="1206"/>
      <c r="IEX147" s="1206"/>
      <c r="IEY147" s="1206"/>
      <c r="IEZ147" s="1206"/>
      <c r="IFA147" s="1206"/>
      <c r="IFB147" s="1206"/>
      <c r="IFC147" s="1206"/>
      <c r="IFD147" s="1206"/>
      <c r="IFE147" s="1206"/>
      <c r="IFF147" s="1206"/>
      <c r="IFG147" s="1206"/>
      <c r="IFH147" s="1206"/>
      <c r="IFI147" s="1206"/>
      <c r="IFJ147" s="1206"/>
      <c r="IFK147" s="1206"/>
      <c r="IFL147" s="1206"/>
      <c r="IFM147" s="1206"/>
      <c r="IFN147" s="1206"/>
      <c r="IFO147" s="1206"/>
      <c r="IFP147" s="1206"/>
      <c r="IFQ147" s="1206"/>
      <c r="IFR147" s="1206"/>
      <c r="IFS147" s="1206"/>
      <c r="IFT147" s="1206"/>
      <c r="IFU147" s="1206"/>
      <c r="IFV147" s="1206"/>
      <c r="IFW147" s="1206"/>
      <c r="IFX147" s="1206"/>
      <c r="IFY147" s="1206"/>
      <c r="IFZ147" s="1206"/>
      <c r="IGA147" s="1206"/>
      <c r="IGB147" s="1206"/>
      <c r="IGC147" s="1206"/>
      <c r="IGD147" s="1206"/>
      <c r="IGE147" s="1206"/>
      <c r="IGF147" s="1206"/>
      <c r="IGG147" s="1206"/>
      <c r="IGH147" s="1206"/>
      <c r="IGI147" s="1206"/>
      <c r="IGJ147" s="1206"/>
      <c r="IGK147" s="1206"/>
      <c r="IGL147" s="1206"/>
      <c r="IGM147" s="1206"/>
      <c r="IGN147" s="1206"/>
      <c r="IGO147" s="1206"/>
      <c r="IGP147" s="1206"/>
      <c r="IGQ147" s="1206"/>
      <c r="IGR147" s="1206"/>
      <c r="IGS147" s="1206"/>
      <c r="IGT147" s="1206"/>
      <c r="IGU147" s="1206"/>
      <c r="IGV147" s="1206"/>
      <c r="IGW147" s="1206"/>
      <c r="IGX147" s="1206"/>
      <c r="IGY147" s="1206"/>
      <c r="IGZ147" s="1206"/>
      <c r="IHA147" s="1206"/>
      <c r="IHB147" s="1206"/>
      <c r="IHC147" s="1206"/>
      <c r="IHD147" s="1206"/>
      <c r="IHE147" s="1206"/>
      <c r="IHF147" s="1206"/>
      <c r="IHG147" s="1206"/>
      <c r="IHH147" s="1206"/>
      <c r="IHI147" s="1206"/>
      <c r="IHJ147" s="1206"/>
      <c r="IHK147" s="1206"/>
      <c r="IHL147" s="1206"/>
      <c r="IHM147" s="1206"/>
      <c r="IHN147" s="1206"/>
      <c r="IHO147" s="1206"/>
      <c r="IHP147" s="1206"/>
      <c r="IHQ147" s="1206"/>
      <c r="IHR147" s="1206"/>
      <c r="IHS147" s="1206"/>
      <c r="IHT147" s="1206"/>
      <c r="IHU147" s="1206"/>
      <c r="IHV147" s="1206"/>
      <c r="IHW147" s="1206"/>
      <c r="IHX147" s="1206"/>
      <c r="IHY147" s="1206"/>
      <c r="IHZ147" s="1206"/>
      <c r="IIA147" s="1206"/>
      <c r="IIB147" s="1206"/>
      <c r="IIC147" s="1206"/>
      <c r="IID147" s="1206"/>
      <c r="IIE147" s="1206"/>
      <c r="IIF147" s="1206"/>
      <c r="IIG147" s="1206"/>
      <c r="IIH147" s="1206"/>
      <c r="III147" s="1206"/>
      <c r="IIJ147" s="1206"/>
      <c r="IIK147" s="1206"/>
      <c r="IIL147" s="1206"/>
      <c r="IIM147" s="1206"/>
      <c r="IIN147" s="1206"/>
      <c r="IIO147" s="1206"/>
      <c r="IIP147" s="1206"/>
      <c r="IIQ147" s="1206"/>
      <c r="IIR147" s="1206"/>
      <c r="IIS147" s="1206"/>
      <c r="IIT147" s="1206"/>
      <c r="IIU147" s="1206"/>
      <c r="IIV147" s="1206"/>
      <c r="IIW147" s="1206"/>
      <c r="IIX147" s="1206"/>
      <c r="IIY147" s="1206"/>
      <c r="IIZ147" s="1206"/>
      <c r="IJA147" s="1206"/>
      <c r="IJB147" s="1206"/>
      <c r="IJC147" s="1206"/>
      <c r="IJD147" s="1206"/>
      <c r="IJE147" s="1206"/>
      <c r="IJF147" s="1206"/>
      <c r="IJG147" s="1206"/>
      <c r="IJH147" s="1206"/>
      <c r="IJI147" s="1206"/>
      <c r="IJJ147" s="1206"/>
      <c r="IJK147" s="1206"/>
      <c r="IJL147" s="1206"/>
      <c r="IJM147" s="1206"/>
      <c r="IJN147" s="1206"/>
      <c r="IJO147" s="1206"/>
      <c r="IJP147" s="1206"/>
      <c r="IJQ147" s="1206"/>
      <c r="IJR147" s="1206"/>
      <c r="IJS147" s="1206"/>
      <c r="IJT147" s="1206"/>
      <c r="IJU147" s="1206"/>
      <c r="IJV147" s="1206"/>
      <c r="IJW147" s="1206"/>
      <c r="IJX147" s="1206"/>
      <c r="IJY147" s="1206"/>
      <c r="IJZ147" s="1206"/>
      <c r="IKA147" s="1206"/>
      <c r="IKB147" s="1206"/>
      <c r="IKC147" s="1206"/>
      <c r="IKD147" s="1206"/>
      <c r="IKE147" s="1206"/>
      <c r="IKF147" s="1206"/>
      <c r="IKG147" s="1206"/>
      <c r="IKH147" s="1206"/>
      <c r="IKI147" s="1206"/>
      <c r="IKJ147" s="1206"/>
      <c r="IKK147" s="1206"/>
      <c r="IKL147" s="1206"/>
      <c r="IKM147" s="1206"/>
      <c r="IKN147" s="1206"/>
      <c r="IKO147" s="1206"/>
      <c r="IKP147" s="1206"/>
      <c r="IKQ147" s="1206"/>
      <c r="IKR147" s="1206"/>
      <c r="IKS147" s="1206"/>
      <c r="IKT147" s="1206"/>
      <c r="IKU147" s="1206"/>
      <c r="IKV147" s="1206"/>
      <c r="IKW147" s="1206"/>
      <c r="IKX147" s="1206"/>
      <c r="IKY147" s="1206"/>
      <c r="IKZ147" s="1206"/>
      <c r="ILA147" s="1206"/>
      <c r="ILB147" s="1206"/>
      <c r="ILC147" s="1206"/>
      <c r="ILD147" s="1206"/>
      <c r="ILE147" s="1206"/>
      <c r="ILF147" s="1206"/>
      <c r="ILG147" s="1206"/>
      <c r="ILH147" s="1206"/>
      <c r="ILI147" s="1206"/>
      <c r="ILJ147" s="1206"/>
      <c r="ILK147" s="1206"/>
      <c r="ILL147" s="1206"/>
      <c r="ILM147" s="1206"/>
      <c r="ILN147" s="1206"/>
      <c r="ILO147" s="1206"/>
      <c r="ILP147" s="1206"/>
      <c r="ILQ147" s="1206"/>
      <c r="ILR147" s="1206"/>
      <c r="ILS147" s="1206"/>
      <c r="ILT147" s="1206"/>
      <c r="ILU147" s="1206"/>
      <c r="ILV147" s="1206"/>
      <c r="ILW147" s="1206"/>
      <c r="ILX147" s="1206"/>
      <c r="ILY147" s="1206"/>
      <c r="ILZ147" s="1206"/>
      <c r="IMA147" s="1206"/>
      <c r="IMB147" s="1206"/>
      <c r="IMC147" s="1206"/>
      <c r="IMD147" s="1206"/>
      <c r="IME147" s="1206"/>
      <c r="IMF147" s="1206"/>
      <c r="IMG147" s="1206"/>
      <c r="IMH147" s="1206"/>
      <c r="IMI147" s="1206"/>
      <c r="IMJ147" s="1206"/>
      <c r="IMK147" s="1206"/>
      <c r="IML147" s="1206"/>
      <c r="IMM147" s="1206"/>
      <c r="IMN147" s="1206"/>
      <c r="IMO147" s="1206"/>
      <c r="IMP147" s="1206"/>
      <c r="IMQ147" s="1206"/>
      <c r="IMR147" s="1206"/>
      <c r="IMS147" s="1206"/>
      <c r="IMT147" s="1206"/>
      <c r="IMU147" s="1206"/>
      <c r="IMV147" s="1206"/>
      <c r="IMW147" s="1206"/>
      <c r="IMX147" s="1206"/>
      <c r="IMY147" s="1206"/>
      <c r="IMZ147" s="1206"/>
      <c r="INA147" s="1206"/>
      <c r="INB147" s="1206"/>
      <c r="INC147" s="1206"/>
      <c r="IND147" s="1206"/>
      <c r="INE147" s="1206"/>
      <c r="INF147" s="1206"/>
      <c r="ING147" s="1206"/>
      <c r="INH147" s="1206"/>
      <c r="INI147" s="1206"/>
      <c r="INJ147" s="1206"/>
      <c r="INK147" s="1206"/>
      <c r="INL147" s="1206"/>
      <c r="INM147" s="1206"/>
      <c r="INN147" s="1206"/>
      <c r="INO147" s="1206"/>
      <c r="INP147" s="1206"/>
      <c r="INQ147" s="1206"/>
      <c r="INR147" s="1206"/>
      <c r="INS147" s="1206"/>
      <c r="INT147" s="1206"/>
      <c r="INU147" s="1206"/>
      <c r="INV147" s="1206"/>
      <c r="INW147" s="1206"/>
      <c r="INX147" s="1206"/>
      <c r="INY147" s="1206"/>
      <c r="INZ147" s="1206"/>
      <c r="IOA147" s="1206"/>
      <c r="IOB147" s="1206"/>
      <c r="IOC147" s="1206"/>
      <c r="IOD147" s="1206"/>
      <c r="IOE147" s="1206"/>
      <c r="IOF147" s="1206"/>
      <c r="IOG147" s="1206"/>
      <c r="IOH147" s="1206"/>
      <c r="IOI147" s="1206"/>
      <c r="IOJ147" s="1206"/>
      <c r="IOK147" s="1206"/>
      <c r="IOL147" s="1206"/>
      <c r="IOM147" s="1206"/>
      <c r="ION147" s="1206"/>
      <c r="IOO147" s="1206"/>
      <c r="IOP147" s="1206"/>
      <c r="IOQ147" s="1206"/>
      <c r="IOR147" s="1206"/>
      <c r="IOS147" s="1206"/>
      <c r="IOT147" s="1206"/>
      <c r="IOU147" s="1206"/>
      <c r="IOV147" s="1206"/>
      <c r="IOW147" s="1206"/>
      <c r="IOX147" s="1206"/>
      <c r="IOY147" s="1206"/>
      <c r="IOZ147" s="1206"/>
      <c r="IPA147" s="1206"/>
      <c r="IPB147" s="1206"/>
      <c r="IPC147" s="1206"/>
      <c r="IPD147" s="1206"/>
      <c r="IPE147" s="1206"/>
      <c r="IPF147" s="1206"/>
      <c r="IPG147" s="1206"/>
      <c r="IPH147" s="1206"/>
      <c r="IPI147" s="1206"/>
      <c r="IPJ147" s="1206"/>
      <c r="IPK147" s="1206"/>
      <c r="IPL147" s="1206"/>
      <c r="IPM147" s="1206"/>
      <c r="IPN147" s="1206"/>
      <c r="IPO147" s="1206"/>
      <c r="IPP147" s="1206"/>
      <c r="IPQ147" s="1206"/>
      <c r="IPR147" s="1206"/>
      <c r="IPS147" s="1206"/>
      <c r="IPT147" s="1206"/>
      <c r="IPU147" s="1206"/>
      <c r="IPV147" s="1206"/>
      <c r="IPW147" s="1206"/>
      <c r="IPX147" s="1206"/>
      <c r="IPY147" s="1206"/>
      <c r="IPZ147" s="1206"/>
      <c r="IQA147" s="1206"/>
      <c r="IQB147" s="1206"/>
      <c r="IQC147" s="1206"/>
      <c r="IQD147" s="1206"/>
      <c r="IQE147" s="1206"/>
      <c r="IQF147" s="1206"/>
      <c r="IQG147" s="1206"/>
      <c r="IQH147" s="1206"/>
      <c r="IQI147" s="1206"/>
      <c r="IQJ147" s="1206"/>
      <c r="IQK147" s="1206"/>
      <c r="IQL147" s="1206"/>
      <c r="IQM147" s="1206"/>
      <c r="IQN147" s="1206"/>
      <c r="IQO147" s="1206"/>
      <c r="IQP147" s="1206"/>
      <c r="IQQ147" s="1206"/>
      <c r="IQR147" s="1206"/>
      <c r="IQS147" s="1206"/>
      <c r="IQT147" s="1206"/>
      <c r="IQU147" s="1206"/>
      <c r="IQV147" s="1206"/>
      <c r="IQW147" s="1206"/>
      <c r="IQX147" s="1206"/>
      <c r="IQY147" s="1206"/>
      <c r="IQZ147" s="1206"/>
      <c r="IRA147" s="1206"/>
      <c r="IRB147" s="1206"/>
      <c r="IRC147" s="1206"/>
      <c r="IRD147" s="1206"/>
      <c r="IRE147" s="1206"/>
      <c r="IRF147" s="1206"/>
      <c r="IRG147" s="1206"/>
      <c r="IRH147" s="1206"/>
      <c r="IRI147" s="1206"/>
      <c r="IRJ147" s="1206"/>
      <c r="IRK147" s="1206"/>
      <c r="IRL147" s="1206"/>
      <c r="IRM147" s="1206"/>
      <c r="IRN147" s="1206"/>
      <c r="IRO147" s="1206"/>
      <c r="IRP147" s="1206"/>
      <c r="IRQ147" s="1206"/>
      <c r="IRR147" s="1206"/>
      <c r="IRS147" s="1206"/>
      <c r="IRT147" s="1206"/>
      <c r="IRU147" s="1206"/>
      <c r="IRV147" s="1206"/>
      <c r="IRW147" s="1206"/>
      <c r="IRX147" s="1206"/>
      <c r="IRY147" s="1206"/>
      <c r="IRZ147" s="1206"/>
      <c r="ISA147" s="1206"/>
      <c r="ISB147" s="1206"/>
      <c r="ISC147" s="1206"/>
      <c r="ISD147" s="1206"/>
      <c r="ISE147" s="1206"/>
      <c r="ISF147" s="1206"/>
      <c r="ISG147" s="1206"/>
      <c r="ISH147" s="1206"/>
      <c r="ISI147" s="1206"/>
      <c r="ISJ147" s="1206"/>
      <c r="ISK147" s="1206"/>
      <c r="ISL147" s="1206"/>
      <c r="ISM147" s="1206"/>
      <c r="ISN147" s="1206"/>
      <c r="ISO147" s="1206"/>
      <c r="ISP147" s="1206"/>
      <c r="ISQ147" s="1206"/>
      <c r="ISR147" s="1206"/>
      <c r="ISS147" s="1206"/>
      <c r="IST147" s="1206"/>
      <c r="ISU147" s="1206"/>
      <c r="ISV147" s="1206"/>
      <c r="ISW147" s="1206"/>
      <c r="ISX147" s="1206"/>
      <c r="ISY147" s="1206"/>
      <c r="ISZ147" s="1206"/>
      <c r="ITA147" s="1206"/>
      <c r="ITB147" s="1206"/>
      <c r="ITC147" s="1206"/>
      <c r="ITD147" s="1206"/>
      <c r="ITE147" s="1206"/>
      <c r="ITF147" s="1206"/>
      <c r="ITG147" s="1206"/>
      <c r="ITH147" s="1206"/>
      <c r="ITI147" s="1206"/>
      <c r="ITJ147" s="1206"/>
      <c r="ITK147" s="1206"/>
      <c r="ITL147" s="1206"/>
      <c r="ITM147" s="1206"/>
      <c r="ITN147" s="1206"/>
      <c r="ITO147" s="1206"/>
      <c r="ITP147" s="1206"/>
      <c r="ITQ147" s="1206"/>
      <c r="ITR147" s="1206"/>
      <c r="ITS147" s="1206"/>
      <c r="ITT147" s="1206"/>
      <c r="ITU147" s="1206"/>
      <c r="ITV147" s="1206"/>
      <c r="ITW147" s="1206"/>
      <c r="ITX147" s="1206"/>
      <c r="ITY147" s="1206"/>
      <c r="ITZ147" s="1206"/>
      <c r="IUA147" s="1206"/>
      <c r="IUB147" s="1206"/>
      <c r="IUC147" s="1206"/>
      <c r="IUD147" s="1206"/>
      <c r="IUE147" s="1206"/>
      <c r="IUF147" s="1206"/>
      <c r="IUG147" s="1206"/>
      <c r="IUH147" s="1206"/>
      <c r="IUI147" s="1206"/>
      <c r="IUJ147" s="1206"/>
      <c r="IUK147" s="1206"/>
      <c r="IUL147" s="1206"/>
      <c r="IUM147" s="1206"/>
      <c r="IUN147" s="1206"/>
      <c r="IUO147" s="1206"/>
      <c r="IUP147" s="1206"/>
      <c r="IUQ147" s="1206"/>
      <c r="IUR147" s="1206"/>
      <c r="IUS147" s="1206"/>
      <c r="IUT147" s="1206"/>
      <c r="IUU147" s="1206"/>
      <c r="IUV147" s="1206"/>
      <c r="IUW147" s="1206"/>
      <c r="IUX147" s="1206"/>
      <c r="IUY147" s="1206"/>
      <c r="IUZ147" s="1206"/>
      <c r="IVA147" s="1206"/>
      <c r="IVB147" s="1206"/>
      <c r="IVC147" s="1206"/>
      <c r="IVD147" s="1206"/>
      <c r="IVE147" s="1206"/>
      <c r="IVF147" s="1206"/>
      <c r="IVG147" s="1206"/>
      <c r="IVH147" s="1206"/>
      <c r="IVI147" s="1206"/>
      <c r="IVJ147" s="1206"/>
      <c r="IVK147" s="1206"/>
      <c r="IVL147" s="1206"/>
      <c r="IVM147" s="1206"/>
      <c r="IVN147" s="1206"/>
      <c r="IVO147" s="1206"/>
      <c r="IVP147" s="1206"/>
      <c r="IVQ147" s="1206"/>
      <c r="IVR147" s="1206"/>
      <c r="IVS147" s="1206"/>
      <c r="IVT147" s="1206"/>
      <c r="IVU147" s="1206"/>
      <c r="IVV147" s="1206"/>
      <c r="IVW147" s="1206"/>
      <c r="IVX147" s="1206"/>
      <c r="IVY147" s="1206"/>
      <c r="IVZ147" s="1206"/>
      <c r="IWA147" s="1206"/>
      <c r="IWB147" s="1206"/>
      <c r="IWC147" s="1206"/>
      <c r="IWD147" s="1206"/>
      <c r="IWE147" s="1206"/>
      <c r="IWF147" s="1206"/>
      <c r="IWG147" s="1206"/>
      <c r="IWH147" s="1206"/>
      <c r="IWI147" s="1206"/>
      <c r="IWJ147" s="1206"/>
      <c r="IWK147" s="1206"/>
      <c r="IWL147" s="1206"/>
      <c r="IWM147" s="1206"/>
      <c r="IWN147" s="1206"/>
      <c r="IWO147" s="1206"/>
      <c r="IWP147" s="1206"/>
      <c r="IWQ147" s="1206"/>
      <c r="IWR147" s="1206"/>
      <c r="IWS147" s="1206"/>
      <c r="IWT147" s="1206"/>
      <c r="IWU147" s="1206"/>
      <c r="IWV147" s="1206"/>
      <c r="IWW147" s="1206"/>
      <c r="IWX147" s="1206"/>
      <c r="IWY147" s="1206"/>
      <c r="IWZ147" s="1206"/>
      <c r="IXA147" s="1206"/>
      <c r="IXB147" s="1206"/>
      <c r="IXC147" s="1206"/>
      <c r="IXD147" s="1206"/>
      <c r="IXE147" s="1206"/>
      <c r="IXF147" s="1206"/>
      <c r="IXG147" s="1206"/>
      <c r="IXH147" s="1206"/>
      <c r="IXI147" s="1206"/>
      <c r="IXJ147" s="1206"/>
      <c r="IXK147" s="1206"/>
      <c r="IXL147" s="1206"/>
      <c r="IXM147" s="1206"/>
      <c r="IXN147" s="1206"/>
      <c r="IXO147" s="1206"/>
      <c r="IXP147" s="1206"/>
      <c r="IXQ147" s="1206"/>
      <c r="IXR147" s="1206"/>
      <c r="IXS147" s="1206"/>
      <c r="IXT147" s="1206"/>
      <c r="IXU147" s="1206"/>
      <c r="IXV147" s="1206"/>
      <c r="IXW147" s="1206"/>
      <c r="IXX147" s="1206"/>
      <c r="IXY147" s="1206"/>
      <c r="IXZ147" s="1206"/>
      <c r="IYA147" s="1206"/>
      <c r="IYB147" s="1206"/>
      <c r="IYC147" s="1206"/>
      <c r="IYD147" s="1206"/>
      <c r="IYE147" s="1206"/>
      <c r="IYF147" s="1206"/>
      <c r="IYG147" s="1206"/>
      <c r="IYH147" s="1206"/>
      <c r="IYI147" s="1206"/>
      <c r="IYJ147" s="1206"/>
      <c r="IYK147" s="1206"/>
      <c r="IYL147" s="1206"/>
      <c r="IYM147" s="1206"/>
      <c r="IYN147" s="1206"/>
      <c r="IYO147" s="1206"/>
      <c r="IYP147" s="1206"/>
      <c r="IYQ147" s="1206"/>
      <c r="IYR147" s="1206"/>
      <c r="IYS147" s="1206"/>
      <c r="IYT147" s="1206"/>
      <c r="IYU147" s="1206"/>
      <c r="IYV147" s="1206"/>
      <c r="IYW147" s="1206"/>
      <c r="IYX147" s="1206"/>
      <c r="IYY147" s="1206"/>
      <c r="IYZ147" s="1206"/>
      <c r="IZA147" s="1206"/>
      <c r="IZB147" s="1206"/>
      <c r="IZC147" s="1206"/>
      <c r="IZD147" s="1206"/>
      <c r="IZE147" s="1206"/>
      <c r="IZF147" s="1206"/>
      <c r="IZG147" s="1206"/>
      <c r="IZH147" s="1206"/>
      <c r="IZI147" s="1206"/>
      <c r="IZJ147" s="1206"/>
      <c r="IZK147" s="1206"/>
      <c r="IZL147" s="1206"/>
      <c r="IZM147" s="1206"/>
      <c r="IZN147" s="1206"/>
      <c r="IZO147" s="1206"/>
      <c r="IZP147" s="1206"/>
      <c r="IZQ147" s="1206"/>
      <c r="IZR147" s="1206"/>
      <c r="IZS147" s="1206"/>
      <c r="IZT147" s="1206"/>
      <c r="IZU147" s="1206"/>
      <c r="IZV147" s="1206"/>
      <c r="IZW147" s="1206"/>
      <c r="IZX147" s="1206"/>
      <c r="IZY147" s="1206"/>
      <c r="IZZ147" s="1206"/>
      <c r="JAA147" s="1206"/>
      <c r="JAB147" s="1206"/>
      <c r="JAC147" s="1206"/>
      <c r="JAD147" s="1206"/>
      <c r="JAE147" s="1206"/>
      <c r="JAF147" s="1206"/>
      <c r="JAG147" s="1206"/>
      <c r="JAH147" s="1206"/>
      <c r="JAI147" s="1206"/>
      <c r="JAJ147" s="1206"/>
      <c r="JAK147" s="1206"/>
      <c r="JAL147" s="1206"/>
      <c r="JAM147" s="1206"/>
      <c r="JAN147" s="1206"/>
      <c r="JAO147" s="1206"/>
      <c r="JAP147" s="1206"/>
      <c r="JAQ147" s="1206"/>
      <c r="JAR147" s="1206"/>
      <c r="JAS147" s="1206"/>
      <c r="JAT147" s="1206"/>
      <c r="JAU147" s="1206"/>
      <c r="JAV147" s="1206"/>
      <c r="JAW147" s="1206"/>
      <c r="JAX147" s="1206"/>
      <c r="JAY147" s="1206"/>
      <c r="JAZ147" s="1206"/>
      <c r="JBA147" s="1206"/>
      <c r="JBB147" s="1206"/>
      <c r="JBC147" s="1206"/>
      <c r="JBD147" s="1206"/>
      <c r="JBE147" s="1206"/>
      <c r="JBF147" s="1206"/>
      <c r="JBG147" s="1206"/>
      <c r="JBH147" s="1206"/>
      <c r="JBI147" s="1206"/>
      <c r="JBJ147" s="1206"/>
      <c r="JBK147" s="1206"/>
      <c r="JBL147" s="1206"/>
      <c r="JBM147" s="1206"/>
      <c r="JBN147" s="1206"/>
      <c r="JBO147" s="1206"/>
      <c r="JBP147" s="1206"/>
      <c r="JBQ147" s="1206"/>
      <c r="JBR147" s="1206"/>
      <c r="JBS147" s="1206"/>
      <c r="JBT147" s="1206"/>
      <c r="JBU147" s="1206"/>
      <c r="JBV147" s="1206"/>
      <c r="JBW147" s="1206"/>
      <c r="JBX147" s="1206"/>
      <c r="JBY147" s="1206"/>
      <c r="JBZ147" s="1206"/>
      <c r="JCA147" s="1206"/>
      <c r="JCB147" s="1206"/>
      <c r="JCC147" s="1206"/>
      <c r="JCD147" s="1206"/>
      <c r="JCE147" s="1206"/>
      <c r="JCF147" s="1206"/>
      <c r="JCG147" s="1206"/>
      <c r="JCH147" s="1206"/>
      <c r="JCI147" s="1206"/>
      <c r="JCJ147" s="1206"/>
      <c r="JCK147" s="1206"/>
      <c r="JCL147" s="1206"/>
      <c r="JCM147" s="1206"/>
      <c r="JCN147" s="1206"/>
      <c r="JCO147" s="1206"/>
      <c r="JCP147" s="1206"/>
      <c r="JCQ147" s="1206"/>
      <c r="JCR147" s="1206"/>
      <c r="JCS147" s="1206"/>
      <c r="JCT147" s="1206"/>
      <c r="JCU147" s="1206"/>
      <c r="JCV147" s="1206"/>
      <c r="JCW147" s="1206"/>
      <c r="JCX147" s="1206"/>
      <c r="JCY147" s="1206"/>
      <c r="JCZ147" s="1206"/>
      <c r="JDA147" s="1206"/>
      <c r="JDB147" s="1206"/>
      <c r="JDC147" s="1206"/>
      <c r="JDD147" s="1206"/>
      <c r="JDE147" s="1206"/>
      <c r="JDF147" s="1206"/>
      <c r="JDG147" s="1206"/>
      <c r="JDH147" s="1206"/>
      <c r="JDI147" s="1206"/>
      <c r="JDJ147" s="1206"/>
      <c r="JDK147" s="1206"/>
      <c r="JDL147" s="1206"/>
      <c r="JDM147" s="1206"/>
      <c r="JDN147" s="1206"/>
      <c r="JDO147" s="1206"/>
      <c r="JDP147" s="1206"/>
      <c r="JDQ147" s="1206"/>
      <c r="JDR147" s="1206"/>
      <c r="JDS147" s="1206"/>
      <c r="JDT147" s="1206"/>
      <c r="JDU147" s="1206"/>
      <c r="JDV147" s="1206"/>
      <c r="JDW147" s="1206"/>
      <c r="JDX147" s="1206"/>
      <c r="JDY147" s="1206"/>
      <c r="JDZ147" s="1206"/>
      <c r="JEA147" s="1206"/>
      <c r="JEB147" s="1206"/>
      <c r="JEC147" s="1206"/>
      <c r="JED147" s="1206"/>
      <c r="JEE147" s="1206"/>
      <c r="JEF147" s="1206"/>
      <c r="JEG147" s="1206"/>
      <c r="JEH147" s="1206"/>
      <c r="JEI147" s="1206"/>
      <c r="JEJ147" s="1206"/>
      <c r="JEK147" s="1206"/>
      <c r="JEL147" s="1206"/>
      <c r="JEM147" s="1206"/>
      <c r="JEN147" s="1206"/>
      <c r="JEO147" s="1206"/>
      <c r="JEP147" s="1206"/>
      <c r="JEQ147" s="1206"/>
      <c r="JER147" s="1206"/>
      <c r="JES147" s="1206"/>
      <c r="JET147" s="1206"/>
      <c r="JEU147" s="1206"/>
      <c r="JEV147" s="1206"/>
      <c r="JEW147" s="1206"/>
      <c r="JEX147" s="1206"/>
      <c r="JEY147" s="1206"/>
      <c r="JEZ147" s="1206"/>
      <c r="JFA147" s="1206"/>
      <c r="JFB147" s="1206"/>
      <c r="JFC147" s="1206"/>
      <c r="JFD147" s="1206"/>
      <c r="JFE147" s="1206"/>
      <c r="JFF147" s="1206"/>
      <c r="JFG147" s="1206"/>
      <c r="JFH147" s="1206"/>
      <c r="JFI147" s="1206"/>
      <c r="JFJ147" s="1206"/>
      <c r="JFK147" s="1206"/>
      <c r="JFL147" s="1206"/>
      <c r="JFM147" s="1206"/>
      <c r="JFN147" s="1206"/>
      <c r="JFO147" s="1206"/>
      <c r="JFP147" s="1206"/>
      <c r="JFQ147" s="1206"/>
      <c r="JFR147" s="1206"/>
      <c r="JFS147" s="1206"/>
      <c r="JFT147" s="1206"/>
      <c r="JFU147" s="1206"/>
      <c r="JFV147" s="1206"/>
      <c r="JFW147" s="1206"/>
      <c r="JFX147" s="1206"/>
      <c r="JFY147" s="1206"/>
      <c r="JFZ147" s="1206"/>
      <c r="JGA147" s="1206"/>
      <c r="JGB147" s="1206"/>
      <c r="JGC147" s="1206"/>
      <c r="JGD147" s="1206"/>
      <c r="JGE147" s="1206"/>
      <c r="JGF147" s="1206"/>
      <c r="JGG147" s="1206"/>
      <c r="JGH147" s="1206"/>
      <c r="JGI147" s="1206"/>
      <c r="JGJ147" s="1206"/>
      <c r="JGK147" s="1206"/>
      <c r="JGL147" s="1206"/>
      <c r="JGM147" s="1206"/>
      <c r="JGN147" s="1206"/>
      <c r="JGO147" s="1206"/>
      <c r="JGP147" s="1206"/>
      <c r="JGQ147" s="1206"/>
      <c r="JGR147" s="1206"/>
      <c r="JGS147" s="1206"/>
      <c r="JGT147" s="1206"/>
      <c r="JGU147" s="1206"/>
      <c r="JGV147" s="1206"/>
      <c r="JGW147" s="1206"/>
      <c r="JGX147" s="1206"/>
      <c r="JGY147" s="1206"/>
      <c r="JGZ147" s="1206"/>
      <c r="JHA147" s="1206"/>
      <c r="JHB147" s="1206"/>
      <c r="JHC147" s="1206"/>
      <c r="JHD147" s="1206"/>
      <c r="JHE147" s="1206"/>
      <c r="JHF147" s="1206"/>
      <c r="JHG147" s="1206"/>
      <c r="JHH147" s="1206"/>
      <c r="JHI147" s="1206"/>
      <c r="JHJ147" s="1206"/>
      <c r="JHK147" s="1206"/>
      <c r="JHL147" s="1206"/>
      <c r="JHM147" s="1206"/>
      <c r="JHN147" s="1206"/>
      <c r="JHO147" s="1206"/>
      <c r="JHP147" s="1206"/>
      <c r="JHQ147" s="1206"/>
      <c r="JHR147" s="1206"/>
      <c r="JHS147" s="1206"/>
      <c r="JHT147" s="1206"/>
      <c r="JHU147" s="1206"/>
      <c r="JHV147" s="1206"/>
      <c r="JHW147" s="1206"/>
      <c r="JHX147" s="1206"/>
      <c r="JHY147" s="1206"/>
      <c r="JHZ147" s="1206"/>
      <c r="JIA147" s="1206"/>
      <c r="JIB147" s="1206"/>
      <c r="JIC147" s="1206"/>
      <c r="JID147" s="1206"/>
      <c r="JIE147" s="1206"/>
      <c r="JIF147" s="1206"/>
      <c r="JIG147" s="1206"/>
      <c r="JIH147" s="1206"/>
      <c r="JII147" s="1206"/>
      <c r="JIJ147" s="1206"/>
      <c r="JIK147" s="1206"/>
      <c r="JIL147" s="1206"/>
      <c r="JIM147" s="1206"/>
      <c r="JIN147" s="1206"/>
      <c r="JIO147" s="1206"/>
      <c r="JIP147" s="1206"/>
      <c r="JIQ147" s="1206"/>
      <c r="JIR147" s="1206"/>
      <c r="JIS147" s="1206"/>
      <c r="JIT147" s="1206"/>
      <c r="JIU147" s="1206"/>
      <c r="JIV147" s="1206"/>
      <c r="JIW147" s="1206"/>
      <c r="JIX147" s="1206"/>
      <c r="JIY147" s="1206"/>
      <c r="JIZ147" s="1206"/>
      <c r="JJA147" s="1206"/>
      <c r="JJB147" s="1206"/>
      <c r="JJC147" s="1206"/>
      <c r="JJD147" s="1206"/>
      <c r="JJE147" s="1206"/>
      <c r="JJF147" s="1206"/>
      <c r="JJG147" s="1206"/>
      <c r="JJH147" s="1206"/>
      <c r="JJI147" s="1206"/>
      <c r="JJJ147" s="1206"/>
      <c r="JJK147" s="1206"/>
      <c r="JJL147" s="1206"/>
      <c r="JJM147" s="1206"/>
      <c r="JJN147" s="1206"/>
      <c r="JJO147" s="1206"/>
      <c r="JJP147" s="1206"/>
      <c r="JJQ147" s="1206"/>
      <c r="JJR147" s="1206"/>
      <c r="JJS147" s="1206"/>
      <c r="JJT147" s="1206"/>
      <c r="JJU147" s="1206"/>
      <c r="JJV147" s="1206"/>
      <c r="JJW147" s="1206"/>
      <c r="JJX147" s="1206"/>
      <c r="JJY147" s="1206"/>
      <c r="JJZ147" s="1206"/>
      <c r="JKA147" s="1206"/>
      <c r="JKB147" s="1206"/>
      <c r="JKC147" s="1206"/>
      <c r="JKD147" s="1206"/>
      <c r="JKE147" s="1206"/>
      <c r="JKF147" s="1206"/>
      <c r="JKG147" s="1206"/>
      <c r="JKH147" s="1206"/>
      <c r="JKI147" s="1206"/>
      <c r="JKJ147" s="1206"/>
      <c r="JKK147" s="1206"/>
      <c r="JKL147" s="1206"/>
      <c r="JKM147" s="1206"/>
      <c r="JKN147" s="1206"/>
      <c r="JKO147" s="1206"/>
      <c r="JKP147" s="1206"/>
      <c r="JKQ147" s="1206"/>
      <c r="JKR147" s="1206"/>
      <c r="JKS147" s="1206"/>
      <c r="JKT147" s="1206"/>
      <c r="JKU147" s="1206"/>
      <c r="JKV147" s="1206"/>
      <c r="JKW147" s="1206"/>
      <c r="JKX147" s="1206"/>
      <c r="JKY147" s="1206"/>
      <c r="JKZ147" s="1206"/>
      <c r="JLA147" s="1206"/>
      <c r="JLB147" s="1206"/>
      <c r="JLC147" s="1206"/>
      <c r="JLD147" s="1206"/>
      <c r="JLE147" s="1206"/>
      <c r="JLF147" s="1206"/>
      <c r="JLG147" s="1206"/>
      <c r="JLH147" s="1206"/>
      <c r="JLI147" s="1206"/>
      <c r="JLJ147" s="1206"/>
      <c r="JLK147" s="1206"/>
      <c r="JLL147" s="1206"/>
      <c r="JLM147" s="1206"/>
      <c r="JLN147" s="1206"/>
      <c r="JLO147" s="1206"/>
      <c r="JLP147" s="1206"/>
      <c r="JLQ147" s="1206"/>
      <c r="JLR147" s="1206"/>
      <c r="JLS147" s="1206"/>
      <c r="JLT147" s="1206"/>
      <c r="JLU147" s="1206"/>
      <c r="JLV147" s="1206"/>
      <c r="JLW147" s="1206"/>
      <c r="JLX147" s="1206"/>
      <c r="JLY147" s="1206"/>
      <c r="JLZ147" s="1206"/>
      <c r="JMA147" s="1206"/>
      <c r="JMB147" s="1206"/>
      <c r="JMC147" s="1206"/>
      <c r="JMD147" s="1206"/>
      <c r="JME147" s="1206"/>
      <c r="JMF147" s="1206"/>
      <c r="JMG147" s="1206"/>
      <c r="JMH147" s="1206"/>
      <c r="JMI147" s="1206"/>
      <c r="JMJ147" s="1206"/>
      <c r="JMK147" s="1206"/>
      <c r="JML147" s="1206"/>
      <c r="JMM147" s="1206"/>
      <c r="JMN147" s="1206"/>
      <c r="JMO147" s="1206"/>
      <c r="JMP147" s="1206"/>
      <c r="JMQ147" s="1206"/>
      <c r="JMR147" s="1206"/>
      <c r="JMS147" s="1206"/>
      <c r="JMT147" s="1206"/>
      <c r="JMU147" s="1206"/>
      <c r="JMV147" s="1206"/>
      <c r="JMW147" s="1206"/>
      <c r="JMX147" s="1206"/>
      <c r="JMY147" s="1206"/>
      <c r="JMZ147" s="1206"/>
      <c r="JNA147" s="1206"/>
      <c r="JNB147" s="1206"/>
      <c r="JNC147" s="1206"/>
      <c r="JND147" s="1206"/>
      <c r="JNE147" s="1206"/>
      <c r="JNF147" s="1206"/>
      <c r="JNG147" s="1206"/>
      <c r="JNH147" s="1206"/>
      <c r="JNI147" s="1206"/>
      <c r="JNJ147" s="1206"/>
      <c r="JNK147" s="1206"/>
      <c r="JNL147" s="1206"/>
      <c r="JNM147" s="1206"/>
      <c r="JNN147" s="1206"/>
      <c r="JNO147" s="1206"/>
      <c r="JNP147" s="1206"/>
      <c r="JNQ147" s="1206"/>
      <c r="JNR147" s="1206"/>
      <c r="JNS147" s="1206"/>
      <c r="JNT147" s="1206"/>
      <c r="JNU147" s="1206"/>
      <c r="JNV147" s="1206"/>
      <c r="JNW147" s="1206"/>
      <c r="JNX147" s="1206"/>
      <c r="JNY147" s="1206"/>
      <c r="JNZ147" s="1206"/>
      <c r="JOA147" s="1206"/>
      <c r="JOB147" s="1206"/>
      <c r="JOC147" s="1206"/>
      <c r="JOD147" s="1206"/>
      <c r="JOE147" s="1206"/>
      <c r="JOF147" s="1206"/>
      <c r="JOG147" s="1206"/>
      <c r="JOH147" s="1206"/>
      <c r="JOI147" s="1206"/>
      <c r="JOJ147" s="1206"/>
      <c r="JOK147" s="1206"/>
      <c r="JOL147" s="1206"/>
      <c r="JOM147" s="1206"/>
      <c r="JON147" s="1206"/>
      <c r="JOO147" s="1206"/>
      <c r="JOP147" s="1206"/>
      <c r="JOQ147" s="1206"/>
      <c r="JOR147" s="1206"/>
      <c r="JOS147" s="1206"/>
      <c r="JOT147" s="1206"/>
      <c r="JOU147" s="1206"/>
      <c r="JOV147" s="1206"/>
      <c r="JOW147" s="1206"/>
      <c r="JOX147" s="1206"/>
      <c r="JOY147" s="1206"/>
      <c r="JOZ147" s="1206"/>
      <c r="JPA147" s="1206"/>
      <c r="JPB147" s="1206"/>
      <c r="JPC147" s="1206"/>
      <c r="JPD147" s="1206"/>
      <c r="JPE147" s="1206"/>
      <c r="JPF147" s="1206"/>
      <c r="JPG147" s="1206"/>
      <c r="JPH147" s="1206"/>
      <c r="JPI147" s="1206"/>
      <c r="JPJ147" s="1206"/>
      <c r="JPK147" s="1206"/>
      <c r="JPL147" s="1206"/>
      <c r="JPM147" s="1206"/>
      <c r="JPN147" s="1206"/>
      <c r="JPO147" s="1206"/>
      <c r="JPP147" s="1206"/>
      <c r="JPQ147" s="1206"/>
      <c r="JPR147" s="1206"/>
      <c r="JPS147" s="1206"/>
      <c r="JPT147" s="1206"/>
      <c r="JPU147" s="1206"/>
      <c r="JPV147" s="1206"/>
      <c r="JPW147" s="1206"/>
      <c r="JPX147" s="1206"/>
      <c r="JPY147" s="1206"/>
      <c r="JPZ147" s="1206"/>
      <c r="JQA147" s="1206"/>
      <c r="JQB147" s="1206"/>
      <c r="JQC147" s="1206"/>
      <c r="JQD147" s="1206"/>
      <c r="JQE147" s="1206"/>
      <c r="JQF147" s="1206"/>
      <c r="JQG147" s="1206"/>
      <c r="JQH147" s="1206"/>
      <c r="JQI147" s="1206"/>
      <c r="JQJ147" s="1206"/>
      <c r="JQK147" s="1206"/>
      <c r="JQL147" s="1206"/>
      <c r="JQM147" s="1206"/>
      <c r="JQN147" s="1206"/>
      <c r="JQO147" s="1206"/>
      <c r="JQP147" s="1206"/>
      <c r="JQQ147" s="1206"/>
      <c r="JQR147" s="1206"/>
      <c r="JQS147" s="1206"/>
      <c r="JQT147" s="1206"/>
      <c r="JQU147" s="1206"/>
      <c r="JQV147" s="1206"/>
      <c r="JQW147" s="1206"/>
      <c r="JQX147" s="1206"/>
      <c r="JQY147" s="1206"/>
      <c r="JQZ147" s="1206"/>
      <c r="JRA147" s="1206"/>
      <c r="JRB147" s="1206"/>
      <c r="JRC147" s="1206"/>
      <c r="JRD147" s="1206"/>
      <c r="JRE147" s="1206"/>
      <c r="JRF147" s="1206"/>
      <c r="JRG147" s="1206"/>
      <c r="JRH147" s="1206"/>
      <c r="JRI147" s="1206"/>
      <c r="JRJ147" s="1206"/>
      <c r="JRK147" s="1206"/>
      <c r="JRL147" s="1206"/>
      <c r="JRM147" s="1206"/>
      <c r="JRN147" s="1206"/>
      <c r="JRO147" s="1206"/>
      <c r="JRP147" s="1206"/>
      <c r="JRQ147" s="1206"/>
      <c r="JRR147" s="1206"/>
      <c r="JRS147" s="1206"/>
      <c r="JRT147" s="1206"/>
      <c r="JRU147" s="1206"/>
      <c r="JRV147" s="1206"/>
      <c r="JRW147" s="1206"/>
      <c r="JRX147" s="1206"/>
      <c r="JRY147" s="1206"/>
      <c r="JRZ147" s="1206"/>
      <c r="JSA147" s="1206"/>
      <c r="JSB147" s="1206"/>
      <c r="JSC147" s="1206"/>
      <c r="JSD147" s="1206"/>
      <c r="JSE147" s="1206"/>
      <c r="JSF147" s="1206"/>
      <c r="JSG147" s="1206"/>
      <c r="JSH147" s="1206"/>
      <c r="JSI147" s="1206"/>
      <c r="JSJ147" s="1206"/>
      <c r="JSK147" s="1206"/>
      <c r="JSL147" s="1206"/>
      <c r="JSM147" s="1206"/>
      <c r="JSN147" s="1206"/>
      <c r="JSO147" s="1206"/>
      <c r="JSP147" s="1206"/>
      <c r="JSQ147" s="1206"/>
      <c r="JSR147" s="1206"/>
      <c r="JSS147" s="1206"/>
      <c r="JST147" s="1206"/>
      <c r="JSU147" s="1206"/>
      <c r="JSV147" s="1206"/>
      <c r="JSW147" s="1206"/>
      <c r="JSX147" s="1206"/>
      <c r="JSY147" s="1206"/>
      <c r="JSZ147" s="1206"/>
      <c r="JTA147" s="1206"/>
      <c r="JTB147" s="1206"/>
      <c r="JTC147" s="1206"/>
      <c r="JTD147" s="1206"/>
      <c r="JTE147" s="1206"/>
      <c r="JTF147" s="1206"/>
      <c r="JTG147" s="1206"/>
      <c r="JTH147" s="1206"/>
      <c r="JTI147" s="1206"/>
      <c r="JTJ147" s="1206"/>
      <c r="JTK147" s="1206"/>
      <c r="JTL147" s="1206"/>
      <c r="JTM147" s="1206"/>
      <c r="JTN147" s="1206"/>
      <c r="JTO147" s="1206"/>
      <c r="JTP147" s="1206"/>
      <c r="JTQ147" s="1206"/>
      <c r="JTR147" s="1206"/>
      <c r="JTS147" s="1206"/>
      <c r="JTT147" s="1206"/>
      <c r="JTU147" s="1206"/>
      <c r="JTV147" s="1206"/>
      <c r="JTW147" s="1206"/>
      <c r="JTX147" s="1206"/>
      <c r="JTY147" s="1206"/>
      <c r="JTZ147" s="1206"/>
      <c r="JUA147" s="1206"/>
      <c r="JUB147" s="1206"/>
      <c r="JUC147" s="1206"/>
      <c r="JUD147" s="1206"/>
      <c r="JUE147" s="1206"/>
      <c r="JUF147" s="1206"/>
      <c r="JUG147" s="1206"/>
      <c r="JUH147" s="1206"/>
      <c r="JUI147" s="1206"/>
      <c r="JUJ147" s="1206"/>
      <c r="JUK147" s="1206"/>
      <c r="JUL147" s="1206"/>
      <c r="JUM147" s="1206"/>
      <c r="JUN147" s="1206"/>
      <c r="JUO147" s="1206"/>
      <c r="JUP147" s="1206"/>
      <c r="JUQ147" s="1206"/>
      <c r="JUR147" s="1206"/>
      <c r="JUS147" s="1206"/>
      <c r="JUT147" s="1206"/>
      <c r="JUU147" s="1206"/>
      <c r="JUV147" s="1206"/>
      <c r="JUW147" s="1206"/>
      <c r="JUX147" s="1206"/>
      <c r="JUY147" s="1206"/>
      <c r="JUZ147" s="1206"/>
      <c r="JVA147" s="1206"/>
      <c r="JVB147" s="1206"/>
      <c r="JVC147" s="1206"/>
      <c r="JVD147" s="1206"/>
      <c r="JVE147" s="1206"/>
      <c r="JVF147" s="1206"/>
      <c r="JVG147" s="1206"/>
      <c r="JVH147" s="1206"/>
      <c r="JVI147" s="1206"/>
      <c r="JVJ147" s="1206"/>
      <c r="JVK147" s="1206"/>
      <c r="JVL147" s="1206"/>
      <c r="JVM147" s="1206"/>
      <c r="JVN147" s="1206"/>
      <c r="JVO147" s="1206"/>
      <c r="JVP147" s="1206"/>
      <c r="JVQ147" s="1206"/>
      <c r="JVR147" s="1206"/>
      <c r="JVS147" s="1206"/>
      <c r="JVT147" s="1206"/>
      <c r="JVU147" s="1206"/>
      <c r="JVV147" s="1206"/>
      <c r="JVW147" s="1206"/>
      <c r="JVX147" s="1206"/>
      <c r="JVY147" s="1206"/>
      <c r="JVZ147" s="1206"/>
      <c r="JWA147" s="1206"/>
      <c r="JWB147" s="1206"/>
      <c r="JWC147" s="1206"/>
      <c r="JWD147" s="1206"/>
      <c r="JWE147" s="1206"/>
      <c r="JWF147" s="1206"/>
      <c r="JWG147" s="1206"/>
      <c r="JWH147" s="1206"/>
      <c r="JWI147" s="1206"/>
      <c r="JWJ147" s="1206"/>
      <c r="JWK147" s="1206"/>
      <c r="JWL147" s="1206"/>
      <c r="JWM147" s="1206"/>
      <c r="JWN147" s="1206"/>
      <c r="JWO147" s="1206"/>
      <c r="JWP147" s="1206"/>
      <c r="JWQ147" s="1206"/>
      <c r="JWR147" s="1206"/>
      <c r="JWS147" s="1206"/>
      <c r="JWT147" s="1206"/>
      <c r="JWU147" s="1206"/>
      <c r="JWV147" s="1206"/>
      <c r="JWW147" s="1206"/>
      <c r="JWX147" s="1206"/>
      <c r="JWY147" s="1206"/>
      <c r="JWZ147" s="1206"/>
      <c r="JXA147" s="1206"/>
      <c r="JXB147" s="1206"/>
      <c r="JXC147" s="1206"/>
      <c r="JXD147" s="1206"/>
      <c r="JXE147" s="1206"/>
      <c r="JXF147" s="1206"/>
      <c r="JXG147" s="1206"/>
      <c r="JXH147" s="1206"/>
      <c r="JXI147" s="1206"/>
      <c r="JXJ147" s="1206"/>
      <c r="JXK147" s="1206"/>
      <c r="JXL147" s="1206"/>
      <c r="JXM147" s="1206"/>
      <c r="JXN147" s="1206"/>
      <c r="JXO147" s="1206"/>
      <c r="JXP147" s="1206"/>
      <c r="JXQ147" s="1206"/>
      <c r="JXR147" s="1206"/>
      <c r="JXS147" s="1206"/>
      <c r="JXT147" s="1206"/>
      <c r="JXU147" s="1206"/>
      <c r="JXV147" s="1206"/>
      <c r="JXW147" s="1206"/>
      <c r="JXX147" s="1206"/>
      <c r="JXY147" s="1206"/>
      <c r="JXZ147" s="1206"/>
      <c r="JYA147" s="1206"/>
      <c r="JYB147" s="1206"/>
      <c r="JYC147" s="1206"/>
      <c r="JYD147" s="1206"/>
      <c r="JYE147" s="1206"/>
      <c r="JYF147" s="1206"/>
      <c r="JYG147" s="1206"/>
      <c r="JYH147" s="1206"/>
      <c r="JYI147" s="1206"/>
      <c r="JYJ147" s="1206"/>
      <c r="JYK147" s="1206"/>
      <c r="JYL147" s="1206"/>
      <c r="JYM147" s="1206"/>
      <c r="JYN147" s="1206"/>
      <c r="JYO147" s="1206"/>
      <c r="JYP147" s="1206"/>
      <c r="JYQ147" s="1206"/>
      <c r="JYR147" s="1206"/>
      <c r="JYS147" s="1206"/>
      <c r="JYT147" s="1206"/>
      <c r="JYU147" s="1206"/>
      <c r="JYV147" s="1206"/>
      <c r="JYW147" s="1206"/>
      <c r="JYX147" s="1206"/>
      <c r="JYY147" s="1206"/>
      <c r="JYZ147" s="1206"/>
      <c r="JZA147" s="1206"/>
      <c r="JZB147" s="1206"/>
      <c r="JZC147" s="1206"/>
      <c r="JZD147" s="1206"/>
      <c r="JZE147" s="1206"/>
      <c r="JZF147" s="1206"/>
      <c r="JZG147" s="1206"/>
      <c r="JZH147" s="1206"/>
      <c r="JZI147" s="1206"/>
      <c r="JZJ147" s="1206"/>
      <c r="JZK147" s="1206"/>
      <c r="JZL147" s="1206"/>
      <c r="JZM147" s="1206"/>
      <c r="JZN147" s="1206"/>
      <c r="JZO147" s="1206"/>
      <c r="JZP147" s="1206"/>
      <c r="JZQ147" s="1206"/>
      <c r="JZR147" s="1206"/>
      <c r="JZS147" s="1206"/>
      <c r="JZT147" s="1206"/>
      <c r="JZU147" s="1206"/>
      <c r="JZV147" s="1206"/>
      <c r="JZW147" s="1206"/>
      <c r="JZX147" s="1206"/>
      <c r="JZY147" s="1206"/>
      <c r="JZZ147" s="1206"/>
      <c r="KAA147" s="1206"/>
      <c r="KAB147" s="1206"/>
      <c r="KAC147" s="1206"/>
      <c r="KAD147" s="1206"/>
      <c r="KAE147" s="1206"/>
      <c r="KAF147" s="1206"/>
      <c r="KAG147" s="1206"/>
      <c r="KAH147" s="1206"/>
      <c r="KAI147" s="1206"/>
      <c r="KAJ147" s="1206"/>
      <c r="KAK147" s="1206"/>
      <c r="KAL147" s="1206"/>
      <c r="KAM147" s="1206"/>
      <c r="KAN147" s="1206"/>
      <c r="KAO147" s="1206"/>
      <c r="KAP147" s="1206"/>
      <c r="KAQ147" s="1206"/>
      <c r="KAR147" s="1206"/>
      <c r="KAS147" s="1206"/>
      <c r="KAT147" s="1206"/>
      <c r="KAU147" s="1206"/>
      <c r="KAV147" s="1206"/>
      <c r="KAW147" s="1206"/>
      <c r="KAX147" s="1206"/>
      <c r="KAY147" s="1206"/>
      <c r="KAZ147" s="1206"/>
      <c r="KBA147" s="1206"/>
      <c r="KBB147" s="1206"/>
      <c r="KBC147" s="1206"/>
      <c r="KBD147" s="1206"/>
      <c r="KBE147" s="1206"/>
      <c r="KBF147" s="1206"/>
      <c r="KBG147" s="1206"/>
      <c r="KBH147" s="1206"/>
      <c r="KBI147" s="1206"/>
      <c r="KBJ147" s="1206"/>
      <c r="KBK147" s="1206"/>
      <c r="KBL147" s="1206"/>
      <c r="KBM147" s="1206"/>
      <c r="KBN147" s="1206"/>
      <c r="KBO147" s="1206"/>
      <c r="KBP147" s="1206"/>
      <c r="KBQ147" s="1206"/>
      <c r="KBR147" s="1206"/>
      <c r="KBS147" s="1206"/>
      <c r="KBT147" s="1206"/>
      <c r="KBU147" s="1206"/>
      <c r="KBV147" s="1206"/>
      <c r="KBW147" s="1206"/>
      <c r="KBX147" s="1206"/>
      <c r="KBY147" s="1206"/>
      <c r="KBZ147" s="1206"/>
      <c r="KCA147" s="1206"/>
      <c r="KCB147" s="1206"/>
      <c r="KCC147" s="1206"/>
      <c r="KCD147" s="1206"/>
      <c r="KCE147" s="1206"/>
      <c r="KCF147" s="1206"/>
      <c r="KCG147" s="1206"/>
      <c r="KCH147" s="1206"/>
      <c r="KCI147" s="1206"/>
      <c r="KCJ147" s="1206"/>
      <c r="KCK147" s="1206"/>
      <c r="KCL147" s="1206"/>
      <c r="KCM147" s="1206"/>
      <c r="KCN147" s="1206"/>
      <c r="KCO147" s="1206"/>
      <c r="KCP147" s="1206"/>
      <c r="KCQ147" s="1206"/>
      <c r="KCR147" s="1206"/>
      <c r="KCS147" s="1206"/>
      <c r="KCT147" s="1206"/>
      <c r="KCU147" s="1206"/>
      <c r="KCV147" s="1206"/>
      <c r="KCW147" s="1206"/>
      <c r="KCX147" s="1206"/>
      <c r="KCY147" s="1206"/>
      <c r="KCZ147" s="1206"/>
      <c r="KDA147" s="1206"/>
      <c r="KDB147" s="1206"/>
      <c r="KDC147" s="1206"/>
      <c r="KDD147" s="1206"/>
      <c r="KDE147" s="1206"/>
      <c r="KDF147" s="1206"/>
      <c r="KDG147" s="1206"/>
      <c r="KDH147" s="1206"/>
      <c r="KDI147" s="1206"/>
      <c r="KDJ147" s="1206"/>
      <c r="KDK147" s="1206"/>
      <c r="KDL147" s="1206"/>
      <c r="KDM147" s="1206"/>
      <c r="KDN147" s="1206"/>
      <c r="KDO147" s="1206"/>
      <c r="KDP147" s="1206"/>
      <c r="KDQ147" s="1206"/>
      <c r="KDR147" s="1206"/>
      <c r="KDS147" s="1206"/>
      <c r="KDT147" s="1206"/>
      <c r="KDU147" s="1206"/>
      <c r="KDV147" s="1206"/>
      <c r="KDW147" s="1206"/>
      <c r="KDX147" s="1206"/>
      <c r="KDY147" s="1206"/>
      <c r="KDZ147" s="1206"/>
      <c r="KEA147" s="1206"/>
      <c r="KEB147" s="1206"/>
      <c r="KEC147" s="1206"/>
      <c r="KED147" s="1206"/>
      <c r="KEE147" s="1206"/>
      <c r="KEF147" s="1206"/>
      <c r="KEG147" s="1206"/>
      <c r="KEH147" s="1206"/>
      <c r="KEI147" s="1206"/>
      <c r="KEJ147" s="1206"/>
      <c r="KEK147" s="1206"/>
      <c r="KEL147" s="1206"/>
      <c r="KEM147" s="1206"/>
      <c r="KEN147" s="1206"/>
      <c r="KEO147" s="1206"/>
      <c r="KEP147" s="1206"/>
      <c r="KEQ147" s="1206"/>
      <c r="KER147" s="1206"/>
      <c r="KES147" s="1206"/>
      <c r="KET147" s="1206"/>
      <c r="KEU147" s="1206"/>
      <c r="KEV147" s="1206"/>
      <c r="KEW147" s="1206"/>
      <c r="KEX147" s="1206"/>
      <c r="KEY147" s="1206"/>
      <c r="KEZ147" s="1206"/>
      <c r="KFA147" s="1206"/>
      <c r="KFB147" s="1206"/>
      <c r="KFC147" s="1206"/>
      <c r="KFD147" s="1206"/>
      <c r="KFE147" s="1206"/>
      <c r="KFF147" s="1206"/>
      <c r="KFG147" s="1206"/>
      <c r="KFH147" s="1206"/>
      <c r="KFI147" s="1206"/>
      <c r="KFJ147" s="1206"/>
      <c r="KFK147" s="1206"/>
      <c r="KFL147" s="1206"/>
      <c r="KFM147" s="1206"/>
      <c r="KFN147" s="1206"/>
      <c r="KFO147" s="1206"/>
      <c r="KFP147" s="1206"/>
      <c r="KFQ147" s="1206"/>
      <c r="KFR147" s="1206"/>
      <c r="KFS147" s="1206"/>
      <c r="KFT147" s="1206"/>
      <c r="KFU147" s="1206"/>
      <c r="KFV147" s="1206"/>
      <c r="KFW147" s="1206"/>
      <c r="KFX147" s="1206"/>
      <c r="KFY147" s="1206"/>
      <c r="KFZ147" s="1206"/>
      <c r="KGA147" s="1206"/>
      <c r="KGB147" s="1206"/>
      <c r="KGC147" s="1206"/>
      <c r="KGD147" s="1206"/>
      <c r="KGE147" s="1206"/>
      <c r="KGF147" s="1206"/>
      <c r="KGG147" s="1206"/>
      <c r="KGH147" s="1206"/>
      <c r="KGI147" s="1206"/>
      <c r="KGJ147" s="1206"/>
      <c r="KGK147" s="1206"/>
      <c r="KGL147" s="1206"/>
      <c r="KGM147" s="1206"/>
      <c r="KGN147" s="1206"/>
      <c r="KGO147" s="1206"/>
      <c r="KGP147" s="1206"/>
      <c r="KGQ147" s="1206"/>
      <c r="KGR147" s="1206"/>
      <c r="KGS147" s="1206"/>
      <c r="KGT147" s="1206"/>
      <c r="KGU147" s="1206"/>
      <c r="KGV147" s="1206"/>
      <c r="KGW147" s="1206"/>
      <c r="KGX147" s="1206"/>
      <c r="KGY147" s="1206"/>
      <c r="KGZ147" s="1206"/>
      <c r="KHA147" s="1206"/>
      <c r="KHB147" s="1206"/>
      <c r="KHC147" s="1206"/>
      <c r="KHD147" s="1206"/>
      <c r="KHE147" s="1206"/>
      <c r="KHF147" s="1206"/>
      <c r="KHG147" s="1206"/>
      <c r="KHH147" s="1206"/>
      <c r="KHI147" s="1206"/>
      <c r="KHJ147" s="1206"/>
      <c r="KHK147" s="1206"/>
      <c r="KHL147" s="1206"/>
      <c r="KHM147" s="1206"/>
      <c r="KHN147" s="1206"/>
      <c r="KHO147" s="1206"/>
      <c r="KHP147" s="1206"/>
      <c r="KHQ147" s="1206"/>
      <c r="KHR147" s="1206"/>
      <c r="KHS147" s="1206"/>
      <c r="KHT147" s="1206"/>
      <c r="KHU147" s="1206"/>
      <c r="KHV147" s="1206"/>
      <c r="KHW147" s="1206"/>
      <c r="KHX147" s="1206"/>
      <c r="KHY147" s="1206"/>
      <c r="KHZ147" s="1206"/>
      <c r="KIA147" s="1206"/>
      <c r="KIB147" s="1206"/>
      <c r="KIC147" s="1206"/>
      <c r="KID147" s="1206"/>
      <c r="KIE147" s="1206"/>
      <c r="KIF147" s="1206"/>
      <c r="KIG147" s="1206"/>
      <c r="KIH147" s="1206"/>
      <c r="KII147" s="1206"/>
      <c r="KIJ147" s="1206"/>
      <c r="KIK147" s="1206"/>
      <c r="KIL147" s="1206"/>
      <c r="KIM147" s="1206"/>
      <c r="KIN147" s="1206"/>
      <c r="KIO147" s="1206"/>
      <c r="KIP147" s="1206"/>
      <c r="KIQ147" s="1206"/>
      <c r="KIR147" s="1206"/>
      <c r="KIS147" s="1206"/>
      <c r="KIT147" s="1206"/>
      <c r="KIU147" s="1206"/>
      <c r="KIV147" s="1206"/>
      <c r="KIW147" s="1206"/>
      <c r="KIX147" s="1206"/>
      <c r="KIY147" s="1206"/>
      <c r="KIZ147" s="1206"/>
      <c r="KJA147" s="1206"/>
      <c r="KJB147" s="1206"/>
      <c r="KJC147" s="1206"/>
      <c r="KJD147" s="1206"/>
      <c r="KJE147" s="1206"/>
      <c r="KJF147" s="1206"/>
      <c r="KJG147" s="1206"/>
      <c r="KJH147" s="1206"/>
      <c r="KJI147" s="1206"/>
      <c r="KJJ147" s="1206"/>
      <c r="KJK147" s="1206"/>
      <c r="KJL147" s="1206"/>
      <c r="KJM147" s="1206"/>
      <c r="KJN147" s="1206"/>
      <c r="KJO147" s="1206"/>
      <c r="KJP147" s="1206"/>
      <c r="KJQ147" s="1206"/>
      <c r="KJR147" s="1206"/>
      <c r="KJS147" s="1206"/>
      <c r="KJT147" s="1206"/>
      <c r="KJU147" s="1206"/>
      <c r="KJV147" s="1206"/>
      <c r="KJW147" s="1206"/>
      <c r="KJX147" s="1206"/>
      <c r="KJY147" s="1206"/>
      <c r="KJZ147" s="1206"/>
      <c r="KKA147" s="1206"/>
      <c r="KKB147" s="1206"/>
      <c r="KKC147" s="1206"/>
      <c r="KKD147" s="1206"/>
      <c r="KKE147" s="1206"/>
      <c r="KKF147" s="1206"/>
      <c r="KKG147" s="1206"/>
      <c r="KKH147" s="1206"/>
      <c r="KKI147" s="1206"/>
      <c r="KKJ147" s="1206"/>
      <c r="KKK147" s="1206"/>
      <c r="KKL147" s="1206"/>
      <c r="KKM147" s="1206"/>
      <c r="KKN147" s="1206"/>
      <c r="KKO147" s="1206"/>
      <c r="KKP147" s="1206"/>
      <c r="KKQ147" s="1206"/>
      <c r="KKR147" s="1206"/>
      <c r="KKS147" s="1206"/>
      <c r="KKT147" s="1206"/>
      <c r="KKU147" s="1206"/>
      <c r="KKV147" s="1206"/>
      <c r="KKW147" s="1206"/>
      <c r="KKX147" s="1206"/>
      <c r="KKY147" s="1206"/>
      <c r="KKZ147" s="1206"/>
      <c r="KLA147" s="1206"/>
      <c r="KLB147" s="1206"/>
      <c r="KLC147" s="1206"/>
      <c r="KLD147" s="1206"/>
      <c r="KLE147" s="1206"/>
      <c r="KLF147" s="1206"/>
      <c r="KLG147" s="1206"/>
      <c r="KLH147" s="1206"/>
      <c r="KLI147" s="1206"/>
      <c r="KLJ147" s="1206"/>
      <c r="KLK147" s="1206"/>
      <c r="KLL147" s="1206"/>
      <c r="KLM147" s="1206"/>
      <c r="KLN147" s="1206"/>
      <c r="KLO147" s="1206"/>
      <c r="KLP147" s="1206"/>
      <c r="KLQ147" s="1206"/>
      <c r="KLR147" s="1206"/>
      <c r="KLS147" s="1206"/>
      <c r="KLT147" s="1206"/>
      <c r="KLU147" s="1206"/>
      <c r="KLV147" s="1206"/>
      <c r="KLW147" s="1206"/>
      <c r="KLX147" s="1206"/>
      <c r="KLY147" s="1206"/>
      <c r="KLZ147" s="1206"/>
      <c r="KMA147" s="1206"/>
      <c r="KMB147" s="1206"/>
      <c r="KMC147" s="1206"/>
      <c r="KMD147" s="1206"/>
      <c r="KME147" s="1206"/>
      <c r="KMF147" s="1206"/>
      <c r="KMG147" s="1206"/>
      <c r="KMH147" s="1206"/>
      <c r="KMI147" s="1206"/>
      <c r="KMJ147" s="1206"/>
      <c r="KMK147" s="1206"/>
      <c r="KML147" s="1206"/>
      <c r="KMM147" s="1206"/>
      <c r="KMN147" s="1206"/>
      <c r="KMO147" s="1206"/>
      <c r="KMP147" s="1206"/>
      <c r="KMQ147" s="1206"/>
      <c r="KMR147" s="1206"/>
      <c r="KMS147" s="1206"/>
      <c r="KMT147" s="1206"/>
      <c r="KMU147" s="1206"/>
      <c r="KMV147" s="1206"/>
      <c r="KMW147" s="1206"/>
      <c r="KMX147" s="1206"/>
      <c r="KMY147" s="1206"/>
      <c r="KMZ147" s="1206"/>
      <c r="KNA147" s="1206"/>
      <c r="KNB147" s="1206"/>
      <c r="KNC147" s="1206"/>
      <c r="KND147" s="1206"/>
      <c r="KNE147" s="1206"/>
      <c r="KNF147" s="1206"/>
      <c r="KNG147" s="1206"/>
      <c r="KNH147" s="1206"/>
      <c r="KNI147" s="1206"/>
      <c r="KNJ147" s="1206"/>
      <c r="KNK147" s="1206"/>
      <c r="KNL147" s="1206"/>
      <c r="KNM147" s="1206"/>
      <c r="KNN147" s="1206"/>
      <c r="KNO147" s="1206"/>
      <c r="KNP147" s="1206"/>
      <c r="KNQ147" s="1206"/>
      <c r="KNR147" s="1206"/>
      <c r="KNS147" s="1206"/>
      <c r="KNT147" s="1206"/>
      <c r="KNU147" s="1206"/>
      <c r="KNV147" s="1206"/>
      <c r="KNW147" s="1206"/>
      <c r="KNX147" s="1206"/>
      <c r="KNY147" s="1206"/>
      <c r="KNZ147" s="1206"/>
      <c r="KOA147" s="1206"/>
      <c r="KOB147" s="1206"/>
      <c r="KOC147" s="1206"/>
      <c r="KOD147" s="1206"/>
      <c r="KOE147" s="1206"/>
      <c r="KOF147" s="1206"/>
      <c r="KOG147" s="1206"/>
      <c r="KOH147" s="1206"/>
      <c r="KOI147" s="1206"/>
      <c r="KOJ147" s="1206"/>
      <c r="KOK147" s="1206"/>
      <c r="KOL147" s="1206"/>
      <c r="KOM147" s="1206"/>
      <c r="KON147" s="1206"/>
      <c r="KOO147" s="1206"/>
      <c r="KOP147" s="1206"/>
      <c r="KOQ147" s="1206"/>
      <c r="KOR147" s="1206"/>
      <c r="KOS147" s="1206"/>
      <c r="KOT147" s="1206"/>
      <c r="KOU147" s="1206"/>
      <c r="KOV147" s="1206"/>
      <c r="KOW147" s="1206"/>
      <c r="KOX147" s="1206"/>
      <c r="KOY147" s="1206"/>
      <c r="KOZ147" s="1206"/>
      <c r="KPA147" s="1206"/>
      <c r="KPB147" s="1206"/>
      <c r="KPC147" s="1206"/>
      <c r="KPD147" s="1206"/>
      <c r="KPE147" s="1206"/>
      <c r="KPF147" s="1206"/>
      <c r="KPG147" s="1206"/>
      <c r="KPH147" s="1206"/>
      <c r="KPI147" s="1206"/>
      <c r="KPJ147" s="1206"/>
      <c r="KPK147" s="1206"/>
      <c r="KPL147" s="1206"/>
      <c r="KPM147" s="1206"/>
      <c r="KPN147" s="1206"/>
      <c r="KPO147" s="1206"/>
      <c r="KPP147" s="1206"/>
      <c r="KPQ147" s="1206"/>
      <c r="KPR147" s="1206"/>
      <c r="KPS147" s="1206"/>
      <c r="KPT147" s="1206"/>
      <c r="KPU147" s="1206"/>
      <c r="KPV147" s="1206"/>
      <c r="KPW147" s="1206"/>
      <c r="KPX147" s="1206"/>
      <c r="KPY147" s="1206"/>
      <c r="KPZ147" s="1206"/>
      <c r="KQA147" s="1206"/>
      <c r="KQB147" s="1206"/>
      <c r="KQC147" s="1206"/>
      <c r="KQD147" s="1206"/>
      <c r="KQE147" s="1206"/>
      <c r="KQF147" s="1206"/>
      <c r="KQG147" s="1206"/>
      <c r="KQH147" s="1206"/>
      <c r="KQI147" s="1206"/>
      <c r="KQJ147" s="1206"/>
      <c r="KQK147" s="1206"/>
      <c r="KQL147" s="1206"/>
      <c r="KQM147" s="1206"/>
      <c r="KQN147" s="1206"/>
      <c r="KQO147" s="1206"/>
      <c r="KQP147" s="1206"/>
      <c r="KQQ147" s="1206"/>
      <c r="KQR147" s="1206"/>
      <c r="KQS147" s="1206"/>
      <c r="KQT147" s="1206"/>
      <c r="KQU147" s="1206"/>
      <c r="KQV147" s="1206"/>
      <c r="KQW147" s="1206"/>
      <c r="KQX147" s="1206"/>
      <c r="KQY147" s="1206"/>
      <c r="KQZ147" s="1206"/>
      <c r="KRA147" s="1206"/>
      <c r="KRB147" s="1206"/>
      <c r="KRC147" s="1206"/>
      <c r="KRD147" s="1206"/>
      <c r="KRE147" s="1206"/>
      <c r="KRF147" s="1206"/>
      <c r="KRG147" s="1206"/>
      <c r="KRH147" s="1206"/>
      <c r="KRI147" s="1206"/>
      <c r="KRJ147" s="1206"/>
      <c r="KRK147" s="1206"/>
      <c r="KRL147" s="1206"/>
      <c r="KRM147" s="1206"/>
      <c r="KRN147" s="1206"/>
      <c r="KRO147" s="1206"/>
      <c r="KRP147" s="1206"/>
      <c r="KRQ147" s="1206"/>
      <c r="KRR147" s="1206"/>
      <c r="KRS147" s="1206"/>
      <c r="KRT147" s="1206"/>
      <c r="KRU147" s="1206"/>
      <c r="KRV147" s="1206"/>
      <c r="KRW147" s="1206"/>
      <c r="KRX147" s="1206"/>
      <c r="KRY147" s="1206"/>
      <c r="KRZ147" s="1206"/>
      <c r="KSA147" s="1206"/>
      <c r="KSB147" s="1206"/>
      <c r="KSC147" s="1206"/>
      <c r="KSD147" s="1206"/>
      <c r="KSE147" s="1206"/>
      <c r="KSF147" s="1206"/>
      <c r="KSG147" s="1206"/>
      <c r="KSH147" s="1206"/>
      <c r="KSI147" s="1206"/>
      <c r="KSJ147" s="1206"/>
      <c r="KSK147" s="1206"/>
      <c r="KSL147" s="1206"/>
      <c r="KSM147" s="1206"/>
      <c r="KSN147" s="1206"/>
      <c r="KSO147" s="1206"/>
      <c r="KSP147" s="1206"/>
      <c r="KSQ147" s="1206"/>
      <c r="KSR147" s="1206"/>
      <c r="KSS147" s="1206"/>
      <c r="KST147" s="1206"/>
      <c r="KSU147" s="1206"/>
      <c r="KSV147" s="1206"/>
      <c r="KSW147" s="1206"/>
      <c r="KSX147" s="1206"/>
      <c r="KSY147" s="1206"/>
      <c r="KSZ147" s="1206"/>
      <c r="KTA147" s="1206"/>
      <c r="KTB147" s="1206"/>
      <c r="KTC147" s="1206"/>
      <c r="KTD147" s="1206"/>
      <c r="KTE147" s="1206"/>
      <c r="KTF147" s="1206"/>
      <c r="KTG147" s="1206"/>
      <c r="KTH147" s="1206"/>
      <c r="KTI147" s="1206"/>
      <c r="KTJ147" s="1206"/>
      <c r="KTK147" s="1206"/>
      <c r="KTL147" s="1206"/>
      <c r="KTM147" s="1206"/>
      <c r="KTN147" s="1206"/>
      <c r="KTO147" s="1206"/>
      <c r="KTP147" s="1206"/>
      <c r="KTQ147" s="1206"/>
      <c r="KTR147" s="1206"/>
      <c r="KTS147" s="1206"/>
      <c r="KTT147" s="1206"/>
      <c r="KTU147" s="1206"/>
      <c r="KTV147" s="1206"/>
      <c r="KTW147" s="1206"/>
      <c r="KTX147" s="1206"/>
      <c r="KTY147" s="1206"/>
      <c r="KTZ147" s="1206"/>
      <c r="KUA147" s="1206"/>
      <c r="KUB147" s="1206"/>
      <c r="KUC147" s="1206"/>
      <c r="KUD147" s="1206"/>
      <c r="KUE147" s="1206"/>
      <c r="KUF147" s="1206"/>
      <c r="KUG147" s="1206"/>
      <c r="KUH147" s="1206"/>
      <c r="KUI147" s="1206"/>
      <c r="KUJ147" s="1206"/>
      <c r="KUK147" s="1206"/>
      <c r="KUL147" s="1206"/>
      <c r="KUM147" s="1206"/>
      <c r="KUN147" s="1206"/>
      <c r="KUO147" s="1206"/>
      <c r="KUP147" s="1206"/>
      <c r="KUQ147" s="1206"/>
      <c r="KUR147" s="1206"/>
      <c r="KUS147" s="1206"/>
      <c r="KUT147" s="1206"/>
      <c r="KUU147" s="1206"/>
      <c r="KUV147" s="1206"/>
      <c r="KUW147" s="1206"/>
      <c r="KUX147" s="1206"/>
      <c r="KUY147" s="1206"/>
      <c r="KUZ147" s="1206"/>
      <c r="KVA147" s="1206"/>
      <c r="KVB147" s="1206"/>
      <c r="KVC147" s="1206"/>
      <c r="KVD147" s="1206"/>
      <c r="KVE147" s="1206"/>
      <c r="KVF147" s="1206"/>
      <c r="KVG147" s="1206"/>
      <c r="KVH147" s="1206"/>
      <c r="KVI147" s="1206"/>
      <c r="KVJ147" s="1206"/>
      <c r="KVK147" s="1206"/>
      <c r="KVL147" s="1206"/>
      <c r="KVM147" s="1206"/>
      <c r="KVN147" s="1206"/>
      <c r="KVO147" s="1206"/>
      <c r="KVP147" s="1206"/>
      <c r="KVQ147" s="1206"/>
      <c r="KVR147" s="1206"/>
      <c r="KVS147" s="1206"/>
      <c r="KVT147" s="1206"/>
      <c r="KVU147" s="1206"/>
      <c r="KVV147" s="1206"/>
      <c r="KVW147" s="1206"/>
      <c r="KVX147" s="1206"/>
      <c r="KVY147" s="1206"/>
      <c r="KVZ147" s="1206"/>
      <c r="KWA147" s="1206"/>
      <c r="KWB147" s="1206"/>
      <c r="KWC147" s="1206"/>
      <c r="KWD147" s="1206"/>
      <c r="KWE147" s="1206"/>
      <c r="KWF147" s="1206"/>
      <c r="KWG147" s="1206"/>
      <c r="KWH147" s="1206"/>
      <c r="KWI147" s="1206"/>
      <c r="KWJ147" s="1206"/>
      <c r="KWK147" s="1206"/>
      <c r="KWL147" s="1206"/>
      <c r="KWM147" s="1206"/>
      <c r="KWN147" s="1206"/>
      <c r="KWO147" s="1206"/>
      <c r="KWP147" s="1206"/>
      <c r="KWQ147" s="1206"/>
      <c r="KWR147" s="1206"/>
      <c r="KWS147" s="1206"/>
      <c r="KWT147" s="1206"/>
      <c r="KWU147" s="1206"/>
      <c r="KWV147" s="1206"/>
      <c r="KWW147" s="1206"/>
      <c r="KWX147" s="1206"/>
      <c r="KWY147" s="1206"/>
      <c r="KWZ147" s="1206"/>
      <c r="KXA147" s="1206"/>
      <c r="KXB147" s="1206"/>
      <c r="KXC147" s="1206"/>
      <c r="KXD147" s="1206"/>
      <c r="KXE147" s="1206"/>
      <c r="KXF147" s="1206"/>
      <c r="KXG147" s="1206"/>
      <c r="KXH147" s="1206"/>
      <c r="KXI147" s="1206"/>
      <c r="KXJ147" s="1206"/>
      <c r="KXK147" s="1206"/>
      <c r="KXL147" s="1206"/>
      <c r="KXM147" s="1206"/>
      <c r="KXN147" s="1206"/>
      <c r="KXO147" s="1206"/>
      <c r="KXP147" s="1206"/>
      <c r="KXQ147" s="1206"/>
      <c r="KXR147" s="1206"/>
      <c r="KXS147" s="1206"/>
      <c r="KXT147" s="1206"/>
      <c r="KXU147" s="1206"/>
      <c r="KXV147" s="1206"/>
      <c r="KXW147" s="1206"/>
      <c r="KXX147" s="1206"/>
      <c r="KXY147" s="1206"/>
      <c r="KXZ147" s="1206"/>
      <c r="KYA147" s="1206"/>
      <c r="KYB147" s="1206"/>
      <c r="KYC147" s="1206"/>
      <c r="KYD147" s="1206"/>
      <c r="KYE147" s="1206"/>
      <c r="KYF147" s="1206"/>
      <c r="KYG147" s="1206"/>
      <c r="KYH147" s="1206"/>
      <c r="KYI147" s="1206"/>
      <c r="KYJ147" s="1206"/>
      <c r="KYK147" s="1206"/>
      <c r="KYL147" s="1206"/>
      <c r="KYM147" s="1206"/>
      <c r="KYN147" s="1206"/>
      <c r="KYO147" s="1206"/>
      <c r="KYP147" s="1206"/>
      <c r="KYQ147" s="1206"/>
      <c r="KYR147" s="1206"/>
      <c r="KYS147" s="1206"/>
      <c r="KYT147" s="1206"/>
      <c r="KYU147" s="1206"/>
      <c r="KYV147" s="1206"/>
      <c r="KYW147" s="1206"/>
      <c r="KYX147" s="1206"/>
      <c r="KYY147" s="1206"/>
      <c r="KYZ147" s="1206"/>
      <c r="KZA147" s="1206"/>
      <c r="KZB147" s="1206"/>
      <c r="KZC147" s="1206"/>
      <c r="KZD147" s="1206"/>
      <c r="KZE147" s="1206"/>
      <c r="KZF147" s="1206"/>
      <c r="KZG147" s="1206"/>
      <c r="KZH147" s="1206"/>
      <c r="KZI147" s="1206"/>
      <c r="KZJ147" s="1206"/>
      <c r="KZK147" s="1206"/>
      <c r="KZL147" s="1206"/>
      <c r="KZM147" s="1206"/>
      <c r="KZN147" s="1206"/>
      <c r="KZO147" s="1206"/>
      <c r="KZP147" s="1206"/>
      <c r="KZQ147" s="1206"/>
      <c r="KZR147" s="1206"/>
      <c r="KZS147" s="1206"/>
      <c r="KZT147" s="1206"/>
      <c r="KZU147" s="1206"/>
      <c r="KZV147" s="1206"/>
      <c r="KZW147" s="1206"/>
      <c r="KZX147" s="1206"/>
      <c r="KZY147" s="1206"/>
      <c r="KZZ147" s="1206"/>
      <c r="LAA147" s="1206"/>
      <c r="LAB147" s="1206"/>
      <c r="LAC147" s="1206"/>
      <c r="LAD147" s="1206"/>
      <c r="LAE147" s="1206"/>
      <c r="LAF147" s="1206"/>
      <c r="LAG147" s="1206"/>
      <c r="LAH147" s="1206"/>
      <c r="LAI147" s="1206"/>
      <c r="LAJ147" s="1206"/>
      <c r="LAK147" s="1206"/>
      <c r="LAL147" s="1206"/>
      <c r="LAM147" s="1206"/>
      <c r="LAN147" s="1206"/>
      <c r="LAO147" s="1206"/>
      <c r="LAP147" s="1206"/>
      <c r="LAQ147" s="1206"/>
      <c r="LAR147" s="1206"/>
      <c r="LAS147" s="1206"/>
      <c r="LAT147" s="1206"/>
      <c r="LAU147" s="1206"/>
      <c r="LAV147" s="1206"/>
      <c r="LAW147" s="1206"/>
      <c r="LAX147" s="1206"/>
      <c r="LAY147" s="1206"/>
      <c r="LAZ147" s="1206"/>
      <c r="LBA147" s="1206"/>
      <c r="LBB147" s="1206"/>
      <c r="LBC147" s="1206"/>
      <c r="LBD147" s="1206"/>
      <c r="LBE147" s="1206"/>
      <c r="LBF147" s="1206"/>
      <c r="LBG147" s="1206"/>
      <c r="LBH147" s="1206"/>
      <c r="LBI147" s="1206"/>
      <c r="LBJ147" s="1206"/>
      <c r="LBK147" s="1206"/>
      <c r="LBL147" s="1206"/>
      <c r="LBM147" s="1206"/>
      <c r="LBN147" s="1206"/>
      <c r="LBO147" s="1206"/>
      <c r="LBP147" s="1206"/>
      <c r="LBQ147" s="1206"/>
      <c r="LBR147" s="1206"/>
      <c r="LBS147" s="1206"/>
      <c r="LBT147" s="1206"/>
      <c r="LBU147" s="1206"/>
      <c r="LBV147" s="1206"/>
      <c r="LBW147" s="1206"/>
      <c r="LBX147" s="1206"/>
      <c r="LBY147" s="1206"/>
      <c r="LBZ147" s="1206"/>
      <c r="LCA147" s="1206"/>
      <c r="LCB147" s="1206"/>
      <c r="LCC147" s="1206"/>
      <c r="LCD147" s="1206"/>
      <c r="LCE147" s="1206"/>
      <c r="LCF147" s="1206"/>
      <c r="LCG147" s="1206"/>
      <c r="LCH147" s="1206"/>
      <c r="LCI147" s="1206"/>
      <c r="LCJ147" s="1206"/>
      <c r="LCK147" s="1206"/>
      <c r="LCL147" s="1206"/>
      <c r="LCM147" s="1206"/>
      <c r="LCN147" s="1206"/>
      <c r="LCO147" s="1206"/>
      <c r="LCP147" s="1206"/>
      <c r="LCQ147" s="1206"/>
      <c r="LCR147" s="1206"/>
      <c r="LCS147" s="1206"/>
      <c r="LCT147" s="1206"/>
      <c r="LCU147" s="1206"/>
      <c r="LCV147" s="1206"/>
      <c r="LCW147" s="1206"/>
      <c r="LCX147" s="1206"/>
      <c r="LCY147" s="1206"/>
      <c r="LCZ147" s="1206"/>
      <c r="LDA147" s="1206"/>
      <c r="LDB147" s="1206"/>
      <c r="LDC147" s="1206"/>
      <c r="LDD147" s="1206"/>
      <c r="LDE147" s="1206"/>
      <c r="LDF147" s="1206"/>
      <c r="LDG147" s="1206"/>
      <c r="LDH147" s="1206"/>
      <c r="LDI147" s="1206"/>
      <c r="LDJ147" s="1206"/>
      <c r="LDK147" s="1206"/>
      <c r="LDL147" s="1206"/>
      <c r="LDM147" s="1206"/>
      <c r="LDN147" s="1206"/>
      <c r="LDO147" s="1206"/>
      <c r="LDP147" s="1206"/>
      <c r="LDQ147" s="1206"/>
      <c r="LDR147" s="1206"/>
      <c r="LDS147" s="1206"/>
      <c r="LDT147" s="1206"/>
      <c r="LDU147" s="1206"/>
      <c r="LDV147" s="1206"/>
      <c r="LDW147" s="1206"/>
      <c r="LDX147" s="1206"/>
      <c r="LDY147" s="1206"/>
      <c r="LDZ147" s="1206"/>
      <c r="LEA147" s="1206"/>
      <c r="LEB147" s="1206"/>
      <c r="LEC147" s="1206"/>
      <c r="LED147" s="1206"/>
      <c r="LEE147" s="1206"/>
      <c r="LEF147" s="1206"/>
      <c r="LEG147" s="1206"/>
      <c r="LEH147" s="1206"/>
      <c r="LEI147" s="1206"/>
      <c r="LEJ147" s="1206"/>
      <c r="LEK147" s="1206"/>
      <c r="LEL147" s="1206"/>
      <c r="LEM147" s="1206"/>
      <c r="LEN147" s="1206"/>
      <c r="LEO147" s="1206"/>
      <c r="LEP147" s="1206"/>
      <c r="LEQ147" s="1206"/>
      <c r="LER147" s="1206"/>
      <c r="LES147" s="1206"/>
      <c r="LET147" s="1206"/>
      <c r="LEU147" s="1206"/>
      <c r="LEV147" s="1206"/>
      <c r="LEW147" s="1206"/>
      <c r="LEX147" s="1206"/>
      <c r="LEY147" s="1206"/>
      <c r="LEZ147" s="1206"/>
      <c r="LFA147" s="1206"/>
      <c r="LFB147" s="1206"/>
      <c r="LFC147" s="1206"/>
      <c r="LFD147" s="1206"/>
      <c r="LFE147" s="1206"/>
      <c r="LFF147" s="1206"/>
      <c r="LFG147" s="1206"/>
      <c r="LFH147" s="1206"/>
      <c r="LFI147" s="1206"/>
      <c r="LFJ147" s="1206"/>
      <c r="LFK147" s="1206"/>
      <c r="LFL147" s="1206"/>
      <c r="LFM147" s="1206"/>
      <c r="LFN147" s="1206"/>
      <c r="LFO147" s="1206"/>
      <c r="LFP147" s="1206"/>
      <c r="LFQ147" s="1206"/>
      <c r="LFR147" s="1206"/>
      <c r="LFS147" s="1206"/>
      <c r="LFT147" s="1206"/>
      <c r="LFU147" s="1206"/>
      <c r="LFV147" s="1206"/>
      <c r="LFW147" s="1206"/>
      <c r="LFX147" s="1206"/>
      <c r="LFY147" s="1206"/>
      <c r="LFZ147" s="1206"/>
      <c r="LGA147" s="1206"/>
      <c r="LGB147" s="1206"/>
      <c r="LGC147" s="1206"/>
      <c r="LGD147" s="1206"/>
      <c r="LGE147" s="1206"/>
      <c r="LGF147" s="1206"/>
      <c r="LGG147" s="1206"/>
      <c r="LGH147" s="1206"/>
      <c r="LGI147" s="1206"/>
      <c r="LGJ147" s="1206"/>
      <c r="LGK147" s="1206"/>
      <c r="LGL147" s="1206"/>
      <c r="LGM147" s="1206"/>
      <c r="LGN147" s="1206"/>
      <c r="LGO147" s="1206"/>
      <c r="LGP147" s="1206"/>
      <c r="LGQ147" s="1206"/>
      <c r="LGR147" s="1206"/>
      <c r="LGS147" s="1206"/>
      <c r="LGT147" s="1206"/>
      <c r="LGU147" s="1206"/>
      <c r="LGV147" s="1206"/>
      <c r="LGW147" s="1206"/>
      <c r="LGX147" s="1206"/>
      <c r="LGY147" s="1206"/>
      <c r="LGZ147" s="1206"/>
      <c r="LHA147" s="1206"/>
      <c r="LHB147" s="1206"/>
      <c r="LHC147" s="1206"/>
      <c r="LHD147" s="1206"/>
      <c r="LHE147" s="1206"/>
      <c r="LHF147" s="1206"/>
      <c r="LHG147" s="1206"/>
      <c r="LHH147" s="1206"/>
      <c r="LHI147" s="1206"/>
      <c r="LHJ147" s="1206"/>
      <c r="LHK147" s="1206"/>
      <c r="LHL147" s="1206"/>
      <c r="LHM147" s="1206"/>
      <c r="LHN147" s="1206"/>
      <c r="LHO147" s="1206"/>
      <c r="LHP147" s="1206"/>
      <c r="LHQ147" s="1206"/>
      <c r="LHR147" s="1206"/>
      <c r="LHS147" s="1206"/>
      <c r="LHT147" s="1206"/>
      <c r="LHU147" s="1206"/>
      <c r="LHV147" s="1206"/>
      <c r="LHW147" s="1206"/>
      <c r="LHX147" s="1206"/>
      <c r="LHY147" s="1206"/>
      <c r="LHZ147" s="1206"/>
      <c r="LIA147" s="1206"/>
      <c r="LIB147" s="1206"/>
      <c r="LIC147" s="1206"/>
      <c r="LID147" s="1206"/>
      <c r="LIE147" s="1206"/>
      <c r="LIF147" s="1206"/>
      <c r="LIG147" s="1206"/>
      <c r="LIH147" s="1206"/>
      <c r="LII147" s="1206"/>
      <c r="LIJ147" s="1206"/>
      <c r="LIK147" s="1206"/>
      <c r="LIL147" s="1206"/>
      <c r="LIM147" s="1206"/>
      <c r="LIN147" s="1206"/>
      <c r="LIO147" s="1206"/>
      <c r="LIP147" s="1206"/>
      <c r="LIQ147" s="1206"/>
      <c r="LIR147" s="1206"/>
      <c r="LIS147" s="1206"/>
      <c r="LIT147" s="1206"/>
      <c r="LIU147" s="1206"/>
      <c r="LIV147" s="1206"/>
      <c r="LIW147" s="1206"/>
      <c r="LIX147" s="1206"/>
      <c r="LIY147" s="1206"/>
      <c r="LIZ147" s="1206"/>
      <c r="LJA147" s="1206"/>
      <c r="LJB147" s="1206"/>
      <c r="LJC147" s="1206"/>
      <c r="LJD147" s="1206"/>
      <c r="LJE147" s="1206"/>
      <c r="LJF147" s="1206"/>
      <c r="LJG147" s="1206"/>
      <c r="LJH147" s="1206"/>
      <c r="LJI147" s="1206"/>
      <c r="LJJ147" s="1206"/>
      <c r="LJK147" s="1206"/>
      <c r="LJL147" s="1206"/>
      <c r="LJM147" s="1206"/>
      <c r="LJN147" s="1206"/>
      <c r="LJO147" s="1206"/>
      <c r="LJP147" s="1206"/>
      <c r="LJQ147" s="1206"/>
      <c r="LJR147" s="1206"/>
      <c r="LJS147" s="1206"/>
      <c r="LJT147" s="1206"/>
      <c r="LJU147" s="1206"/>
      <c r="LJV147" s="1206"/>
      <c r="LJW147" s="1206"/>
      <c r="LJX147" s="1206"/>
      <c r="LJY147" s="1206"/>
      <c r="LJZ147" s="1206"/>
      <c r="LKA147" s="1206"/>
      <c r="LKB147" s="1206"/>
      <c r="LKC147" s="1206"/>
      <c r="LKD147" s="1206"/>
      <c r="LKE147" s="1206"/>
      <c r="LKF147" s="1206"/>
      <c r="LKG147" s="1206"/>
      <c r="LKH147" s="1206"/>
      <c r="LKI147" s="1206"/>
      <c r="LKJ147" s="1206"/>
      <c r="LKK147" s="1206"/>
      <c r="LKL147" s="1206"/>
      <c r="LKM147" s="1206"/>
      <c r="LKN147" s="1206"/>
      <c r="LKO147" s="1206"/>
      <c r="LKP147" s="1206"/>
      <c r="LKQ147" s="1206"/>
      <c r="LKR147" s="1206"/>
      <c r="LKS147" s="1206"/>
      <c r="LKT147" s="1206"/>
      <c r="LKU147" s="1206"/>
      <c r="LKV147" s="1206"/>
      <c r="LKW147" s="1206"/>
      <c r="LKX147" s="1206"/>
      <c r="LKY147" s="1206"/>
      <c r="LKZ147" s="1206"/>
      <c r="LLA147" s="1206"/>
      <c r="LLB147" s="1206"/>
      <c r="LLC147" s="1206"/>
      <c r="LLD147" s="1206"/>
      <c r="LLE147" s="1206"/>
      <c r="LLF147" s="1206"/>
      <c r="LLG147" s="1206"/>
      <c r="LLH147" s="1206"/>
      <c r="LLI147" s="1206"/>
      <c r="LLJ147" s="1206"/>
      <c r="LLK147" s="1206"/>
      <c r="LLL147" s="1206"/>
      <c r="LLM147" s="1206"/>
      <c r="LLN147" s="1206"/>
      <c r="LLO147" s="1206"/>
      <c r="LLP147" s="1206"/>
      <c r="LLQ147" s="1206"/>
      <c r="LLR147" s="1206"/>
      <c r="LLS147" s="1206"/>
      <c r="LLT147" s="1206"/>
      <c r="LLU147" s="1206"/>
      <c r="LLV147" s="1206"/>
      <c r="LLW147" s="1206"/>
      <c r="LLX147" s="1206"/>
      <c r="LLY147" s="1206"/>
      <c r="LLZ147" s="1206"/>
      <c r="LMA147" s="1206"/>
      <c r="LMB147" s="1206"/>
      <c r="LMC147" s="1206"/>
      <c r="LMD147" s="1206"/>
      <c r="LME147" s="1206"/>
      <c r="LMF147" s="1206"/>
      <c r="LMG147" s="1206"/>
      <c r="LMH147" s="1206"/>
      <c r="LMI147" s="1206"/>
      <c r="LMJ147" s="1206"/>
      <c r="LMK147" s="1206"/>
      <c r="LML147" s="1206"/>
      <c r="LMM147" s="1206"/>
      <c r="LMN147" s="1206"/>
      <c r="LMO147" s="1206"/>
      <c r="LMP147" s="1206"/>
      <c r="LMQ147" s="1206"/>
      <c r="LMR147" s="1206"/>
      <c r="LMS147" s="1206"/>
      <c r="LMT147" s="1206"/>
      <c r="LMU147" s="1206"/>
      <c r="LMV147" s="1206"/>
      <c r="LMW147" s="1206"/>
      <c r="LMX147" s="1206"/>
      <c r="LMY147" s="1206"/>
      <c r="LMZ147" s="1206"/>
      <c r="LNA147" s="1206"/>
      <c r="LNB147" s="1206"/>
      <c r="LNC147" s="1206"/>
      <c r="LND147" s="1206"/>
      <c r="LNE147" s="1206"/>
      <c r="LNF147" s="1206"/>
      <c r="LNG147" s="1206"/>
      <c r="LNH147" s="1206"/>
      <c r="LNI147" s="1206"/>
      <c r="LNJ147" s="1206"/>
      <c r="LNK147" s="1206"/>
      <c r="LNL147" s="1206"/>
      <c r="LNM147" s="1206"/>
      <c r="LNN147" s="1206"/>
      <c r="LNO147" s="1206"/>
      <c r="LNP147" s="1206"/>
      <c r="LNQ147" s="1206"/>
      <c r="LNR147" s="1206"/>
      <c r="LNS147" s="1206"/>
      <c r="LNT147" s="1206"/>
      <c r="LNU147" s="1206"/>
      <c r="LNV147" s="1206"/>
      <c r="LNW147" s="1206"/>
      <c r="LNX147" s="1206"/>
      <c r="LNY147" s="1206"/>
      <c r="LNZ147" s="1206"/>
      <c r="LOA147" s="1206"/>
      <c r="LOB147" s="1206"/>
      <c r="LOC147" s="1206"/>
      <c r="LOD147" s="1206"/>
      <c r="LOE147" s="1206"/>
      <c r="LOF147" s="1206"/>
      <c r="LOG147" s="1206"/>
      <c r="LOH147" s="1206"/>
      <c r="LOI147" s="1206"/>
      <c r="LOJ147" s="1206"/>
      <c r="LOK147" s="1206"/>
      <c r="LOL147" s="1206"/>
      <c r="LOM147" s="1206"/>
      <c r="LON147" s="1206"/>
      <c r="LOO147" s="1206"/>
      <c r="LOP147" s="1206"/>
      <c r="LOQ147" s="1206"/>
      <c r="LOR147" s="1206"/>
      <c r="LOS147" s="1206"/>
      <c r="LOT147" s="1206"/>
      <c r="LOU147" s="1206"/>
      <c r="LOV147" s="1206"/>
      <c r="LOW147" s="1206"/>
      <c r="LOX147" s="1206"/>
      <c r="LOY147" s="1206"/>
      <c r="LOZ147" s="1206"/>
      <c r="LPA147" s="1206"/>
      <c r="LPB147" s="1206"/>
      <c r="LPC147" s="1206"/>
      <c r="LPD147" s="1206"/>
      <c r="LPE147" s="1206"/>
      <c r="LPF147" s="1206"/>
      <c r="LPG147" s="1206"/>
      <c r="LPH147" s="1206"/>
      <c r="LPI147" s="1206"/>
      <c r="LPJ147" s="1206"/>
      <c r="LPK147" s="1206"/>
      <c r="LPL147" s="1206"/>
      <c r="LPM147" s="1206"/>
      <c r="LPN147" s="1206"/>
      <c r="LPO147" s="1206"/>
      <c r="LPP147" s="1206"/>
      <c r="LPQ147" s="1206"/>
      <c r="LPR147" s="1206"/>
      <c r="LPS147" s="1206"/>
      <c r="LPT147" s="1206"/>
      <c r="LPU147" s="1206"/>
      <c r="LPV147" s="1206"/>
      <c r="LPW147" s="1206"/>
      <c r="LPX147" s="1206"/>
      <c r="LPY147" s="1206"/>
      <c r="LPZ147" s="1206"/>
      <c r="LQA147" s="1206"/>
      <c r="LQB147" s="1206"/>
      <c r="LQC147" s="1206"/>
      <c r="LQD147" s="1206"/>
      <c r="LQE147" s="1206"/>
      <c r="LQF147" s="1206"/>
      <c r="LQG147" s="1206"/>
      <c r="LQH147" s="1206"/>
      <c r="LQI147" s="1206"/>
      <c r="LQJ147" s="1206"/>
      <c r="LQK147" s="1206"/>
      <c r="LQL147" s="1206"/>
      <c r="LQM147" s="1206"/>
      <c r="LQN147" s="1206"/>
      <c r="LQO147" s="1206"/>
      <c r="LQP147" s="1206"/>
      <c r="LQQ147" s="1206"/>
      <c r="LQR147" s="1206"/>
      <c r="LQS147" s="1206"/>
      <c r="LQT147" s="1206"/>
      <c r="LQU147" s="1206"/>
      <c r="LQV147" s="1206"/>
      <c r="LQW147" s="1206"/>
      <c r="LQX147" s="1206"/>
      <c r="LQY147" s="1206"/>
      <c r="LQZ147" s="1206"/>
      <c r="LRA147" s="1206"/>
      <c r="LRB147" s="1206"/>
      <c r="LRC147" s="1206"/>
      <c r="LRD147" s="1206"/>
      <c r="LRE147" s="1206"/>
      <c r="LRF147" s="1206"/>
      <c r="LRG147" s="1206"/>
      <c r="LRH147" s="1206"/>
      <c r="LRI147" s="1206"/>
      <c r="LRJ147" s="1206"/>
      <c r="LRK147" s="1206"/>
      <c r="LRL147" s="1206"/>
      <c r="LRM147" s="1206"/>
      <c r="LRN147" s="1206"/>
      <c r="LRO147" s="1206"/>
      <c r="LRP147" s="1206"/>
      <c r="LRQ147" s="1206"/>
      <c r="LRR147" s="1206"/>
      <c r="LRS147" s="1206"/>
      <c r="LRT147" s="1206"/>
      <c r="LRU147" s="1206"/>
      <c r="LRV147" s="1206"/>
      <c r="LRW147" s="1206"/>
      <c r="LRX147" s="1206"/>
      <c r="LRY147" s="1206"/>
      <c r="LRZ147" s="1206"/>
      <c r="LSA147" s="1206"/>
      <c r="LSB147" s="1206"/>
      <c r="LSC147" s="1206"/>
      <c r="LSD147" s="1206"/>
      <c r="LSE147" s="1206"/>
      <c r="LSF147" s="1206"/>
      <c r="LSG147" s="1206"/>
      <c r="LSH147" s="1206"/>
      <c r="LSI147" s="1206"/>
      <c r="LSJ147" s="1206"/>
      <c r="LSK147" s="1206"/>
      <c r="LSL147" s="1206"/>
      <c r="LSM147" s="1206"/>
      <c r="LSN147" s="1206"/>
      <c r="LSO147" s="1206"/>
      <c r="LSP147" s="1206"/>
      <c r="LSQ147" s="1206"/>
      <c r="LSR147" s="1206"/>
      <c r="LSS147" s="1206"/>
      <c r="LST147" s="1206"/>
      <c r="LSU147" s="1206"/>
      <c r="LSV147" s="1206"/>
      <c r="LSW147" s="1206"/>
      <c r="LSX147" s="1206"/>
      <c r="LSY147" s="1206"/>
      <c r="LSZ147" s="1206"/>
      <c r="LTA147" s="1206"/>
      <c r="LTB147" s="1206"/>
      <c r="LTC147" s="1206"/>
      <c r="LTD147" s="1206"/>
      <c r="LTE147" s="1206"/>
      <c r="LTF147" s="1206"/>
      <c r="LTG147" s="1206"/>
      <c r="LTH147" s="1206"/>
      <c r="LTI147" s="1206"/>
      <c r="LTJ147" s="1206"/>
      <c r="LTK147" s="1206"/>
      <c r="LTL147" s="1206"/>
      <c r="LTM147" s="1206"/>
      <c r="LTN147" s="1206"/>
      <c r="LTO147" s="1206"/>
      <c r="LTP147" s="1206"/>
      <c r="LTQ147" s="1206"/>
      <c r="LTR147" s="1206"/>
      <c r="LTS147" s="1206"/>
      <c r="LTT147" s="1206"/>
      <c r="LTU147" s="1206"/>
      <c r="LTV147" s="1206"/>
      <c r="LTW147" s="1206"/>
      <c r="LTX147" s="1206"/>
      <c r="LTY147" s="1206"/>
      <c r="LTZ147" s="1206"/>
      <c r="LUA147" s="1206"/>
      <c r="LUB147" s="1206"/>
      <c r="LUC147" s="1206"/>
      <c r="LUD147" s="1206"/>
      <c r="LUE147" s="1206"/>
      <c r="LUF147" s="1206"/>
      <c r="LUG147" s="1206"/>
      <c r="LUH147" s="1206"/>
      <c r="LUI147" s="1206"/>
      <c r="LUJ147" s="1206"/>
      <c r="LUK147" s="1206"/>
      <c r="LUL147" s="1206"/>
      <c r="LUM147" s="1206"/>
      <c r="LUN147" s="1206"/>
      <c r="LUO147" s="1206"/>
      <c r="LUP147" s="1206"/>
      <c r="LUQ147" s="1206"/>
      <c r="LUR147" s="1206"/>
      <c r="LUS147" s="1206"/>
      <c r="LUT147" s="1206"/>
      <c r="LUU147" s="1206"/>
      <c r="LUV147" s="1206"/>
      <c r="LUW147" s="1206"/>
      <c r="LUX147" s="1206"/>
      <c r="LUY147" s="1206"/>
      <c r="LUZ147" s="1206"/>
      <c r="LVA147" s="1206"/>
      <c r="LVB147" s="1206"/>
      <c r="LVC147" s="1206"/>
      <c r="LVD147" s="1206"/>
      <c r="LVE147" s="1206"/>
      <c r="LVF147" s="1206"/>
      <c r="LVG147" s="1206"/>
      <c r="LVH147" s="1206"/>
      <c r="LVI147" s="1206"/>
      <c r="LVJ147" s="1206"/>
      <c r="LVK147" s="1206"/>
      <c r="LVL147" s="1206"/>
      <c r="LVM147" s="1206"/>
      <c r="LVN147" s="1206"/>
      <c r="LVO147" s="1206"/>
      <c r="LVP147" s="1206"/>
      <c r="LVQ147" s="1206"/>
      <c r="LVR147" s="1206"/>
      <c r="LVS147" s="1206"/>
      <c r="LVT147" s="1206"/>
      <c r="LVU147" s="1206"/>
      <c r="LVV147" s="1206"/>
      <c r="LVW147" s="1206"/>
      <c r="LVX147" s="1206"/>
      <c r="LVY147" s="1206"/>
      <c r="LVZ147" s="1206"/>
      <c r="LWA147" s="1206"/>
      <c r="LWB147" s="1206"/>
      <c r="LWC147" s="1206"/>
      <c r="LWD147" s="1206"/>
      <c r="LWE147" s="1206"/>
      <c r="LWF147" s="1206"/>
      <c r="LWG147" s="1206"/>
      <c r="LWH147" s="1206"/>
      <c r="LWI147" s="1206"/>
      <c r="LWJ147" s="1206"/>
      <c r="LWK147" s="1206"/>
      <c r="LWL147" s="1206"/>
      <c r="LWM147" s="1206"/>
      <c r="LWN147" s="1206"/>
      <c r="LWO147" s="1206"/>
      <c r="LWP147" s="1206"/>
      <c r="LWQ147" s="1206"/>
      <c r="LWR147" s="1206"/>
      <c r="LWS147" s="1206"/>
      <c r="LWT147" s="1206"/>
      <c r="LWU147" s="1206"/>
      <c r="LWV147" s="1206"/>
      <c r="LWW147" s="1206"/>
      <c r="LWX147" s="1206"/>
      <c r="LWY147" s="1206"/>
      <c r="LWZ147" s="1206"/>
      <c r="LXA147" s="1206"/>
      <c r="LXB147" s="1206"/>
      <c r="LXC147" s="1206"/>
      <c r="LXD147" s="1206"/>
      <c r="LXE147" s="1206"/>
      <c r="LXF147" s="1206"/>
      <c r="LXG147" s="1206"/>
      <c r="LXH147" s="1206"/>
      <c r="LXI147" s="1206"/>
      <c r="LXJ147" s="1206"/>
      <c r="LXK147" s="1206"/>
      <c r="LXL147" s="1206"/>
      <c r="LXM147" s="1206"/>
      <c r="LXN147" s="1206"/>
      <c r="LXO147" s="1206"/>
      <c r="LXP147" s="1206"/>
      <c r="LXQ147" s="1206"/>
      <c r="LXR147" s="1206"/>
      <c r="LXS147" s="1206"/>
      <c r="LXT147" s="1206"/>
      <c r="LXU147" s="1206"/>
      <c r="LXV147" s="1206"/>
      <c r="LXW147" s="1206"/>
      <c r="LXX147" s="1206"/>
      <c r="LXY147" s="1206"/>
      <c r="LXZ147" s="1206"/>
      <c r="LYA147" s="1206"/>
      <c r="LYB147" s="1206"/>
      <c r="LYC147" s="1206"/>
      <c r="LYD147" s="1206"/>
      <c r="LYE147" s="1206"/>
      <c r="LYF147" s="1206"/>
      <c r="LYG147" s="1206"/>
      <c r="LYH147" s="1206"/>
      <c r="LYI147" s="1206"/>
      <c r="LYJ147" s="1206"/>
      <c r="LYK147" s="1206"/>
      <c r="LYL147" s="1206"/>
      <c r="LYM147" s="1206"/>
      <c r="LYN147" s="1206"/>
      <c r="LYO147" s="1206"/>
      <c r="LYP147" s="1206"/>
      <c r="LYQ147" s="1206"/>
      <c r="LYR147" s="1206"/>
      <c r="LYS147" s="1206"/>
      <c r="LYT147" s="1206"/>
      <c r="LYU147" s="1206"/>
      <c r="LYV147" s="1206"/>
      <c r="LYW147" s="1206"/>
      <c r="LYX147" s="1206"/>
      <c r="LYY147" s="1206"/>
      <c r="LYZ147" s="1206"/>
      <c r="LZA147" s="1206"/>
      <c r="LZB147" s="1206"/>
      <c r="LZC147" s="1206"/>
      <c r="LZD147" s="1206"/>
      <c r="LZE147" s="1206"/>
      <c r="LZF147" s="1206"/>
      <c r="LZG147" s="1206"/>
      <c r="LZH147" s="1206"/>
      <c r="LZI147" s="1206"/>
      <c r="LZJ147" s="1206"/>
      <c r="LZK147" s="1206"/>
      <c r="LZL147" s="1206"/>
      <c r="LZM147" s="1206"/>
      <c r="LZN147" s="1206"/>
      <c r="LZO147" s="1206"/>
      <c r="LZP147" s="1206"/>
      <c r="LZQ147" s="1206"/>
      <c r="LZR147" s="1206"/>
      <c r="LZS147" s="1206"/>
      <c r="LZT147" s="1206"/>
      <c r="LZU147" s="1206"/>
      <c r="LZV147" s="1206"/>
      <c r="LZW147" s="1206"/>
      <c r="LZX147" s="1206"/>
      <c r="LZY147" s="1206"/>
      <c r="LZZ147" s="1206"/>
      <c r="MAA147" s="1206"/>
      <c r="MAB147" s="1206"/>
      <c r="MAC147" s="1206"/>
      <c r="MAD147" s="1206"/>
      <c r="MAE147" s="1206"/>
      <c r="MAF147" s="1206"/>
      <c r="MAG147" s="1206"/>
      <c r="MAH147" s="1206"/>
      <c r="MAI147" s="1206"/>
      <c r="MAJ147" s="1206"/>
      <c r="MAK147" s="1206"/>
      <c r="MAL147" s="1206"/>
      <c r="MAM147" s="1206"/>
      <c r="MAN147" s="1206"/>
      <c r="MAO147" s="1206"/>
      <c r="MAP147" s="1206"/>
      <c r="MAQ147" s="1206"/>
      <c r="MAR147" s="1206"/>
      <c r="MAS147" s="1206"/>
      <c r="MAT147" s="1206"/>
      <c r="MAU147" s="1206"/>
      <c r="MAV147" s="1206"/>
      <c r="MAW147" s="1206"/>
      <c r="MAX147" s="1206"/>
      <c r="MAY147" s="1206"/>
      <c r="MAZ147" s="1206"/>
      <c r="MBA147" s="1206"/>
      <c r="MBB147" s="1206"/>
      <c r="MBC147" s="1206"/>
      <c r="MBD147" s="1206"/>
      <c r="MBE147" s="1206"/>
      <c r="MBF147" s="1206"/>
      <c r="MBG147" s="1206"/>
      <c r="MBH147" s="1206"/>
      <c r="MBI147" s="1206"/>
      <c r="MBJ147" s="1206"/>
      <c r="MBK147" s="1206"/>
      <c r="MBL147" s="1206"/>
      <c r="MBM147" s="1206"/>
      <c r="MBN147" s="1206"/>
      <c r="MBO147" s="1206"/>
      <c r="MBP147" s="1206"/>
      <c r="MBQ147" s="1206"/>
      <c r="MBR147" s="1206"/>
      <c r="MBS147" s="1206"/>
      <c r="MBT147" s="1206"/>
      <c r="MBU147" s="1206"/>
      <c r="MBV147" s="1206"/>
      <c r="MBW147" s="1206"/>
      <c r="MBX147" s="1206"/>
      <c r="MBY147" s="1206"/>
      <c r="MBZ147" s="1206"/>
      <c r="MCA147" s="1206"/>
      <c r="MCB147" s="1206"/>
      <c r="MCC147" s="1206"/>
      <c r="MCD147" s="1206"/>
      <c r="MCE147" s="1206"/>
      <c r="MCF147" s="1206"/>
      <c r="MCG147" s="1206"/>
      <c r="MCH147" s="1206"/>
      <c r="MCI147" s="1206"/>
      <c r="MCJ147" s="1206"/>
      <c r="MCK147" s="1206"/>
      <c r="MCL147" s="1206"/>
      <c r="MCM147" s="1206"/>
      <c r="MCN147" s="1206"/>
      <c r="MCO147" s="1206"/>
      <c r="MCP147" s="1206"/>
      <c r="MCQ147" s="1206"/>
      <c r="MCR147" s="1206"/>
      <c r="MCS147" s="1206"/>
      <c r="MCT147" s="1206"/>
      <c r="MCU147" s="1206"/>
      <c r="MCV147" s="1206"/>
      <c r="MCW147" s="1206"/>
      <c r="MCX147" s="1206"/>
      <c r="MCY147" s="1206"/>
      <c r="MCZ147" s="1206"/>
      <c r="MDA147" s="1206"/>
      <c r="MDB147" s="1206"/>
      <c r="MDC147" s="1206"/>
      <c r="MDD147" s="1206"/>
      <c r="MDE147" s="1206"/>
      <c r="MDF147" s="1206"/>
      <c r="MDG147" s="1206"/>
      <c r="MDH147" s="1206"/>
      <c r="MDI147" s="1206"/>
      <c r="MDJ147" s="1206"/>
      <c r="MDK147" s="1206"/>
      <c r="MDL147" s="1206"/>
      <c r="MDM147" s="1206"/>
      <c r="MDN147" s="1206"/>
      <c r="MDO147" s="1206"/>
      <c r="MDP147" s="1206"/>
      <c r="MDQ147" s="1206"/>
      <c r="MDR147" s="1206"/>
      <c r="MDS147" s="1206"/>
      <c r="MDT147" s="1206"/>
      <c r="MDU147" s="1206"/>
      <c r="MDV147" s="1206"/>
      <c r="MDW147" s="1206"/>
      <c r="MDX147" s="1206"/>
      <c r="MDY147" s="1206"/>
      <c r="MDZ147" s="1206"/>
      <c r="MEA147" s="1206"/>
      <c r="MEB147" s="1206"/>
      <c r="MEC147" s="1206"/>
      <c r="MED147" s="1206"/>
      <c r="MEE147" s="1206"/>
      <c r="MEF147" s="1206"/>
      <c r="MEG147" s="1206"/>
      <c r="MEH147" s="1206"/>
      <c r="MEI147" s="1206"/>
      <c r="MEJ147" s="1206"/>
      <c r="MEK147" s="1206"/>
      <c r="MEL147" s="1206"/>
      <c r="MEM147" s="1206"/>
      <c r="MEN147" s="1206"/>
      <c r="MEO147" s="1206"/>
      <c r="MEP147" s="1206"/>
      <c r="MEQ147" s="1206"/>
      <c r="MER147" s="1206"/>
      <c r="MES147" s="1206"/>
      <c r="MET147" s="1206"/>
      <c r="MEU147" s="1206"/>
      <c r="MEV147" s="1206"/>
      <c r="MEW147" s="1206"/>
      <c r="MEX147" s="1206"/>
      <c r="MEY147" s="1206"/>
      <c r="MEZ147" s="1206"/>
      <c r="MFA147" s="1206"/>
      <c r="MFB147" s="1206"/>
      <c r="MFC147" s="1206"/>
      <c r="MFD147" s="1206"/>
      <c r="MFE147" s="1206"/>
      <c r="MFF147" s="1206"/>
      <c r="MFG147" s="1206"/>
      <c r="MFH147" s="1206"/>
      <c r="MFI147" s="1206"/>
      <c r="MFJ147" s="1206"/>
      <c r="MFK147" s="1206"/>
      <c r="MFL147" s="1206"/>
      <c r="MFM147" s="1206"/>
      <c r="MFN147" s="1206"/>
      <c r="MFO147" s="1206"/>
      <c r="MFP147" s="1206"/>
      <c r="MFQ147" s="1206"/>
      <c r="MFR147" s="1206"/>
      <c r="MFS147" s="1206"/>
      <c r="MFT147" s="1206"/>
      <c r="MFU147" s="1206"/>
      <c r="MFV147" s="1206"/>
      <c r="MFW147" s="1206"/>
      <c r="MFX147" s="1206"/>
      <c r="MFY147" s="1206"/>
      <c r="MFZ147" s="1206"/>
      <c r="MGA147" s="1206"/>
      <c r="MGB147" s="1206"/>
      <c r="MGC147" s="1206"/>
      <c r="MGD147" s="1206"/>
      <c r="MGE147" s="1206"/>
      <c r="MGF147" s="1206"/>
      <c r="MGG147" s="1206"/>
      <c r="MGH147" s="1206"/>
      <c r="MGI147" s="1206"/>
      <c r="MGJ147" s="1206"/>
      <c r="MGK147" s="1206"/>
      <c r="MGL147" s="1206"/>
      <c r="MGM147" s="1206"/>
      <c r="MGN147" s="1206"/>
      <c r="MGO147" s="1206"/>
      <c r="MGP147" s="1206"/>
      <c r="MGQ147" s="1206"/>
      <c r="MGR147" s="1206"/>
      <c r="MGS147" s="1206"/>
      <c r="MGT147" s="1206"/>
      <c r="MGU147" s="1206"/>
      <c r="MGV147" s="1206"/>
      <c r="MGW147" s="1206"/>
      <c r="MGX147" s="1206"/>
      <c r="MGY147" s="1206"/>
      <c r="MGZ147" s="1206"/>
      <c r="MHA147" s="1206"/>
      <c r="MHB147" s="1206"/>
      <c r="MHC147" s="1206"/>
      <c r="MHD147" s="1206"/>
      <c r="MHE147" s="1206"/>
      <c r="MHF147" s="1206"/>
      <c r="MHG147" s="1206"/>
      <c r="MHH147" s="1206"/>
      <c r="MHI147" s="1206"/>
      <c r="MHJ147" s="1206"/>
      <c r="MHK147" s="1206"/>
      <c r="MHL147" s="1206"/>
      <c r="MHM147" s="1206"/>
      <c r="MHN147" s="1206"/>
      <c r="MHO147" s="1206"/>
      <c r="MHP147" s="1206"/>
      <c r="MHQ147" s="1206"/>
      <c r="MHR147" s="1206"/>
      <c r="MHS147" s="1206"/>
      <c r="MHT147" s="1206"/>
      <c r="MHU147" s="1206"/>
      <c r="MHV147" s="1206"/>
      <c r="MHW147" s="1206"/>
      <c r="MHX147" s="1206"/>
      <c r="MHY147" s="1206"/>
      <c r="MHZ147" s="1206"/>
      <c r="MIA147" s="1206"/>
      <c r="MIB147" s="1206"/>
      <c r="MIC147" s="1206"/>
      <c r="MID147" s="1206"/>
      <c r="MIE147" s="1206"/>
      <c r="MIF147" s="1206"/>
      <c r="MIG147" s="1206"/>
      <c r="MIH147" s="1206"/>
      <c r="MII147" s="1206"/>
      <c r="MIJ147" s="1206"/>
      <c r="MIK147" s="1206"/>
      <c r="MIL147" s="1206"/>
      <c r="MIM147" s="1206"/>
      <c r="MIN147" s="1206"/>
      <c r="MIO147" s="1206"/>
      <c r="MIP147" s="1206"/>
      <c r="MIQ147" s="1206"/>
      <c r="MIR147" s="1206"/>
      <c r="MIS147" s="1206"/>
      <c r="MIT147" s="1206"/>
      <c r="MIU147" s="1206"/>
      <c r="MIV147" s="1206"/>
      <c r="MIW147" s="1206"/>
      <c r="MIX147" s="1206"/>
      <c r="MIY147" s="1206"/>
      <c r="MIZ147" s="1206"/>
      <c r="MJA147" s="1206"/>
      <c r="MJB147" s="1206"/>
      <c r="MJC147" s="1206"/>
      <c r="MJD147" s="1206"/>
      <c r="MJE147" s="1206"/>
      <c r="MJF147" s="1206"/>
      <c r="MJG147" s="1206"/>
      <c r="MJH147" s="1206"/>
      <c r="MJI147" s="1206"/>
      <c r="MJJ147" s="1206"/>
      <c r="MJK147" s="1206"/>
      <c r="MJL147" s="1206"/>
      <c r="MJM147" s="1206"/>
      <c r="MJN147" s="1206"/>
      <c r="MJO147" s="1206"/>
      <c r="MJP147" s="1206"/>
      <c r="MJQ147" s="1206"/>
      <c r="MJR147" s="1206"/>
      <c r="MJS147" s="1206"/>
      <c r="MJT147" s="1206"/>
      <c r="MJU147" s="1206"/>
      <c r="MJV147" s="1206"/>
      <c r="MJW147" s="1206"/>
      <c r="MJX147" s="1206"/>
      <c r="MJY147" s="1206"/>
      <c r="MJZ147" s="1206"/>
      <c r="MKA147" s="1206"/>
      <c r="MKB147" s="1206"/>
      <c r="MKC147" s="1206"/>
      <c r="MKD147" s="1206"/>
      <c r="MKE147" s="1206"/>
      <c r="MKF147" s="1206"/>
      <c r="MKG147" s="1206"/>
      <c r="MKH147" s="1206"/>
      <c r="MKI147" s="1206"/>
      <c r="MKJ147" s="1206"/>
      <c r="MKK147" s="1206"/>
      <c r="MKL147" s="1206"/>
      <c r="MKM147" s="1206"/>
      <c r="MKN147" s="1206"/>
      <c r="MKO147" s="1206"/>
      <c r="MKP147" s="1206"/>
      <c r="MKQ147" s="1206"/>
      <c r="MKR147" s="1206"/>
      <c r="MKS147" s="1206"/>
      <c r="MKT147" s="1206"/>
      <c r="MKU147" s="1206"/>
      <c r="MKV147" s="1206"/>
      <c r="MKW147" s="1206"/>
      <c r="MKX147" s="1206"/>
      <c r="MKY147" s="1206"/>
      <c r="MKZ147" s="1206"/>
      <c r="MLA147" s="1206"/>
      <c r="MLB147" s="1206"/>
      <c r="MLC147" s="1206"/>
      <c r="MLD147" s="1206"/>
      <c r="MLE147" s="1206"/>
      <c r="MLF147" s="1206"/>
      <c r="MLG147" s="1206"/>
      <c r="MLH147" s="1206"/>
      <c r="MLI147" s="1206"/>
      <c r="MLJ147" s="1206"/>
      <c r="MLK147" s="1206"/>
      <c r="MLL147" s="1206"/>
      <c r="MLM147" s="1206"/>
      <c r="MLN147" s="1206"/>
      <c r="MLO147" s="1206"/>
      <c r="MLP147" s="1206"/>
      <c r="MLQ147" s="1206"/>
      <c r="MLR147" s="1206"/>
      <c r="MLS147" s="1206"/>
      <c r="MLT147" s="1206"/>
      <c r="MLU147" s="1206"/>
      <c r="MLV147" s="1206"/>
      <c r="MLW147" s="1206"/>
      <c r="MLX147" s="1206"/>
      <c r="MLY147" s="1206"/>
      <c r="MLZ147" s="1206"/>
      <c r="MMA147" s="1206"/>
      <c r="MMB147" s="1206"/>
      <c r="MMC147" s="1206"/>
      <c r="MMD147" s="1206"/>
      <c r="MME147" s="1206"/>
      <c r="MMF147" s="1206"/>
      <c r="MMG147" s="1206"/>
      <c r="MMH147" s="1206"/>
      <c r="MMI147" s="1206"/>
      <c r="MMJ147" s="1206"/>
      <c r="MMK147" s="1206"/>
      <c r="MML147" s="1206"/>
      <c r="MMM147" s="1206"/>
      <c r="MMN147" s="1206"/>
      <c r="MMO147" s="1206"/>
      <c r="MMP147" s="1206"/>
      <c r="MMQ147" s="1206"/>
      <c r="MMR147" s="1206"/>
      <c r="MMS147" s="1206"/>
      <c r="MMT147" s="1206"/>
      <c r="MMU147" s="1206"/>
      <c r="MMV147" s="1206"/>
      <c r="MMW147" s="1206"/>
      <c r="MMX147" s="1206"/>
      <c r="MMY147" s="1206"/>
      <c r="MMZ147" s="1206"/>
      <c r="MNA147" s="1206"/>
      <c r="MNB147" s="1206"/>
      <c r="MNC147" s="1206"/>
      <c r="MND147" s="1206"/>
      <c r="MNE147" s="1206"/>
      <c r="MNF147" s="1206"/>
      <c r="MNG147" s="1206"/>
      <c r="MNH147" s="1206"/>
      <c r="MNI147" s="1206"/>
      <c r="MNJ147" s="1206"/>
      <c r="MNK147" s="1206"/>
      <c r="MNL147" s="1206"/>
      <c r="MNM147" s="1206"/>
      <c r="MNN147" s="1206"/>
      <c r="MNO147" s="1206"/>
      <c r="MNP147" s="1206"/>
      <c r="MNQ147" s="1206"/>
      <c r="MNR147" s="1206"/>
      <c r="MNS147" s="1206"/>
      <c r="MNT147" s="1206"/>
      <c r="MNU147" s="1206"/>
      <c r="MNV147" s="1206"/>
      <c r="MNW147" s="1206"/>
      <c r="MNX147" s="1206"/>
      <c r="MNY147" s="1206"/>
      <c r="MNZ147" s="1206"/>
      <c r="MOA147" s="1206"/>
      <c r="MOB147" s="1206"/>
      <c r="MOC147" s="1206"/>
      <c r="MOD147" s="1206"/>
      <c r="MOE147" s="1206"/>
      <c r="MOF147" s="1206"/>
      <c r="MOG147" s="1206"/>
      <c r="MOH147" s="1206"/>
      <c r="MOI147" s="1206"/>
      <c r="MOJ147" s="1206"/>
      <c r="MOK147" s="1206"/>
      <c r="MOL147" s="1206"/>
      <c r="MOM147" s="1206"/>
      <c r="MON147" s="1206"/>
      <c r="MOO147" s="1206"/>
      <c r="MOP147" s="1206"/>
      <c r="MOQ147" s="1206"/>
      <c r="MOR147" s="1206"/>
      <c r="MOS147" s="1206"/>
      <c r="MOT147" s="1206"/>
      <c r="MOU147" s="1206"/>
      <c r="MOV147" s="1206"/>
      <c r="MOW147" s="1206"/>
      <c r="MOX147" s="1206"/>
      <c r="MOY147" s="1206"/>
      <c r="MOZ147" s="1206"/>
      <c r="MPA147" s="1206"/>
      <c r="MPB147" s="1206"/>
      <c r="MPC147" s="1206"/>
      <c r="MPD147" s="1206"/>
      <c r="MPE147" s="1206"/>
      <c r="MPF147" s="1206"/>
      <c r="MPG147" s="1206"/>
      <c r="MPH147" s="1206"/>
      <c r="MPI147" s="1206"/>
      <c r="MPJ147" s="1206"/>
      <c r="MPK147" s="1206"/>
      <c r="MPL147" s="1206"/>
      <c r="MPM147" s="1206"/>
      <c r="MPN147" s="1206"/>
      <c r="MPO147" s="1206"/>
      <c r="MPP147" s="1206"/>
      <c r="MPQ147" s="1206"/>
      <c r="MPR147" s="1206"/>
      <c r="MPS147" s="1206"/>
      <c r="MPT147" s="1206"/>
      <c r="MPU147" s="1206"/>
      <c r="MPV147" s="1206"/>
      <c r="MPW147" s="1206"/>
      <c r="MPX147" s="1206"/>
      <c r="MPY147" s="1206"/>
      <c r="MPZ147" s="1206"/>
      <c r="MQA147" s="1206"/>
      <c r="MQB147" s="1206"/>
      <c r="MQC147" s="1206"/>
      <c r="MQD147" s="1206"/>
      <c r="MQE147" s="1206"/>
      <c r="MQF147" s="1206"/>
      <c r="MQG147" s="1206"/>
      <c r="MQH147" s="1206"/>
      <c r="MQI147" s="1206"/>
      <c r="MQJ147" s="1206"/>
      <c r="MQK147" s="1206"/>
      <c r="MQL147" s="1206"/>
      <c r="MQM147" s="1206"/>
      <c r="MQN147" s="1206"/>
      <c r="MQO147" s="1206"/>
      <c r="MQP147" s="1206"/>
      <c r="MQQ147" s="1206"/>
      <c r="MQR147" s="1206"/>
      <c r="MQS147" s="1206"/>
      <c r="MQT147" s="1206"/>
      <c r="MQU147" s="1206"/>
      <c r="MQV147" s="1206"/>
      <c r="MQW147" s="1206"/>
      <c r="MQX147" s="1206"/>
      <c r="MQY147" s="1206"/>
      <c r="MQZ147" s="1206"/>
      <c r="MRA147" s="1206"/>
      <c r="MRB147" s="1206"/>
      <c r="MRC147" s="1206"/>
      <c r="MRD147" s="1206"/>
      <c r="MRE147" s="1206"/>
      <c r="MRF147" s="1206"/>
      <c r="MRG147" s="1206"/>
      <c r="MRH147" s="1206"/>
      <c r="MRI147" s="1206"/>
      <c r="MRJ147" s="1206"/>
      <c r="MRK147" s="1206"/>
      <c r="MRL147" s="1206"/>
      <c r="MRM147" s="1206"/>
      <c r="MRN147" s="1206"/>
      <c r="MRO147" s="1206"/>
      <c r="MRP147" s="1206"/>
      <c r="MRQ147" s="1206"/>
      <c r="MRR147" s="1206"/>
      <c r="MRS147" s="1206"/>
      <c r="MRT147" s="1206"/>
      <c r="MRU147" s="1206"/>
      <c r="MRV147" s="1206"/>
      <c r="MRW147" s="1206"/>
      <c r="MRX147" s="1206"/>
      <c r="MRY147" s="1206"/>
      <c r="MRZ147" s="1206"/>
      <c r="MSA147" s="1206"/>
      <c r="MSB147" s="1206"/>
      <c r="MSC147" s="1206"/>
      <c r="MSD147" s="1206"/>
      <c r="MSE147" s="1206"/>
      <c r="MSF147" s="1206"/>
      <c r="MSG147" s="1206"/>
      <c r="MSH147" s="1206"/>
      <c r="MSI147" s="1206"/>
      <c r="MSJ147" s="1206"/>
      <c r="MSK147" s="1206"/>
      <c r="MSL147" s="1206"/>
      <c r="MSM147" s="1206"/>
      <c r="MSN147" s="1206"/>
      <c r="MSO147" s="1206"/>
      <c r="MSP147" s="1206"/>
      <c r="MSQ147" s="1206"/>
      <c r="MSR147" s="1206"/>
      <c r="MSS147" s="1206"/>
      <c r="MST147" s="1206"/>
      <c r="MSU147" s="1206"/>
      <c r="MSV147" s="1206"/>
      <c r="MSW147" s="1206"/>
      <c r="MSX147" s="1206"/>
      <c r="MSY147" s="1206"/>
      <c r="MSZ147" s="1206"/>
      <c r="MTA147" s="1206"/>
      <c r="MTB147" s="1206"/>
      <c r="MTC147" s="1206"/>
      <c r="MTD147" s="1206"/>
      <c r="MTE147" s="1206"/>
      <c r="MTF147" s="1206"/>
      <c r="MTG147" s="1206"/>
      <c r="MTH147" s="1206"/>
      <c r="MTI147" s="1206"/>
      <c r="MTJ147" s="1206"/>
      <c r="MTK147" s="1206"/>
      <c r="MTL147" s="1206"/>
      <c r="MTM147" s="1206"/>
      <c r="MTN147" s="1206"/>
      <c r="MTO147" s="1206"/>
      <c r="MTP147" s="1206"/>
      <c r="MTQ147" s="1206"/>
      <c r="MTR147" s="1206"/>
      <c r="MTS147" s="1206"/>
      <c r="MTT147" s="1206"/>
      <c r="MTU147" s="1206"/>
      <c r="MTV147" s="1206"/>
      <c r="MTW147" s="1206"/>
      <c r="MTX147" s="1206"/>
      <c r="MTY147" s="1206"/>
      <c r="MTZ147" s="1206"/>
      <c r="MUA147" s="1206"/>
      <c r="MUB147" s="1206"/>
      <c r="MUC147" s="1206"/>
      <c r="MUD147" s="1206"/>
      <c r="MUE147" s="1206"/>
      <c r="MUF147" s="1206"/>
      <c r="MUG147" s="1206"/>
      <c r="MUH147" s="1206"/>
      <c r="MUI147" s="1206"/>
      <c r="MUJ147" s="1206"/>
      <c r="MUK147" s="1206"/>
      <c r="MUL147" s="1206"/>
      <c r="MUM147" s="1206"/>
      <c r="MUN147" s="1206"/>
      <c r="MUO147" s="1206"/>
      <c r="MUP147" s="1206"/>
      <c r="MUQ147" s="1206"/>
      <c r="MUR147" s="1206"/>
      <c r="MUS147" s="1206"/>
      <c r="MUT147" s="1206"/>
      <c r="MUU147" s="1206"/>
      <c r="MUV147" s="1206"/>
      <c r="MUW147" s="1206"/>
      <c r="MUX147" s="1206"/>
      <c r="MUY147" s="1206"/>
      <c r="MUZ147" s="1206"/>
      <c r="MVA147" s="1206"/>
      <c r="MVB147" s="1206"/>
      <c r="MVC147" s="1206"/>
      <c r="MVD147" s="1206"/>
      <c r="MVE147" s="1206"/>
      <c r="MVF147" s="1206"/>
      <c r="MVG147" s="1206"/>
      <c r="MVH147" s="1206"/>
      <c r="MVI147" s="1206"/>
      <c r="MVJ147" s="1206"/>
      <c r="MVK147" s="1206"/>
      <c r="MVL147" s="1206"/>
      <c r="MVM147" s="1206"/>
      <c r="MVN147" s="1206"/>
      <c r="MVO147" s="1206"/>
      <c r="MVP147" s="1206"/>
      <c r="MVQ147" s="1206"/>
      <c r="MVR147" s="1206"/>
      <c r="MVS147" s="1206"/>
      <c r="MVT147" s="1206"/>
      <c r="MVU147" s="1206"/>
      <c r="MVV147" s="1206"/>
      <c r="MVW147" s="1206"/>
      <c r="MVX147" s="1206"/>
      <c r="MVY147" s="1206"/>
      <c r="MVZ147" s="1206"/>
      <c r="MWA147" s="1206"/>
      <c r="MWB147" s="1206"/>
      <c r="MWC147" s="1206"/>
      <c r="MWD147" s="1206"/>
      <c r="MWE147" s="1206"/>
      <c r="MWF147" s="1206"/>
      <c r="MWG147" s="1206"/>
      <c r="MWH147" s="1206"/>
      <c r="MWI147" s="1206"/>
      <c r="MWJ147" s="1206"/>
      <c r="MWK147" s="1206"/>
      <c r="MWL147" s="1206"/>
      <c r="MWM147" s="1206"/>
      <c r="MWN147" s="1206"/>
      <c r="MWO147" s="1206"/>
      <c r="MWP147" s="1206"/>
      <c r="MWQ147" s="1206"/>
      <c r="MWR147" s="1206"/>
      <c r="MWS147" s="1206"/>
      <c r="MWT147" s="1206"/>
      <c r="MWU147" s="1206"/>
      <c r="MWV147" s="1206"/>
      <c r="MWW147" s="1206"/>
      <c r="MWX147" s="1206"/>
      <c r="MWY147" s="1206"/>
      <c r="MWZ147" s="1206"/>
      <c r="MXA147" s="1206"/>
      <c r="MXB147" s="1206"/>
      <c r="MXC147" s="1206"/>
      <c r="MXD147" s="1206"/>
      <c r="MXE147" s="1206"/>
      <c r="MXF147" s="1206"/>
      <c r="MXG147" s="1206"/>
      <c r="MXH147" s="1206"/>
      <c r="MXI147" s="1206"/>
      <c r="MXJ147" s="1206"/>
      <c r="MXK147" s="1206"/>
      <c r="MXL147" s="1206"/>
      <c r="MXM147" s="1206"/>
      <c r="MXN147" s="1206"/>
      <c r="MXO147" s="1206"/>
      <c r="MXP147" s="1206"/>
      <c r="MXQ147" s="1206"/>
      <c r="MXR147" s="1206"/>
      <c r="MXS147" s="1206"/>
      <c r="MXT147" s="1206"/>
      <c r="MXU147" s="1206"/>
      <c r="MXV147" s="1206"/>
      <c r="MXW147" s="1206"/>
      <c r="MXX147" s="1206"/>
      <c r="MXY147" s="1206"/>
      <c r="MXZ147" s="1206"/>
      <c r="MYA147" s="1206"/>
      <c r="MYB147" s="1206"/>
      <c r="MYC147" s="1206"/>
      <c r="MYD147" s="1206"/>
      <c r="MYE147" s="1206"/>
      <c r="MYF147" s="1206"/>
      <c r="MYG147" s="1206"/>
      <c r="MYH147" s="1206"/>
      <c r="MYI147" s="1206"/>
      <c r="MYJ147" s="1206"/>
      <c r="MYK147" s="1206"/>
      <c r="MYL147" s="1206"/>
      <c r="MYM147" s="1206"/>
      <c r="MYN147" s="1206"/>
      <c r="MYO147" s="1206"/>
      <c r="MYP147" s="1206"/>
      <c r="MYQ147" s="1206"/>
      <c r="MYR147" s="1206"/>
      <c r="MYS147" s="1206"/>
      <c r="MYT147" s="1206"/>
      <c r="MYU147" s="1206"/>
      <c r="MYV147" s="1206"/>
      <c r="MYW147" s="1206"/>
      <c r="MYX147" s="1206"/>
      <c r="MYY147" s="1206"/>
      <c r="MYZ147" s="1206"/>
      <c r="MZA147" s="1206"/>
      <c r="MZB147" s="1206"/>
      <c r="MZC147" s="1206"/>
      <c r="MZD147" s="1206"/>
      <c r="MZE147" s="1206"/>
      <c r="MZF147" s="1206"/>
      <c r="MZG147" s="1206"/>
      <c r="MZH147" s="1206"/>
      <c r="MZI147" s="1206"/>
      <c r="MZJ147" s="1206"/>
      <c r="MZK147" s="1206"/>
      <c r="MZL147" s="1206"/>
      <c r="MZM147" s="1206"/>
      <c r="MZN147" s="1206"/>
      <c r="MZO147" s="1206"/>
      <c r="MZP147" s="1206"/>
      <c r="MZQ147" s="1206"/>
      <c r="MZR147" s="1206"/>
      <c r="MZS147" s="1206"/>
      <c r="MZT147" s="1206"/>
      <c r="MZU147" s="1206"/>
      <c r="MZV147" s="1206"/>
      <c r="MZW147" s="1206"/>
      <c r="MZX147" s="1206"/>
      <c r="MZY147" s="1206"/>
      <c r="MZZ147" s="1206"/>
      <c r="NAA147" s="1206"/>
      <c r="NAB147" s="1206"/>
      <c r="NAC147" s="1206"/>
      <c r="NAD147" s="1206"/>
      <c r="NAE147" s="1206"/>
      <c r="NAF147" s="1206"/>
      <c r="NAG147" s="1206"/>
      <c r="NAH147" s="1206"/>
      <c r="NAI147" s="1206"/>
      <c r="NAJ147" s="1206"/>
      <c r="NAK147" s="1206"/>
      <c r="NAL147" s="1206"/>
      <c r="NAM147" s="1206"/>
      <c r="NAN147" s="1206"/>
      <c r="NAO147" s="1206"/>
      <c r="NAP147" s="1206"/>
      <c r="NAQ147" s="1206"/>
      <c r="NAR147" s="1206"/>
      <c r="NAS147" s="1206"/>
      <c r="NAT147" s="1206"/>
      <c r="NAU147" s="1206"/>
      <c r="NAV147" s="1206"/>
      <c r="NAW147" s="1206"/>
      <c r="NAX147" s="1206"/>
      <c r="NAY147" s="1206"/>
      <c r="NAZ147" s="1206"/>
      <c r="NBA147" s="1206"/>
      <c r="NBB147" s="1206"/>
      <c r="NBC147" s="1206"/>
      <c r="NBD147" s="1206"/>
      <c r="NBE147" s="1206"/>
      <c r="NBF147" s="1206"/>
      <c r="NBG147" s="1206"/>
      <c r="NBH147" s="1206"/>
      <c r="NBI147" s="1206"/>
      <c r="NBJ147" s="1206"/>
      <c r="NBK147" s="1206"/>
      <c r="NBL147" s="1206"/>
      <c r="NBM147" s="1206"/>
      <c r="NBN147" s="1206"/>
      <c r="NBO147" s="1206"/>
      <c r="NBP147" s="1206"/>
      <c r="NBQ147" s="1206"/>
      <c r="NBR147" s="1206"/>
      <c r="NBS147" s="1206"/>
      <c r="NBT147" s="1206"/>
      <c r="NBU147" s="1206"/>
      <c r="NBV147" s="1206"/>
      <c r="NBW147" s="1206"/>
      <c r="NBX147" s="1206"/>
      <c r="NBY147" s="1206"/>
      <c r="NBZ147" s="1206"/>
      <c r="NCA147" s="1206"/>
      <c r="NCB147" s="1206"/>
      <c r="NCC147" s="1206"/>
      <c r="NCD147" s="1206"/>
      <c r="NCE147" s="1206"/>
      <c r="NCF147" s="1206"/>
      <c r="NCG147" s="1206"/>
      <c r="NCH147" s="1206"/>
      <c r="NCI147" s="1206"/>
      <c r="NCJ147" s="1206"/>
      <c r="NCK147" s="1206"/>
      <c r="NCL147" s="1206"/>
      <c r="NCM147" s="1206"/>
      <c r="NCN147" s="1206"/>
      <c r="NCO147" s="1206"/>
      <c r="NCP147" s="1206"/>
      <c r="NCQ147" s="1206"/>
      <c r="NCR147" s="1206"/>
      <c r="NCS147" s="1206"/>
      <c r="NCT147" s="1206"/>
      <c r="NCU147" s="1206"/>
      <c r="NCV147" s="1206"/>
      <c r="NCW147" s="1206"/>
      <c r="NCX147" s="1206"/>
      <c r="NCY147" s="1206"/>
      <c r="NCZ147" s="1206"/>
      <c r="NDA147" s="1206"/>
      <c r="NDB147" s="1206"/>
      <c r="NDC147" s="1206"/>
      <c r="NDD147" s="1206"/>
      <c r="NDE147" s="1206"/>
      <c r="NDF147" s="1206"/>
      <c r="NDG147" s="1206"/>
      <c r="NDH147" s="1206"/>
      <c r="NDI147" s="1206"/>
      <c r="NDJ147" s="1206"/>
      <c r="NDK147" s="1206"/>
      <c r="NDL147" s="1206"/>
      <c r="NDM147" s="1206"/>
      <c r="NDN147" s="1206"/>
      <c r="NDO147" s="1206"/>
      <c r="NDP147" s="1206"/>
      <c r="NDQ147" s="1206"/>
      <c r="NDR147" s="1206"/>
      <c r="NDS147" s="1206"/>
      <c r="NDT147" s="1206"/>
      <c r="NDU147" s="1206"/>
      <c r="NDV147" s="1206"/>
      <c r="NDW147" s="1206"/>
      <c r="NDX147" s="1206"/>
      <c r="NDY147" s="1206"/>
      <c r="NDZ147" s="1206"/>
      <c r="NEA147" s="1206"/>
      <c r="NEB147" s="1206"/>
      <c r="NEC147" s="1206"/>
      <c r="NED147" s="1206"/>
      <c r="NEE147" s="1206"/>
      <c r="NEF147" s="1206"/>
      <c r="NEG147" s="1206"/>
      <c r="NEH147" s="1206"/>
      <c r="NEI147" s="1206"/>
      <c r="NEJ147" s="1206"/>
      <c r="NEK147" s="1206"/>
      <c r="NEL147" s="1206"/>
      <c r="NEM147" s="1206"/>
      <c r="NEN147" s="1206"/>
      <c r="NEO147" s="1206"/>
      <c r="NEP147" s="1206"/>
      <c r="NEQ147" s="1206"/>
      <c r="NER147" s="1206"/>
      <c r="NES147" s="1206"/>
      <c r="NET147" s="1206"/>
      <c r="NEU147" s="1206"/>
      <c r="NEV147" s="1206"/>
      <c r="NEW147" s="1206"/>
      <c r="NEX147" s="1206"/>
      <c r="NEY147" s="1206"/>
      <c r="NEZ147" s="1206"/>
      <c r="NFA147" s="1206"/>
      <c r="NFB147" s="1206"/>
      <c r="NFC147" s="1206"/>
      <c r="NFD147" s="1206"/>
      <c r="NFE147" s="1206"/>
      <c r="NFF147" s="1206"/>
      <c r="NFG147" s="1206"/>
      <c r="NFH147" s="1206"/>
      <c r="NFI147" s="1206"/>
      <c r="NFJ147" s="1206"/>
      <c r="NFK147" s="1206"/>
      <c r="NFL147" s="1206"/>
      <c r="NFM147" s="1206"/>
      <c r="NFN147" s="1206"/>
      <c r="NFO147" s="1206"/>
      <c r="NFP147" s="1206"/>
      <c r="NFQ147" s="1206"/>
      <c r="NFR147" s="1206"/>
      <c r="NFS147" s="1206"/>
      <c r="NFT147" s="1206"/>
      <c r="NFU147" s="1206"/>
      <c r="NFV147" s="1206"/>
      <c r="NFW147" s="1206"/>
      <c r="NFX147" s="1206"/>
      <c r="NFY147" s="1206"/>
      <c r="NFZ147" s="1206"/>
      <c r="NGA147" s="1206"/>
      <c r="NGB147" s="1206"/>
      <c r="NGC147" s="1206"/>
      <c r="NGD147" s="1206"/>
      <c r="NGE147" s="1206"/>
      <c r="NGF147" s="1206"/>
      <c r="NGG147" s="1206"/>
      <c r="NGH147" s="1206"/>
      <c r="NGI147" s="1206"/>
      <c r="NGJ147" s="1206"/>
      <c r="NGK147" s="1206"/>
      <c r="NGL147" s="1206"/>
      <c r="NGM147" s="1206"/>
      <c r="NGN147" s="1206"/>
      <c r="NGO147" s="1206"/>
      <c r="NGP147" s="1206"/>
      <c r="NGQ147" s="1206"/>
      <c r="NGR147" s="1206"/>
      <c r="NGS147" s="1206"/>
      <c r="NGT147" s="1206"/>
      <c r="NGU147" s="1206"/>
      <c r="NGV147" s="1206"/>
      <c r="NGW147" s="1206"/>
      <c r="NGX147" s="1206"/>
      <c r="NGY147" s="1206"/>
      <c r="NGZ147" s="1206"/>
      <c r="NHA147" s="1206"/>
      <c r="NHB147" s="1206"/>
      <c r="NHC147" s="1206"/>
      <c r="NHD147" s="1206"/>
      <c r="NHE147" s="1206"/>
      <c r="NHF147" s="1206"/>
      <c r="NHG147" s="1206"/>
      <c r="NHH147" s="1206"/>
      <c r="NHI147" s="1206"/>
      <c r="NHJ147" s="1206"/>
      <c r="NHK147" s="1206"/>
      <c r="NHL147" s="1206"/>
      <c r="NHM147" s="1206"/>
      <c r="NHN147" s="1206"/>
      <c r="NHO147" s="1206"/>
      <c r="NHP147" s="1206"/>
      <c r="NHQ147" s="1206"/>
      <c r="NHR147" s="1206"/>
      <c r="NHS147" s="1206"/>
      <c r="NHT147" s="1206"/>
      <c r="NHU147" s="1206"/>
      <c r="NHV147" s="1206"/>
      <c r="NHW147" s="1206"/>
      <c r="NHX147" s="1206"/>
      <c r="NHY147" s="1206"/>
      <c r="NHZ147" s="1206"/>
      <c r="NIA147" s="1206"/>
      <c r="NIB147" s="1206"/>
      <c r="NIC147" s="1206"/>
      <c r="NID147" s="1206"/>
      <c r="NIE147" s="1206"/>
      <c r="NIF147" s="1206"/>
      <c r="NIG147" s="1206"/>
      <c r="NIH147" s="1206"/>
      <c r="NII147" s="1206"/>
      <c r="NIJ147" s="1206"/>
      <c r="NIK147" s="1206"/>
      <c r="NIL147" s="1206"/>
      <c r="NIM147" s="1206"/>
      <c r="NIN147" s="1206"/>
      <c r="NIO147" s="1206"/>
      <c r="NIP147" s="1206"/>
      <c r="NIQ147" s="1206"/>
      <c r="NIR147" s="1206"/>
      <c r="NIS147" s="1206"/>
      <c r="NIT147" s="1206"/>
      <c r="NIU147" s="1206"/>
      <c r="NIV147" s="1206"/>
      <c r="NIW147" s="1206"/>
      <c r="NIX147" s="1206"/>
      <c r="NIY147" s="1206"/>
      <c r="NIZ147" s="1206"/>
      <c r="NJA147" s="1206"/>
      <c r="NJB147" s="1206"/>
      <c r="NJC147" s="1206"/>
      <c r="NJD147" s="1206"/>
      <c r="NJE147" s="1206"/>
      <c r="NJF147" s="1206"/>
      <c r="NJG147" s="1206"/>
      <c r="NJH147" s="1206"/>
      <c r="NJI147" s="1206"/>
      <c r="NJJ147" s="1206"/>
      <c r="NJK147" s="1206"/>
      <c r="NJL147" s="1206"/>
      <c r="NJM147" s="1206"/>
      <c r="NJN147" s="1206"/>
      <c r="NJO147" s="1206"/>
      <c r="NJP147" s="1206"/>
      <c r="NJQ147" s="1206"/>
      <c r="NJR147" s="1206"/>
      <c r="NJS147" s="1206"/>
      <c r="NJT147" s="1206"/>
      <c r="NJU147" s="1206"/>
      <c r="NJV147" s="1206"/>
      <c r="NJW147" s="1206"/>
      <c r="NJX147" s="1206"/>
      <c r="NJY147" s="1206"/>
      <c r="NJZ147" s="1206"/>
      <c r="NKA147" s="1206"/>
      <c r="NKB147" s="1206"/>
      <c r="NKC147" s="1206"/>
      <c r="NKD147" s="1206"/>
      <c r="NKE147" s="1206"/>
      <c r="NKF147" s="1206"/>
      <c r="NKG147" s="1206"/>
      <c r="NKH147" s="1206"/>
      <c r="NKI147" s="1206"/>
      <c r="NKJ147" s="1206"/>
      <c r="NKK147" s="1206"/>
      <c r="NKL147" s="1206"/>
      <c r="NKM147" s="1206"/>
      <c r="NKN147" s="1206"/>
      <c r="NKO147" s="1206"/>
      <c r="NKP147" s="1206"/>
      <c r="NKQ147" s="1206"/>
      <c r="NKR147" s="1206"/>
      <c r="NKS147" s="1206"/>
      <c r="NKT147" s="1206"/>
      <c r="NKU147" s="1206"/>
      <c r="NKV147" s="1206"/>
      <c r="NKW147" s="1206"/>
      <c r="NKX147" s="1206"/>
      <c r="NKY147" s="1206"/>
      <c r="NKZ147" s="1206"/>
      <c r="NLA147" s="1206"/>
      <c r="NLB147" s="1206"/>
      <c r="NLC147" s="1206"/>
      <c r="NLD147" s="1206"/>
      <c r="NLE147" s="1206"/>
      <c r="NLF147" s="1206"/>
      <c r="NLG147" s="1206"/>
      <c r="NLH147" s="1206"/>
      <c r="NLI147" s="1206"/>
      <c r="NLJ147" s="1206"/>
      <c r="NLK147" s="1206"/>
      <c r="NLL147" s="1206"/>
      <c r="NLM147" s="1206"/>
      <c r="NLN147" s="1206"/>
      <c r="NLO147" s="1206"/>
      <c r="NLP147" s="1206"/>
      <c r="NLQ147" s="1206"/>
      <c r="NLR147" s="1206"/>
      <c r="NLS147" s="1206"/>
      <c r="NLT147" s="1206"/>
      <c r="NLU147" s="1206"/>
      <c r="NLV147" s="1206"/>
      <c r="NLW147" s="1206"/>
      <c r="NLX147" s="1206"/>
      <c r="NLY147" s="1206"/>
      <c r="NLZ147" s="1206"/>
      <c r="NMA147" s="1206"/>
      <c r="NMB147" s="1206"/>
      <c r="NMC147" s="1206"/>
      <c r="NMD147" s="1206"/>
      <c r="NME147" s="1206"/>
      <c r="NMF147" s="1206"/>
      <c r="NMG147" s="1206"/>
      <c r="NMH147" s="1206"/>
      <c r="NMI147" s="1206"/>
      <c r="NMJ147" s="1206"/>
      <c r="NMK147" s="1206"/>
      <c r="NML147" s="1206"/>
      <c r="NMM147" s="1206"/>
      <c r="NMN147" s="1206"/>
      <c r="NMO147" s="1206"/>
      <c r="NMP147" s="1206"/>
      <c r="NMQ147" s="1206"/>
      <c r="NMR147" s="1206"/>
      <c r="NMS147" s="1206"/>
      <c r="NMT147" s="1206"/>
      <c r="NMU147" s="1206"/>
      <c r="NMV147" s="1206"/>
      <c r="NMW147" s="1206"/>
      <c r="NMX147" s="1206"/>
      <c r="NMY147" s="1206"/>
      <c r="NMZ147" s="1206"/>
      <c r="NNA147" s="1206"/>
      <c r="NNB147" s="1206"/>
      <c r="NNC147" s="1206"/>
      <c r="NND147" s="1206"/>
      <c r="NNE147" s="1206"/>
      <c r="NNF147" s="1206"/>
      <c r="NNG147" s="1206"/>
      <c r="NNH147" s="1206"/>
      <c r="NNI147" s="1206"/>
      <c r="NNJ147" s="1206"/>
      <c r="NNK147" s="1206"/>
      <c r="NNL147" s="1206"/>
      <c r="NNM147" s="1206"/>
      <c r="NNN147" s="1206"/>
      <c r="NNO147" s="1206"/>
      <c r="NNP147" s="1206"/>
      <c r="NNQ147" s="1206"/>
      <c r="NNR147" s="1206"/>
      <c r="NNS147" s="1206"/>
      <c r="NNT147" s="1206"/>
      <c r="NNU147" s="1206"/>
      <c r="NNV147" s="1206"/>
      <c r="NNW147" s="1206"/>
      <c r="NNX147" s="1206"/>
      <c r="NNY147" s="1206"/>
      <c r="NNZ147" s="1206"/>
      <c r="NOA147" s="1206"/>
      <c r="NOB147" s="1206"/>
      <c r="NOC147" s="1206"/>
      <c r="NOD147" s="1206"/>
      <c r="NOE147" s="1206"/>
      <c r="NOF147" s="1206"/>
      <c r="NOG147" s="1206"/>
      <c r="NOH147" s="1206"/>
      <c r="NOI147" s="1206"/>
      <c r="NOJ147" s="1206"/>
      <c r="NOK147" s="1206"/>
      <c r="NOL147" s="1206"/>
      <c r="NOM147" s="1206"/>
      <c r="NON147" s="1206"/>
      <c r="NOO147" s="1206"/>
      <c r="NOP147" s="1206"/>
      <c r="NOQ147" s="1206"/>
      <c r="NOR147" s="1206"/>
      <c r="NOS147" s="1206"/>
      <c r="NOT147" s="1206"/>
      <c r="NOU147" s="1206"/>
      <c r="NOV147" s="1206"/>
      <c r="NOW147" s="1206"/>
      <c r="NOX147" s="1206"/>
      <c r="NOY147" s="1206"/>
      <c r="NOZ147" s="1206"/>
      <c r="NPA147" s="1206"/>
      <c r="NPB147" s="1206"/>
      <c r="NPC147" s="1206"/>
      <c r="NPD147" s="1206"/>
      <c r="NPE147" s="1206"/>
      <c r="NPF147" s="1206"/>
      <c r="NPG147" s="1206"/>
      <c r="NPH147" s="1206"/>
      <c r="NPI147" s="1206"/>
      <c r="NPJ147" s="1206"/>
      <c r="NPK147" s="1206"/>
      <c r="NPL147" s="1206"/>
      <c r="NPM147" s="1206"/>
      <c r="NPN147" s="1206"/>
      <c r="NPO147" s="1206"/>
      <c r="NPP147" s="1206"/>
      <c r="NPQ147" s="1206"/>
      <c r="NPR147" s="1206"/>
      <c r="NPS147" s="1206"/>
      <c r="NPT147" s="1206"/>
      <c r="NPU147" s="1206"/>
      <c r="NPV147" s="1206"/>
      <c r="NPW147" s="1206"/>
      <c r="NPX147" s="1206"/>
      <c r="NPY147" s="1206"/>
      <c r="NPZ147" s="1206"/>
      <c r="NQA147" s="1206"/>
      <c r="NQB147" s="1206"/>
      <c r="NQC147" s="1206"/>
      <c r="NQD147" s="1206"/>
      <c r="NQE147" s="1206"/>
      <c r="NQF147" s="1206"/>
      <c r="NQG147" s="1206"/>
      <c r="NQH147" s="1206"/>
      <c r="NQI147" s="1206"/>
      <c r="NQJ147" s="1206"/>
      <c r="NQK147" s="1206"/>
      <c r="NQL147" s="1206"/>
      <c r="NQM147" s="1206"/>
      <c r="NQN147" s="1206"/>
      <c r="NQO147" s="1206"/>
      <c r="NQP147" s="1206"/>
      <c r="NQQ147" s="1206"/>
      <c r="NQR147" s="1206"/>
      <c r="NQS147" s="1206"/>
      <c r="NQT147" s="1206"/>
      <c r="NQU147" s="1206"/>
      <c r="NQV147" s="1206"/>
      <c r="NQW147" s="1206"/>
      <c r="NQX147" s="1206"/>
      <c r="NQY147" s="1206"/>
      <c r="NQZ147" s="1206"/>
      <c r="NRA147" s="1206"/>
      <c r="NRB147" s="1206"/>
      <c r="NRC147" s="1206"/>
      <c r="NRD147" s="1206"/>
      <c r="NRE147" s="1206"/>
      <c r="NRF147" s="1206"/>
      <c r="NRG147" s="1206"/>
      <c r="NRH147" s="1206"/>
      <c r="NRI147" s="1206"/>
      <c r="NRJ147" s="1206"/>
      <c r="NRK147" s="1206"/>
      <c r="NRL147" s="1206"/>
      <c r="NRM147" s="1206"/>
      <c r="NRN147" s="1206"/>
      <c r="NRO147" s="1206"/>
      <c r="NRP147" s="1206"/>
      <c r="NRQ147" s="1206"/>
      <c r="NRR147" s="1206"/>
      <c r="NRS147" s="1206"/>
      <c r="NRT147" s="1206"/>
      <c r="NRU147" s="1206"/>
      <c r="NRV147" s="1206"/>
      <c r="NRW147" s="1206"/>
      <c r="NRX147" s="1206"/>
      <c r="NRY147" s="1206"/>
      <c r="NRZ147" s="1206"/>
      <c r="NSA147" s="1206"/>
      <c r="NSB147" s="1206"/>
      <c r="NSC147" s="1206"/>
      <c r="NSD147" s="1206"/>
      <c r="NSE147" s="1206"/>
      <c r="NSF147" s="1206"/>
      <c r="NSG147" s="1206"/>
      <c r="NSH147" s="1206"/>
      <c r="NSI147" s="1206"/>
      <c r="NSJ147" s="1206"/>
      <c r="NSK147" s="1206"/>
      <c r="NSL147" s="1206"/>
      <c r="NSM147" s="1206"/>
      <c r="NSN147" s="1206"/>
      <c r="NSO147" s="1206"/>
      <c r="NSP147" s="1206"/>
      <c r="NSQ147" s="1206"/>
      <c r="NSR147" s="1206"/>
      <c r="NSS147" s="1206"/>
      <c r="NST147" s="1206"/>
      <c r="NSU147" s="1206"/>
      <c r="NSV147" s="1206"/>
      <c r="NSW147" s="1206"/>
      <c r="NSX147" s="1206"/>
      <c r="NSY147" s="1206"/>
      <c r="NSZ147" s="1206"/>
      <c r="NTA147" s="1206"/>
      <c r="NTB147" s="1206"/>
      <c r="NTC147" s="1206"/>
      <c r="NTD147" s="1206"/>
      <c r="NTE147" s="1206"/>
      <c r="NTF147" s="1206"/>
      <c r="NTG147" s="1206"/>
      <c r="NTH147" s="1206"/>
      <c r="NTI147" s="1206"/>
      <c r="NTJ147" s="1206"/>
      <c r="NTK147" s="1206"/>
      <c r="NTL147" s="1206"/>
      <c r="NTM147" s="1206"/>
      <c r="NTN147" s="1206"/>
      <c r="NTO147" s="1206"/>
      <c r="NTP147" s="1206"/>
      <c r="NTQ147" s="1206"/>
      <c r="NTR147" s="1206"/>
      <c r="NTS147" s="1206"/>
      <c r="NTT147" s="1206"/>
      <c r="NTU147" s="1206"/>
      <c r="NTV147" s="1206"/>
      <c r="NTW147" s="1206"/>
      <c r="NTX147" s="1206"/>
      <c r="NTY147" s="1206"/>
      <c r="NTZ147" s="1206"/>
      <c r="NUA147" s="1206"/>
      <c r="NUB147" s="1206"/>
      <c r="NUC147" s="1206"/>
      <c r="NUD147" s="1206"/>
      <c r="NUE147" s="1206"/>
      <c r="NUF147" s="1206"/>
      <c r="NUG147" s="1206"/>
      <c r="NUH147" s="1206"/>
      <c r="NUI147" s="1206"/>
      <c r="NUJ147" s="1206"/>
      <c r="NUK147" s="1206"/>
      <c r="NUL147" s="1206"/>
      <c r="NUM147" s="1206"/>
      <c r="NUN147" s="1206"/>
      <c r="NUO147" s="1206"/>
      <c r="NUP147" s="1206"/>
      <c r="NUQ147" s="1206"/>
      <c r="NUR147" s="1206"/>
      <c r="NUS147" s="1206"/>
      <c r="NUT147" s="1206"/>
      <c r="NUU147" s="1206"/>
      <c r="NUV147" s="1206"/>
      <c r="NUW147" s="1206"/>
      <c r="NUX147" s="1206"/>
      <c r="NUY147" s="1206"/>
      <c r="NUZ147" s="1206"/>
      <c r="NVA147" s="1206"/>
      <c r="NVB147" s="1206"/>
      <c r="NVC147" s="1206"/>
      <c r="NVD147" s="1206"/>
      <c r="NVE147" s="1206"/>
      <c r="NVF147" s="1206"/>
      <c r="NVG147" s="1206"/>
      <c r="NVH147" s="1206"/>
      <c r="NVI147" s="1206"/>
      <c r="NVJ147" s="1206"/>
      <c r="NVK147" s="1206"/>
      <c r="NVL147" s="1206"/>
      <c r="NVM147" s="1206"/>
      <c r="NVN147" s="1206"/>
      <c r="NVO147" s="1206"/>
      <c r="NVP147" s="1206"/>
      <c r="NVQ147" s="1206"/>
      <c r="NVR147" s="1206"/>
      <c r="NVS147" s="1206"/>
      <c r="NVT147" s="1206"/>
      <c r="NVU147" s="1206"/>
      <c r="NVV147" s="1206"/>
      <c r="NVW147" s="1206"/>
      <c r="NVX147" s="1206"/>
      <c r="NVY147" s="1206"/>
      <c r="NVZ147" s="1206"/>
      <c r="NWA147" s="1206"/>
      <c r="NWB147" s="1206"/>
      <c r="NWC147" s="1206"/>
      <c r="NWD147" s="1206"/>
      <c r="NWE147" s="1206"/>
      <c r="NWF147" s="1206"/>
      <c r="NWG147" s="1206"/>
      <c r="NWH147" s="1206"/>
      <c r="NWI147" s="1206"/>
      <c r="NWJ147" s="1206"/>
      <c r="NWK147" s="1206"/>
      <c r="NWL147" s="1206"/>
      <c r="NWM147" s="1206"/>
      <c r="NWN147" s="1206"/>
      <c r="NWO147" s="1206"/>
      <c r="NWP147" s="1206"/>
      <c r="NWQ147" s="1206"/>
      <c r="NWR147" s="1206"/>
      <c r="NWS147" s="1206"/>
      <c r="NWT147" s="1206"/>
      <c r="NWU147" s="1206"/>
      <c r="NWV147" s="1206"/>
      <c r="NWW147" s="1206"/>
      <c r="NWX147" s="1206"/>
      <c r="NWY147" s="1206"/>
      <c r="NWZ147" s="1206"/>
      <c r="NXA147" s="1206"/>
      <c r="NXB147" s="1206"/>
      <c r="NXC147" s="1206"/>
      <c r="NXD147" s="1206"/>
      <c r="NXE147" s="1206"/>
      <c r="NXF147" s="1206"/>
      <c r="NXG147" s="1206"/>
      <c r="NXH147" s="1206"/>
      <c r="NXI147" s="1206"/>
      <c r="NXJ147" s="1206"/>
      <c r="NXK147" s="1206"/>
      <c r="NXL147" s="1206"/>
      <c r="NXM147" s="1206"/>
      <c r="NXN147" s="1206"/>
      <c r="NXO147" s="1206"/>
      <c r="NXP147" s="1206"/>
      <c r="NXQ147" s="1206"/>
      <c r="NXR147" s="1206"/>
      <c r="NXS147" s="1206"/>
      <c r="NXT147" s="1206"/>
      <c r="NXU147" s="1206"/>
      <c r="NXV147" s="1206"/>
      <c r="NXW147" s="1206"/>
      <c r="NXX147" s="1206"/>
      <c r="NXY147" s="1206"/>
      <c r="NXZ147" s="1206"/>
      <c r="NYA147" s="1206"/>
      <c r="NYB147" s="1206"/>
      <c r="NYC147" s="1206"/>
      <c r="NYD147" s="1206"/>
      <c r="NYE147" s="1206"/>
      <c r="NYF147" s="1206"/>
      <c r="NYG147" s="1206"/>
      <c r="NYH147" s="1206"/>
      <c r="NYI147" s="1206"/>
      <c r="NYJ147" s="1206"/>
      <c r="NYK147" s="1206"/>
      <c r="NYL147" s="1206"/>
      <c r="NYM147" s="1206"/>
      <c r="NYN147" s="1206"/>
      <c r="NYO147" s="1206"/>
      <c r="NYP147" s="1206"/>
      <c r="NYQ147" s="1206"/>
      <c r="NYR147" s="1206"/>
      <c r="NYS147" s="1206"/>
      <c r="NYT147" s="1206"/>
      <c r="NYU147" s="1206"/>
      <c r="NYV147" s="1206"/>
      <c r="NYW147" s="1206"/>
      <c r="NYX147" s="1206"/>
      <c r="NYY147" s="1206"/>
      <c r="NYZ147" s="1206"/>
      <c r="NZA147" s="1206"/>
      <c r="NZB147" s="1206"/>
      <c r="NZC147" s="1206"/>
      <c r="NZD147" s="1206"/>
      <c r="NZE147" s="1206"/>
      <c r="NZF147" s="1206"/>
      <c r="NZG147" s="1206"/>
      <c r="NZH147" s="1206"/>
      <c r="NZI147" s="1206"/>
      <c r="NZJ147" s="1206"/>
      <c r="NZK147" s="1206"/>
      <c r="NZL147" s="1206"/>
      <c r="NZM147" s="1206"/>
      <c r="NZN147" s="1206"/>
      <c r="NZO147" s="1206"/>
      <c r="NZP147" s="1206"/>
      <c r="NZQ147" s="1206"/>
      <c r="NZR147" s="1206"/>
      <c r="NZS147" s="1206"/>
      <c r="NZT147" s="1206"/>
      <c r="NZU147" s="1206"/>
      <c r="NZV147" s="1206"/>
      <c r="NZW147" s="1206"/>
      <c r="NZX147" s="1206"/>
      <c r="NZY147" s="1206"/>
      <c r="NZZ147" s="1206"/>
      <c r="OAA147" s="1206"/>
      <c r="OAB147" s="1206"/>
      <c r="OAC147" s="1206"/>
      <c r="OAD147" s="1206"/>
      <c r="OAE147" s="1206"/>
      <c r="OAF147" s="1206"/>
      <c r="OAG147" s="1206"/>
      <c r="OAH147" s="1206"/>
      <c r="OAI147" s="1206"/>
      <c r="OAJ147" s="1206"/>
      <c r="OAK147" s="1206"/>
      <c r="OAL147" s="1206"/>
      <c r="OAM147" s="1206"/>
      <c r="OAN147" s="1206"/>
      <c r="OAO147" s="1206"/>
      <c r="OAP147" s="1206"/>
      <c r="OAQ147" s="1206"/>
      <c r="OAR147" s="1206"/>
      <c r="OAS147" s="1206"/>
      <c r="OAT147" s="1206"/>
      <c r="OAU147" s="1206"/>
      <c r="OAV147" s="1206"/>
      <c r="OAW147" s="1206"/>
      <c r="OAX147" s="1206"/>
      <c r="OAY147" s="1206"/>
      <c r="OAZ147" s="1206"/>
      <c r="OBA147" s="1206"/>
      <c r="OBB147" s="1206"/>
      <c r="OBC147" s="1206"/>
      <c r="OBD147" s="1206"/>
      <c r="OBE147" s="1206"/>
      <c r="OBF147" s="1206"/>
      <c r="OBG147" s="1206"/>
      <c r="OBH147" s="1206"/>
      <c r="OBI147" s="1206"/>
      <c r="OBJ147" s="1206"/>
      <c r="OBK147" s="1206"/>
      <c r="OBL147" s="1206"/>
      <c r="OBM147" s="1206"/>
      <c r="OBN147" s="1206"/>
      <c r="OBO147" s="1206"/>
      <c r="OBP147" s="1206"/>
      <c r="OBQ147" s="1206"/>
      <c r="OBR147" s="1206"/>
      <c r="OBS147" s="1206"/>
      <c r="OBT147" s="1206"/>
      <c r="OBU147" s="1206"/>
      <c r="OBV147" s="1206"/>
      <c r="OBW147" s="1206"/>
      <c r="OBX147" s="1206"/>
      <c r="OBY147" s="1206"/>
      <c r="OBZ147" s="1206"/>
      <c r="OCA147" s="1206"/>
      <c r="OCB147" s="1206"/>
      <c r="OCC147" s="1206"/>
      <c r="OCD147" s="1206"/>
      <c r="OCE147" s="1206"/>
      <c r="OCF147" s="1206"/>
      <c r="OCG147" s="1206"/>
      <c r="OCH147" s="1206"/>
      <c r="OCI147" s="1206"/>
      <c r="OCJ147" s="1206"/>
      <c r="OCK147" s="1206"/>
      <c r="OCL147" s="1206"/>
      <c r="OCM147" s="1206"/>
      <c r="OCN147" s="1206"/>
      <c r="OCO147" s="1206"/>
      <c r="OCP147" s="1206"/>
      <c r="OCQ147" s="1206"/>
      <c r="OCR147" s="1206"/>
      <c r="OCS147" s="1206"/>
      <c r="OCT147" s="1206"/>
      <c r="OCU147" s="1206"/>
      <c r="OCV147" s="1206"/>
      <c r="OCW147" s="1206"/>
      <c r="OCX147" s="1206"/>
      <c r="OCY147" s="1206"/>
      <c r="OCZ147" s="1206"/>
      <c r="ODA147" s="1206"/>
      <c r="ODB147" s="1206"/>
      <c r="ODC147" s="1206"/>
      <c r="ODD147" s="1206"/>
      <c r="ODE147" s="1206"/>
      <c r="ODF147" s="1206"/>
      <c r="ODG147" s="1206"/>
      <c r="ODH147" s="1206"/>
      <c r="ODI147" s="1206"/>
      <c r="ODJ147" s="1206"/>
      <c r="ODK147" s="1206"/>
      <c r="ODL147" s="1206"/>
      <c r="ODM147" s="1206"/>
      <c r="ODN147" s="1206"/>
      <c r="ODO147" s="1206"/>
      <c r="ODP147" s="1206"/>
      <c r="ODQ147" s="1206"/>
      <c r="ODR147" s="1206"/>
      <c r="ODS147" s="1206"/>
      <c r="ODT147" s="1206"/>
      <c r="ODU147" s="1206"/>
      <c r="ODV147" s="1206"/>
      <c r="ODW147" s="1206"/>
      <c r="ODX147" s="1206"/>
      <c r="ODY147" s="1206"/>
      <c r="ODZ147" s="1206"/>
      <c r="OEA147" s="1206"/>
      <c r="OEB147" s="1206"/>
      <c r="OEC147" s="1206"/>
      <c r="OED147" s="1206"/>
      <c r="OEE147" s="1206"/>
      <c r="OEF147" s="1206"/>
      <c r="OEG147" s="1206"/>
      <c r="OEH147" s="1206"/>
      <c r="OEI147" s="1206"/>
      <c r="OEJ147" s="1206"/>
      <c r="OEK147" s="1206"/>
      <c r="OEL147" s="1206"/>
      <c r="OEM147" s="1206"/>
      <c r="OEN147" s="1206"/>
      <c r="OEO147" s="1206"/>
      <c r="OEP147" s="1206"/>
      <c r="OEQ147" s="1206"/>
      <c r="OER147" s="1206"/>
      <c r="OES147" s="1206"/>
      <c r="OET147" s="1206"/>
      <c r="OEU147" s="1206"/>
      <c r="OEV147" s="1206"/>
      <c r="OEW147" s="1206"/>
      <c r="OEX147" s="1206"/>
      <c r="OEY147" s="1206"/>
      <c r="OEZ147" s="1206"/>
      <c r="OFA147" s="1206"/>
      <c r="OFB147" s="1206"/>
      <c r="OFC147" s="1206"/>
      <c r="OFD147" s="1206"/>
      <c r="OFE147" s="1206"/>
      <c r="OFF147" s="1206"/>
      <c r="OFG147" s="1206"/>
      <c r="OFH147" s="1206"/>
      <c r="OFI147" s="1206"/>
      <c r="OFJ147" s="1206"/>
      <c r="OFK147" s="1206"/>
      <c r="OFL147" s="1206"/>
      <c r="OFM147" s="1206"/>
      <c r="OFN147" s="1206"/>
      <c r="OFO147" s="1206"/>
      <c r="OFP147" s="1206"/>
      <c r="OFQ147" s="1206"/>
      <c r="OFR147" s="1206"/>
      <c r="OFS147" s="1206"/>
      <c r="OFT147" s="1206"/>
      <c r="OFU147" s="1206"/>
      <c r="OFV147" s="1206"/>
      <c r="OFW147" s="1206"/>
      <c r="OFX147" s="1206"/>
      <c r="OFY147" s="1206"/>
      <c r="OFZ147" s="1206"/>
      <c r="OGA147" s="1206"/>
      <c r="OGB147" s="1206"/>
      <c r="OGC147" s="1206"/>
      <c r="OGD147" s="1206"/>
      <c r="OGE147" s="1206"/>
      <c r="OGF147" s="1206"/>
      <c r="OGG147" s="1206"/>
      <c r="OGH147" s="1206"/>
      <c r="OGI147" s="1206"/>
      <c r="OGJ147" s="1206"/>
      <c r="OGK147" s="1206"/>
      <c r="OGL147" s="1206"/>
      <c r="OGM147" s="1206"/>
      <c r="OGN147" s="1206"/>
      <c r="OGO147" s="1206"/>
      <c r="OGP147" s="1206"/>
      <c r="OGQ147" s="1206"/>
      <c r="OGR147" s="1206"/>
      <c r="OGS147" s="1206"/>
      <c r="OGT147" s="1206"/>
      <c r="OGU147" s="1206"/>
      <c r="OGV147" s="1206"/>
      <c r="OGW147" s="1206"/>
      <c r="OGX147" s="1206"/>
      <c r="OGY147" s="1206"/>
      <c r="OGZ147" s="1206"/>
      <c r="OHA147" s="1206"/>
      <c r="OHB147" s="1206"/>
      <c r="OHC147" s="1206"/>
      <c r="OHD147" s="1206"/>
      <c r="OHE147" s="1206"/>
      <c r="OHF147" s="1206"/>
      <c r="OHG147" s="1206"/>
      <c r="OHH147" s="1206"/>
      <c r="OHI147" s="1206"/>
      <c r="OHJ147" s="1206"/>
      <c r="OHK147" s="1206"/>
      <c r="OHL147" s="1206"/>
      <c r="OHM147" s="1206"/>
      <c r="OHN147" s="1206"/>
      <c r="OHO147" s="1206"/>
      <c r="OHP147" s="1206"/>
      <c r="OHQ147" s="1206"/>
      <c r="OHR147" s="1206"/>
      <c r="OHS147" s="1206"/>
      <c r="OHT147" s="1206"/>
      <c r="OHU147" s="1206"/>
      <c r="OHV147" s="1206"/>
      <c r="OHW147" s="1206"/>
      <c r="OHX147" s="1206"/>
      <c r="OHY147" s="1206"/>
      <c r="OHZ147" s="1206"/>
      <c r="OIA147" s="1206"/>
      <c r="OIB147" s="1206"/>
      <c r="OIC147" s="1206"/>
      <c r="OID147" s="1206"/>
      <c r="OIE147" s="1206"/>
      <c r="OIF147" s="1206"/>
      <c r="OIG147" s="1206"/>
      <c r="OIH147" s="1206"/>
      <c r="OII147" s="1206"/>
      <c r="OIJ147" s="1206"/>
      <c r="OIK147" s="1206"/>
      <c r="OIL147" s="1206"/>
      <c r="OIM147" s="1206"/>
      <c r="OIN147" s="1206"/>
      <c r="OIO147" s="1206"/>
      <c r="OIP147" s="1206"/>
      <c r="OIQ147" s="1206"/>
      <c r="OIR147" s="1206"/>
      <c r="OIS147" s="1206"/>
      <c r="OIT147" s="1206"/>
      <c r="OIU147" s="1206"/>
      <c r="OIV147" s="1206"/>
      <c r="OIW147" s="1206"/>
      <c r="OIX147" s="1206"/>
      <c r="OIY147" s="1206"/>
      <c r="OIZ147" s="1206"/>
      <c r="OJA147" s="1206"/>
      <c r="OJB147" s="1206"/>
      <c r="OJC147" s="1206"/>
      <c r="OJD147" s="1206"/>
      <c r="OJE147" s="1206"/>
      <c r="OJF147" s="1206"/>
      <c r="OJG147" s="1206"/>
      <c r="OJH147" s="1206"/>
      <c r="OJI147" s="1206"/>
      <c r="OJJ147" s="1206"/>
      <c r="OJK147" s="1206"/>
      <c r="OJL147" s="1206"/>
      <c r="OJM147" s="1206"/>
      <c r="OJN147" s="1206"/>
      <c r="OJO147" s="1206"/>
      <c r="OJP147" s="1206"/>
      <c r="OJQ147" s="1206"/>
      <c r="OJR147" s="1206"/>
      <c r="OJS147" s="1206"/>
      <c r="OJT147" s="1206"/>
      <c r="OJU147" s="1206"/>
      <c r="OJV147" s="1206"/>
      <c r="OJW147" s="1206"/>
      <c r="OJX147" s="1206"/>
      <c r="OJY147" s="1206"/>
      <c r="OJZ147" s="1206"/>
      <c r="OKA147" s="1206"/>
      <c r="OKB147" s="1206"/>
      <c r="OKC147" s="1206"/>
      <c r="OKD147" s="1206"/>
      <c r="OKE147" s="1206"/>
      <c r="OKF147" s="1206"/>
      <c r="OKG147" s="1206"/>
      <c r="OKH147" s="1206"/>
      <c r="OKI147" s="1206"/>
      <c r="OKJ147" s="1206"/>
      <c r="OKK147" s="1206"/>
      <c r="OKL147" s="1206"/>
      <c r="OKM147" s="1206"/>
      <c r="OKN147" s="1206"/>
      <c r="OKO147" s="1206"/>
      <c r="OKP147" s="1206"/>
      <c r="OKQ147" s="1206"/>
      <c r="OKR147" s="1206"/>
      <c r="OKS147" s="1206"/>
      <c r="OKT147" s="1206"/>
      <c r="OKU147" s="1206"/>
      <c r="OKV147" s="1206"/>
      <c r="OKW147" s="1206"/>
      <c r="OKX147" s="1206"/>
      <c r="OKY147" s="1206"/>
      <c r="OKZ147" s="1206"/>
      <c r="OLA147" s="1206"/>
      <c r="OLB147" s="1206"/>
      <c r="OLC147" s="1206"/>
      <c r="OLD147" s="1206"/>
      <c r="OLE147" s="1206"/>
      <c r="OLF147" s="1206"/>
      <c r="OLG147" s="1206"/>
      <c r="OLH147" s="1206"/>
      <c r="OLI147" s="1206"/>
      <c r="OLJ147" s="1206"/>
      <c r="OLK147" s="1206"/>
      <c r="OLL147" s="1206"/>
      <c r="OLM147" s="1206"/>
      <c r="OLN147" s="1206"/>
      <c r="OLO147" s="1206"/>
      <c r="OLP147" s="1206"/>
      <c r="OLQ147" s="1206"/>
      <c r="OLR147" s="1206"/>
      <c r="OLS147" s="1206"/>
      <c r="OLT147" s="1206"/>
      <c r="OLU147" s="1206"/>
      <c r="OLV147" s="1206"/>
      <c r="OLW147" s="1206"/>
      <c r="OLX147" s="1206"/>
      <c r="OLY147" s="1206"/>
      <c r="OLZ147" s="1206"/>
      <c r="OMA147" s="1206"/>
      <c r="OMB147" s="1206"/>
      <c r="OMC147" s="1206"/>
      <c r="OMD147" s="1206"/>
      <c r="OME147" s="1206"/>
      <c r="OMF147" s="1206"/>
      <c r="OMG147" s="1206"/>
      <c r="OMH147" s="1206"/>
      <c r="OMI147" s="1206"/>
      <c r="OMJ147" s="1206"/>
      <c r="OMK147" s="1206"/>
      <c r="OML147" s="1206"/>
      <c r="OMM147" s="1206"/>
      <c r="OMN147" s="1206"/>
      <c r="OMO147" s="1206"/>
      <c r="OMP147" s="1206"/>
      <c r="OMQ147" s="1206"/>
      <c r="OMR147" s="1206"/>
      <c r="OMS147" s="1206"/>
      <c r="OMT147" s="1206"/>
      <c r="OMU147" s="1206"/>
      <c r="OMV147" s="1206"/>
      <c r="OMW147" s="1206"/>
      <c r="OMX147" s="1206"/>
      <c r="OMY147" s="1206"/>
      <c r="OMZ147" s="1206"/>
      <c r="ONA147" s="1206"/>
      <c r="ONB147" s="1206"/>
      <c r="ONC147" s="1206"/>
      <c r="OND147" s="1206"/>
      <c r="ONE147" s="1206"/>
      <c r="ONF147" s="1206"/>
      <c r="ONG147" s="1206"/>
      <c r="ONH147" s="1206"/>
      <c r="ONI147" s="1206"/>
      <c r="ONJ147" s="1206"/>
      <c r="ONK147" s="1206"/>
      <c r="ONL147" s="1206"/>
      <c r="ONM147" s="1206"/>
      <c r="ONN147" s="1206"/>
      <c r="ONO147" s="1206"/>
      <c r="ONP147" s="1206"/>
      <c r="ONQ147" s="1206"/>
      <c r="ONR147" s="1206"/>
      <c r="ONS147" s="1206"/>
      <c r="ONT147" s="1206"/>
      <c r="ONU147" s="1206"/>
      <c r="ONV147" s="1206"/>
      <c r="ONW147" s="1206"/>
      <c r="ONX147" s="1206"/>
      <c r="ONY147" s="1206"/>
      <c r="ONZ147" s="1206"/>
      <c r="OOA147" s="1206"/>
      <c r="OOB147" s="1206"/>
      <c r="OOC147" s="1206"/>
      <c r="OOD147" s="1206"/>
      <c r="OOE147" s="1206"/>
      <c r="OOF147" s="1206"/>
      <c r="OOG147" s="1206"/>
      <c r="OOH147" s="1206"/>
      <c r="OOI147" s="1206"/>
      <c r="OOJ147" s="1206"/>
      <c r="OOK147" s="1206"/>
      <c r="OOL147" s="1206"/>
      <c r="OOM147" s="1206"/>
      <c r="OON147" s="1206"/>
      <c r="OOO147" s="1206"/>
      <c r="OOP147" s="1206"/>
      <c r="OOQ147" s="1206"/>
      <c r="OOR147" s="1206"/>
      <c r="OOS147" s="1206"/>
      <c r="OOT147" s="1206"/>
      <c r="OOU147" s="1206"/>
      <c r="OOV147" s="1206"/>
      <c r="OOW147" s="1206"/>
      <c r="OOX147" s="1206"/>
      <c r="OOY147" s="1206"/>
      <c r="OOZ147" s="1206"/>
      <c r="OPA147" s="1206"/>
      <c r="OPB147" s="1206"/>
      <c r="OPC147" s="1206"/>
      <c r="OPD147" s="1206"/>
      <c r="OPE147" s="1206"/>
      <c r="OPF147" s="1206"/>
      <c r="OPG147" s="1206"/>
      <c r="OPH147" s="1206"/>
      <c r="OPI147" s="1206"/>
      <c r="OPJ147" s="1206"/>
      <c r="OPK147" s="1206"/>
      <c r="OPL147" s="1206"/>
      <c r="OPM147" s="1206"/>
      <c r="OPN147" s="1206"/>
      <c r="OPO147" s="1206"/>
      <c r="OPP147" s="1206"/>
      <c r="OPQ147" s="1206"/>
      <c r="OPR147" s="1206"/>
      <c r="OPS147" s="1206"/>
      <c r="OPT147" s="1206"/>
      <c r="OPU147" s="1206"/>
      <c r="OPV147" s="1206"/>
      <c r="OPW147" s="1206"/>
      <c r="OPX147" s="1206"/>
      <c r="OPY147" s="1206"/>
      <c r="OPZ147" s="1206"/>
      <c r="OQA147" s="1206"/>
      <c r="OQB147" s="1206"/>
      <c r="OQC147" s="1206"/>
      <c r="OQD147" s="1206"/>
      <c r="OQE147" s="1206"/>
      <c r="OQF147" s="1206"/>
      <c r="OQG147" s="1206"/>
      <c r="OQH147" s="1206"/>
      <c r="OQI147" s="1206"/>
      <c r="OQJ147" s="1206"/>
      <c r="OQK147" s="1206"/>
      <c r="OQL147" s="1206"/>
      <c r="OQM147" s="1206"/>
      <c r="OQN147" s="1206"/>
      <c r="OQO147" s="1206"/>
      <c r="OQP147" s="1206"/>
      <c r="OQQ147" s="1206"/>
      <c r="OQR147" s="1206"/>
      <c r="OQS147" s="1206"/>
      <c r="OQT147" s="1206"/>
      <c r="OQU147" s="1206"/>
      <c r="OQV147" s="1206"/>
      <c r="OQW147" s="1206"/>
      <c r="OQX147" s="1206"/>
      <c r="OQY147" s="1206"/>
      <c r="OQZ147" s="1206"/>
      <c r="ORA147" s="1206"/>
      <c r="ORB147" s="1206"/>
      <c r="ORC147" s="1206"/>
      <c r="ORD147" s="1206"/>
      <c r="ORE147" s="1206"/>
      <c r="ORF147" s="1206"/>
      <c r="ORG147" s="1206"/>
      <c r="ORH147" s="1206"/>
      <c r="ORI147" s="1206"/>
      <c r="ORJ147" s="1206"/>
      <c r="ORK147" s="1206"/>
      <c r="ORL147" s="1206"/>
      <c r="ORM147" s="1206"/>
      <c r="ORN147" s="1206"/>
      <c r="ORO147" s="1206"/>
      <c r="ORP147" s="1206"/>
      <c r="ORQ147" s="1206"/>
      <c r="ORR147" s="1206"/>
      <c r="ORS147" s="1206"/>
      <c r="ORT147" s="1206"/>
      <c r="ORU147" s="1206"/>
      <c r="ORV147" s="1206"/>
      <c r="ORW147" s="1206"/>
      <c r="ORX147" s="1206"/>
      <c r="ORY147" s="1206"/>
      <c r="ORZ147" s="1206"/>
      <c r="OSA147" s="1206"/>
      <c r="OSB147" s="1206"/>
      <c r="OSC147" s="1206"/>
      <c r="OSD147" s="1206"/>
      <c r="OSE147" s="1206"/>
      <c r="OSF147" s="1206"/>
      <c r="OSG147" s="1206"/>
      <c r="OSH147" s="1206"/>
      <c r="OSI147" s="1206"/>
      <c r="OSJ147" s="1206"/>
      <c r="OSK147" s="1206"/>
      <c r="OSL147" s="1206"/>
      <c r="OSM147" s="1206"/>
      <c r="OSN147" s="1206"/>
      <c r="OSO147" s="1206"/>
      <c r="OSP147" s="1206"/>
      <c r="OSQ147" s="1206"/>
      <c r="OSR147" s="1206"/>
      <c r="OSS147" s="1206"/>
      <c r="OST147" s="1206"/>
      <c r="OSU147" s="1206"/>
      <c r="OSV147" s="1206"/>
      <c r="OSW147" s="1206"/>
      <c r="OSX147" s="1206"/>
      <c r="OSY147" s="1206"/>
      <c r="OSZ147" s="1206"/>
      <c r="OTA147" s="1206"/>
      <c r="OTB147" s="1206"/>
      <c r="OTC147" s="1206"/>
      <c r="OTD147" s="1206"/>
      <c r="OTE147" s="1206"/>
      <c r="OTF147" s="1206"/>
      <c r="OTG147" s="1206"/>
      <c r="OTH147" s="1206"/>
      <c r="OTI147" s="1206"/>
      <c r="OTJ147" s="1206"/>
      <c r="OTK147" s="1206"/>
      <c r="OTL147" s="1206"/>
      <c r="OTM147" s="1206"/>
      <c r="OTN147" s="1206"/>
      <c r="OTO147" s="1206"/>
      <c r="OTP147" s="1206"/>
      <c r="OTQ147" s="1206"/>
      <c r="OTR147" s="1206"/>
      <c r="OTS147" s="1206"/>
      <c r="OTT147" s="1206"/>
      <c r="OTU147" s="1206"/>
      <c r="OTV147" s="1206"/>
      <c r="OTW147" s="1206"/>
      <c r="OTX147" s="1206"/>
      <c r="OTY147" s="1206"/>
      <c r="OTZ147" s="1206"/>
      <c r="OUA147" s="1206"/>
      <c r="OUB147" s="1206"/>
      <c r="OUC147" s="1206"/>
      <c r="OUD147" s="1206"/>
      <c r="OUE147" s="1206"/>
      <c r="OUF147" s="1206"/>
      <c r="OUG147" s="1206"/>
      <c r="OUH147" s="1206"/>
      <c r="OUI147" s="1206"/>
      <c r="OUJ147" s="1206"/>
      <c r="OUK147" s="1206"/>
      <c r="OUL147" s="1206"/>
      <c r="OUM147" s="1206"/>
      <c r="OUN147" s="1206"/>
      <c r="OUO147" s="1206"/>
      <c r="OUP147" s="1206"/>
      <c r="OUQ147" s="1206"/>
      <c r="OUR147" s="1206"/>
      <c r="OUS147" s="1206"/>
      <c r="OUT147" s="1206"/>
      <c r="OUU147" s="1206"/>
      <c r="OUV147" s="1206"/>
      <c r="OUW147" s="1206"/>
      <c r="OUX147" s="1206"/>
      <c r="OUY147" s="1206"/>
      <c r="OUZ147" s="1206"/>
      <c r="OVA147" s="1206"/>
      <c r="OVB147" s="1206"/>
      <c r="OVC147" s="1206"/>
      <c r="OVD147" s="1206"/>
      <c r="OVE147" s="1206"/>
      <c r="OVF147" s="1206"/>
      <c r="OVG147" s="1206"/>
      <c r="OVH147" s="1206"/>
      <c r="OVI147" s="1206"/>
      <c r="OVJ147" s="1206"/>
      <c r="OVK147" s="1206"/>
      <c r="OVL147" s="1206"/>
      <c r="OVM147" s="1206"/>
      <c r="OVN147" s="1206"/>
      <c r="OVO147" s="1206"/>
      <c r="OVP147" s="1206"/>
      <c r="OVQ147" s="1206"/>
      <c r="OVR147" s="1206"/>
      <c r="OVS147" s="1206"/>
      <c r="OVT147" s="1206"/>
      <c r="OVU147" s="1206"/>
      <c r="OVV147" s="1206"/>
      <c r="OVW147" s="1206"/>
      <c r="OVX147" s="1206"/>
      <c r="OVY147" s="1206"/>
      <c r="OVZ147" s="1206"/>
      <c r="OWA147" s="1206"/>
      <c r="OWB147" s="1206"/>
      <c r="OWC147" s="1206"/>
      <c r="OWD147" s="1206"/>
      <c r="OWE147" s="1206"/>
      <c r="OWF147" s="1206"/>
      <c r="OWG147" s="1206"/>
      <c r="OWH147" s="1206"/>
      <c r="OWI147" s="1206"/>
      <c r="OWJ147" s="1206"/>
      <c r="OWK147" s="1206"/>
      <c r="OWL147" s="1206"/>
      <c r="OWM147" s="1206"/>
      <c r="OWN147" s="1206"/>
      <c r="OWO147" s="1206"/>
      <c r="OWP147" s="1206"/>
      <c r="OWQ147" s="1206"/>
      <c r="OWR147" s="1206"/>
      <c r="OWS147" s="1206"/>
      <c r="OWT147" s="1206"/>
      <c r="OWU147" s="1206"/>
      <c r="OWV147" s="1206"/>
      <c r="OWW147" s="1206"/>
      <c r="OWX147" s="1206"/>
      <c r="OWY147" s="1206"/>
      <c r="OWZ147" s="1206"/>
      <c r="OXA147" s="1206"/>
      <c r="OXB147" s="1206"/>
      <c r="OXC147" s="1206"/>
      <c r="OXD147" s="1206"/>
      <c r="OXE147" s="1206"/>
      <c r="OXF147" s="1206"/>
      <c r="OXG147" s="1206"/>
      <c r="OXH147" s="1206"/>
      <c r="OXI147" s="1206"/>
      <c r="OXJ147" s="1206"/>
      <c r="OXK147" s="1206"/>
      <c r="OXL147" s="1206"/>
      <c r="OXM147" s="1206"/>
      <c r="OXN147" s="1206"/>
      <c r="OXO147" s="1206"/>
      <c r="OXP147" s="1206"/>
      <c r="OXQ147" s="1206"/>
      <c r="OXR147" s="1206"/>
      <c r="OXS147" s="1206"/>
      <c r="OXT147" s="1206"/>
      <c r="OXU147" s="1206"/>
      <c r="OXV147" s="1206"/>
      <c r="OXW147" s="1206"/>
      <c r="OXX147" s="1206"/>
      <c r="OXY147" s="1206"/>
      <c r="OXZ147" s="1206"/>
      <c r="OYA147" s="1206"/>
      <c r="OYB147" s="1206"/>
      <c r="OYC147" s="1206"/>
      <c r="OYD147" s="1206"/>
      <c r="OYE147" s="1206"/>
      <c r="OYF147" s="1206"/>
      <c r="OYG147" s="1206"/>
      <c r="OYH147" s="1206"/>
      <c r="OYI147" s="1206"/>
      <c r="OYJ147" s="1206"/>
      <c r="OYK147" s="1206"/>
      <c r="OYL147" s="1206"/>
      <c r="OYM147" s="1206"/>
      <c r="OYN147" s="1206"/>
      <c r="OYO147" s="1206"/>
      <c r="OYP147" s="1206"/>
      <c r="OYQ147" s="1206"/>
      <c r="OYR147" s="1206"/>
      <c r="OYS147" s="1206"/>
      <c r="OYT147" s="1206"/>
      <c r="OYU147" s="1206"/>
      <c r="OYV147" s="1206"/>
      <c r="OYW147" s="1206"/>
      <c r="OYX147" s="1206"/>
      <c r="OYY147" s="1206"/>
      <c r="OYZ147" s="1206"/>
      <c r="OZA147" s="1206"/>
      <c r="OZB147" s="1206"/>
      <c r="OZC147" s="1206"/>
      <c r="OZD147" s="1206"/>
      <c r="OZE147" s="1206"/>
      <c r="OZF147" s="1206"/>
      <c r="OZG147" s="1206"/>
      <c r="OZH147" s="1206"/>
      <c r="OZI147" s="1206"/>
      <c r="OZJ147" s="1206"/>
      <c r="OZK147" s="1206"/>
      <c r="OZL147" s="1206"/>
      <c r="OZM147" s="1206"/>
      <c r="OZN147" s="1206"/>
      <c r="OZO147" s="1206"/>
      <c r="OZP147" s="1206"/>
      <c r="OZQ147" s="1206"/>
      <c r="OZR147" s="1206"/>
      <c r="OZS147" s="1206"/>
      <c r="OZT147" s="1206"/>
      <c r="OZU147" s="1206"/>
      <c r="OZV147" s="1206"/>
      <c r="OZW147" s="1206"/>
      <c r="OZX147" s="1206"/>
      <c r="OZY147" s="1206"/>
      <c r="OZZ147" s="1206"/>
      <c r="PAA147" s="1206"/>
      <c r="PAB147" s="1206"/>
      <c r="PAC147" s="1206"/>
      <c r="PAD147" s="1206"/>
      <c r="PAE147" s="1206"/>
      <c r="PAF147" s="1206"/>
      <c r="PAG147" s="1206"/>
      <c r="PAH147" s="1206"/>
      <c r="PAI147" s="1206"/>
      <c r="PAJ147" s="1206"/>
      <c r="PAK147" s="1206"/>
      <c r="PAL147" s="1206"/>
      <c r="PAM147" s="1206"/>
      <c r="PAN147" s="1206"/>
      <c r="PAO147" s="1206"/>
      <c r="PAP147" s="1206"/>
      <c r="PAQ147" s="1206"/>
      <c r="PAR147" s="1206"/>
      <c r="PAS147" s="1206"/>
      <c r="PAT147" s="1206"/>
      <c r="PAU147" s="1206"/>
      <c r="PAV147" s="1206"/>
      <c r="PAW147" s="1206"/>
      <c r="PAX147" s="1206"/>
      <c r="PAY147" s="1206"/>
      <c r="PAZ147" s="1206"/>
      <c r="PBA147" s="1206"/>
      <c r="PBB147" s="1206"/>
      <c r="PBC147" s="1206"/>
      <c r="PBD147" s="1206"/>
      <c r="PBE147" s="1206"/>
      <c r="PBF147" s="1206"/>
      <c r="PBG147" s="1206"/>
      <c r="PBH147" s="1206"/>
      <c r="PBI147" s="1206"/>
      <c r="PBJ147" s="1206"/>
      <c r="PBK147" s="1206"/>
      <c r="PBL147" s="1206"/>
      <c r="PBM147" s="1206"/>
      <c r="PBN147" s="1206"/>
      <c r="PBO147" s="1206"/>
      <c r="PBP147" s="1206"/>
      <c r="PBQ147" s="1206"/>
      <c r="PBR147" s="1206"/>
      <c r="PBS147" s="1206"/>
      <c r="PBT147" s="1206"/>
      <c r="PBU147" s="1206"/>
      <c r="PBV147" s="1206"/>
      <c r="PBW147" s="1206"/>
      <c r="PBX147" s="1206"/>
      <c r="PBY147" s="1206"/>
      <c r="PBZ147" s="1206"/>
      <c r="PCA147" s="1206"/>
      <c r="PCB147" s="1206"/>
      <c r="PCC147" s="1206"/>
      <c r="PCD147" s="1206"/>
      <c r="PCE147" s="1206"/>
      <c r="PCF147" s="1206"/>
      <c r="PCG147" s="1206"/>
      <c r="PCH147" s="1206"/>
      <c r="PCI147" s="1206"/>
      <c r="PCJ147" s="1206"/>
      <c r="PCK147" s="1206"/>
      <c r="PCL147" s="1206"/>
      <c r="PCM147" s="1206"/>
      <c r="PCN147" s="1206"/>
      <c r="PCO147" s="1206"/>
      <c r="PCP147" s="1206"/>
      <c r="PCQ147" s="1206"/>
      <c r="PCR147" s="1206"/>
      <c r="PCS147" s="1206"/>
      <c r="PCT147" s="1206"/>
      <c r="PCU147" s="1206"/>
      <c r="PCV147" s="1206"/>
      <c r="PCW147" s="1206"/>
      <c r="PCX147" s="1206"/>
      <c r="PCY147" s="1206"/>
      <c r="PCZ147" s="1206"/>
      <c r="PDA147" s="1206"/>
      <c r="PDB147" s="1206"/>
      <c r="PDC147" s="1206"/>
      <c r="PDD147" s="1206"/>
      <c r="PDE147" s="1206"/>
      <c r="PDF147" s="1206"/>
      <c r="PDG147" s="1206"/>
      <c r="PDH147" s="1206"/>
      <c r="PDI147" s="1206"/>
      <c r="PDJ147" s="1206"/>
      <c r="PDK147" s="1206"/>
      <c r="PDL147" s="1206"/>
      <c r="PDM147" s="1206"/>
      <c r="PDN147" s="1206"/>
      <c r="PDO147" s="1206"/>
      <c r="PDP147" s="1206"/>
      <c r="PDQ147" s="1206"/>
      <c r="PDR147" s="1206"/>
      <c r="PDS147" s="1206"/>
      <c r="PDT147" s="1206"/>
      <c r="PDU147" s="1206"/>
      <c r="PDV147" s="1206"/>
      <c r="PDW147" s="1206"/>
      <c r="PDX147" s="1206"/>
      <c r="PDY147" s="1206"/>
      <c r="PDZ147" s="1206"/>
      <c r="PEA147" s="1206"/>
      <c r="PEB147" s="1206"/>
      <c r="PEC147" s="1206"/>
      <c r="PED147" s="1206"/>
      <c r="PEE147" s="1206"/>
      <c r="PEF147" s="1206"/>
      <c r="PEG147" s="1206"/>
      <c r="PEH147" s="1206"/>
      <c r="PEI147" s="1206"/>
      <c r="PEJ147" s="1206"/>
      <c r="PEK147" s="1206"/>
      <c r="PEL147" s="1206"/>
      <c r="PEM147" s="1206"/>
      <c r="PEN147" s="1206"/>
      <c r="PEO147" s="1206"/>
      <c r="PEP147" s="1206"/>
      <c r="PEQ147" s="1206"/>
      <c r="PER147" s="1206"/>
      <c r="PES147" s="1206"/>
      <c r="PET147" s="1206"/>
      <c r="PEU147" s="1206"/>
      <c r="PEV147" s="1206"/>
      <c r="PEW147" s="1206"/>
      <c r="PEX147" s="1206"/>
      <c r="PEY147" s="1206"/>
      <c r="PEZ147" s="1206"/>
      <c r="PFA147" s="1206"/>
      <c r="PFB147" s="1206"/>
      <c r="PFC147" s="1206"/>
      <c r="PFD147" s="1206"/>
      <c r="PFE147" s="1206"/>
      <c r="PFF147" s="1206"/>
      <c r="PFG147" s="1206"/>
      <c r="PFH147" s="1206"/>
      <c r="PFI147" s="1206"/>
      <c r="PFJ147" s="1206"/>
      <c r="PFK147" s="1206"/>
      <c r="PFL147" s="1206"/>
      <c r="PFM147" s="1206"/>
      <c r="PFN147" s="1206"/>
      <c r="PFO147" s="1206"/>
      <c r="PFP147" s="1206"/>
      <c r="PFQ147" s="1206"/>
      <c r="PFR147" s="1206"/>
      <c r="PFS147" s="1206"/>
      <c r="PFT147" s="1206"/>
      <c r="PFU147" s="1206"/>
      <c r="PFV147" s="1206"/>
      <c r="PFW147" s="1206"/>
      <c r="PFX147" s="1206"/>
      <c r="PFY147" s="1206"/>
      <c r="PFZ147" s="1206"/>
      <c r="PGA147" s="1206"/>
      <c r="PGB147" s="1206"/>
      <c r="PGC147" s="1206"/>
      <c r="PGD147" s="1206"/>
      <c r="PGE147" s="1206"/>
      <c r="PGF147" s="1206"/>
      <c r="PGG147" s="1206"/>
      <c r="PGH147" s="1206"/>
      <c r="PGI147" s="1206"/>
      <c r="PGJ147" s="1206"/>
      <c r="PGK147" s="1206"/>
      <c r="PGL147" s="1206"/>
      <c r="PGM147" s="1206"/>
      <c r="PGN147" s="1206"/>
      <c r="PGO147" s="1206"/>
      <c r="PGP147" s="1206"/>
      <c r="PGQ147" s="1206"/>
      <c r="PGR147" s="1206"/>
      <c r="PGS147" s="1206"/>
      <c r="PGT147" s="1206"/>
      <c r="PGU147" s="1206"/>
      <c r="PGV147" s="1206"/>
      <c r="PGW147" s="1206"/>
      <c r="PGX147" s="1206"/>
      <c r="PGY147" s="1206"/>
      <c r="PGZ147" s="1206"/>
      <c r="PHA147" s="1206"/>
      <c r="PHB147" s="1206"/>
      <c r="PHC147" s="1206"/>
      <c r="PHD147" s="1206"/>
      <c r="PHE147" s="1206"/>
      <c r="PHF147" s="1206"/>
      <c r="PHG147" s="1206"/>
      <c r="PHH147" s="1206"/>
      <c r="PHI147" s="1206"/>
      <c r="PHJ147" s="1206"/>
      <c r="PHK147" s="1206"/>
      <c r="PHL147" s="1206"/>
      <c r="PHM147" s="1206"/>
      <c r="PHN147" s="1206"/>
      <c r="PHO147" s="1206"/>
      <c r="PHP147" s="1206"/>
      <c r="PHQ147" s="1206"/>
      <c r="PHR147" s="1206"/>
      <c r="PHS147" s="1206"/>
      <c r="PHT147" s="1206"/>
      <c r="PHU147" s="1206"/>
      <c r="PHV147" s="1206"/>
      <c r="PHW147" s="1206"/>
      <c r="PHX147" s="1206"/>
      <c r="PHY147" s="1206"/>
      <c r="PHZ147" s="1206"/>
      <c r="PIA147" s="1206"/>
      <c r="PIB147" s="1206"/>
      <c r="PIC147" s="1206"/>
      <c r="PID147" s="1206"/>
      <c r="PIE147" s="1206"/>
      <c r="PIF147" s="1206"/>
      <c r="PIG147" s="1206"/>
      <c r="PIH147" s="1206"/>
      <c r="PII147" s="1206"/>
      <c r="PIJ147" s="1206"/>
      <c r="PIK147" s="1206"/>
      <c r="PIL147" s="1206"/>
      <c r="PIM147" s="1206"/>
      <c r="PIN147" s="1206"/>
      <c r="PIO147" s="1206"/>
      <c r="PIP147" s="1206"/>
      <c r="PIQ147" s="1206"/>
      <c r="PIR147" s="1206"/>
      <c r="PIS147" s="1206"/>
      <c r="PIT147" s="1206"/>
      <c r="PIU147" s="1206"/>
      <c r="PIV147" s="1206"/>
      <c r="PIW147" s="1206"/>
      <c r="PIX147" s="1206"/>
      <c r="PIY147" s="1206"/>
      <c r="PIZ147" s="1206"/>
      <c r="PJA147" s="1206"/>
      <c r="PJB147" s="1206"/>
      <c r="PJC147" s="1206"/>
      <c r="PJD147" s="1206"/>
      <c r="PJE147" s="1206"/>
      <c r="PJF147" s="1206"/>
      <c r="PJG147" s="1206"/>
      <c r="PJH147" s="1206"/>
      <c r="PJI147" s="1206"/>
      <c r="PJJ147" s="1206"/>
      <c r="PJK147" s="1206"/>
      <c r="PJL147" s="1206"/>
      <c r="PJM147" s="1206"/>
      <c r="PJN147" s="1206"/>
      <c r="PJO147" s="1206"/>
      <c r="PJP147" s="1206"/>
      <c r="PJQ147" s="1206"/>
      <c r="PJR147" s="1206"/>
      <c r="PJS147" s="1206"/>
      <c r="PJT147" s="1206"/>
      <c r="PJU147" s="1206"/>
      <c r="PJV147" s="1206"/>
      <c r="PJW147" s="1206"/>
      <c r="PJX147" s="1206"/>
      <c r="PJY147" s="1206"/>
      <c r="PJZ147" s="1206"/>
      <c r="PKA147" s="1206"/>
      <c r="PKB147" s="1206"/>
      <c r="PKC147" s="1206"/>
      <c r="PKD147" s="1206"/>
      <c r="PKE147" s="1206"/>
      <c r="PKF147" s="1206"/>
      <c r="PKG147" s="1206"/>
      <c r="PKH147" s="1206"/>
      <c r="PKI147" s="1206"/>
      <c r="PKJ147" s="1206"/>
      <c r="PKK147" s="1206"/>
      <c r="PKL147" s="1206"/>
      <c r="PKM147" s="1206"/>
      <c r="PKN147" s="1206"/>
      <c r="PKO147" s="1206"/>
      <c r="PKP147" s="1206"/>
      <c r="PKQ147" s="1206"/>
      <c r="PKR147" s="1206"/>
      <c r="PKS147" s="1206"/>
      <c r="PKT147" s="1206"/>
      <c r="PKU147" s="1206"/>
      <c r="PKV147" s="1206"/>
      <c r="PKW147" s="1206"/>
      <c r="PKX147" s="1206"/>
      <c r="PKY147" s="1206"/>
      <c r="PKZ147" s="1206"/>
      <c r="PLA147" s="1206"/>
      <c r="PLB147" s="1206"/>
      <c r="PLC147" s="1206"/>
      <c r="PLD147" s="1206"/>
      <c r="PLE147" s="1206"/>
      <c r="PLF147" s="1206"/>
      <c r="PLG147" s="1206"/>
      <c r="PLH147" s="1206"/>
      <c r="PLI147" s="1206"/>
      <c r="PLJ147" s="1206"/>
      <c r="PLK147" s="1206"/>
      <c r="PLL147" s="1206"/>
      <c r="PLM147" s="1206"/>
      <c r="PLN147" s="1206"/>
      <c r="PLO147" s="1206"/>
      <c r="PLP147" s="1206"/>
      <c r="PLQ147" s="1206"/>
      <c r="PLR147" s="1206"/>
      <c r="PLS147" s="1206"/>
      <c r="PLT147" s="1206"/>
      <c r="PLU147" s="1206"/>
      <c r="PLV147" s="1206"/>
      <c r="PLW147" s="1206"/>
      <c r="PLX147" s="1206"/>
      <c r="PLY147" s="1206"/>
      <c r="PLZ147" s="1206"/>
      <c r="PMA147" s="1206"/>
      <c r="PMB147" s="1206"/>
      <c r="PMC147" s="1206"/>
      <c r="PMD147" s="1206"/>
      <c r="PME147" s="1206"/>
      <c r="PMF147" s="1206"/>
      <c r="PMG147" s="1206"/>
      <c r="PMH147" s="1206"/>
      <c r="PMI147" s="1206"/>
      <c r="PMJ147" s="1206"/>
      <c r="PMK147" s="1206"/>
      <c r="PML147" s="1206"/>
      <c r="PMM147" s="1206"/>
      <c r="PMN147" s="1206"/>
      <c r="PMO147" s="1206"/>
      <c r="PMP147" s="1206"/>
      <c r="PMQ147" s="1206"/>
      <c r="PMR147" s="1206"/>
      <c r="PMS147" s="1206"/>
      <c r="PMT147" s="1206"/>
      <c r="PMU147" s="1206"/>
      <c r="PMV147" s="1206"/>
      <c r="PMW147" s="1206"/>
      <c r="PMX147" s="1206"/>
      <c r="PMY147" s="1206"/>
      <c r="PMZ147" s="1206"/>
      <c r="PNA147" s="1206"/>
      <c r="PNB147" s="1206"/>
      <c r="PNC147" s="1206"/>
      <c r="PND147" s="1206"/>
      <c r="PNE147" s="1206"/>
      <c r="PNF147" s="1206"/>
      <c r="PNG147" s="1206"/>
      <c r="PNH147" s="1206"/>
      <c r="PNI147" s="1206"/>
      <c r="PNJ147" s="1206"/>
      <c r="PNK147" s="1206"/>
      <c r="PNL147" s="1206"/>
      <c r="PNM147" s="1206"/>
      <c r="PNN147" s="1206"/>
      <c r="PNO147" s="1206"/>
      <c r="PNP147" s="1206"/>
      <c r="PNQ147" s="1206"/>
      <c r="PNR147" s="1206"/>
      <c r="PNS147" s="1206"/>
      <c r="PNT147" s="1206"/>
      <c r="PNU147" s="1206"/>
      <c r="PNV147" s="1206"/>
      <c r="PNW147" s="1206"/>
      <c r="PNX147" s="1206"/>
      <c r="PNY147" s="1206"/>
      <c r="PNZ147" s="1206"/>
      <c r="POA147" s="1206"/>
      <c r="POB147" s="1206"/>
      <c r="POC147" s="1206"/>
      <c r="POD147" s="1206"/>
      <c r="POE147" s="1206"/>
      <c r="POF147" s="1206"/>
      <c r="POG147" s="1206"/>
      <c r="POH147" s="1206"/>
      <c r="POI147" s="1206"/>
      <c r="POJ147" s="1206"/>
      <c r="POK147" s="1206"/>
      <c r="POL147" s="1206"/>
      <c r="POM147" s="1206"/>
      <c r="PON147" s="1206"/>
      <c r="POO147" s="1206"/>
      <c r="POP147" s="1206"/>
      <c r="POQ147" s="1206"/>
      <c r="POR147" s="1206"/>
      <c r="POS147" s="1206"/>
      <c r="POT147" s="1206"/>
      <c r="POU147" s="1206"/>
      <c r="POV147" s="1206"/>
      <c r="POW147" s="1206"/>
      <c r="POX147" s="1206"/>
      <c r="POY147" s="1206"/>
      <c r="POZ147" s="1206"/>
      <c r="PPA147" s="1206"/>
      <c r="PPB147" s="1206"/>
      <c r="PPC147" s="1206"/>
      <c r="PPD147" s="1206"/>
      <c r="PPE147" s="1206"/>
      <c r="PPF147" s="1206"/>
      <c r="PPG147" s="1206"/>
      <c r="PPH147" s="1206"/>
      <c r="PPI147" s="1206"/>
      <c r="PPJ147" s="1206"/>
      <c r="PPK147" s="1206"/>
      <c r="PPL147" s="1206"/>
      <c r="PPM147" s="1206"/>
      <c r="PPN147" s="1206"/>
      <c r="PPO147" s="1206"/>
      <c r="PPP147" s="1206"/>
      <c r="PPQ147" s="1206"/>
      <c r="PPR147" s="1206"/>
      <c r="PPS147" s="1206"/>
      <c r="PPT147" s="1206"/>
      <c r="PPU147" s="1206"/>
      <c r="PPV147" s="1206"/>
      <c r="PPW147" s="1206"/>
      <c r="PPX147" s="1206"/>
      <c r="PPY147" s="1206"/>
      <c r="PPZ147" s="1206"/>
      <c r="PQA147" s="1206"/>
      <c r="PQB147" s="1206"/>
      <c r="PQC147" s="1206"/>
      <c r="PQD147" s="1206"/>
      <c r="PQE147" s="1206"/>
      <c r="PQF147" s="1206"/>
      <c r="PQG147" s="1206"/>
      <c r="PQH147" s="1206"/>
      <c r="PQI147" s="1206"/>
      <c r="PQJ147" s="1206"/>
      <c r="PQK147" s="1206"/>
      <c r="PQL147" s="1206"/>
      <c r="PQM147" s="1206"/>
      <c r="PQN147" s="1206"/>
      <c r="PQO147" s="1206"/>
      <c r="PQP147" s="1206"/>
      <c r="PQQ147" s="1206"/>
      <c r="PQR147" s="1206"/>
      <c r="PQS147" s="1206"/>
      <c r="PQT147" s="1206"/>
      <c r="PQU147" s="1206"/>
      <c r="PQV147" s="1206"/>
      <c r="PQW147" s="1206"/>
      <c r="PQX147" s="1206"/>
      <c r="PQY147" s="1206"/>
      <c r="PQZ147" s="1206"/>
      <c r="PRA147" s="1206"/>
      <c r="PRB147" s="1206"/>
      <c r="PRC147" s="1206"/>
      <c r="PRD147" s="1206"/>
      <c r="PRE147" s="1206"/>
      <c r="PRF147" s="1206"/>
      <c r="PRG147" s="1206"/>
      <c r="PRH147" s="1206"/>
      <c r="PRI147" s="1206"/>
      <c r="PRJ147" s="1206"/>
      <c r="PRK147" s="1206"/>
      <c r="PRL147" s="1206"/>
      <c r="PRM147" s="1206"/>
      <c r="PRN147" s="1206"/>
      <c r="PRO147" s="1206"/>
      <c r="PRP147" s="1206"/>
      <c r="PRQ147" s="1206"/>
      <c r="PRR147" s="1206"/>
      <c r="PRS147" s="1206"/>
      <c r="PRT147" s="1206"/>
      <c r="PRU147" s="1206"/>
      <c r="PRV147" s="1206"/>
      <c r="PRW147" s="1206"/>
      <c r="PRX147" s="1206"/>
      <c r="PRY147" s="1206"/>
      <c r="PRZ147" s="1206"/>
      <c r="PSA147" s="1206"/>
      <c r="PSB147" s="1206"/>
      <c r="PSC147" s="1206"/>
      <c r="PSD147" s="1206"/>
      <c r="PSE147" s="1206"/>
      <c r="PSF147" s="1206"/>
      <c r="PSG147" s="1206"/>
      <c r="PSH147" s="1206"/>
      <c r="PSI147" s="1206"/>
      <c r="PSJ147" s="1206"/>
      <c r="PSK147" s="1206"/>
      <c r="PSL147" s="1206"/>
      <c r="PSM147" s="1206"/>
      <c r="PSN147" s="1206"/>
      <c r="PSO147" s="1206"/>
      <c r="PSP147" s="1206"/>
      <c r="PSQ147" s="1206"/>
      <c r="PSR147" s="1206"/>
      <c r="PSS147" s="1206"/>
      <c r="PST147" s="1206"/>
      <c r="PSU147" s="1206"/>
      <c r="PSV147" s="1206"/>
      <c r="PSW147" s="1206"/>
      <c r="PSX147" s="1206"/>
      <c r="PSY147" s="1206"/>
      <c r="PSZ147" s="1206"/>
      <c r="PTA147" s="1206"/>
      <c r="PTB147" s="1206"/>
      <c r="PTC147" s="1206"/>
      <c r="PTD147" s="1206"/>
      <c r="PTE147" s="1206"/>
      <c r="PTF147" s="1206"/>
      <c r="PTG147" s="1206"/>
      <c r="PTH147" s="1206"/>
      <c r="PTI147" s="1206"/>
      <c r="PTJ147" s="1206"/>
      <c r="PTK147" s="1206"/>
      <c r="PTL147" s="1206"/>
      <c r="PTM147" s="1206"/>
      <c r="PTN147" s="1206"/>
      <c r="PTO147" s="1206"/>
      <c r="PTP147" s="1206"/>
      <c r="PTQ147" s="1206"/>
      <c r="PTR147" s="1206"/>
      <c r="PTS147" s="1206"/>
      <c r="PTT147" s="1206"/>
      <c r="PTU147" s="1206"/>
      <c r="PTV147" s="1206"/>
      <c r="PTW147" s="1206"/>
      <c r="PTX147" s="1206"/>
      <c r="PTY147" s="1206"/>
      <c r="PTZ147" s="1206"/>
      <c r="PUA147" s="1206"/>
      <c r="PUB147" s="1206"/>
      <c r="PUC147" s="1206"/>
      <c r="PUD147" s="1206"/>
      <c r="PUE147" s="1206"/>
      <c r="PUF147" s="1206"/>
      <c r="PUG147" s="1206"/>
      <c r="PUH147" s="1206"/>
      <c r="PUI147" s="1206"/>
      <c r="PUJ147" s="1206"/>
      <c r="PUK147" s="1206"/>
      <c r="PUL147" s="1206"/>
      <c r="PUM147" s="1206"/>
      <c r="PUN147" s="1206"/>
      <c r="PUO147" s="1206"/>
      <c r="PUP147" s="1206"/>
      <c r="PUQ147" s="1206"/>
      <c r="PUR147" s="1206"/>
      <c r="PUS147" s="1206"/>
      <c r="PUT147" s="1206"/>
      <c r="PUU147" s="1206"/>
      <c r="PUV147" s="1206"/>
      <c r="PUW147" s="1206"/>
      <c r="PUX147" s="1206"/>
      <c r="PUY147" s="1206"/>
      <c r="PUZ147" s="1206"/>
      <c r="PVA147" s="1206"/>
      <c r="PVB147" s="1206"/>
      <c r="PVC147" s="1206"/>
      <c r="PVD147" s="1206"/>
      <c r="PVE147" s="1206"/>
      <c r="PVF147" s="1206"/>
      <c r="PVG147" s="1206"/>
      <c r="PVH147" s="1206"/>
      <c r="PVI147" s="1206"/>
      <c r="PVJ147" s="1206"/>
      <c r="PVK147" s="1206"/>
      <c r="PVL147" s="1206"/>
      <c r="PVM147" s="1206"/>
      <c r="PVN147" s="1206"/>
      <c r="PVO147" s="1206"/>
      <c r="PVP147" s="1206"/>
      <c r="PVQ147" s="1206"/>
      <c r="PVR147" s="1206"/>
      <c r="PVS147" s="1206"/>
      <c r="PVT147" s="1206"/>
      <c r="PVU147" s="1206"/>
      <c r="PVV147" s="1206"/>
      <c r="PVW147" s="1206"/>
      <c r="PVX147" s="1206"/>
      <c r="PVY147" s="1206"/>
      <c r="PVZ147" s="1206"/>
      <c r="PWA147" s="1206"/>
      <c r="PWB147" s="1206"/>
      <c r="PWC147" s="1206"/>
      <c r="PWD147" s="1206"/>
      <c r="PWE147" s="1206"/>
      <c r="PWF147" s="1206"/>
      <c r="PWG147" s="1206"/>
      <c r="PWH147" s="1206"/>
      <c r="PWI147" s="1206"/>
      <c r="PWJ147" s="1206"/>
      <c r="PWK147" s="1206"/>
      <c r="PWL147" s="1206"/>
      <c r="PWM147" s="1206"/>
      <c r="PWN147" s="1206"/>
      <c r="PWO147" s="1206"/>
      <c r="PWP147" s="1206"/>
      <c r="PWQ147" s="1206"/>
      <c r="PWR147" s="1206"/>
      <c r="PWS147" s="1206"/>
      <c r="PWT147" s="1206"/>
      <c r="PWU147" s="1206"/>
      <c r="PWV147" s="1206"/>
      <c r="PWW147" s="1206"/>
      <c r="PWX147" s="1206"/>
      <c r="PWY147" s="1206"/>
      <c r="PWZ147" s="1206"/>
      <c r="PXA147" s="1206"/>
      <c r="PXB147" s="1206"/>
      <c r="PXC147" s="1206"/>
      <c r="PXD147" s="1206"/>
      <c r="PXE147" s="1206"/>
      <c r="PXF147" s="1206"/>
      <c r="PXG147" s="1206"/>
      <c r="PXH147" s="1206"/>
      <c r="PXI147" s="1206"/>
      <c r="PXJ147" s="1206"/>
      <c r="PXK147" s="1206"/>
      <c r="PXL147" s="1206"/>
      <c r="PXM147" s="1206"/>
      <c r="PXN147" s="1206"/>
      <c r="PXO147" s="1206"/>
      <c r="PXP147" s="1206"/>
      <c r="PXQ147" s="1206"/>
      <c r="PXR147" s="1206"/>
      <c r="PXS147" s="1206"/>
      <c r="PXT147" s="1206"/>
      <c r="PXU147" s="1206"/>
      <c r="PXV147" s="1206"/>
      <c r="PXW147" s="1206"/>
      <c r="PXX147" s="1206"/>
      <c r="PXY147" s="1206"/>
      <c r="PXZ147" s="1206"/>
      <c r="PYA147" s="1206"/>
      <c r="PYB147" s="1206"/>
      <c r="PYC147" s="1206"/>
      <c r="PYD147" s="1206"/>
      <c r="PYE147" s="1206"/>
      <c r="PYF147" s="1206"/>
      <c r="PYG147" s="1206"/>
      <c r="PYH147" s="1206"/>
      <c r="PYI147" s="1206"/>
      <c r="PYJ147" s="1206"/>
      <c r="PYK147" s="1206"/>
      <c r="PYL147" s="1206"/>
      <c r="PYM147" s="1206"/>
      <c r="PYN147" s="1206"/>
      <c r="PYO147" s="1206"/>
      <c r="PYP147" s="1206"/>
      <c r="PYQ147" s="1206"/>
      <c r="PYR147" s="1206"/>
      <c r="PYS147" s="1206"/>
      <c r="PYT147" s="1206"/>
      <c r="PYU147" s="1206"/>
      <c r="PYV147" s="1206"/>
      <c r="PYW147" s="1206"/>
      <c r="PYX147" s="1206"/>
      <c r="PYY147" s="1206"/>
      <c r="PYZ147" s="1206"/>
      <c r="PZA147" s="1206"/>
      <c r="PZB147" s="1206"/>
      <c r="PZC147" s="1206"/>
      <c r="PZD147" s="1206"/>
      <c r="PZE147" s="1206"/>
      <c r="PZF147" s="1206"/>
      <c r="PZG147" s="1206"/>
      <c r="PZH147" s="1206"/>
      <c r="PZI147" s="1206"/>
      <c r="PZJ147" s="1206"/>
      <c r="PZK147" s="1206"/>
      <c r="PZL147" s="1206"/>
      <c r="PZM147" s="1206"/>
      <c r="PZN147" s="1206"/>
      <c r="PZO147" s="1206"/>
      <c r="PZP147" s="1206"/>
      <c r="PZQ147" s="1206"/>
      <c r="PZR147" s="1206"/>
      <c r="PZS147" s="1206"/>
      <c r="PZT147" s="1206"/>
      <c r="PZU147" s="1206"/>
      <c r="PZV147" s="1206"/>
      <c r="PZW147" s="1206"/>
      <c r="PZX147" s="1206"/>
      <c r="PZY147" s="1206"/>
      <c r="PZZ147" s="1206"/>
      <c r="QAA147" s="1206"/>
      <c r="QAB147" s="1206"/>
      <c r="QAC147" s="1206"/>
      <c r="QAD147" s="1206"/>
      <c r="QAE147" s="1206"/>
      <c r="QAF147" s="1206"/>
      <c r="QAG147" s="1206"/>
      <c r="QAH147" s="1206"/>
      <c r="QAI147" s="1206"/>
      <c r="QAJ147" s="1206"/>
      <c r="QAK147" s="1206"/>
      <c r="QAL147" s="1206"/>
      <c r="QAM147" s="1206"/>
      <c r="QAN147" s="1206"/>
      <c r="QAO147" s="1206"/>
      <c r="QAP147" s="1206"/>
      <c r="QAQ147" s="1206"/>
      <c r="QAR147" s="1206"/>
      <c r="QAS147" s="1206"/>
      <c r="QAT147" s="1206"/>
      <c r="QAU147" s="1206"/>
      <c r="QAV147" s="1206"/>
      <c r="QAW147" s="1206"/>
      <c r="QAX147" s="1206"/>
      <c r="QAY147" s="1206"/>
      <c r="QAZ147" s="1206"/>
      <c r="QBA147" s="1206"/>
      <c r="QBB147" s="1206"/>
      <c r="QBC147" s="1206"/>
      <c r="QBD147" s="1206"/>
      <c r="QBE147" s="1206"/>
      <c r="QBF147" s="1206"/>
      <c r="QBG147" s="1206"/>
      <c r="QBH147" s="1206"/>
      <c r="QBI147" s="1206"/>
      <c r="QBJ147" s="1206"/>
      <c r="QBK147" s="1206"/>
      <c r="QBL147" s="1206"/>
      <c r="QBM147" s="1206"/>
      <c r="QBN147" s="1206"/>
      <c r="QBO147" s="1206"/>
      <c r="QBP147" s="1206"/>
      <c r="QBQ147" s="1206"/>
      <c r="QBR147" s="1206"/>
      <c r="QBS147" s="1206"/>
      <c r="QBT147" s="1206"/>
      <c r="QBU147" s="1206"/>
      <c r="QBV147" s="1206"/>
      <c r="QBW147" s="1206"/>
      <c r="QBX147" s="1206"/>
      <c r="QBY147" s="1206"/>
      <c r="QBZ147" s="1206"/>
      <c r="QCA147" s="1206"/>
      <c r="QCB147" s="1206"/>
      <c r="QCC147" s="1206"/>
      <c r="QCD147" s="1206"/>
      <c r="QCE147" s="1206"/>
      <c r="QCF147" s="1206"/>
      <c r="QCG147" s="1206"/>
      <c r="QCH147" s="1206"/>
      <c r="QCI147" s="1206"/>
      <c r="QCJ147" s="1206"/>
      <c r="QCK147" s="1206"/>
      <c r="QCL147" s="1206"/>
      <c r="QCM147" s="1206"/>
      <c r="QCN147" s="1206"/>
      <c r="QCO147" s="1206"/>
      <c r="QCP147" s="1206"/>
      <c r="QCQ147" s="1206"/>
      <c r="QCR147" s="1206"/>
      <c r="QCS147" s="1206"/>
      <c r="QCT147" s="1206"/>
      <c r="QCU147" s="1206"/>
      <c r="QCV147" s="1206"/>
      <c r="QCW147" s="1206"/>
      <c r="QCX147" s="1206"/>
      <c r="QCY147" s="1206"/>
      <c r="QCZ147" s="1206"/>
      <c r="QDA147" s="1206"/>
      <c r="QDB147" s="1206"/>
      <c r="QDC147" s="1206"/>
      <c r="QDD147" s="1206"/>
      <c r="QDE147" s="1206"/>
      <c r="QDF147" s="1206"/>
      <c r="QDG147" s="1206"/>
      <c r="QDH147" s="1206"/>
      <c r="QDI147" s="1206"/>
      <c r="QDJ147" s="1206"/>
      <c r="QDK147" s="1206"/>
      <c r="QDL147" s="1206"/>
      <c r="QDM147" s="1206"/>
      <c r="QDN147" s="1206"/>
      <c r="QDO147" s="1206"/>
      <c r="QDP147" s="1206"/>
      <c r="QDQ147" s="1206"/>
      <c r="QDR147" s="1206"/>
      <c r="QDS147" s="1206"/>
      <c r="QDT147" s="1206"/>
      <c r="QDU147" s="1206"/>
      <c r="QDV147" s="1206"/>
      <c r="QDW147" s="1206"/>
      <c r="QDX147" s="1206"/>
      <c r="QDY147" s="1206"/>
      <c r="QDZ147" s="1206"/>
      <c r="QEA147" s="1206"/>
      <c r="QEB147" s="1206"/>
      <c r="QEC147" s="1206"/>
      <c r="QED147" s="1206"/>
      <c r="QEE147" s="1206"/>
      <c r="QEF147" s="1206"/>
      <c r="QEG147" s="1206"/>
      <c r="QEH147" s="1206"/>
      <c r="QEI147" s="1206"/>
      <c r="QEJ147" s="1206"/>
      <c r="QEK147" s="1206"/>
      <c r="QEL147" s="1206"/>
      <c r="QEM147" s="1206"/>
      <c r="QEN147" s="1206"/>
      <c r="QEO147" s="1206"/>
      <c r="QEP147" s="1206"/>
      <c r="QEQ147" s="1206"/>
      <c r="QER147" s="1206"/>
      <c r="QES147" s="1206"/>
      <c r="QET147" s="1206"/>
      <c r="QEU147" s="1206"/>
      <c r="QEV147" s="1206"/>
      <c r="QEW147" s="1206"/>
      <c r="QEX147" s="1206"/>
      <c r="QEY147" s="1206"/>
      <c r="QEZ147" s="1206"/>
      <c r="QFA147" s="1206"/>
      <c r="QFB147" s="1206"/>
      <c r="QFC147" s="1206"/>
      <c r="QFD147" s="1206"/>
      <c r="QFE147" s="1206"/>
      <c r="QFF147" s="1206"/>
      <c r="QFG147" s="1206"/>
      <c r="QFH147" s="1206"/>
      <c r="QFI147" s="1206"/>
      <c r="QFJ147" s="1206"/>
      <c r="QFK147" s="1206"/>
      <c r="QFL147" s="1206"/>
      <c r="QFM147" s="1206"/>
      <c r="QFN147" s="1206"/>
      <c r="QFO147" s="1206"/>
      <c r="QFP147" s="1206"/>
      <c r="QFQ147" s="1206"/>
      <c r="QFR147" s="1206"/>
      <c r="QFS147" s="1206"/>
      <c r="QFT147" s="1206"/>
      <c r="QFU147" s="1206"/>
      <c r="QFV147" s="1206"/>
      <c r="QFW147" s="1206"/>
      <c r="QFX147" s="1206"/>
      <c r="QFY147" s="1206"/>
      <c r="QFZ147" s="1206"/>
      <c r="QGA147" s="1206"/>
      <c r="QGB147" s="1206"/>
      <c r="QGC147" s="1206"/>
      <c r="QGD147" s="1206"/>
      <c r="QGE147" s="1206"/>
      <c r="QGF147" s="1206"/>
      <c r="QGG147" s="1206"/>
      <c r="QGH147" s="1206"/>
      <c r="QGI147" s="1206"/>
      <c r="QGJ147" s="1206"/>
      <c r="QGK147" s="1206"/>
      <c r="QGL147" s="1206"/>
      <c r="QGM147" s="1206"/>
      <c r="QGN147" s="1206"/>
      <c r="QGO147" s="1206"/>
      <c r="QGP147" s="1206"/>
      <c r="QGQ147" s="1206"/>
      <c r="QGR147" s="1206"/>
      <c r="QGS147" s="1206"/>
      <c r="QGT147" s="1206"/>
      <c r="QGU147" s="1206"/>
      <c r="QGV147" s="1206"/>
      <c r="QGW147" s="1206"/>
      <c r="QGX147" s="1206"/>
      <c r="QGY147" s="1206"/>
      <c r="QGZ147" s="1206"/>
      <c r="QHA147" s="1206"/>
      <c r="QHB147" s="1206"/>
      <c r="QHC147" s="1206"/>
      <c r="QHD147" s="1206"/>
      <c r="QHE147" s="1206"/>
      <c r="QHF147" s="1206"/>
      <c r="QHG147" s="1206"/>
      <c r="QHH147" s="1206"/>
      <c r="QHI147" s="1206"/>
      <c r="QHJ147" s="1206"/>
      <c r="QHK147" s="1206"/>
      <c r="QHL147" s="1206"/>
      <c r="QHM147" s="1206"/>
      <c r="QHN147" s="1206"/>
      <c r="QHO147" s="1206"/>
      <c r="QHP147" s="1206"/>
      <c r="QHQ147" s="1206"/>
      <c r="QHR147" s="1206"/>
      <c r="QHS147" s="1206"/>
      <c r="QHT147" s="1206"/>
      <c r="QHU147" s="1206"/>
      <c r="QHV147" s="1206"/>
      <c r="QHW147" s="1206"/>
      <c r="QHX147" s="1206"/>
      <c r="QHY147" s="1206"/>
      <c r="QHZ147" s="1206"/>
      <c r="QIA147" s="1206"/>
      <c r="QIB147" s="1206"/>
      <c r="QIC147" s="1206"/>
      <c r="QID147" s="1206"/>
      <c r="QIE147" s="1206"/>
      <c r="QIF147" s="1206"/>
      <c r="QIG147" s="1206"/>
      <c r="QIH147" s="1206"/>
      <c r="QII147" s="1206"/>
      <c r="QIJ147" s="1206"/>
      <c r="QIK147" s="1206"/>
      <c r="QIL147" s="1206"/>
      <c r="QIM147" s="1206"/>
      <c r="QIN147" s="1206"/>
      <c r="QIO147" s="1206"/>
      <c r="QIP147" s="1206"/>
      <c r="QIQ147" s="1206"/>
      <c r="QIR147" s="1206"/>
      <c r="QIS147" s="1206"/>
      <c r="QIT147" s="1206"/>
      <c r="QIU147" s="1206"/>
      <c r="QIV147" s="1206"/>
      <c r="QIW147" s="1206"/>
      <c r="QIX147" s="1206"/>
      <c r="QIY147" s="1206"/>
      <c r="QIZ147" s="1206"/>
      <c r="QJA147" s="1206"/>
      <c r="QJB147" s="1206"/>
      <c r="QJC147" s="1206"/>
      <c r="QJD147" s="1206"/>
      <c r="QJE147" s="1206"/>
      <c r="QJF147" s="1206"/>
      <c r="QJG147" s="1206"/>
      <c r="QJH147" s="1206"/>
      <c r="QJI147" s="1206"/>
      <c r="QJJ147" s="1206"/>
      <c r="QJK147" s="1206"/>
      <c r="QJL147" s="1206"/>
      <c r="QJM147" s="1206"/>
      <c r="QJN147" s="1206"/>
      <c r="QJO147" s="1206"/>
      <c r="QJP147" s="1206"/>
      <c r="QJQ147" s="1206"/>
      <c r="QJR147" s="1206"/>
      <c r="QJS147" s="1206"/>
      <c r="QJT147" s="1206"/>
      <c r="QJU147" s="1206"/>
      <c r="QJV147" s="1206"/>
      <c r="QJW147" s="1206"/>
      <c r="QJX147" s="1206"/>
      <c r="QJY147" s="1206"/>
      <c r="QJZ147" s="1206"/>
      <c r="QKA147" s="1206"/>
      <c r="QKB147" s="1206"/>
      <c r="QKC147" s="1206"/>
      <c r="QKD147" s="1206"/>
      <c r="QKE147" s="1206"/>
      <c r="QKF147" s="1206"/>
      <c r="QKG147" s="1206"/>
      <c r="QKH147" s="1206"/>
      <c r="QKI147" s="1206"/>
      <c r="QKJ147" s="1206"/>
      <c r="QKK147" s="1206"/>
      <c r="QKL147" s="1206"/>
      <c r="QKM147" s="1206"/>
      <c r="QKN147" s="1206"/>
      <c r="QKO147" s="1206"/>
      <c r="QKP147" s="1206"/>
      <c r="QKQ147" s="1206"/>
      <c r="QKR147" s="1206"/>
      <c r="QKS147" s="1206"/>
      <c r="QKT147" s="1206"/>
      <c r="QKU147" s="1206"/>
      <c r="QKV147" s="1206"/>
      <c r="QKW147" s="1206"/>
      <c r="QKX147" s="1206"/>
      <c r="QKY147" s="1206"/>
      <c r="QKZ147" s="1206"/>
      <c r="QLA147" s="1206"/>
      <c r="QLB147" s="1206"/>
      <c r="QLC147" s="1206"/>
      <c r="QLD147" s="1206"/>
      <c r="QLE147" s="1206"/>
      <c r="QLF147" s="1206"/>
      <c r="QLG147" s="1206"/>
      <c r="QLH147" s="1206"/>
      <c r="QLI147" s="1206"/>
      <c r="QLJ147" s="1206"/>
      <c r="QLK147" s="1206"/>
      <c r="QLL147" s="1206"/>
      <c r="QLM147" s="1206"/>
      <c r="QLN147" s="1206"/>
      <c r="QLO147" s="1206"/>
      <c r="QLP147" s="1206"/>
      <c r="QLQ147" s="1206"/>
      <c r="QLR147" s="1206"/>
      <c r="QLS147" s="1206"/>
      <c r="QLT147" s="1206"/>
      <c r="QLU147" s="1206"/>
      <c r="QLV147" s="1206"/>
      <c r="QLW147" s="1206"/>
      <c r="QLX147" s="1206"/>
      <c r="QLY147" s="1206"/>
      <c r="QLZ147" s="1206"/>
      <c r="QMA147" s="1206"/>
      <c r="QMB147" s="1206"/>
      <c r="QMC147" s="1206"/>
      <c r="QMD147" s="1206"/>
      <c r="QME147" s="1206"/>
      <c r="QMF147" s="1206"/>
      <c r="QMG147" s="1206"/>
      <c r="QMH147" s="1206"/>
      <c r="QMI147" s="1206"/>
      <c r="QMJ147" s="1206"/>
      <c r="QMK147" s="1206"/>
      <c r="QML147" s="1206"/>
      <c r="QMM147" s="1206"/>
      <c r="QMN147" s="1206"/>
      <c r="QMO147" s="1206"/>
      <c r="QMP147" s="1206"/>
      <c r="QMQ147" s="1206"/>
      <c r="QMR147" s="1206"/>
      <c r="QMS147" s="1206"/>
      <c r="QMT147" s="1206"/>
      <c r="QMU147" s="1206"/>
      <c r="QMV147" s="1206"/>
      <c r="QMW147" s="1206"/>
      <c r="QMX147" s="1206"/>
      <c r="QMY147" s="1206"/>
      <c r="QMZ147" s="1206"/>
      <c r="QNA147" s="1206"/>
      <c r="QNB147" s="1206"/>
      <c r="QNC147" s="1206"/>
      <c r="QND147" s="1206"/>
      <c r="QNE147" s="1206"/>
      <c r="QNF147" s="1206"/>
      <c r="QNG147" s="1206"/>
      <c r="QNH147" s="1206"/>
      <c r="QNI147" s="1206"/>
      <c r="QNJ147" s="1206"/>
      <c r="QNK147" s="1206"/>
      <c r="QNL147" s="1206"/>
      <c r="QNM147" s="1206"/>
      <c r="QNN147" s="1206"/>
      <c r="QNO147" s="1206"/>
      <c r="QNP147" s="1206"/>
      <c r="QNQ147" s="1206"/>
      <c r="QNR147" s="1206"/>
      <c r="QNS147" s="1206"/>
      <c r="QNT147" s="1206"/>
      <c r="QNU147" s="1206"/>
      <c r="QNV147" s="1206"/>
      <c r="QNW147" s="1206"/>
      <c r="QNX147" s="1206"/>
      <c r="QNY147" s="1206"/>
      <c r="QNZ147" s="1206"/>
      <c r="QOA147" s="1206"/>
      <c r="QOB147" s="1206"/>
      <c r="QOC147" s="1206"/>
      <c r="QOD147" s="1206"/>
      <c r="QOE147" s="1206"/>
      <c r="QOF147" s="1206"/>
      <c r="QOG147" s="1206"/>
      <c r="QOH147" s="1206"/>
      <c r="QOI147" s="1206"/>
      <c r="QOJ147" s="1206"/>
      <c r="QOK147" s="1206"/>
      <c r="QOL147" s="1206"/>
      <c r="QOM147" s="1206"/>
      <c r="QON147" s="1206"/>
      <c r="QOO147" s="1206"/>
      <c r="QOP147" s="1206"/>
      <c r="QOQ147" s="1206"/>
      <c r="QOR147" s="1206"/>
      <c r="QOS147" s="1206"/>
      <c r="QOT147" s="1206"/>
      <c r="QOU147" s="1206"/>
      <c r="QOV147" s="1206"/>
      <c r="QOW147" s="1206"/>
      <c r="QOX147" s="1206"/>
      <c r="QOY147" s="1206"/>
      <c r="QOZ147" s="1206"/>
      <c r="QPA147" s="1206"/>
      <c r="QPB147" s="1206"/>
      <c r="QPC147" s="1206"/>
      <c r="QPD147" s="1206"/>
      <c r="QPE147" s="1206"/>
      <c r="QPF147" s="1206"/>
      <c r="QPG147" s="1206"/>
      <c r="QPH147" s="1206"/>
      <c r="QPI147" s="1206"/>
      <c r="QPJ147" s="1206"/>
      <c r="QPK147" s="1206"/>
      <c r="QPL147" s="1206"/>
      <c r="QPM147" s="1206"/>
      <c r="QPN147" s="1206"/>
      <c r="QPO147" s="1206"/>
      <c r="QPP147" s="1206"/>
      <c r="QPQ147" s="1206"/>
      <c r="QPR147" s="1206"/>
      <c r="QPS147" s="1206"/>
      <c r="QPT147" s="1206"/>
      <c r="QPU147" s="1206"/>
      <c r="QPV147" s="1206"/>
      <c r="QPW147" s="1206"/>
      <c r="QPX147" s="1206"/>
      <c r="QPY147" s="1206"/>
      <c r="QPZ147" s="1206"/>
      <c r="QQA147" s="1206"/>
      <c r="QQB147" s="1206"/>
      <c r="QQC147" s="1206"/>
      <c r="QQD147" s="1206"/>
      <c r="QQE147" s="1206"/>
      <c r="QQF147" s="1206"/>
      <c r="QQG147" s="1206"/>
      <c r="QQH147" s="1206"/>
      <c r="QQI147" s="1206"/>
      <c r="QQJ147" s="1206"/>
      <c r="QQK147" s="1206"/>
      <c r="QQL147" s="1206"/>
      <c r="QQM147" s="1206"/>
      <c r="QQN147" s="1206"/>
      <c r="QQO147" s="1206"/>
      <c r="QQP147" s="1206"/>
      <c r="QQQ147" s="1206"/>
      <c r="QQR147" s="1206"/>
      <c r="QQS147" s="1206"/>
      <c r="QQT147" s="1206"/>
      <c r="QQU147" s="1206"/>
      <c r="QQV147" s="1206"/>
      <c r="QQW147" s="1206"/>
      <c r="QQX147" s="1206"/>
      <c r="QQY147" s="1206"/>
      <c r="QQZ147" s="1206"/>
      <c r="QRA147" s="1206"/>
      <c r="QRB147" s="1206"/>
      <c r="QRC147" s="1206"/>
      <c r="QRD147" s="1206"/>
      <c r="QRE147" s="1206"/>
      <c r="QRF147" s="1206"/>
      <c r="QRG147" s="1206"/>
      <c r="QRH147" s="1206"/>
      <c r="QRI147" s="1206"/>
      <c r="QRJ147" s="1206"/>
      <c r="QRK147" s="1206"/>
      <c r="QRL147" s="1206"/>
      <c r="QRM147" s="1206"/>
      <c r="QRN147" s="1206"/>
      <c r="QRO147" s="1206"/>
      <c r="QRP147" s="1206"/>
      <c r="QRQ147" s="1206"/>
      <c r="QRR147" s="1206"/>
      <c r="QRS147" s="1206"/>
      <c r="QRT147" s="1206"/>
      <c r="QRU147" s="1206"/>
      <c r="QRV147" s="1206"/>
      <c r="QRW147" s="1206"/>
      <c r="QRX147" s="1206"/>
      <c r="QRY147" s="1206"/>
      <c r="QRZ147" s="1206"/>
      <c r="QSA147" s="1206"/>
      <c r="QSB147" s="1206"/>
      <c r="QSC147" s="1206"/>
      <c r="QSD147" s="1206"/>
      <c r="QSE147" s="1206"/>
      <c r="QSF147" s="1206"/>
      <c r="QSG147" s="1206"/>
      <c r="QSH147" s="1206"/>
      <c r="QSI147" s="1206"/>
      <c r="QSJ147" s="1206"/>
      <c r="QSK147" s="1206"/>
      <c r="QSL147" s="1206"/>
      <c r="QSM147" s="1206"/>
      <c r="QSN147" s="1206"/>
      <c r="QSO147" s="1206"/>
      <c r="QSP147" s="1206"/>
      <c r="QSQ147" s="1206"/>
      <c r="QSR147" s="1206"/>
      <c r="QSS147" s="1206"/>
      <c r="QST147" s="1206"/>
      <c r="QSU147" s="1206"/>
      <c r="QSV147" s="1206"/>
      <c r="QSW147" s="1206"/>
      <c r="QSX147" s="1206"/>
      <c r="QSY147" s="1206"/>
      <c r="QSZ147" s="1206"/>
      <c r="QTA147" s="1206"/>
      <c r="QTB147" s="1206"/>
      <c r="QTC147" s="1206"/>
      <c r="QTD147" s="1206"/>
      <c r="QTE147" s="1206"/>
      <c r="QTF147" s="1206"/>
      <c r="QTG147" s="1206"/>
      <c r="QTH147" s="1206"/>
      <c r="QTI147" s="1206"/>
      <c r="QTJ147" s="1206"/>
      <c r="QTK147" s="1206"/>
      <c r="QTL147" s="1206"/>
      <c r="QTM147" s="1206"/>
      <c r="QTN147" s="1206"/>
      <c r="QTO147" s="1206"/>
      <c r="QTP147" s="1206"/>
      <c r="QTQ147" s="1206"/>
      <c r="QTR147" s="1206"/>
      <c r="QTS147" s="1206"/>
      <c r="QTT147" s="1206"/>
      <c r="QTU147" s="1206"/>
      <c r="QTV147" s="1206"/>
      <c r="QTW147" s="1206"/>
      <c r="QTX147" s="1206"/>
      <c r="QTY147" s="1206"/>
      <c r="QTZ147" s="1206"/>
      <c r="QUA147" s="1206"/>
      <c r="QUB147" s="1206"/>
      <c r="QUC147" s="1206"/>
      <c r="QUD147" s="1206"/>
      <c r="QUE147" s="1206"/>
      <c r="QUF147" s="1206"/>
      <c r="QUG147" s="1206"/>
      <c r="QUH147" s="1206"/>
      <c r="QUI147" s="1206"/>
      <c r="QUJ147" s="1206"/>
      <c r="QUK147" s="1206"/>
      <c r="QUL147" s="1206"/>
      <c r="QUM147" s="1206"/>
      <c r="QUN147" s="1206"/>
      <c r="QUO147" s="1206"/>
      <c r="QUP147" s="1206"/>
      <c r="QUQ147" s="1206"/>
      <c r="QUR147" s="1206"/>
      <c r="QUS147" s="1206"/>
      <c r="QUT147" s="1206"/>
      <c r="QUU147" s="1206"/>
      <c r="QUV147" s="1206"/>
      <c r="QUW147" s="1206"/>
      <c r="QUX147" s="1206"/>
      <c r="QUY147" s="1206"/>
      <c r="QUZ147" s="1206"/>
      <c r="QVA147" s="1206"/>
      <c r="QVB147" s="1206"/>
      <c r="QVC147" s="1206"/>
      <c r="QVD147" s="1206"/>
      <c r="QVE147" s="1206"/>
      <c r="QVF147" s="1206"/>
      <c r="QVG147" s="1206"/>
      <c r="QVH147" s="1206"/>
      <c r="QVI147" s="1206"/>
      <c r="QVJ147" s="1206"/>
      <c r="QVK147" s="1206"/>
      <c r="QVL147" s="1206"/>
      <c r="QVM147" s="1206"/>
      <c r="QVN147" s="1206"/>
      <c r="QVO147" s="1206"/>
      <c r="QVP147" s="1206"/>
      <c r="QVQ147" s="1206"/>
      <c r="QVR147" s="1206"/>
      <c r="QVS147" s="1206"/>
      <c r="QVT147" s="1206"/>
      <c r="QVU147" s="1206"/>
      <c r="QVV147" s="1206"/>
      <c r="QVW147" s="1206"/>
      <c r="QVX147" s="1206"/>
      <c r="QVY147" s="1206"/>
      <c r="QVZ147" s="1206"/>
      <c r="QWA147" s="1206"/>
      <c r="QWB147" s="1206"/>
      <c r="QWC147" s="1206"/>
      <c r="QWD147" s="1206"/>
      <c r="QWE147" s="1206"/>
      <c r="QWF147" s="1206"/>
      <c r="QWG147" s="1206"/>
      <c r="QWH147" s="1206"/>
      <c r="QWI147" s="1206"/>
      <c r="QWJ147" s="1206"/>
      <c r="QWK147" s="1206"/>
      <c r="QWL147" s="1206"/>
      <c r="QWM147" s="1206"/>
      <c r="QWN147" s="1206"/>
      <c r="QWO147" s="1206"/>
      <c r="QWP147" s="1206"/>
      <c r="QWQ147" s="1206"/>
      <c r="QWR147" s="1206"/>
      <c r="QWS147" s="1206"/>
      <c r="QWT147" s="1206"/>
      <c r="QWU147" s="1206"/>
      <c r="QWV147" s="1206"/>
      <c r="QWW147" s="1206"/>
      <c r="QWX147" s="1206"/>
      <c r="QWY147" s="1206"/>
      <c r="QWZ147" s="1206"/>
      <c r="QXA147" s="1206"/>
      <c r="QXB147" s="1206"/>
      <c r="QXC147" s="1206"/>
      <c r="QXD147" s="1206"/>
      <c r="QXE147" s="1206"/>
      <c r="QXF147" s="1206"/>
      <c r="QXG147" s="1206"/>
      <c r="QXH147" s="1206"/>
      <c r="QXI147" s="1206"/>
      <c r="QXJ147" s="1206"/>
      <c r="QXK147" s="1206"/>
      <c r="QXL147" s="1206"/>
      <c r="QXM147" s="1206"/>
      <c r="QXN147" s="1206"/>
      <c r="QXO147" s="1206"/>
      <c r="QXP147" s="1206"/>
      <c r="QXQ147" s="1206"/>
      <c r="QXR147" s="1206"/>
      <c r="QXS147" s="1206"/>
      <c r="QXT147" s="1206"/>
      <c r="QXU147" s="1206"/>
      <c r="QXV147" s="1206"/>
      <c r="QXW147" s="1206"/>
      <c r="QXX147" s="1206"/>
      <c r="QXY147" s="1206"/>
      <c r="QXZ147" s="1206"/>
      <c r="QYA147" s="1206"/>
      <c r="QYB147" s="1206"/>
      <c r="QYC147" s="1206"/>
      <c r="QYD147" s="1206"/>
      <c r="QYE147" s="1206"/>
      <c r="QYF147" s="1206"/>
      <c r="QYG147" s="1206"/>
      <c r="QYH147" s="1206"/>
      <c r="QYI147" s="1206"/>
      <c r="QYJ147" s="1206"/>
      <c r="QYK147" s="1206"/>
      <c r="QYL147" s="1206"/>
      <c r="QYM147" s="1206"/>
      <c r="QYN147" s="1206"/>
      <c r="QYO147" s="1206"/>
      <c r="QYP147" s="1206"/>
      <c r="QYQ147" s="1206"/>
      <c r="QYR147" s="1206"/>
      <c r="QYS147" s="1206"/>
      <c r="QYT147" s="1206"/>
      <c r="QYU147" s="1206"/>
      <c r="QYV147" s="1206"/>
      <c r="QYW147" s="1206"/>
      <c r="QYX147" s="1206"/>
      <c r="QYY147" s="1206"/>
      <c r="QYZ147" s="1206"/>
      <c r="QZA147" s="1206"/>
      <c r="QZB147" s="1206"/>
      <c r="QZC147" s="1206"/>
      <c r="QZD147" s="1206"/>
      <c r="QZE147" s="1206"/>
      <c r="QZF147" s="1206"/>
      <c r="QZG147" s="1206"/>
      <c r="QZH147" s="1206"/>
      <c r="QZI147" s="1206"/>
      <c r="QZJ147" s="1206"/>
      <c r="QZK147" s="1206"/>
      <c r="QZL147" s="1206"/>
      <c r="QZM147" s="1206"/>
      <c r="QZN147" s="1206"/>
      <c r="QZO147" s="1206"/>
      <c r="QZP147" s="1206"/>
      <c r="QZQ147" s="1206"/>
      <c r="QZR147" s="1206"/>
      <c r="QZS147" s="1206"/>
      <c r="QZT147" s="1206"/>
      <c r="QZU147" s="1206"/>
      <c r="QZV147" s="1206"/>
      <c r="QZW147" s="1206"/>
      <c r="QZX147" s="1206"/>
      <c r="QZY147" s="1206"/>
      <c r="QZZ147" s="1206"/>
      <c r="RAA147" s="1206"/>
      <c r="RAB147" s="1206"/>
      <c r="RAC147" s="1206"/>
      <c r="RAD147" s="1206"/>
      <c r="RAE147" s="1206"/>
      <c r="RAF147" s="1206"/>
      <c r="RAG147" s="1206"/>
      <c r="RAH147" s="1206"/>
      <c r="RAI147" s="1206"/>
      <c r="RAJ147" s="1206"/>
      <c r="RAK147" s="1206"/>
      <c r="RAL147" s="1206"/>
      <c r="RAM147" s="1206"/>
      <c r="RAN147" s="1206"/>
      <c r="RAO147" s="1206"/>
      <c r="RAP147" s="1206"/>
      <c r="RAQ147" s="1206"/>
      <c r="RAR147" s="1206"/>
      <c r="RAS147" s="1206"/>
      <c r="RAT147" s="1206"/>
      <c r="RAU147" s="1206"/>
      <c r="RAV147" s="1206"/>
      <c r="RAW147" s="1206"/>
      <c r="RAX147" s="1206"/>
      <c r="RAY147" s="1206"/>
      <c r="RAZ147" s="1206"/>
      <c r="RBA147" s="1206"/>
      <c r="RBB147" s="1206"/>
      <c r="RBC147" s="1206"/>
      <c r="RBD147" s="1206"/>
      <c r="RBE147" s="1206"/>
      <c r="RBF147" s="1206"/>
      <c r="RBG147" s="1206"/>
      <c r="RBH147" s="1206"/>
      <c r="RBI147" s="1206"/>
      <c r="RBJ147" s="1206"/>
      <c r="RBK147" s="1206"/>
      <c r="RBL147" s="1206"/>
      <c r="RBM147" s="1206"/>
      <c r="RBN147" s="1206"/>
      <c r="RBO147" s="1206"/>
      <c r="RBP147" s="1206"/>
      <c r="RBQ147" s="1206"/>
      <c r="RBR147" s="1206"/>
      <c r="RBS147" s="1206"/>
      <c r="RBT147" s="1206"/>
      <c r="RBU147" s="1206"/>
      <c r="RBV147" s="1206"/>
      <c r="RBW147" s="1206"/>
      <c r="RBX147" s="1206"/>
      <c r="RBY147" s="1206"/>
      <c r="RBZ147" s="1206"/>
      <c r="RCA147" s="1206"/>
      <c r="RCB147" s="1206"/>
      <c r="RCC147" s="1206"/>
      <c r="RCD147" s="1206"/>
      <c r="RCE147" s="1206"/>
      <c r="RCF147" s="1206"/>
      <c r="RCG147" s="1206"/>
      <c r="RCH147" s="1206"/>
      <c r="RCI147" s="1206"/>
      <c r="RCJ147" s="1206"/>
      <c r="RCK147" s="1206"/>
      <c r="RCL147" s="1206"/>
      <c r="RCM147" s="1206"/>
      <c r="RCN147" s="1206"/>
      <c r="RCO147" s="1206"/>
      <c r="RCP147" s="1206"/>
      <c r="RCQ147" s="1206"/>
      <c r="RCR147" s="1206"/>
      <c r="RCS147" s="1206"/>
      <c r="RCT147" s="1206"/>
      <c r="RCU147" s="1206"/>
      <c r="RCV147" s="1206"/>
      <c r="RCW147" s="1206"/>
      <c r="RCX147" s="1206"/>
      <c r="RCY147" s="1206"/>
      <c r="RCZ147" s="1206"/>
      <c r="RDA147" s="1206"/>
      <c r="RDB147" s="1206"/>
      <c r="RDC147" s="1206"/>
      <c r="RDD147" s="1206"/>
      <c r="RDE147" s="1206"/>
      <c r="RDF147" s="1206"/>
      <c r="RDG147" s="1206"/>
      <c r="RDH147" s="1206"/>
      <c r="RDI147" s="1206"/>
      <c r="RDJ147" s="1206"/>
      <c r="RDK147" s="1206"/>
      <c r="RDL147" s="1206"/>
      <c r="RDM147" s="1206"/>
      <c r="RDN147" s="1206"/>
      <c r="RDO147" s="1206"/>
      <c r="RDP147" s="1206"/>
      <c r="RDQ147" s="1206"/>
      <c r="RDR147" s="1206"/>
      <c r="RDS147" s="1206"/>
      <c r="RDT147" s="1206"/>
      <c r="RDU147" s="1206"/>
      <c r="RDV147" s="1206"/>
      <c r="RDW147" s="1206"/>
      <c r="RDX147" s="1206"/>
      <c r="RDY147" s="1206"/>
      <c r="RDZ147" s="1206"/>
      <c r="REA147" s="1206"/>
      <c r="REB147" s="1206"/>
      <c r="REC147" s="1206"/>
      <c r="RED147" s="1206"/>
      <c r="REE147" s="1206"/>
      <c r="REF147" s="1206"/>
      <c r="REG147" s="1206"/>
      <c r="REH147" s="1206"/>
      <c r="REI147" s="1206"/>
      <c r="REJ147" s="1206"/>
      <c r="REK147" s="1206"/>
      <c r="REL147" s="1206"/>
      <c r="REM147" s="1206"/>
      <c r="REN147" s="1206"/>
      <c r="REO147" s="1206"/>
      <c r="REP147" s="1206"/>
      <c r="REQ147" s="1206"/>
      <c r="RER147" s="1206"/>
      <c r="RES147" s="1206"/>
      <c r="RET147" s="1206"/>
      <c r="REU147" s="1206"/>
      <c r="REV147" s="1206"/>
      <c r="REW147" s="1206"/>
      <c r="REX147" s="1206"/>
      <c r="REY147" s="1206"/>
      <c r="REZ147" s="1206"/>
      <c r="RFA147" s="1206"/>
      <c r="RFB147" s="1206"/>
      <c r="RFC147" s="1206"/>
      <c r="RFD147" s="1206"/>
      <c r="RFE147" s="1206"/>
      <c r="RFF147" s="1206"/>
      <c r="RFG147" s="1206"/>
      <c r="RFH147" s="1206"/>
      <c r="RFI147" s="1206"/>
      <c r="RFJ147" s="1206"/>
      <c r="RFK147" s="1206"/>
      <c r="RFL147" s="1206"/>
      <c r="RFM147" s="1206"/>
      <c r="RFN147" s="1206"/>
      <c r="RFO147" s="1206"/>
      <c r="RFP147" s="1206"/>
      <c r="RFQ147" s="1206"/>
      <c r="RFR147" s="1206"/>
      <c r="RFS147" s="1206"/>
      <c r="RFT147" s="1206"/>
      <c r="RFU147" s="1206"/>
      <c r="RFV147" s="1206"/>
      <c r="RFW147" s="1206"/>
      <c r="RFX147" s="1206"/>
      <c r="RFY147" s="1206"/>
      <c r="RFZ147" s="1206"/>
      <c r="RGA147" s="1206"/>
      <c r="RGB147" s="1206"/>
      <c r="RGC147" s="1206"/>
      <c r="RGD147" s="1206"/>
      <c r="RGE147" s="1206"/>
      <c r="RGF147" s="1206"/>
      <c r="RGG147" s="1206"/>
      <c r="RGH147" s="1206"/>
      <c r="RGI147" s="1206"/>
      <c r="RGJ147" s="1206"/>
      <c r="RGK147" s="1206"/>
      <c r="RGL147" s="1206"/>
      <c r="RGM147" s="1206"/>
      <c r="RGN147" s="1206"/>
      <c r="RGO147" s="1206"/>
      <c r="RGP147" s="1206"/>
      <c r="RGQ147" s="1206"/>
      <c r="RGR147" s="1206"/>
      <c r="RGS147" s="1206"/>
      <c r="RGT147" s="1206"/>
      <c r="RGU147" s="1206"/>
      <c r="RGV147" s="1206"/>
      <c r="RGW147" s="1206"/>
      <c r="RGX147" s="1206"/>
      <c r="RGY147" s="1206"/>
      <c r="RGZ147" s="1206"/>
      <c r="RHA147" s="1206"/>
      <c r="RHB147" s="1206"/>
      <c r="RHC147" s="1206"/>
      <c r="RHD147" s="1206"/>
      <c r="RHE147" s="1206"/>
      <c r="RHF147" s="1206"/>
      <c r="RHG147" s="1206"/>
      <c r="RHH147" s="1206"/>
      <c r="RHI147" s="1206"/>
      <c r="RHJ147" s="1206"/>
      <c r="RHK147" s="1206"/>
      <c r="RHL147" s="1206"/>
      <c r="RHM147" s="1206"/>
      <c r="RHN147" s="1206"/>
      <c r="RHO147" s="1206"/>
      <c r="RHP147" s="1206"/>
      <c r="RHQ147" s="1206"/>
      <c r="RHR147" s="1206"/>
      <c r="RHS147" s="1206"/>
      <c r="RHT147" s="1206"/>
      <c r="RHU147" s="1206"/>
      <c r="RHV147" s="1206"/>
      <c r="RHW147" s="1206"/>
      <c r="RHX147" s="1206"/>
      <c r="RHY147" s="1206"/>
      <c r="RHZ147" s="1206"/>
      <c r="RIA147" s="1206"/>
      <c r="RIB147" s="1206"/>
      <c r="RIC147" s="1206"/>
      <c r="RID147" s="1206"/>
      <c r="RIE147" s="1206"/>
      <c r="RIF147" s="1206"/>
      <c r="RIG147" s="1206"/>
      <c r="RIH147" s="1206"/>
      <c r="RII147" s="1206"/>
      <c r="RIJ147" s="1206"/>
      <c r="RIK147" s="1206"/>
      <c r="RIL147" s="1206"/>
      <c r="RIM147" s="1206"/>
      <c r="RIN147" s="1206"/>
      <c r="RIO147" s="1206"/>
      <c r="RIP147" s="1206"/>
      <c r="RIQ147" s="1206"/>
      <c r="RIR147" s="1206"/>
      <c r="RIS147" s="1206"/>
      <c r="RIT147" s="1206"/>
      <c r="RIU147" s="1206"/>
      <c r="RIV147" s="1206"/>
      <c r="RIW147" s="1206"/>
      <c r="RIX147" s="1206"/>
      <c r="RIY147" s="1206"/>
      <c r="RIZ147" s="1206"/>
      <c r="RJA147" s="1206"/>
      <c r="RJB147" s="1206"/>
      <c r="RJC147" s="1206"/>
      <c r="RJD147" s="1206"/>
      <c r="RJE147" s="1206"/>
      <c r="RJF147" s="1206"/>
      <c r="RJG147" s="1206"/>
      <c r="RJH147" s="1206"/>
      <c r="RJI147" s="1206"/>
      <c r="RJJ147" s="1206"/>
      <c r="RJK147" s="1206"/>
      <c r="RJL147" s="1206"/>
      <c r="RJM147" s="1206"/>
      <c r="RJN147" s="1206"/>
      <c r="RJO147" s="1206"/>
      <c r="RJP147" s="1206"/>
      <c r="RJQ147" s="1206"/>
      <c r="RJR147" s="1206"/>
      <c r="RJS147" s="1206"/>
      <c r="RJT147" s="1206"/>
      <c r="RJU147" s="1206"/>
      <c r="RJV147" s="1206"/>
      <c r="RJW147" s="1206"/>
      <c r="RJX147" s="1206"/>
      <c r="RJY147" s="1206"/>
      <c r="RJZ147" s="1206"/>
      <c r="RKA147" s="1206"/>
      <c r="RKB147" s="1206"/>
      <c r="RKC147" s="1206"/>
      <c r="RKD147" s="1206"/>
      <c r="RKE147" s="1206"/>
      <c r="RKF147" s="1206"/>
      <c r="RKG147" s="1206"/>
      <c r="RKH147" s="1206"/>
      <c r="RKI147" s="1206"/>
      <c r="RKJ147" s="1206"/>
      <c r="RKK147" s="1206"/>
      <c r="RKL147" s="1206"/>
      <c r="RKM147" s="1206"/>
      <c r="RKN147" s="1206"/>
      <c r="RKO147" s="1206"/>
      <c r="RKP147" s="1206"/>
      <c r="RKQ147" s="1206"/>
      <c r="RKR147" s="1206"/>
      <c r="RKS147" s="1206"/>
      <c r="RKT147" s="1206"/>
      <c r="RKU147" s="1206"/>
      <c r="RKV147" s="1206"/>
      <c r="RKW147" s="1206"/>
      <c r="RKX147" s="1206"/>
      <c r="RKY147" s="1206"/>
      <c r="RKZ147" s="1206"/>
      <c r="RLA147" s="1206"/>
      <c r="RLB147" s="1206"/>
      <c r="RLC147" s="1206"/>
      <c r="RLD147" s="1206"/>
      <c r="RLE147" s="1206"/>
      <c r="RLF147" s="1206"/>
      <c r="RLG147" s="1206"/>
      <c r="RLH147" s="1206"/>
      <c r="RLI147" s="1206"/>
      <c r="RLJ147" s="1206"/>
      <c r="RLK147" s="1206"/>
      <c r="RLL147" s="1206"/>
      <c r="RLM147" s="1206"/>
      <c r="RLN147" s="1206"/>
      <c r="RLO147" s="1206"/>
      <c r="RLP147" s="1206"/>
      <c r="RLQ147" s="1206"/>
      <c r="RLR147" s="1206"/>
      <c r="RLS147" s="1206"/>
      <c r="RLT147" s="1206"/>
      <c r="RLU147" s="1206"/>
      <c r="RLV147" s="1206"/>
      <c r="RLW147" s="1206"/>
      <c r="RLX147" s="1206"/>
      <c r="RLY147" s="1206"/>
      <c r="RLZ147" s="1206"/>
      <c r="RMA147" s="1206"/>
      <c r="RMB147" s="1206"/>
      <c r="RMC147" s="1206"/>
      <c r="RMD147" s="1206"/>
      <c r="RME147" s="1206"/>
      <c r="RMF147" s="1206"/>
      <c r="RMG147" s="1206"/>
      <c r="RMH147" s="1206"/>
      <c r="RMI147" s="1206"/>
      <c r="RMJ147" s="1206"/>
      <c r="RMK147" s="1206"/>
      <c r="RML147" s="1206"/>
      <c r="RMM147" s="1206"/>
      <c r="RMN147" s="1206"/>
      <c r="RMO147" s="1206"/>
      <c r="RMP147" s="1206"/>
      <c r="RMQ147" s="1206"/>
      <c r="RMR147" s="1206"/>
      <c r="RMS147" s="1206"/>
      <c r="RMT147" s="1206"/>
      <c r="RMU147" s="1206"/>
      <c r="RMV147" s="1206"/>
      <c r="RMW147" s="1206"/>
      <c r="RMX147" s="1206"/>
      <c r="RMY147" s="1206"/>
      <c r="RMZ147" s="1206"/>
      <c r="RNA147" s="1206"/>
      <c r="RNB147" s="1206"/>
      <c r="RNC147" s="1206"/>
      <c r="RND147" s="1206"/>
      <c r="RNE147" s="1206"/>
      <c r="RNF147" s="1206"/>
      <c r="RNG147" s="1206"/>
      <c r="RNH147" s="1206"/>
      <c r="RNI147" s="1206"/>
      <c r="RNJ147" s="1206"/>
      <c r="RNK147" s="1206"/>
      <c r="RNL147" s="1206"/>
      <c r="RNM147" s="1206"/>
      <c r="RNN147" s="1206"/>
      <c r="RNO147" s="1206"/>
      <c r="RNP147" s="1206"/>
      <c r="RNQ147" s="1206"/>
      <c r="RNR147" s="1206"/>
      <c r="RNS147" s="1206"/>
      <c r="RNT147" s="1206"/>
      <c r="RNU147" s="1206"/>
      <c r="RNV147" s="1206"/>
      <c r="RNW147" s="1206"/>
      <c r="RNX147" s="1206"/>
      <c r="RNY147" s="1206"/>
      <c r="RNZ147" s="1206"/>
      <c r="ROA147" s="1206"/>
      <c r="ROB147" s="1206"/>
      <c r="ROC147" s="1206"/>
      <c r="ROD147" s="1206"/>
      <c r="ROE147" s="1206"/>
      <c r="ROF147" s="1206"/>
      <c r="ROG147" s="1206"/>
      <c r="ROH147" s="1206"/>
      <c r="ROI147" s="1206"/>
      <c r="ROJ147" s="1206"/>
      <c r="ROK147" s="1206"/>
      <c r="ROL147" s="1206"/>
      <c r="ROM147" s="1206"/>
      <c r="RON147" s="1206"/>
      <c r="ROO147" s="1206"/>
      <c r="ROP147" s="1206"/>
      <c r="ROQ147" s="1206"/>
      <c r="ROR147" s="1206"/>
      <c r="ROS147" s="1206"/>
      <c r="ROT147" s="1206"/>
      <c r="ROU147" s="1206"/>
      <c r="ROV147" s="1206"/>
      <c r="ROW147" s="1206"/>
      <c r="ROX147" s="1206"/>
      <c r="ROY147" s="1206"/>
      <c r="ROZ147" s="1206"/>
      <c r="RPA147" s="1206"/>
      <c r="RPB147" s="1206"/>
      <c r="RPC147" s="1206"/>
      <c r="RPD147" s="1206"/>
      <c r="RPE147" s="1206"/>
      <c r="RPF147" s="1206"/>
      <c r="RPG147" s="1206"/>
      <c r="RPH147" s="1206"/>
      <c r="RPI147" s="1206"/>
      <c r="RPJ147" s="1206"/>
      <c r="RPK147" s="1206"/>
      <c r="RPL147" s="1206"/>
      <c r="RPM147" s="1206"/>
      <c r="RPN147" s="1206"/>
      <c r="RPO147" s="1206"/>
      <c r="RPP147" s="1206"/>
      <c r="RPQ147" s="1206"/>
      <c r="RPR147" s="1206"/>
      <c r="RPS147" s="1206"/>
      <c r="RPT147" s="1206"/>
      <c r="RPU147" s="1206"/>
      <c r="RPV147" s="1206"/>
      <c r="RPW147" s="1206"/>
      <c r="RPX147" s="1206"/>
      <c r="RPY147" s="1206"/>
      <c r="RPZ147" s="1206"/>
      <c r="RQA147" s="1206"/>
      <c r="RQB147" s="1206"/>
      <c r="RQC147" s="1206"/>
      <c r="RQD147" s="1206"/>
      <c r="RQE147" s="1206"/>
      <c r="RQF147" s="1206"/>
      <c r="RQG147" s="1206"/>
      <c r="RQH147" s="1206"/>
      <c r="RQI147" s="1206"/>
      <c r="RQJ147" s="1206"/>
      <c r="RQK147" s="1206"/>
      <c r="RQL147" s="1206"/>
      <c r="RQM147" s="1206"/>
      <c r="RQN147" s="1206"/>
      <c r="RQO147" s="1206"/>
      <c r="RQP147" s="1206"/>
      <c r="RQQ147" s="1206"/>
      <c r="RQR147" s="1206"/>
      <c r="RQS147" s="1206"/>
      <c r="RQT147" s="1206"/>
      <c r="RQU147" s="1206"/>
      <c r="RQV147" s="1206"/>
      <c r="RQW147" s="1206"/>
      <c r="RQX147" s="1206"/>
      <c r="RQY147" s="1206"/>
      <c r="RQZ147" s="1206"/>
      <c r="RRA147" s="1206"/>
      <c r="RRB147" s="1206"/>
      <c r="RRC147" s="1206"/>
      <c r="RRD147" s="1206"/>
      <c r="RRE147" s="1206"/>
      <c r="RRF147" s="1206"/>
      <c r="RRG147" s="1206"/>
      <c r="RRH147" s="1206"/>
      <c r="RRI147" s="1206"/>
      <c r="RRJ147" s="1206"/>
      <c r="RRK147" s="1206"/>
      <c r="RRL147" s="1206"/>
      <c r="RRM147" s="1206"/>
      <c r="RRN147" s="1206"/>
      <c r="RRO147" s="1206"/>
      <c r="RRP147" s="1206"/>
      <c r="RRQ147" s="1206"/>
      <c r="RRR147" s="1206"/>
      <c r="RRS147" s="1206"/>
      <c r="RRT147" s="1206"/>
      <c r="RRU147" s="1206"/>
      <c r="RRV147" s="1206"/>
      <c r="RRW147" s="1206"/>
      <c r="RRX147" s="1206"/>
      <c r="RRY147" s="1206"/>
      <c r="RRZ147" s="1206"/>
      <c r="RSA147" s="1206"/>
      <c r="RSB147" s="1206"/>
      <c r="RSC147" s="1206"/>
      <c r="RSD147" s="1206"/>
      <c r="RSE147" s="1206"/>
      <c r="RSF147" s="1206"/>
      <c r="RSG147" s="1206"/>
      <c r="RSH147" s="1206"/>
      <c r="RSI147" s="1206"/>
      <c r="RSJ147" s="1206"/>
      <c r="RSK147" s="1206"/>
      <c r="RSL147" s="1206"/>
      <c r="RSM147" s="1206"/>
      <c r="RSN147" s="1206"/>
      <c r="RSO147" s="1206"/>
      <c r="RSP147" s="1206"/>
      <c r="RSQ147" s="1206"/>
      <c r="RSR147" s="1206"/>
      <c r="RSS147" s="1206"/>
      <c r="RST147" s="1206"/>
      <c r="RSU147" s="1206"/>
      <c r="RSV147" s="1206"/>
      <c r="RSW147" s="1206"/>
      <c r="RSX147" s="1206"/>
      <c r="RSY147" s="1206"/>
      <c r="RSZ147" s="1206"/>
      <c r="RTA147" s="1206"/>
      <c r="RTB147" s="1206"/>
      <c r="RTC147" s="1206"/>
      <c r="RTD147" s="1206"/>
      <c r="RTE147" s="1206"/>
      <c r="RTF147" s="1206"/>
      <c r="RTG147" s="1206"/>
      <c r="RTH147" s="1206"/>
      <c r="RTI147" s="1206"/>
      <c r="RTJ147" s="1206"/>
      <c r="RTK147" s="1206"/>
      <c r="RTL147" s="1206"/>
      <c r="RTM147" s="1206"/>
      <c r="RTN147" s="1206"/>
      <c r="RTO147" s="1206"/>
      <c r="RTP147" s="1206"/>
      <c r="RTQ147" s="1206"/>
      <c r="RTR147" s="1206"/>
      <c r="RTS147" s="1206"/>
      <c r="RTT147" s="1206"/>
      <c r="RTU147" s="1206"/>
      <c r="RTV147" s="1206"/>
      <c r="RTW147" s="1206"/>
      <c r="RTX147" s="1206"/>
      <c r="RTY147" s="1206"/>
      <c r="RTZ147" s="1206"/>
      <c r="RUA147" s="1206"/>
      <c r="RUB147" s="1206"/>
      <c r="RUC147" s="1206"/>
      <c r="RUD147" s="1206"/>
      <c r="RUE147" s="1206"/>
      <c r="RUF147" s="1206"/>
      <c r="RUG147" s="1206"/>
      <c r="RUH147" s="1206"/>
      <c r="RUI147" s="1206"/>
      <c r="RUJ147" s="1206"/>
      <c r="RUK147" s="1206"/>
      <c r="RUL147" s="1206"/>
      <c r="RUM147" s="1206"/>
      <c r="RUN147" s="1206"/>
      <c r="RUO147" s="1206"/>
      <c r="RUP147" s="1206"/>
      <c r="RUQ147" s="1206"/>
      <c r="RUR147" s="1206"/>
      <c r="RUS147" s="1206"/>
      <c r="RUT147" s="1206"/>
      <c r="RUU147" s="1206"/>
      <c r="RUV147" s="1206"/>
      <c r="RUW147" s="1206"/>
      <c r="RUX147" s="1206"/>
      <c r="RUY147" s="1206"/>
      <c r="RUZ147" s="1206"/>
      <c r="RVA147" s="1206"/>
      <c r="RVB147" s="1206"/>
      <c r="RVC147" s="1206"/>
      <c r="RVD147" s="1206"/>
      <c r="RVE147" s="1206"/>
      <c r="RVF147" s="1206"/>
      <c r="RVG147" s="1206"/>
      <c r="RVH147" s="1206"/>
      <c r="RVI147" s="1206"/>
      <c r="RVJ147" s="1206"/>
      <c r="RVK147" s="1206"/>
      <c r="RVL147" s="1206"/>
      <c r="RVM147" s="1206"/>
      <c r="RVN147" s="1206"/>
      <c r="RVO147" s="1206"/>
      <c r="RVP147" s="1206"/>
      <c r="RVQ147" s="1206"/>
      <c r="RVR147" s="1206"/>
      <c r="RVS147" s="1206"/>
      <c r="RVT147" s="1206"/>
      <c r="RVU147" s="1206"/>
      <c r="RVV147" s="1206"/>
      <c r="RVW147" s="1206"/>
      <c r="RVX147" s="1206"/>
      <c r="RVY147" s="1206"/>
      <c r="RVZ147" s="1206"/>
      <c r="RWA147" s="1206"/>
      <c r="RWB147" s="1206"/>
      <c r="RWC147" s="1206"/>
      <c r="RWD147" s="1206"/>
      <c r="RWE147" s="1206"/>
      <c r="RWF147" s="1206"/>
      <c r="RWG147" s="1206"/>
      <c r="RWH147" s="1206"/>
      <c r="RWI147" s="1206"/>
      <c r="RWJ147" s="1206"/>
      <c r="RWK147" s="1206"/>
      <c r="RWL147" s="1206"/>
      <c r="RWM147" s="1206"/>
      <c r="RWN147" s="1206"/>
      <c r="RWO147" s="1206"/>
      <c r="RWP147" s="1206"/>
      <c r="RWQ147" s="1206"/>
      <c r="RWR147" s="1206"/>
      <c r="RWS147" s="1206"/>
      <c r="RWT147" s="1206"/>
      <c r="RWU147" s="1206"/>
      <c r="RWV147" s="1206"/>
      <c r="RWW147" s="1206"/>
      <c r="RWX147" s="1206"/>
      <c r="RWY147" s="1206"/>
      <c r="RWZ147" s="1206"/>
      <c r="RXA147" s="1206"/>
      <c r="RXB147" s="1206"/>
      <c r="RXC147" s="1206"/>
      <c r="RXD147" s="1206"/>
      <c r="RXE147" s="1206"/>
      <c r="RXF147" s="1206"/>
      <c r="RXG147" s="1206"/>
      <c r="RXH147" s="1206"/>
      <c r="RXI147" s="1206"/>
      <c r="RXJ147" s="1206"/>
      <c r="RXK147" s="1206"/>
      <c r="RXL147" s="1206"/>
      <c r="RXM147" s="1206"/>
      <c r="RXN147" s="1206"/>
      <c r="RXO147" s="1206"/>
      <c r="RXP147" s="1206"/>
      <c r="RXQ147" s="1206"/>
      <c r="RXR147" s="1206"/>
      <c r="RXS147" s="1206"/>
      <c r="RXT147" s="1206"/>
      <c r="RXU147" s="1206"/>
      <c r="RXV147" s="1206"/>
      <c r="RXW147" s="1206"/>
      <c r="RXX147" s="1206"/>
      <c r="RXY147" s="1206"/>
      <c r="RXZ147" s="1206"/>
      <c r="RYA147" s="1206"/>
      <c r="RYB147" s="1206"/>
      <c r="RYC147" s="1206"/>
      <c r="RYD147" s="1206"/>
      <c r="RYE147" s="1206"/>
      <c r="RYF147" s="1206"/>
      <c r="RYG147" s="1206"/>
      <c r="RYH147" s="1206"/>
      <c r="RYI147" s="1206"/>
      <c r="RYJ147" s="1206"/>
      <c r="RYK147" s="1206"/>
      <c r="RYL147" s="1206"/>
      <c r="RYM147" s="1206"/>
      <c r="RYN147" s="1206"/>
      <c r="RYO147" s="1206"/>
      <c r="RYP147" s="1206"/>
      <c r="RYQ147" s="1206"/>
      <c r="RYR147" s="1206"/>
      <c r="RYS147" s="1206"/>
      <c r="RYT147" s="1206"/>
      <c r="RYU147" s="1206"/>
      <c r="RYV147" s="1206"/>
      <c r="RYW147" s="1206"/>
      <c r="RYX147" s="1206"/>
      <c r="RYY147" s="1206"/>
      <c r="RYZ147" s="1206"/>
      <c r="RZA147" s="1206"/>
      <c r="RZB147" s="1206"/>
      <c r="RZC147" s="1206"/>
      <c r="RZD147" s="1206"/>
      <c r="RZE147" s="1206"/>
      <c r="RZF147" s="1206"/>
      <c r="RZG147" s="1206"/>
      <c r="RZH147" s="1206"/>
      <c r="RZI147" s="1206"/>
      <c r="RZJ147" s="1206"/>
      <c r="RZK147" s="1206"/>
      <c r="RZL147" s="1206"/>
      <c r="RZM147" s="1206"/>
      <c r="RZN147" s="1206"/>
      <c r="RZO147" s="1206"/>
      <c r="RZP147" s="1206"/>
      <c r="RZQ147" s="1206"/>
      <c r="RZR147" s="1206"/>
      <c r="RZS147" s="1206"/>
      <c r="RZT147" s="1206"/>
      <c r="RZU147" s="1206"/>
      <c r="RZV147" s="1206"/>
      <c r="RZW147" s="1206"/>
      <c r="RZX147" s="1206"/>
      <c r="RZY147" s="1206"/>
      <c r="RZZ147" s="1206"/>
      <c r="SAA147" s="1206"/>
      <c r="SAB147" s="1206"/>
      <c r="SAC147" s="1206"/>
      <c r="SAD147" s="1206"/>
      <c r="SAE147" s="1206"/>
      <c r="SAF147" s="1206"/>
      <c r="SAG147" s="1206"/>
      <c r="SAH147" s="1206"/>
      <c r="SAI147" s="1206"/>
      <c r="SAJ147" s="1206"/>
      <c r="SAK147" s="1206"/>
      <c r="SAL147" s="1206"/>
      <c r="SAM147" s="1206"/>
      <c r="SAN147" s="1206"/>
      <c r="SAO147" s="1206"/>
      <c r="SAP147" s="1206"/>
      <c r="SAQ147" s="1206"/>
      <c r="SAR147" s="1206"/>
      <c r="SAS147" s="1206"/>
      <c r="SAT147" s="1206"/>
      <c r="SAU147" s="1206"/>
      <c r="SAV147" s="1206"/>
      <c r="SAW147" s="1206"/>
      <c r="SAX147" s="1206"/>
      <c r="SAY147" s="1206"/>
      <c r="SAZ147" s="1206"/>
      <c r="SBA147" s="1206"/>
      <c r="SBB147" s="1206"/>
      <c r="SBC147" s="1206"/>
      <c r="SBD147" s="1206"/>
      <c r="SBE147" s="1206"/>
      <c r="SBF147" s="1206"/>
      <c r="SBG147" s="1206"/>
      <c r="SBH147" s="1206"/>
      <c r="SBI147" s="1206"/>
      <c r="SBJ147" s="1206"/>
      <c r="SBK147" s="1206"/>
      <c r="SBL147" s="1206"/>
      <c r="SBM147" s="1206"/>
      <c r="SBN147" s="1206"/>
      <c r="SBO147" s="1206"/>
      <c r="SBP147" s="1206"/>
      <c r="SBQ147" s="1206"/>
      <c r="SBR147" s="1206"/>
      <c r="SBS147" s="1206"/>
      <c r="SBT147" s="1206"/>
      <c r="SBU147" s="1206"/>
      <c r="SBV147" s="1206"/>
      <c r="SBW147" s="1206"/>
      <c r="SBX147" s="1206"/>
      <c r="SBY147" s="1206"/>
      <c r="SBZ147" s="1206"/>
      <c r="SCA147" s="1206"/>
      <c r="SCB147" s="1206"/>
      <c r="SCC147" s="1206"/>
      <c r="SCD147" s="1206"/>
      <c r="SCE147" s="1206"/>
      <c r="SCF147" s="1206"/>
      <c r="SCG147" s="1206"/>
      <c r="SCH147" s="1206"/>
      <c r="SCI147" s="1206"/>
      <c r="SCJ147" s="1206"/>
      <c r="SCK147" s="1206"/>
      <c r="SCL147" s="1206"/>
      <c r="SCM147" s="1206"/>
      <c r="SCN147" s="1206"/>
      <c r="SCO147" s="1206"/>
      <c r="SCP147" s="1206"/>
      <c r="SCQ147" s="1206"/>
      <c r="SCR147" s="1206"/>
      <c r="SCS147" s="1206"/>
      <c r="SCT147" s="1206"/>
      <c r="SCU147" s="1206"/>
      <c r="SCV147" s="1206"/>
      <c r="SCW147" s="1206"/>
      <c r="SCX147" s="1206"/>
      <c r="SCY147" s="1206"/>
      <c r="SCZ147" s="1206"/>
      <c r="SDA147" s="1206"/>
      <c r="SDB147" s="1206"/>
      <c r="SDC147" s="1206"/>
      <c r="SDD147" s="1206"/>
      <c r="SDE147" s="1206"/>
      <c r="SDF147" s="1206"/>
      <c r="SDG147" s="1206"/>
      <c r="SDH147" s="1206"/>
      <c r="SDI147" s="1206"/>
      <c r="SDJ147" s="1206"/>
      <c r="SDK147" s="1206"/>
      <c r="SDL147" s="1206"/>
      <c r="SDM147" s="1206"/>
      <c r="SDN147" s="1206"/>
      <c r="SDO147" s="1206"/>
      <c r="SDP147" s="1206"/>
      <c r="SDQ147" s="1206"/>
      <c r="SDR147" s="1206"/>
      <c r="SDS147" s="1206"/>
      <c r="SDT147" s="1206"/>
      <c r="SDU147" s="1206"/>
      <c r="SDV147" s="1206"/>
      <c r="SDW147" s="1206"/>
      <c r="SDX147" s="1206"/>
      <c r="SDY147" s="1206"/>
      <c r="SDZ147" s="1206"/>
      <c r="SEA147" s="1206"/>
      <c r="SEB147" s="1206"/>
      <c r="SEC147" s="1206"/>
      <c r="SED147" s="1206"/>
      <c r="SEE147" s="1206"/>
      <c r="SEF147" s="1206"/>
      <c r="SEG147" s="1206"/>
      <c r="SEH147" s="1206"/>
      <c r="SEI147" s="1206"/>
      <c r="SEJ147" s="1206"/>
      <c r="SEK147" s="1206"/>
      <c r="SEL147" s="1206"/>
      <c r="SEM147" s="1206"/>
      <c r="SEN147" s="1206"/>
      <c r="SEO147" s="1206"/>
      <c r="SEP147" s="1206"/>
      <c r="SEQ147" s="1206"/>
      <c r="SER147" s="1206"/>
      <c r="SES147" s="1206"/>
      <c r="SET147" s="1206"/>
      <c r="SEU147" s="1206"/>
      <c r="SEV147" s="1206"/>
      <c r="SEW147" s="1206"/>
      <c r="SEX147" s="1206"/>
      <c r="SEY147" s="1206"/>
      <c r="SEZ147" s="1206"/>
      <c r="SFA147" s="1206"/>
      <c r="SFB147" s="1206"/>
      <c r="SFC147" s="1206"/>
      <c r="SFD147" s="1206"/>
      <c r="SFE147" s="1206"/>
      <c r="SFF147" s="1206"/>
      <c r="SFG147" s="1206"/>
      <c r="SFH147" s="1206"/>
      <c r="SFI147" s="1206"/>
      <c r="SFJ147" s="1206"/>
      <c r="SFK147" s="1206"/>
      <c r="SFL147" s="1206"/>
      <c r="SFM147" s="1206"/>
      <c r="SFN147" s="1206"/>
      <c r="SFO147" s="1206"/>
      <c r="SFP147" s="1206"/>
      <c r="SFQ147" s="1206"/>
      <c r="SFR147" s="1206"/>
      <c r="SFS147" s="1206"/>
      <c r="SFT147" s="1206"/>
      <c r="SFU147" s="1206"/>
      <c r="SFV147" s="1206"/>
      <c r="SFW147" s="1206"/>
      <c r="SFX147" s="1206"/>
      <c r="SFY147" s="1206"/>
      <c r="SFZ147" s="1206"/>
      <c r="SGA147" s="1206"/>
      <c r="SGB147" s="1206"/>
      <c r="SGC147" s="1206"/>
      <c r="SGD147" s="1206"/>
      <c r="SGE147" s="1206"/>
      <c r="SGF147" s="1206"/>
      <c r="SGG147" s="1206"/>
      <c r="SGH147" s="1206"/>
      <c r="SGI147" s="1206"/>
      <c r="SGJ147" s="1206"/>
      <c r="SGK147" s="1206"/>
      <c r="SGL147" s="1206"/>
      <c r="SGM147" s="1206"/>
      <c r="SGN147" s="1206"/>
      <c r="SGO147" s="1206"/>
      <c r="SGP147" s="1206"/>
      <c r="SGQ147" s="1206"/>
      <c r="SGR147" s="1206"/>
      <c r="SGS147" s="1206"/>
      <c r="SGT147" s="1206"/>
      <c r="SGU147" s="1206"/>
      <c r="SGV147" s="1206"/>
      <c r="SGW147" s="1206"/>
      <c r="SGX147" s="1206"/>
      <c r="SGY147" s="1206"/>
      <c r="SGZ147" s="1206"/>
      <c r="SHA147" s="1206"/>
      <c r="SHB147" s="1206"/>
      <c r="SHC147" s="1206"/>
      <c r="SHD147" s="1206"/>
      <c r="SHE147" s="1206"/>
      <c r="SHF147" s="1206"/>
      <c r="SHG147" s="1206"/>
      <c r="SHH147" s="1206"/>
      <c r="SHI147" s="1206"/>
      <c r="SHJ147" s="1206"/>
      <c r="SHK147" s="1206"/>
      <c r="SHL147" s="1206"/>
      <c r="SHM147" s="1206"/>
      <c r="SHN147" s="1206"/>
      <c r="SHO147" s="1206"/>
      <c r="SHP147" s="1206"/>
      <c r="SHQ147" s="1206"/>
      <c r="SHR147" s="1206"/>
      <c r="SHS147" s="1206"/>
      <c r="SHT147" s="1206"/>
      <c r="SHU147" s="1206"/>
      <c r="SHV147" s="1206"/>
      <c r="SHW147" s="1206"/>
      <c r="SHX147" s="1206"/>
      <c r="SHY147" s="1206"/>
      <c r="SHZ147" s="1206"/>
      <c r="SIA147" s="1206"/>
      <c r="SIB147" s="1206"/>
      <c r="SIC147" s="1206"/>
      <c r="SID147" s="1206"/>
      <c r="SIE147" s="1206"/>
      <c r="SIF147" s="1206"/>
      <c r="SIG147" s="1206"/>
      <c r="SIH147" s="1206"/>
      <c r="SII147" s="1206"/>
      <c r="SIJ147" s="1206"/>
      <c r="SIK147" s="1206"/>
      <c r="SIL147" s="1206"/>
      <c r="SIM147" s="1206"/>
      <c r="SIN147" s="1206"/>
      <c r="SIO147" s="1206"/>
      <c r="SIP147" s="1206"/>
      <c r="SIQ147" s="1206"/>
      <c r="SIR147" s="1206"/>
      <c r="SIS147" s="1206"/>
      <c r="SIT147" s="1206"/>
      <c r="SIU147" s="1206"/>
      <c r="SIV147" s="1206"/>
      <c r="SIW147" s="1206"/>
      <c r="SIX147" s="1206"/>
      <c r="SIY147" s="1206"/>
      <c r="SIZ147" s="1206"/>
      <c r="SJA147" s="1206"/>
      <c r="SJB147" s="1206"/>
      <c r="SJC147" s="1206"/>
      <c r="SJD147" s="1206"/>
      <c r="SJE147" s="1206"/>
      <c r="SJF147" s="1206"/>
      <c r="SJG147" s="1206"/>
      <c r="SJH147" s="1206"/>
      <c r="SJI147" s="1206"/>
      <c r="SJJ147" s="1206"/>
      <c r="SJK147" s="1206"/>
      <c r="SJL147" s="1206"/>
      <c r="SJM147" s="1206"/>
      <c r="SJN147" s="1206"/>
      <c r="SJO147" s="1206"/>
      <c r="SJP147" s="1206"/>
      <c r="SJQ147" s="1206"/>
      <c r="SJR147" s="1206"/>
      <c r="SJS147" s="1206"/>
      <c r="SJT147" s="1206"/>
      <c r="SJU147" s="1206"/>
      <c r="SJV147" s="1206"/>
      <c r="SJW147" s="1206"/>
      <c r="SJX147" s="1206"/>
      <c r="SJY147" s="1206"/>
      <c r="SJZ147" s="1206"/>
      <c r="SKA147" s="1206"/>
      <c r="SKB147" s="1206"/>
      <c r="SKC147" s="1206"/>
      <c r="SKD147" s="1206"/>
      <c r="SKE147" s="1206"/>
      <c r="SKF147" s="1206"/>
      <c r="SKG147" s="1206"/>
      <c r="SKH147" s="1206"/>
      <c r="SKI147" s="1206"/>
      <c r="SKJ147" s="1206"/>
      <c r="SKK147" s="1206"/>
      <c r="SKL147" s="1206"/>
      <c r="SKM147" s="1206"/>
      <c r="SKN147" s="1206"/>
      <c r="SKO147" s="1206"/>
      <c r="SKP147" s="1206"/>
      <c r="SKQ147" s="1206"/>
      <c r="SKR147" s="1206"/>
      <c r="SKS147" s="1206"/>
      <c r="SKT147" s="1206"/>
      <c r="SKU147" s="1206"/>
      <c r="SKV147" s="1206"/>
      <c r="SKW147" s="1206"/>
      <c r="SKX147" s="1206"/>
      <c r="SKY147" s="1206"/>
      <c r="SKZ147" s="1206"/>
      <c r="SLA147" s="1206"/>
      <c r="SLB147" s="1206"/>
      <c r="SLC147" s="1206"/>
      <c r="SLD147" s="1206"/>
      <c r="SLE147" s="1206"/>
      <c r="SLF147" s="1206"/>
      <c r="SLG147" s="1206"/>
      <c r="SLH147" s="1206"/>
      <c r="SLI147" s="1206"/>
      <c r="SLJ147" s="1206"/>
      <c r="SLK147" s="1206"/>
      <c r="SLL147" s="1206"/>
      <c r="SLM147" s="1206"/>
      <c r="SLN147" s="1206"/>
      <c r="SLO147" s="1206"/>
      <c r="SLP147" s="1206"/>
      <c r="SLQ147" s="1206"/>
      <c r="SLR147" s="1206"/>
      <c r="SLS147" s="1206"/>
      <c r="SLT147" s="1206"/>
      <c r="SLU147" s="1206"/>
      <c r="SLV147" s="1206"/>
      <c r="SLW147" s="1206"/>
      <c r="SLX147" s="1206"/>
      <c r="SLY147" s="1206"/>
      <c r="SLZ147" s="1206"/>
      <c r="SMA147" s="1206"/>
      <c r="SMB147" s="1206"/>
      <c r="SMC147" s="1206"/>
      <c r="SMD147" s="1206"/>
      <c r="SME147" s="1206"/>
      <c r="SMF147" s="1206"/>
      <c r="SMG147" s="1206"/>
      <c r="SMH147" s="1206"/>
      <c r="SMI147" s="1206"/>
      <c r="SMJ147" s="1206"/>
      <c r="SMK147" s="1206"/>
      <c r="SML147" s="1206"/>
      <c r="SMM147" s="1206"/>
      <c r="SMN147" s="1206"/>
      <c r="SMO147" s="1206"/>
      <c r="SMP147" s="1206"/>
      <c r="SMQ147" s="1206"/>
      <c r="SMR147" s="1206"/>
      <c r="SMS147" s="1206"/>
      <c r="SMT147" s="1206"/>
      <c r="SMU147" s="1206"/>
      <c r="SMV147" s="1206"/>
      <c r="SMW147" s="1206"/>
      <c r="SMX147" s="1206"/>
      <c r="SMY147" s="1206"/>
      <c r="SMZ147" s="1206"/>
      <c r="SNA147" s="1206"/>
      <c r="SNB147" s="1206"/>
      <c r="SNC147" s="1206"/>
      <c r="SND147" s="1206"/>
      <c r="SNE147" s="1206"/>
      <c r="SNF147" s="1206"/>
      <c r="SNG147" s="1206"/>
      <c r="SNH147" s="1206"/>
      <c r="SNI147" s="1206"/>
      <c r="SNJ147" s="1206"/>
      <c r="SNK147" s="1206"/>
      <c r="SNL147" s="1206"/>
      <c r="SNM147" s="1206"/>
      <c r="SNN147" s="1206"/>
      <c r="SNO147" s="1206"/>
      <c r="SNP147" s="1206"/>
      <c r="SNQ147" s="1206"/>
      <c r="SNR147" s="1206"/>
      <c r="SNS147" s="1206"/>
      <c r="SNT147" s="1206"/>
      <c r="SNU147" s="1206"/>
      <c r="SNV147" s="1206"/>
      <c r="SNW147" s="1206"/>
      <c r="SNX147" s="1206"/>
      <c r="SNY147" s="1206"/>
      <c r="SNZ147" s="1206"/>
      <c r="SOA147" s="1206"/>
      <c r="SOB147" s="1206"/>
      <c r="SOC147" s="1206"/>
      <c r="SOD147" s="1206"/>
      <c r="SOE147" s="1206"/>
      <c r="SOF147" s="1206"/>
      <c r="SOG147" s="1206"/>
      <c r="SOH147" s="1206"/>
      <c r="SOI147" s="1206"/>
      <c r="SOJ147" s="1206"/>
      <c r="SOK147" s="1206"/>
      <c r="SOL147" s="1206"/>
      <c r="SOM147" s="1206"/>
      <c r="SON147" s="1206"/>
      <c r="SOO147" s="1206"/>
      <c r="SOP147" s="1206"/>
      <c r="SOQ147" s="1206"/>
      <c r="SOR147" s="1206"/>
      <c r="SOS147" s="1206"/>
      <c r="SOT147" s="1206"/>
      <c r="SOU147" s="1206"/>
      <c r="SOV147" s="1206"/>
      <c r="SOW147" s="1206"/>
      <c r="SOX147" s="1206"/>
      <c r="SOY147" s="1206"/>
      <c r="SOZ147" s="1206"/>
      <c r="SPA147" s="1206"/>
      <c r="SPB147" s="1206"/>
      <c r="SPC147" s="1206"/>
      <c r="SPD147" s="1206"/>
      <c r="SPE147" s="1206"/>
      <c r="SPF147" s="1206"/>
      <c r="SPG147" s="1206"/>
      <c r="SPH147" s="1206"/>
      <c r="SPI147" s="1206"/>
      <c r="SPJ147" s="1206"/>
      <c r="SPK147" s="1206"/>
      <c r="SPL147" s="1206"/>
      <c r="SPM147" s="1206"/>
      <c r="SPN147" s="1206"/>
      <c r="SPO147" s="1206"/>
      <c r="SPP147" s="1206"/>
      <c r="SPQ147" s="1206"/>
      <c r="SPR147" s="1206"/>
      <c r="SPS147" s="1206"/>
      <c r="SPT147" s="1206"/>
      <c r="SPU147" s="1206"/>
      <c r="SPV147" s="1206"/>
      <c r="SPW147" s="1206"/>
      <c r="SPX147" s="1206"/>
      <c r="SPY147" s="1206"/>
      <c r="SPZ147" s="1206"/>
      <c r="SQA147" s="1206"/>
      <c r="SQB147" s="1206"/>
      <c r="SQC147" s="1206"/>
      <c r="SQD147" s="1206"/>
      <c r="SQE147" s="1206"/>
      <c r="SQF147" s="1206"/>
      <c r="SQG147" s="1206"/>
      <c r="SQH147" s="1206"/>
      <c r="SQI147" s="1206"/>
      <c r="SQJ147" s="1206"/>
      <c r="SQK147" s="1206"/>
      <c r="SQL147" s="1206"/>
      <c r="SQM147" s="1206"/>
      <c r="SQN147" s="1206"/>
      <c r="SQO147" s="1206"/>
      <c r="SQP147" s="1206"/>
      <c r="SQQ147" s="1206"/>
      <c r="SQR147" s="1206"/>
      <c r="SQS147" s="1206"/>
      <c r="SQT147" s="1206"/>
      <c r="SQU147" s="1206"/>
      <c r="SQV147" s="1206"/>
      <c r="SQW147" s="1206"/>
      <c r="SQX147" s="1206"/>
      <c r="SQY147" s="1206"/>
      <c r="SQZ147" s="1206"/>
      <c r="SRA147" s="1206"/>
      <c r="SRB147" s="1206"/>
      <c r="SRC147" s="1206"/>
      <c r="SRD147" s="1206"/>
      <c r="SRE147" s="1206"/>
      <c r="SRF147" s="1206"/>
      <c r="SRG147" s="1206"/>
      <c r="SRH147" s="1206"/>
      <c r="SRI147" s="1206"/>
      <c r="SRJ147" s="1206"/>
      <c r="SRK147" s="1206"/>
      <c r="SRL147" s="1206"/>
      <c r="SRM147" s="1206"/>
      <c r="SRN147" s="1206"/>
      <c r="SRO147" s="1206"/>
      <c r="SRP147" s="1206"/>
      <c r="SRQ147" s="1206"/>
      <c r="SRR147" s="1206"/>
      <c r="SRS147" s="1206"/>
      <c r="SRT147" s="1206"/>
      <c r="SRU147" s="1206"/>
      <c r="SRV147" s="1206"/>
      <c r="SRW147" s="1206"/>
      <c r="SRX147" s="1206"/>
      <c r="SRY147" s="1206"/>
      <c r="SRZ147" s="1206"/>
      <c r="SSA147" s="1206"/>
      <c r="SSB147" s="1206"/>
      <c r="SSC147" s="1206"/>
      <c r="SSD147" s="1206"/>
      <c r="SSE147" s="1206"/>
      <c r="SSF147" s="1206"/>
      <c r="SSG147" s="1206"/>
      <c r="SSH147" s="1206"/>
      <c r="SSI147" s="1206"/>
      <c r="SSJ147" s="1206"/>
      <c r="SSK147" s="1206"/>
      <c r="SSL147" s="1206"/>
      <c r="SSM147" s="1206"/>
      <c r="SSN147" s="1206"/>
      <c r="SSO147" s="1206"/>
      <c r="SSP147" s="1206"/>
      <c r="SSQ147" s="1206"/>
      <c r="SSR147" s="1206"/>
      <c r="SSS147" s="1206"/>
      <c r="SST147" s="1206"/>
      <c r="SSU147" s="1206"/>
      <c r="SSV147" s="1206"/>
      <c r="SSW147" s="1206"/>
      <c r="SSX147" s="1206"/>
      <c r="SSY147" s="1206"/>
      <c r="SSZ147" s="1206"/>
      <c r="STA147" s="1206"/>
      <c r="STB147" s="1206"/>
      <c r="STC147" s="1206"/>
      <c r="STD147" s="1206"/>
      <c r="STE147" s="1206"/>
      <c r="STF147" s="1206"/>
      <c r="STG147" s="1206"/>
      <c r="STH147" s="1206"/>
      <c r="STI147" s="1206"/>
      <c r="STJ147" s="1206"/>
      <c r="STK147" s="1206"/>
      <c r="STL147" s="1206"/>
      <c r="STM147" s="1206"/>
      <c r="STN147" s="1206"/>
      <c r="STO147" s="1206"/>
      <c r="STP147" s="1206"/>
      <c r="STQ147" s="1206"/>
      <c r="STR147" s="1206"/>
      <c r="STS147" s="1206"/>
      <c r="STT147" s="1206"/>
      <c r="STU147" s="1206"/>
      <c r="STV147" s="1206"/>
      <c r="STW147" s="1206"/>
      <c r="STX147" s="1206"/>
      <c r="STY147" s="1206"/>
      <c r="STZ147" s="1206"/>
      <c r="SUA147" s="1206"/>
      <c r="SUB147" s="1206"/>
      <c r="SUC147" s="1206"/>
      <c r="SUD147" s="1206"/>
      <c r="SUE147" s="1206"/>
      <c r="SUF147" s="1206"/>
      <c r="SUG147" s="1206"/>
      <c r="SUH147" s="1206"/>
      <c r="SUI147" s="1206"/>
      <c r="SUJ147" s="1206"/>
      <c r="SUK147" s="1206"/>
      <c r="SUL147" s="1206"/>
      <c r="SUM147" s="1206"/>
      <c r="SUN147" s="1206"/>
      <c r="SUO147" s="1206"/>
      <c r="SUP147" s="1206"/>
      <c r="SUQ147" s="1206"/>
      <c r="SUR147" s="1206"/>
      <c r="SUS147" s="1206"/>
      <c r="SUT147" s="1206"/>
      <c r="SUU147" s="1206"/>
      <c r="SUV147" s="1206"/>
      <c r="SUW147" s="1206"/>
      <c r="SUX147" s="1206"/>
      <c r="SUY147" s="1206"/>
      <c r="SUZ147" s="1206"/>
      <c r="SVA147" s="1206"/>
      <c r="SVB147" s="1206"/>
      <c r="SVC147" s="1206"/>
      <c r="SVD147" s="1206"/>
      <c r="SVE147" s="1206"/>
      <c r="SVF147" s="1206"/>
      <c r="SVG147" s="1206"/>
      <c r="SVH147" s="1206"/>
      <c r="SVI147" s="1206"/>
      <c r="SVJ147" s="1206"/>
      <c r="SVK147" s="1206"/>
      <c r="SVL147" s="1206"/>
      <c r="SVM147" s="1206"/>
      <c r="SVN147" s="1206"/>
      <c r="SVO147" s="1206"/>
      <c r="SVP147" s="1206"/>
      <c r="SVQ147" s="1206"/>
      <c r="SVR147" s="1206"/>
      <c r="SVS147" s="1206"/>
      <c r="SVT147" s="1206"/>
      <c r="SVU147" s="1206"/>
      <c r="SVV147" s="1206"/>
      <c r="SVW147" s="1206"/>
      <c r="SVX147" s="1206"/>
      <c r="SVY147" s="1206"/>
      <c r="SVZ147" s="1206"/>
      <c r="SWA147" s="1206"/>
      <c r="SWB147" s="1206"/>
      <c r="SWC147" s="1206"/>
      <c r="SWD147" s="1206"/>
      <c r="SWE147" s="1206"/>
      <c r="SWF147" s="1206"/>
      <c r="SWG147" s="1206"/>
      <c r="SWH147" s="1206"/>
      <c r="SWI147" s="1206"/>
      <c r="SWJ147" s="1206"/>
      <c r="SWK147" s="1206"/>
      <c r="SWL147" s="1206"/>
      <c r="SWM147" s="1206"/>
      <c r="SWN147" s="1206"/>
      <c r="SWO147" s="1206"/>
      <c r="SWP147" s="1206"/>
      <c r="SWQ147" s="1206"/>
      <c r="SWR147" s="1206"/>
      <c r="SWS147" s="1206"/>
      <c r="SWT147" s="1206"/>
      <c r="SWU147" s="1206"/>
      <c r="SWV147" s="1206"/>
      <c r="SWW147" s="1206"/>
      <c r="SWX147" s="1206"/>
      <c r="SWY147" s="1206"/>
      <c r="SWZ147" s="1206"/>
      <c r="SXA147" s="1206"/>
      <c r="SXB147" s="1206"/>
      <c r="SXC147" s="1206"/>
      <c r="SXD147" s="1206"/>
      <c r="SXE147" s="1206"/>
      <c r="SXF147" s="1206"/>
      <c r="SXG147" s="1206"/>
      <c r="SXH147" s="1206"/>
      <c r="SXI147" s="1206"/>
      <c r="SXJ147" s="1206"/>
      <c r="SXK147" s="1206"/>
      <c r="SXL147" s="1206"/>
      <c r="SXM147" s="1206"/>
      <c r="SXN147" s="1206"/>
      <c r="SXO147" s="1206"/>
      <c r="SXP147" s="1206"/>
      <c r="SXQ147" s="1206"/>
      <c r="SXR147" s="1206"/>
      <c r="SXS147" s="1206"/>
      <c r="SXT147" s="1206"/>
      <c r="SXU147" s="1206"/>
      <c r="SXV147" s="1206"/>
      <c r="SXW147" s="1206"/>
      <c r="SXX147" s="1206"/>
      <c r="SXY147" s="1206"/>
      <c r="SXZ147" s="1206"/>
      <c r="SYA147" s="1206"/>
      <c r="SYB147" s="1206"/>
      <c r="SYC147" s="1206"/>
      <c r="SYD147" s="1206"/>
      <c r="SYE147" s="1206"/>
      <c r="SYF147" s="1206"/>
      <c r="SYG147" s="1206"/>
      <c r="SYH147" s="1206"/>
      <c r="SYI147" s="1206"/>
      <c r="SYJ147" s="1206"/>
      <c r="SYK147" s="1206"/>
      <c r="SYL147" s="1206"/>
      <c r="SYM147" s="1206"/>
      <c r="SYN147" s="1206"/>
      <c r="SYO147" s="1206"/>
      <c r="SYP147" s="1206"/>
      <c r="SYQ147" s="1206"/>
      <c r="SYR147" s="1206"/>
      <c r="SYS147" s="1206"/>
      <c r="SYT147" s="1206"/>
      <c r="SYU147" s="1206"/>
      <c r="SYV147" s="1206"/>
      <c r="SYW147" s="1206"/>
      <c r="SYX147" s="1206"/>
      <c r="SYY147" s="1206"/>
      <c r="SYZ147" s="1206"/>
      <c r="SZA147" s="1206"/>
      <c r="SZB147" s="1206"/>
      <c r="SZC147" s="1206"/>
      <c r="SZD147" s="1206"/>
      <c r="SZE147" s="1206"/>
      <c r="SZF147" s="1206"/>
      <c r="SZG147" s="1206"/>
      <c r="SZH147" s="1206"/>
      <c r="SZI147" s="1206"/>
      <c r="SZJ147" s="1206"/>
      <c r="SZK147" s="1206"/>
      <c r="SZL147" s="1206"/>
      <c r="SZM147" s="1206"/>
      <c r="SZN147" s="1206"/>
      <c r="SZO147" s="1206"/>
      <c r="SZP147" s="1206"/>
      <c r="SZQ147" s="1206"/>
      <c r="SZR147" s="1206"/>
      <c r="SZS147" s="1206"/>
      <c r="SZT147" s="1206"/>
      <c r="SZU147" s="1206"/>
      <c r="SZV147" s="1206"/>
      <c r="SZW147" s="1206"/>
      <c r="SZX147" s="1206"/>
      <c r="SZY147" s="1206"/>
      <c r="SZZ147" s="1206"/>
      <c r="TAA147" s="1206"/>
      <c r="TAB147" s="1206"/>
      <c r="TAC147" s="1206"/>
      <c r="TAD147" s="1206"/>
      <c r="TAE147" s="1206"/>
      <c r="TAF147" s="1206"/>
      <c r="TAG147" s="1206"/>
      <c r="TAH147" s="1206"/>
      <c r="TAI147" s="1206"/>
      <c r="TAJ147" s="1206"/>
      <c r="TAK147" s="1206"/>
      <c r="TAL147" s="1206"/>
      <c r="TAM147" s="1206"/>
      <c r="TAN147" s="1206"/>
      <c r="TAO147" s="1206"/>
      <c r="TAP147" s="1206"/>
      <c r="TAQ147" s="1206"/>
      <c r="TAR147" s="1206"/>
      <c r="TAS147" s="1206"/>
      <c r="TAT147" s="1206"/>
      <c r="TAU147" s="1206"/>
      <c r="TAV147" s="1206"/>
      <c r="TAW147" s="1206"/>
      <c r="TAX147" s="1206"/>
      <c r="TAY147" s="1206"/>
      <c r="TAZ147" s="1206"/>
      <c r="TBA147" s="1206"/>
      <c r="TBB147" s="1206"/>
      <c r="TBC147" s="1206"/>
      <c r="TBD147" s="1206"/>
      <c r="TBE147" s="1206"/>
      <c r="TBF147" s="1206"/>
      <c r="TBG147" s="1206"/>
      <c r="TBH147" s="1206"/>
      <c r="TBI147" s="1206"/>
      <c r="TBJ147" s="1206"/>
      <c r="TBK147" s="1206"/>
      <c r="TBL147" s="1206"/>
      <c r="TBM147" s="1206"/>
      <c r="TBN147" s="1206"/>
      <c r="TBO147" s="1206"/>
      <c r="TBP147" s="1206"/>
      <c r="TBQ147" s="1206"/>
      <c r="TBR147" s="1206"/>
      <c r="TBS147" s="1206"/>
      <c r="TBT147" s="1206"/>
      <c r="TBU147" s="1206"/>
      <c r="TBV147" s="1206"/>
      <c r="TBW147" s="1206"/>
      <c r="TBX147" s="1206"/>
      <c r="TBY147" s="1206"/>
      <c r="TBZ147" s="1206"/>
      <c r="TCA147" s="1206"/>
      <c r="TCB147" s="1206"/>
      <c r="TCC147" s="1206"/>
      <c r="TCD147" s="1206"/>
      <c r="TCE147" s="1206"/>
      <c r="TCF147" s="1206"/>
      <c r="TCG147" s="1206"/>
      <c r="TCH147" s="1206"/>
      <c r="TCI147" s="1206"/>
      <c r="TCJ147" s="1206"/>
      <c r="TCK147" s="1206"/>
      <c r="TCL147" s="1206"/>
      <c r="TCM147" s="1206"/>
      <c r="TCN147" s="1206"/>
      <c r="TCO147" s="1206"/>
      <c r="TCP147" s="1206"/>
      <c r="TCQ147" s="1206"/>
      <c r="TCR147" s="1206"/>
      <c r="TCS147" s="1206"/>
      <c r="TCT147" s="1206"/>
      <c r="TCU147" s="1206"/>
      <c r="TCV147" s="1206"/>
      <c r="TCW147" s="1206"/>
      <c r="TCX147" s="1206"/>
      <c r="TCY147" s="1206"/>
      <c r="TCZ147" s="1206"/>
      <c r="TDA147" s="1206"/>
      <c r="TDB147" s="1206"/>
      <c r="TDC147" s="1206"/>
      <c r="TDD147" s="1206"/>
      <c r="TDE147" s="1206"/>
      <c r="TDF147" s="1206"/>
      <c r="TDG147" s="1206"/>
      <c r="TDH147" s="1206"/>
      <c r="TDI147" s="1206"/>
      <c r="TDJ147" s="1206"/>
      <c r="TDK147" s="1206"/>
      <c r="TDL147" s="1206"/>
      <c r="TDM147" s="1206"/>
      <c r="TDN147" s="1206"/>
      <c r="TDO147" s="1206"/>
      <c r="TDP147" s="1206"/>
      <c r="TDQ147" s="1206"/>
      <c r="TDR147" s="1206"/>
      <c r="TDS147" s="1206"/>
      <c r="TDT147" s="1206"/>
      <c r="TDU147" s="1206"/>
      <c r="TDV147" s="1206"/>
      <c r="TDW147" s="1206"/>
      <c r="TDX147" s="1206"/>
      <c r="TDY147" s="1206"/>
      <c r="TDZ147" s="1206"/>
      <c r="TEA147" s="1206"/>
      <c r="TEB147" s="1206"/>
      <c r="TEC147" s="1206"/>
      <c r="TED147" s="1206"/>
      <c r="TEE147" s="1206"/>
      <c r="TEF147" s="1206"/>
      <c r="TEG147" s="1206"/>
      <c r="TEH147" s="1206"/>
      <c r="TEI147" s="1206"/>
      <c r="TEJ147" s="1206"/>
      <c r="TEK147" s="1206"/>
      <c r="TEL147" s="1206"/>
      <c r="TEM147" s="1206"/>
      <c r="TEN147" s="1206"/>
      <c r="TEO147" s="1206"/>
      <c r="TEP147" s="1206"/>
      <c r="TEQ147" s="1206"/>
      <c r="TER147" s="1206"/>
      <c r="TES147" s="1206"/>
      <c r="TET147" s="1206"/>
      <c r="TEU147" s="1206"/>
      <c r="TEV147" s="1206"/>
      <c r="TEW147" s="1206"/>
      <c r="TEX147" s="1206"/>
      <c r="TEY147" s="1206"/>
      <c r="TEZ147" s="1206"/>
      <c r="TFA147" s="1206"/>
      <c r="TFB147" s="1206"/>
      <c r="TFC147" s="1206"/>
      <c r="TFD147" s="1206"/>
      <c r="TFE147" s="1206"/>
      <c r="TFF147" s="1206"/>
      <c r="TFG147" s="1206"/>
      <c r="TFH147" s="1206"/>
      <c r="TFI147" s="1206"/>
      <c r="TFJ147" s="1206"/>
      <c r="TFK147" s="1206"/>
      <c r="TFL147" s="1206"/>
      <c r="TFM147" s="1206"/>
      <c r="TFN147" s="1206"/>
      <c r="TFO147" s="1206"/>
      <c r="TFP147" s="1206"/>
      <c r="TFQ147" s="1206"/>
      <c r="TFR147" s="1206"/>
      <c r="TFS147" s="1206"/>
      <c r="TFT147" s="1206"/>
      <c r="TFU147" s="1206"/>
      <c r="TFV147" s="1206"/>
      <c r="TFW147" s="1206"/>
      <c r="TFX147" s="1206"/>
      <c r="TFY147" s="1206"/>
      <c r="TFZ147" s="1206"/>
      <c r="TGA147" s="1206"/>
      <c r="TGB147" s="1206"/>
      <c r="TGC147" s="1206"/>
      <c r="TGD147" s="1206"/>
      <c r="TGE147" s="1206"/>
      <c r="TGF147" s="1206"/>
      <c r="TGG147" s="1206"/>
      <c r="TGH147" s="1206"/>
      <c r="TGI147" s="1206"/>
      <c r="TGJ147" s="1206"/>
      <c r="TGK147" s="1206"/>
      <c r="TGL147" s="1206"/>
      <c r="TGM147" s="1206"/>
      <c r="TGN147" s="1206"/>
      <c r="TGO147" s="1206"/>
      <c r="TGP147" s="1206"/>
      <c r="TGQ147" s="1206"/>
      <c r="TGR147" s="1206"/>
      <c r="TGS147" s="1206"/>
      <c r="TGT147" s="1206"/>
      <c r="TGU147" s="1206"/>
      <c r="TGV147" s="1206"/>
      <c r="TGW147" s="1206"/>
      <c r="TGX147" s="1206"/>
      <c r="TGY147" s="1206"/>
      <c r="TGZ147" s="1206"/>
      <c r="THA147" s="1206"/>
      <c r="THB147" s="1206"/>
      <c r="THC147" s="1206"/>
      <c r="THD147" s="1206"/>
      <c r="THE147" s="1206"/>
      <c r="THF147" s="1206"/>
      <c r="THG147" s="1206"/>
      <c r="THH147" s="1206"/>
      <c r="THI147" s="1206"/>
      <c r="THJ147" s="1206"/>
      <c r="THK147" s="1206"/>
      <c r="THL147" s="1206"/>
      <c r="THM147" s="1206"/>
      <c r="THN147" s="1206"/>
      <c r="THO147" s="1206"/>
      <c r="THP147" s="1206"/>
      <c r="THQ147" s="1206"/>
      <c r="THR147" s="1206"/>
      <c r="THS147" s="1206"/>
      <c r="THT147" s="1206"/>
      <c r="THU147" s="1206"/>
      <c r="THV147" s="1206"/>
      <c r="THW147" s="1206"/>
      <c r="THX147" s="1206"/>
      <c r="THY147" s="1206"/>
      <c r="THZ147" s="1206"/>
      <c r="TIA147" s="1206"/>
      <c r="TIB147" s="1206"/>
      <c r="TIC147" s="1206"/>
      <c r="TID147" s="1206"/>
      <c r="TIE147" s="1206"/>
      <c r="TIF147" s="1206"/>
      <c r="TIG147" s="1206"/>
      <c r="TIH147" s="1206"/>
      <c r="TII147" s="1206"/>
      <c r="TIJ147" s="1206"/>
      <c r="TIK147" s="1206"/>
      <c r="TIL147" s="1206"/>
      <c r="TIM147" s="1206"/>
      <c r="TIN147" s="1206"/>
      <c r="TIO147" s="1206"/>
      <c r="TIP147" s="1206"/>
      <c r="TIQ147" s="1206"/>
      <c r="TIR147" s="1206"/>
      <c r="TIS147" s="1206"/>
      <c r="TIT147" s="1206"/>
      <c r="TIU147" s="1206"/>
      <c r="TIV147" s="1206"/>
      <c r="TIW147" s="1206"/>
      <c r="TIX147" s="1206"/>
      <c r="TIY147" s="1206"/>
      <c r="TIZ147" s="1206"/>
      <c r="TJA147" s="1206"/>
      <c r="TJB147" s="1206"/>
      <c r="TJC147" s="1206"/>
      <c r="TJD147" s="1206"/>
      <c r="TJE147" s="1206"/>
      <c r="TJF147" s="1206"/>
      <c r="TJG147" s="1206"/>
      <c r="TJH147" s="1206"/>
      <c r="TJI147" s="1206"/>
      <c r="TJJ147" s="1206"/>
      <c r="TJK147" s="1206"/>
      <c r="TJL147" s="1206"/>
      <c r="TJM147" s="1206"/>
      <c r="TJN147" s="1206"/>
      <c r="TJO147" s="1206"/>
      <c r="TJP147" s="1206"/>
      <c r="TJQ147" s="1206"/>
      <c r="TJR147" s="1206"/>
      <c r="TJS147" s="1206"/>
      <c r="TJT147" s="1206"/>
      <c r="TJU147" s="1206"/>
      <c r="TJV147" s="1206"/>
      <c r="TJW147" s="1206"/>
      <c r="TJX147" s="1206"/>
      <c r="TJY147" s="1206"/>
      <c r="TJZ147" s="1206"/>
      <c r="TKA147" s="1206"/>
      <c r="TKB147" s="1206"/>
      <c r="TKC147" s="1206"/>
      <c r="TKD147" s="1206"/>
      <c r="TKE147" s="1206"/>
      <c r="TKF147" s="1206"/>
      <c r="TKG147" s="1206"/>
      <c r="TKH147" s="1206"/>
      <c r="TKI147" s="1206"/>
      <c r="TKJ147" s="1206"/>
      <c r="TKK147" s="1206"/>
      <c r="TKL147" s="1206"/>
      <c r="TKM147" s="1206"/>
      <c r="TKN147" s="1206"/>
      <c r="TKO147" s="1206"/>
      <c r="TKP147" s="1206"/>
      <c r="TKQ147" s="1206"/>
      <c r="TKR147" s="1206"/>
      <c r="TKS147" s="1206"/>
      <c r="TKT147" s="1206"/>
      <c r="TKU147" s="1206"/>
      <c r="TKV147" s="1206"/>
      <c r="TKW147" s="1206"/>
      <c r="TKX147" s="1206"/>
      <c r="TKY147" s="1206"/>
      <c r="TKZ147" s="1206"/>
      <c r="TLA147" s="1206"/>
      <c r="TLB147" s="1206"/>
      <c r="TLC147" s="1206"/>
      <c r="TLD147" s="1206"/>
      <c r="TLE147" s="1206"/>
      <c r="TLF147" s="1206"/>
      <c r="TLG147" s="1206"/>
      <c r="TLH147" s="1206"/>
      <c r="TLI147" s="1206"/>
      <c r="TLJ147" s="1206"/>
      <c r="TLK147" s="1206"/>
      <c r="TLL147" s="1206"/>
      <c r="TLM147" s="1206"/>
      <c r="TLN147" s="1206"/>
      <c r="TLO147" s="1206"/>
      <c r="TLP147" s="1206"/>
      <c r="TLQ147" s="1206"/>
      <c r="TLR147" s="1206"/>
      <c r="TLS147" s="1206"/>
      <c r="TLT147" s="1206"/>
      <c r="TLU147" s="1206"/>
      <c r="TLV147" s="1206"/>
      <c r="TLW147" s="1206"/>
      <c r="TLX147" s="1206"/>
      <c r="TLY147" s="1206"/>
      <c r="TLZ147" s="1206"/>
      <c r="TMA147" s="1206"/>
      <c r="TMB147" s="1206"/>
      <c r="TMC147" s="1206"/>
      <c r="TMD147" s="1206"/>
      <c r="TME147" s="1206"/>
      <c r="TMF147" s="1206"/>
      <c r="TMG147" s="1206"/>
      <c r="TMH147" s="1206"/>
      <c r="TMI147" s="1206"/>
      <c r="TMJ147" s="1206"/>
      <c r="TMK147" s="1206"/>
      <c r="TML147" s="1206"/>
      <c r="TMM147" s="1206"/>
      <c r="TMN147" s="1206"/>
      <c r="TMO147" s="1206"/>
      <c r="TMP147" s="1206"/>
      <c r="TMQ147" s="1206"/>
      <c r="TMR147" s="1206"/>
      <c r="TMS147" s="1206"/>
      <c r="TMT147" s="1206"/>
      <c r="TMU147" s="1206"/>
      <c r="TMV147" s="1206"/>
      <c r="TMW147" s="1206"/>
      <c r="TMX147" s="1206"/>
      <c r="TMY147" s="1206"/>
      <c r="TMZ147" s="1206"/>
      <c r="TNA147" s="1206"/>
      <c r="TNB147" s="1206"/>
      <c r="TNC147" s="1206"/>
      <c r="TND147" s="1206"/>
      <c r="TNE147" s="1206"/>
      <c r="TNF147" s="1206"/>
      <c r="TNG147" s="1206"/>
      <c r="TNH147" s="1206"/>
      <c r="TNI147" s="1206"/>
      <c r="TNJ147" s="1206"/>
      <c r="TNK147" s="1206"/>
      <c r="TNL147" s="1206"/>
      <c r="TNM147" s="1206"/>
      <c r="TNN147" s="1206"/>
      <c r="TNO147" s="1206"/>
      <c r="TNP147" s="1206"/>
      <c r="TNQ147" s="1206"/>
      <c r="TNR147" s="1206"/>
      <c r="TNS147" s="1206"/>
      <c r="TNT147" s="1206"/>
      <c r="TNU147" s="1206"/>
      <c r="TNV147" s="1206"/>
      <c r="TNW147" s="1206"/>
      <c r="TNX147" s="1206"/>
      <c r="TNY147" s="1206"/>
      <c r="TNZ147" s="1206"/>
      <c r="TOA147" s="1206"/>
      <c r="TOB147" s="1206"/>
      <c r="TOC147" s="1206"/>
      <c r="TOD147" s="1206"/>
      <c r="TOE147" s="1206"/>
      <c r="TOF147" s="1206"/>
      <c r="TOG147" s="1206"/>
      <c r="TOH147" s="1206"/>
      <c r="TOI147" s="1206"/>
      <c r="TOJ147" s="1206"/>
      <c r="TOK147" s="1206"/>
      <c r="TOL147" s="1206"/>
      <c r="TOM147" s="1206"/>
      <c r="TON147" s="1206"/>
      <c r="TOO147" s="1206"/>
      <c r="TOP147" s="1206"/>
      <c r="TOQ147" s="1206"/>
      <c r="TOR147" s="1206"/>
      <c r="TOS147" s="1206"/>
      <c r="TOT147" s="1206"/>
      <c r="TOU147" s="1206"/>
      <c r="TOV147" s="1206"/>
      <c r="TOW147" s="1206"/>
      <c r="TOX147" s="1206"/>
      <c r="TOY147" s="1206"/>
      <c r="TOZ147" s="1206"/>
      <c r="TPA147" s="1206"/>
      <c r="TPB147" s="1206"/>
      <c r="TPC147" s="1206"/>
      <c r="TPD147" s="1206"/>
      <c r="TPE147" s="1206"/>
      <c r="TPF147" s="1206"/>
      <c r="TPG147" s="1206"/>
      <c r="TPH147" s="1206"/>
      <c r="TPI147" s="1206"/>
      <c r="TPJ147" s="1206"/>
      <c r="TPK147" s="1206"/>
      <c r="TPL147" s="1206"/>
      <c r="TPM147" s="1206"/>
      <c r="TPN147" s="1206"/>
      <c r="TPO147" s="1206"/>
      <c r="TPP147" s="1206"/>
      <c r="TPQ147" s="1206"/>
      <c r="TPR147" s="1206"/>
      <c r="TPS147" s="1206"/>
      <c r="TPT147" s="1206"/>
      <c r="TPU147" s="1206"/>
      <c r="TPV147" s="1206"/>
      <c r="TPW147" s="1206"/>
      <c r="TPX147" s="1206"/>
      <c r="TPY147" s="1206"/>
      <c r="TPZ147" s="1206"/>
      <c r="TQA147" s="1206"/>
      <c r="TQB147" s="1206"/>
      <c r="TQC147" s="1206"/>
      <c r="TQD147" s="1206"/>
      <c r="TQE147" s="1206"/>
      <c r="TQF147" s="1206"/>
      <c r="TQG147" s="1206"/>
      <c r="TQH147" s="1206"/>
      <c r="TQI147" s="1206"/>
      <c r="TQJ147" s="1206"/>
      <c r="TQK147" s="1206"/>
      <c r="TQL147" s="1206"/>
      <c r="TQM147" s="1206"/>
      <c r="TQN147" s="1206"/>
      <c r="TQO147" s="1206"/>
      <c r="TQP147" s="1206"/>
      <c r="TQQ147" s="1206"/>
      <c r="TQR147" s="1206"/>
      <c r="TQS147" s="1206"/>
      <c r="TQT147" s="1206"/>
      <c r="TQU147" s="1206"/>
      <c r="TQV147" s="1206"/>
      <c r="TQW147" s="1206"/>
      <c r="TQX147" s="1206"/>
      <c r="TQY147" s="1206"/>
      <c r="TQZ147" s="1206"/>
      <c r="TRA147" s="1206"/>
      <c r="TRB147" s="1206"/>
      <c r="TRC147" s="1206"/>
      <c r="TRD147" s="1206"/>
      <c r="TRE147" s="1206"/>
      <c r="TRF147" s="1206"/>
      <c r="TRG147" s="1206"/>
      <c r="TRH147" s="1206"/>
      <c r="TRI147" s="1206"/>
      <c r="TRJ147" s="1206"/>
      <c r="TRK147" s="1206"/>
      <c r="TRL147" s="1206"/>
      <c r="TRM147" s="1206"/>
      <c r="TRN147" s="1206"/>
      <c r="TRO147" s="1206"/>
      <c r="TRP147" s="1206"/>
      <c r="TRQ147" s="1206"/>
      <c r="TRR147" s="1206"/>
      <c r="TRS147" s="1206"/>
      <c r="TRT147" s="1206"/>
      <c r="TRU147" s="1206"/>
      <c r="TRV147" s="1206"/>
      <c r="TRW147" s="1206"/>
      <c r="TRX147" s="1206"/>
      <c r="TRY147" s="1206"/>
      <c r="TRZ147" s="1206"/>
      <c r="TSA147" s="1206"/>
      <c r="TSB147" s="1206"/>
      <c r="TSC147" s="1206"/>
      <c r="TSD147" s="1206"/>
      <c r="TSE147" s="1206"/>
      <c r="TSF147" s="1206"/>
      <c r="TSG147" s="1206"/>
      <c r="TSH147" s="1206"/>
      <c r="TSI147" s="1206"/>
      <c r="TSJ147" s="1206"/>
      <c r="TSK147" s="1206"/>
      <c r="TSL147" s="1206"/>
      <c r="TSM147" s="1206"/>
      <c r="TSN147" s="1206"/>
      <c r="TSO147" s="1206"/>
      <c r="TSP147" s="1206"/>
      <c r="TSQ147" s="1206"/>
      <c r="TSR147" s="1206"/>
      <c r="TSS147" s="1206"/>
      <c r="TST147" s="1206"/>
      <c r="TSU147" s="1206"/>
      <c r="TSV147" s="1206"/>
      <c r="TSW147" s="1206"/>
      <c r="TSX147" s="1206"/>
      <c r="TSY147" s="1206"/>
      <c r="TSZ147" s="1206"/>
      <c r="TTA147" s="1206"/>
      <c r="TTB147" s="1206"/>
      <c r="TTC147" s="1206"/>
      <c r="TTD147" s="1206"/>
      <c r="TTE147" s="1206"/>
      <c r="TTF147" s="1206"/>
      <c r="TTG147" s="1206"/>
      <c r="TTH147" s="1206"/>
      <c r="TTI147" s="1206"/>
      <c r="TTJ147" s="1206"/>
      <c r="TTK147" s="1206"/>
      <c r="TTL147" s="1206"/>
      <c r="TTM147" s="1206"/>
      <c r="TTN147" s="1206"/>
      <c r="TTO147" s="1206"/>
      <c r="TTP147" s="1206"/>
      <c r="TTQ147" s="1206"/>
      <c r="TTR147" s="1206"/>
      <c r="TTS147" s="1206"/>
      <c r="TTT147" s="1206"/>
      <c r="TTU147" s="1206"/>
      <c r="TTV147" s="1206"/>
      <c r="TTW147" s="1206"/>
      <c r="TTX147" s="1206"/>
      <c r="TTY147" s="1206"/>
      <c r="TTZ147" s="1206"/>
      <c r="TUA147" s="1206"/>
      <c r="TUB147" s="1206"/>
      <c r="TUC147" s="1206"/>
      <c r="TUD147" s="1206"/>
      <c r="TUE147" s="1206"/>
      <c r="TUF147" s="1206"/>
      <c r="TUG147" s="1206"/>
      <c r="TUH147" s="1206"/>
      <c r="TUI147" s="1206"/>
      <c r="TUJ147" s="1206"/>
      <c r="TUK147" s="1206"/>
      <c r="TUL147" s="1206"/>
      <c r="TUM147" s="1206"/>
      <c r="TUN147" s="1206"/>
      <c r="TUO147" s="1206"/>
      <c r="TUP147" s="1206"/>
      <c r="TUQ147" s="1206"/>
      <c r="TUR147" s="1206"/>
      <c r="TUS147" s="1206"/>
      <c r="TUT147" s="1206"/>
      <c r="TUU147" s="1206"/>
      <c r="TUV147" s="1206"/>
      <c r="TUW147" s="1206"/>
      <c r="TUX147" s="1206"/>
      <c r="TUY147" s="1206"/>
      <c r="TUZ147" s="1206"/>
      <c r="TVA147" s="1206"/>
      <c r="TVB147" s="1206"/>
      <c r="TVC147" s="1206"/>
      <c r="TVD147" s="1206"/>
      <c r="TVE147" s="1206"/>
      <c r="TVF147" s="1206"/>
      <c r="TVG147" s="1206"/>
      <c r="TVH147" s="1206"/>
      <c r="TVI147" s="1206"/>
      <c r="TVJ147" s="1206"/>
      <c r="TVK147" s="1206"/>
      <c r="TVL147" s="1206"/>
      <c r="TVM147" s="1206"/>
      <c r="TVN147" s="1206"/>
      <c r="TVO147" s="1206"/>
      <c r="TVP147" s="1206"/>
      <c r="TVQ147" s="1206"/>
      <c r="TVR147" s="1206"/>
      <c r="TVS147" s="1206"/>
      <c r="TVT147" s="1206"/>
      <c r="TVU147" s="1206"/>
      <c r="TVV147" s="1206"/>
      <c r="TVW147" s="1206"/>
      <c r="TVX147" s="1206"/>
      <c r="TVY147" s="1206"/>
      <c r="TVZ147" s="1206"/>
      <c r="TWA147" s="1206"/>
      <c r="TWB147" s="1206"/>
      <c r="TWC147" s="1206"/>
      <c r="TWD147" s="1206"/>
      <c r="TWE147" s="1206"/>
      <c r="TWF147" s="1206"/>
      <c r="TWG147" s="1206"/>
      <c r="TWH147" s="1206"/>
      <c r="TWI147" s="1206"/>
      <c r="TWJ147" s="1206"/>
      <c r="TWK147" s="1206"/>
      <c r="TWL147" s="1206"/>
      <c r="TWM147" s="1206"/>
      <c r="TWN147" s="1206"/>
      <c r="TWO147" s="1206"/>
      <c r="TWP147" s="1206"/>
      <c r="TWQ147" s="1206"/>
      <c r="TWR147" s="1206"/>
      <c r="TWS147" s="1206"/>
      <c r="TWT147" s="1206"/>
      <c r="TWU147" s="1206"/>
      <c r="TWV147" s="1206"/>
      <c r="TWW147" s="1206"/>
      <c r="TWX147" s="1206"/>
      <c r="TWY147" s="1206"/>
      <c r="TWZ147" s="1206"/>
      <c r="TXA147" s="1206"/>
      <c r="TXB147" s="1206"/>
      <c r="TXC147" s="1206"/>
      <c r="TXD147" s="1206"/>
      <c r="TXE147" s="1206"/>
      <c r="TXF147" s="1206"/>
      <c r="TXG147" s="1206"/>
      <c r="TXH147" s="1206"/>
      <c r="TXI147" s="1206"/>
      <c r="TXJ147" s="1206"/>
      <c r="TXK147" s="1206"/>
      <c r="TXL147" s="1206"/>
      <c r="TXM147" s="1206"/>
      <c r="TXN147" s="1206"/>
      <c r="TXO147" s="1206"/>
      <c r="TXP147" s="1206"/>
      <c r="TXQ147" s="1206"/>
      <c r="TXR147" s="1206"/>
      <c r="TXS147" s="1206"/>
      <c r="TXT147" s="1206"/>
      <c r="TXU147" s="1206"/>
      <c r="TXV147" s="1206"/>
      <c r="TXW147" s="1206"/>
      <c r="TXX147" s="1206"/>
      <c r="TXY147" s="1206"/>
      <c r="TXZ147" s="1206"/>
      <c r="TYA147" s="1206"/>
      <c r="TYB147" s="1206"/>
      <c r="TYC147" s="1206"/>
      <c r="TYD147" s="1206"/>
      <c r="TYE147" s="1206"/>
      <c r="TYF147" s="1206"/>
      <c r="TYG147" s="1206"/>
      <c r="TYH147" s="1206"/>
      <c r="TYI147" s="1206"/>
      <c r="TYJ147" s="1206"/>
      <c r="TYK147" s="1206"/>
      <c r="TYL147" s="1206"/>
      <c r="TYM147" s="1206"/>
      <c r="TYN147" s="1206"/>
      <c r="TYO147" s="1206"/>
      <c r="TYP147" s="1206"/>
      <c r="TYQ147" s="1206"/>
      <c r="TYR147" s="1206"/>
      <c r="TYS147" s="1206"/>
      <c r="TYT147" s="1206"/>
      <c r="TYU147" s="1206"/>
      <c r="TYV147" s="1206"/>
      <c r="TYW147" s="1206"/>
      <c r="TYX147" s="1206"/>
      <c r="TYY147" s="1206"/>
      <c r="TYZ147" s="1206"/>
      <c r="TZA147" s="1206"/>
      <c r="TZB147" s="1206"/>
      <c r="TZC147" s="1206"/>
      <c r="TZD147" s="1206"/>
      <c r="TZE147" s="1206"/>
      <c r="TZF147" s="1206"/>
      <c r="TZG147" s="1206"/>
      <c r="TZH147" s="1206"/>
      <c r="TZI147" s="1206"/>
      <c r="TZJ147" s="1206"/>
      <c r="TZK147" s="1206"/>
      <c r="TZL147" s="1206"/>
      <c r="TZM147" s="1206"/>
      <c r="TZN147" s="1206"/>
      <c r="TZO147" s="1206"/>
      <c r="TZP147" s="1206"/>
      <c r="TZQ147" s="1206"/>
      <c r="TZR147" s="1206"/>
      <c r="TZS147" s="1206"/>
      <c r="TZT147" s="1206"/>
      <c r="TZU147" s="1206"/>
      <c r="TZV147" s="1206"/>
      <c r="TZW147" s="1206"/>
      <c r="TZX147" s="1206"/>
      <c r="TZY147" s="1206"/>
      <c r="TZZ147" s="1206"/>
      <c r="UAA147" s="1206"/>
      <c r="UAB147" s="1206"/>
      <c r="UAC147" s="1206"/>
      <c r="UAD147" s="1206"/>
      <c r="UAE147" s="1206"/>
      <c r="UAF147" s="1206"/>
      <c r="UAG147" s="1206"/>
      <c r="UAH147" s="1206"/>
      <c r="UAI147" s="1206"/>
      <c r="UAJ147" s="1206"/>
      <c r="UAK147" s="1206"/>
      <c r="UAL147" s="1206"/>
      <c r="UAM147" s="1206"/>
      <c r="UAN147" s="1206"/>
      <c r="UAO147" s="1206"/>
      <c r="UAP147" s="1206"/>
      <c r="UAQ147" s="1206"/>
      <c r="UAR147" s="1206"/>
      <c r="UAS147" s="1206"/>
      <c r="UAT147" s="1206"/>
      <c r="UAU147" s="1206"/>
      <c r="UAV147" s="1206"/>
      <c r="UAW147" s="1206"/>
      <c r="UAX147" s="1206"/>
      <c r="UAY147" s="1206"/>
      <c r="UAZ147" s="1206"/>
      <c r="UBA147" s="1206"/>
      <c r="UBB147" s="1206"/>
      <c r="UBC147" s="1206"/>
      <c r="UBD147" s="1206"/>
      <c r="UBE147" s="1206"/>
      <c r="UBF147" s="1206"/>
      <c r="UBG147" s="1206"/>
      <c r="UBH147" s="1206"/>
      <c r="UBI147" s="1206"/>
      <c r="UBJ147" s="1206"/>
      <c r="UBK147" s="1206"/>
      <c r="UBL147" s="1206"/>
      <c r="UBM147" s="1206"/>
      <c r="UBN147" s="1206"/>
      <c r="UBO147" s="1206"/>
      <c r="UBP147" s="1206"/>
      <c r="UBQ147" s="1206"/>
      <c r="UBR147" s="1206"/>
      <c r="UBS147" s="1206"/>
      <c r="UBT147" s="1206"/>
      <c r="UBU147" s="1206"/>
      <c r="UBV147" s="1206"/>
      <c r="UBW147" s="1206"/>
      <c r="UBX147" s="1206"/>
      <c r="UBY147" s="1206"/>
      <c r="UBZ147" s="1206"/>
      <c r="UCA147" s="1206"/>
      <c r="UCB147" s="1206"/>
      <c r="UCC147" s="1206"/>
      <c r="UCD147" s="1206"/>
      <c r="UCE147" s="1206"/>
      <c r="UCF147" s="1206"/>
      <c r="UCG147" s="1206"/>
      <c r="UCH147" s="1206"/>
      <c r="UCI147" s="1206"/>
      <c r="UCJ147" s="1206"/>
      <c r="UCK147" s="1206"/>
      <c r="UCL147" s="1206"/>
      <c r="UCM147" s="1206"/>
      <c r="UCN147" s="1206"/>
      <c r="UCO147" s="1206"/>
      <c r="UCP147" s="1206"/>
      <c r="UCQ147" s="1206"/>
      <c r="UCR147" s="1206"/>
      <c r="UCS147" s="1206"/>
      <c r="UCT147" s="1206"/>
      <c r="UCU147" s="1206"/>
      <c r="UCV147" s="1206"/>
      <c r="UCW147" s="1206"/>
      <c r="UCX147" s="1206"/>
      <c r="UCY147" s="1206"/>
      <c r="UCZ147" s="1206"/>
      <c r="UDA147" s="1206"/>
      <c r="UDB147" s="1206"/>
      <c r="UDC147" s="1206"/>
      <c r="UDD147" s="1206"/>
      <c r="UDE147" s="1206"/>
      <c r="UDF147" s="1206"/>
      <c r="UDG147" s="1206"/>
      <c r="UDH147" s="1206"/>
      <c r="UDI147" s="1206"/>
      <c r="UDJ147" s="1206"/>
      <c r="UDK147" s="1206"/>
      <c r="UDL147" s="1206"/>
      <c r="UDM147" s="1206"/>
      <c r="UDN147" s="1206"/>
      <c r="UDO147" s="1206"/>
      <c r="UDP147" s="1206"/>
      <c r="UDQ147" s="1206"/>
      <c r="UDR147" s="1206"/>
      <c r="UDS147" s="1206"/>
      <c r="UDT147" s="1206"/>
      <c r="UDU147" s="1206"/>
      <c r="UDV147" s="1206"/>
      <c r="UDW147" s="1206"/>
      <c r="UDX147" s="1206"/>
      <c r="UDY147" s="1206"/>
      <c r="UDZ147" s="1206"/>
      <c r="UEA147" s="1206"/>
      <c r="UEB147" s="1206"/>
      <c r="UEC147" s="1206"/>
      <c r="UED147" s="1206"/>
      <c r="UEE147" s="1206"/>
      <c r="UEF147" s="1206"/>
      <c r="UEG147" s="1206"/>
      <c r="UEH147" s="1206"/>
      <c r="UEI147" s="1206"/>
      <c r="UEJ147" s="1206"/>
      <c r="UEK147" s="1206"/>
      <c r="UEL147" s="1206"/>
      <c r="UEM147" s="1206"/>
      <c r="UEN147" s="1206"/>
      <c r="UEO147" s="1206"/>
      <c r="UEP147" s="1206"/>
      <c r="UEQ147" s="1206"/>
      <c r="UER147" s="1206"/>
      <c r="UES147" s="1206"/>
      <c r="UET147" s="1206"/>
      <c r="UEU147" s="1206"/>
      <c r="UEV147" s="1206"/>
      <c r="UEW147" s="1206"/>
      <c r="UEX147" s="1206"/>
      <c r="UEY147" s="1206"/>
      <c r="UEZ147" s="1206"/>
      <c r="UFA147" s="1206"/>
      <c r="UFB147" s="1206"/>
      <c r="UFC147" s="1206"/>
      <c r="UFD147" s="1206"/>
      <c r="UFE147" s="1206"/>
      <c r="UFF147" s="1206"/>
      <c r="UFG147" s="1206"/>
      <c r="UFH147" s="1206"/>
      <c r="UFI147" s="1206"/>
      <c r="UFJ147" s="1206"/>
      <c r="UFK147" s="1206"/>
      <c r="UFL147" s="1206"/>
      <c r="UFM147" s="1206"/>
      <c r="UFN147" s="1206"/>
      <c r="UFO147" s="1206"/>
      <c r="UFP147" s="1206"/>
      <c r="UFQ147" s="1206"/>
      <c r="UFR147" s="1206"/>
      <c r="UFS147" s="1206"/>
      <c r="UFT147" s="1206"/>
      <c r="UFU147" s="1206"/>
      <c r="UFV147" s="1206"/>
      <c r="UFW147" s="1206"/>
      <c r="UFX147" s="1206"/>
      <c r="UFY147" s="1206"/>
      <c r="UFZ147" s="1206"/>
      <c r="UGA147" s="1206"/>
      <c r="UGB147" s="1206"/>
      <c r="UGC147" s="1206"/>
      <c r="UGD147" s="1206"/>
      <c r="UGE147" s="1206"/>
      <c r="UGF147" s="1206"/>
      <c r="UGG147" s="1206"/>
      <c r="UGH147" s="1206"/>
      <c r="UGI147" s="1206"/>
      <c r="UGJ147" s="1206"/>
      <c r="UGK147" s="1206"/>
      <c r="UGL147" s="1206"/>
      <c r="UGM147" s="1206"/>
      <c r="UGN147" s="1206"/>
      <c r="UGO147" s="1206"/>
      <c r="UGP147" s="1206"/>
      <c r="UGQ147" s="1206"/>
      <c r="UGR147" s="1206"/>
      <c r="UGS147" s="1206"/>
      <c r="UGT147" s="1206"/>
      <c r="UGU147" s="1206"/>
      <c r="UGV147" s="1206"/>
      <c r="UGW147" s="1206"/>
      <c r="UGX147" s="1206"/>
      <c r="UGY147" s="1206"/>
      <c r="UGZ147" s="1206"/>
      <c r="UHA147" s="1206"/>
      <c r="UHB147" s="1206"/>
      <c r="UHC147" s="1206"/>
      <c r="UHD147" s="1206"/>
      <c r="UHE147" s="1206"/>
      <c r="UHF147" s="1206"/>
      <c r="UHG147" s="1206"/>
      <c r="UHH147" s="1206"/>
      <c r="UHI147" s="1206"/>
      <c r="UHJ147" s="1206"/>
      <c r="UHK147" s="1206"/>
      <c r="UHL147" s="1206"/>
      <c r="UHM147" s="1206"/>
      <c r="UHN147" s="1206"/>
      <c r="UHO147" s="1206"/>
      <c r="UHP147" s="1206"/>
      <c r="UHQ147" s="1206"/>
      <c r="UHR147" s="1206"/>
      <c r="UHS147" s="1206"/>
      <c r="UHT147" s="1206"/>
      <c r="UHU147" s="1206"/>
      <c r="UHV147" s="1206"/>
      <c r="UHW147" s="1206"/>
      <c r="UHX147" s="1206"/>
      <c r="UHY147" s="1206"/>
      <c r="UHZ147" s="1206"/>
      <c r="UIA147" s="1206"/>
      <c r="UIB147" s="1206"/>
      <c r="UIC147" s="1206"/>
      <c r="UID147" s="1206"/>
      <c r="UIE147" s="1206"/>
      <c r="UIF147" s="1206"/>
      <c r="UIG147" s="1206"/>
      <c r="UIH147" s="1206"/>
      <c r="UII147" s="1206"/>
      <c r="UIJ147" s="1206"/>
      <c r="UIK147" s="1206"/>
      <c r="UIL147" s="1206"/>
      <c r="UIM147" s="1206"/>
      <c r="UIN147" s="1206"/>
      <c r="UIO147" s="1206"/>
      <c r="UIP147" s="1206"/>
      <c r="UIQ147" s="1206"/>
      <c r="UIR147" s="1206"/>
      <c r="UIS147" s="1206"/>
      <c r="UIT147" s="1206"/>
      <c r="UIU147" s="1206"/>
      <c r="UIV147" s="1206"/>
      <c r="UIW147" s="1206"/>
      <c r="UIX147" s="1206"/>
      <c r="UIY147" s="1206"/>
      <c r="UIZ147" s="1206"/>
      <c r="UJA147" s="1206"/>
      <c r="UJB147" s="1206"/>
      <c r="UJC147" s="1206"/>
      <c r="UJD147" s="1206"/>
      <c r="UJE147" s="1206"/>
      <c r="UJF147" s="1206"/>
      <c r="UJG147" s="1206"/>
      <c r="UJH147" s="1206"/>
      <c r="UJI147" s="1206"/>
      <c r="UJJ147" s="1206"/>
      <c r="UJK147" s="1206"/>
      <c r="UJL147" s="1206"/>
      <c r="UJM147" s="1206"/>
      <c r="UJN147" s="1206"/>
      <c r="UJO147" s="1206"/>
      <c r="UJP147" s="1206"/>
      <c r="UJQ147" s="1206"/>
      <c r="UJR147" s="1206"/>
      <c r="UJS147" s="1206"/>
      <c r="UJT147" s="1206"/>
      <c r="UJU147" s="1206"/>
      <c r="UJV147" s="1206"/>
      <c r="UJW147" s="1206"/>
      <c r="UJX147" s="1206"/>
      <c r="UJY147" s="1206"/>
      <c r="UJZ147" s="1206"/>
      <c r="UKA147" s="1206"/>
      <c r="UKB147" s="1206"/>
      <c r="UKC147" s="1206"/>
      <c r="UKD147" s="1206"/>
      <c r="UKE147" s="1206"/>
      <c r="UKF147" s="1206"/>
      <c r="UKG147" s="1206"/>
      <c r="UKH147" s="1206"/>
      <c r="UKI147" s="1206"/>
      <c r="UKJ147" s="1206"/>
      <c r="UKK147" s="1206"/>
      <c r="UKL147" s="1206"/>
      <c r="UKM147" s="1206"/>
      <c r="UKN147" s="1206"/>
      <c r="UKO147" s="1206"/>
      <c r="UKP147" s="1206"/>
      <c r="UKQ147" s="1206"/>
      <c r="UKR147" s="1206"/>
      <c r="UKS147" s="1206"/>
      <c r="UKT147" s="1206"/>
      <c r="UKU147" s="1206"/>
      <c r="UKV147" s="1206"/>
      <c r="UKW147" s="1206"/>
      <c r="UKX147" s="1206"/>
      <c r="UKY147" s="1206"/>
      <c r="UKZ147" s="1206"/>
      <c r="ULA147" s="1206"/>
      <c r="ULB147" s="1206"/>
      <c r="ULC147" s="1206"/>
      <c r="ULD147" s="1206"/>
      <c r="ULE147" s="1206"/>
      <c r="ULF147" s="1206"/>
      <c r="ULG147" s="1206"/>
      <c r="ULH147" s="1206"/>
      <c r="ULI147" s="1206"/>
      <c r="ULJ147" s="1206"/>
      <c r="ULK147" s="1206"/>
      <c r="ULL147" s="1206"/>
      <c r="ULM147" s="1206"/>
      <c r="ULN147" s="1206"/>
      <c r="ULO147" s="1206"/>
      <c r="ULP147" s="1206"/>
      <c r="ULQ147" s="1206"/>
      <c r="ULR147" s="1206"/>
      <c r="ULS147" s="1206"/>
      <c r="ULT147" s="1206"/>
      <c r="ULU147" s="1206"/>
      <c r="ULV147" s="1206"/>
      <c r="ULW147" s="1206"/>
      <c r="ULX147" s="1206"/>
      <c r="ULY147" s="1206"/>
      <c r="ULZ147" s="1206"/>
      <c r="UMA147" s="1206"/>
      <c r="UMB147" s="1206"/>
      <c r="UMC147" s="1206"/>
      <c r="UMD147" s="1206"/>
      <c r="UME147" s="1206"/>
      <c r="UMF147" s="1206"/>
      <c r="UMG147" s="1206"/>
      <c r="UMH147" s="1206"/>
      <c r="UMI147" s="1206"/>
      <c r="UMJ147" s="1206"/>
      <c r="UMK147" s="1206"/>
      <c r="UML147" s="1206"/>
      <c r="UMM147" s="1206"/>
      <c r="UMN147" s="1206"/>
      <c r="UMO147" s="1206"/>
      <c r="UMP147" s="1206"/>
      <c r="UMQ147" s="1206"/>
      <c r="UMR147" s="1206"/>
      <c r="UMS147" s="1206"/>
      <c r="UMT147" s="1206"/>
      <c r="UMU147" s="1206"/>
      <c r="UMV147" s="1206"/>
      <c r="UMW147" s="1206"/>
      <c r="UMX147" s="1206"/>
      <c r="UMY147" s="1206"/>
      <c r="UMZ147" s="1206"/>
      <c r="UNA147" s="1206"/>
      <c r="UNB147" s="1206"/>
      <c r="UNC147" s="1206"/>
      <c r="UND147" s="1206"/>
      <c r="UNE147" s="1206"/>
      <c r="UNF147" s="1206"/>
      <c r="UNG147" s="1206"/>
      <c r="UNH147" s="1206"/>
      <c r="UNI147" s="1206"/>
      <c r="UNJ147" s="1206"/>
      <c r="UNK147" s="1206"/>
      <c r="UNL147" s="1206"/>
      <c r="UNM147" s="1206"/>
      <c r="UNN147" s="1206"/>
      <c r="UNO147" s="1206"/>
      <c r="UNP147" s="1206"/>
      <c r="UNQ147" s="1206"/>
      <c r="UNR147" s="1206"/>
      <c r="UNS147" s="1206"/>
      <c r="UNT147" s="1206"/>
      <c r="UNU147" s="1206"/>
      <c r="UNV147" s="1206"/>
      <c r="UNW147" s="1206"/>
      <c r="UNX147" s="1206"/>
      <c r="UNY147" s="1206"/>
      <c r="UNZ147" s="1206"/>
      <c r="UOA147" s="1206"/>
      <c r="UOB147" s="1206"/>
      <c r="UOC147" s="1206"/>
      <c r="UOD147" s="1206"/>
      <c r="UOE147" s="1206"/>
      <c r="UOF147" s="1206"/>
      <c r="UOG147" s="1206"/>
      <c r="UOH147" s="1206"/>
      <c r="UOI147" s="1206"/>
      <c r="UOJ147" s="1206"/>
      <c r="UOK147" s="1206"/>
      <c r="UOL147" s="1206"/>
      <c r="UOM147" s="1206"/>
      <c r="UON147" s="1206"/>
      <c r="UOO147" s="1206"/>
      <c r="UOP147" s="1206"/>
      <c r="UOQ147" s="1206"/>
      <c r="UOR147" s="1206"/>
      <c r="UOS147" s="1206"/>
      <c r="UOT147" s="1206"/>
      <c r="UOU147" s="1206"/>
      <c r="UOV147" s="1206"/>
      <c r="UOW147" s="1206"/>
      <c r="UOX147" s="1206"/>
      <c r="UOY147" s="1206"/>
      <c r="UOZ147" s="1206"/>
      <c r="UPA147" s="1206"/>
      <c r="UPB147" s="1206"/>
      <c r="UPC147" s="1206"/>
      <c r="UPD147" s="1206"/>
      <c r="UPE147" s="1206"/>
      <c r="UPF147" s="1206"/>
      <c r="UPG147" s="1206"/>
      <c r="UPH147" s="1206"/>
      <c r="UPI147" s="1206"/>
      <c r="UPJ147" s="1206"/>
      <c r="UPK147" s="1206"/>
      <c r="UPL147" s="1206"/>
      <c r="UPM147" s="1206"/>
      <c r="UPN147" s="1206"/>
      <c r="UPO147" s="1206"/>
      <c r="UPP147" s="1206"/>
      <c r="UPQ147" s="1206"/>
      <c r="UPR147" s="1206"/>
      <c r="UPS147" s="1206"/>
      <c r="UPT147" s="1206"/>
      <c r="UPU147" s="1206"/>
      <c r="UPV147" s="1206"/>
      <c r="UPW147" s="1206"/>
      <c r="UPX147" s="1206"/>
      <c r="UPY147" s="1206"/>
      <c r="UPZ147" s="1206"/>
      <c r="UQA147" s="1206"/>
      <c r="UQB147" s="1206"/>
      <c r="UQC147" s="1206"/>
      <c r="UQD147" s="1206"/>
      <c r="UQE147" s="1206"/>
      <c r="UQF147" s="1206"/>
      <c r="UQG147" s="1206"/>
      <c r="UQH147" s="1206"/>
      <c r="UQI147" s="1206"/>
      <c r="UQJ147" s="1206"/>
      <c r="UQK147" s="1206"/>
      <c r="UQL147" s="1206"/>
      <c r="UQM147" s="1206"/>
      <c r="UQN147" s="1206"/>
      <c r="UQO147" s="1206"/>
      <c r="UQP147" s="1206"/>
      <c r="UQQ147" s="1206"/>
      <c r="UQR147" s="1206"/>
      <c r="UQS147" s="1206"/>
      <c r="UQT147" s="1206"/>
      <c r="UQU147" s="1206"/>
      <c r="UQV147" s="1206"/>
      <c r="UQW147" s="1206"/>
      <c r="UQX147" s="1206"/>
      <c r="UQY147" s="1206"/>
      <c r="UQZ147" s="1206"/>
      <c r="URA147" s="1206"/>
      <c r="URB147" s="1206"/>
      <c r="URC147" s="1206"/>
      <c r="URD147" s="1206"/>
      <c r="URE147" s="1206"/>
      <c r="URF147" s="1206"/>
      <c r="URG147" s="1206"/>
      <c r="URH147" s="1206"/>
      <c r="URI147" s="1206"/>
      <c r="URJ147" s="1206"/>
      <c r="URK147" s="1206"/>
      <c r="URL147" s="1206"/>
      <c r="URM147" s="1206"/>
      <c r="URN147" s="1206"/>
      <c r="URO147" s="1206"/>
      <c r="URP147" s="1206"/>
      <c r="URQ147" s="1206"/>
      <c r="URR147" s="1206"/>
      <c r="URS147" s="1206"/>
      <c r="URT147" s="1206"/>
      <c r="URU147" s="1206"/>
      <c r="URV147" s="1206"/>
      <c r="URW147" s="1206"/>
      <c r="URX147" s="1206"/>
      <c r="URY147" s="1206"/>
      <c r="URZ147" s="1206"/>
      <c r="USA147" s="1206"/>
      <c r="USB147" s="1206"/>
      <c r="USC147" s="1206"/>
      <c r="USD147" s="1206"/>
      <c r="USE147" s="1206"/>
      <c r="USF147" s="1206"/>
      <c r="USG147" s="1206"/>
      <c r="USH147" s="1206"/>
      <c r="USI147" s="1206"/>
      <c r="USJ147" s="1206"/>
      <c r="USK147" s="1206"/>
      <c r="USL147" s="1206"/>
      <c r="USM147" s="1206"/>
      <c r="USN147" s="1206"/>
      <c r="USO147" s="1206"/>
      <c r="USP147" s="1206"/>
      <c r="USQ147" s="1206"/>
      <c r="USR147" s="1206"/>
      <c r="USS147" s="1206"/>
      <c r="UST147" s="1206"/>
      <c r="USU147" s="1206"/>
      <c r="USV147" s="1206"/>
      <c r="USW147" s="1206"/>
      <c r="USX147" s="1206"/>
      <c r="USY147" s="1206"/>
      <c r="USZ147" s="1206"/>
      <c r="UTA147" s="1206"/>
      <c r="UTB147" s="1206"/>
      <c r="UTC147" s="1206"/>
      <c r="UTD147" s="1206"/>
      <c r="UTE147" s="1206"/>
      <c r="UTF147" s="1206"/>
      <c r="UTG147" s="1206"/>
      <c r="UTH147" s="1206"/>
      <c r="UTI147" s="1206"/>
      <c r="UTJ147" s="1206"/>
      <c r="UTK147" s="1206"/>
      <c r="UTL147" s="1206"/>
      <c r="UTM147" s="1206"/>
      <c r="UTN147" s="1206"/>
      <c r="UTO147" s="1206"/>
      <c r="UTP147" s="1206"/>
      <c r="UTQ147" s="1206"/>
      <c r="UTR147" s="1206"/>
      <c r="UTS147" s="1206"/>
      <c r="UTT147" s="1206"/>
      <c r="UTU147" s="1206"/>
      <c r="UTV147" s="1206"/>
      <c r="UTW147" s="1206"/>
      <c r="UTX147" s="1206"/>
      <c r="UTY147" s="1206"/>
      <c r="UTZ147" s="1206"/>
      <c r="UUA147" s="1206"/>
      <c r="UUB147" s="1206"/>
      <c r="UUC147" s="1206"/>
      <c r="UUD147" s="1206"/>
      <c r="UUE147" s="1206"/>
      <c r="UUF147" s="1206"/>
      <c r="UUG147" s="1206"/>
      <c r="UUH147" s="1206"/>
      <c r="UUI147" s="1206"/>
      <c r="UUJ147" s="1206"/>
      <c r="UUK147" s="1206"/>
      <c r="UUL147" s="1206"/>
      <c r="UUM147" s="1206"/>
      <c r="UUN147" s="1206"/>
      <c r="UUO147" s="1206"/>
      <c r="UUP147" s="1206"/>
      <c r="UUQ147" s="1206"/>
      <c r="UUR147" s="1206"/>
      <c r="UUS147" s="1206"/>
      <c r="UUT147" s="1206"/>
      <c r="UUU147" s="1206"/>
      <c r="UUV147" s="1206"/>
      <c r="UUW147" s="1206"/>
      <c r="UUX147" s="1206"/>
      <c r="UUY147" s="1206"/>
      <c r="UUZ147" s="1206"/>
      <c r="UVA147" s="1206"/>
      <c r="UVB147" s="1206"/>
      <c r="UVC147" s="1206"/>
      <c r="UVD147" s="1206"/>
      <c r="UVE147" s="1206"/>
      <c r="UVF147" s="1206"/>
      <c r="UVG147" s="1206"/>
      <c r="UVH147" s="1206"/>
      <c r="UVI147" s="1206"/>
      <c r="UVJ147" s="1206"/>
      <c r="UVK147" s="1206"/>
      <c r="UVL147" s="1206"/>
      <c r="UVM147" s="1206"/>
      <c r="UVN147" s="1206"/>
      <c r="UVO147" s="1206"/>
      <c r="UVP147" s="1206"/>
      <c r="UVQ147" s="1206"/>
      <c r="UVR147" s="1206"/>
      <c r="UVS147" s="1206"/>
      <c r="UVT147" s="1206"/>
      <c r="UVU147" s="1206"/>
      <c r="UVV147" s="1206"/>
      <c r="UVW147" s="1206"/>
      <c r="UVX147" s="1206"/>
      <c r="UVY147" s="1206"/>
      <c r="UVZ147" s="1206"/>
      <c r="UWA147" s="1206"/>
      <c r="UWB147" s="1206"/>
      <c r="UWC147" s="1206"/>
      <c r="UWD147" s="1206"/>
      <c r="UWE147" s="1206"/>
      <c r="UWF147" s="1206"/>
      <c r="UWG147" s="1206"/>
      <c r="UWH147" s="1206"/>
      <c r="UWI147" s="1206"/>
      <c r="UWJ147" s="1206"/>
      <c r="UWK147" s="1206"/>
      <c r="UWL147" s="1206"/>
      <c r="UWM147" s="1206"/>
      <c r="UWN147" s="1206"/>
      <c r="UWO147" s="1206"/>
      <c r="UWP147" s="1206"/>
      <c r="UWQ147" s="1206"/>
      <c r="UWR147" s="1206"/>
      <c r="UWS147" s="1206"/>
      <c r="UWT147" s="1206"/>
      <c r="UWU147" s="1206"/>
      <c r="UWV147" s="1206"/>
      <c r="UWW147" s="1206"/>
      <c r="UWX147" s="1206"/>
      <c r="UWY147" s="1206"/>
      <c r="UWZ147" s="1206"/>
      <c r="UXA147" s="1206"/>
      <c r="UXB147" s="1206"/>
      <c r="UXC147" s="1206"/>
      <c r="UXD147" s="1206"/>
      <c r="UXE147" s="1206"/>
      <c r="UXF147" s="1206"/>
      <c r="UXG147" s="1206"/>
      <c r="UXH147" s="1206"/>
      <c r="UXI147" s="1206"/>
      <c r="UXJ147" s="1206"/>
      <c r="UXK147" s="1206"/>
      <c r="UXL147" s="1206"/>
      <c r="UXM147" s="1206"/>
      <c r="UXN147" s="1206"/>
      <c r="UXO147" s="1206"/>
      <c r="UXP147" s="1206"/>
      <c r="UXQ147" s="1206"/>
      <c r="UXR147" s="1206"/>
      <c r="UXS147" s="1206"/>
      <c r="UXT147" s="1206"/>
      <c r="UXU147" s="1206"/>
      <c r="UXV147" s="1206"/>
      <c r="UXW147" s="1206"/>
      <c r="UXX147" s="1206"/>
      <c r="UXY147" s="1206"/>
      <c r="UXZ147" s="1206"/>
      <c r="UYA147" s="1206"/>
      <c r="UYB147" s="1206"/>
      <c r="UYC147" s="1206"/>
      <c r="UYD147" s="1206"/>
      <c r="UYE147" s="1206"/>
      <c r="UYF147" s="1206"/>
      <c r="UYG147" s="1206"/>
      <c r="UYH147" s="1206"/>
      <c r="UYI147" s="1206"/>
      <c r="UYJ147" s="1206"/>
      <c r="UYK147" s="1206"/>
      <c r="UYL147" s="1206"/>
      <c r="UYM147" s="1206"/>
      <c r="UYN147" s="1206"/>
      <c r="UYO147" s="1206"/>
      <c r="UYP147" s="1206"/>
      <c r="UYQ147" s="1206"/>
      <c r="UYR147" s="1206"/>
      <c r="UYS147" s="1206"/>
      <c r="UYT147" s="1206"/>
      <c r="UYU147" s="1206"/>
      <c r="UYV147" s="1206"/>
      <c r="UYW147" s="1206"/>
      <c r="UYX147" s="1206"/>
      <c r="UYY147" s="1206"/>
      <c r="UYZ147" s="1206"/>
      <c r="UZA147" s="1206"/>
      <c r="UZB147" s="1206"/>
      <c r="UZC147" s="1206"/>
      <c r="UZD147" s="1206"/>
      <c r="UZE147" s="1206"/>
      <c r="UZF147" s="1206"/>
      <c r="UZG147" s="1206"/>
      <c r="UZH147" s="1206"/>
      <c r="UZI147" s="1206"/>
      <c r="UZJ147" s="1206"/>
      <c r="UZK147" s="1206"/>
      <c r="UZL147" s="1206"/>
      <c r="UZM147" s="1206"/>
      <c r="UZN147" s="1206"/>
      <c r="UZO147" s="1206"/>
      <c r="UZP147" s="1206"/>
      <c r="UZQ147" s="1206"/>
      <c r="UZR147" s="1206"/>
      <c r="UZS147" s="1206"/>
      <c r="UZT147" s="1206"/>
      <c r="UZU147" s="1206"/>
      <c r="UZV147" s="1206"/>
      <c r="UZW147" s="1206"/>
      <c r="UZX147" s="1206"/>
      <c r="UZY147" s="1206"/>
      <c r="UZZ147" s="1206"/>
      <c r="VAA147" s="1206"/>
      <c r="VAB147" s="1206"/>
      <c r="VAC147" s="1206"/>
      <c r="VAD147" s="1206"/>
      <c r="VAE147" s="1206"/>
      <c r="VAF147" s="1206"/>
      <c r="VAG147" s="1206"/>
      <c r="VAH147" s="1206"/>
      <c r="VAI147" s="1206"/>
      <c r="VAJ147" s="1206"/>
      <c r="VAK147" s="1206"/>
      <c r="VAL147" s="1206"/>
      <c r="VAM147" s="1206"/>
      <c r="VAN147" s="1206"/>
      <c r="VAO147" s="1206"/>
      <c r="VAP147" s="1206"/>
      <c r="VAQ147" s="1206"/>
      <c r="VAR147" s="1206"/>
      <c r="VAS147" s="1206"/>
      <c r="VAT147" s="1206"/>
      <c r="VAU147" s="1206"/>
      <c r="VAV147" s="1206"/>
      <c r="VAW147" s="1206"/>
      <c r="VAX147" s="1206"/>
      <c r="VAY147" s="1206"/>
      <c r="VAZ147" s="1206"/>
      <c r="VBA147" s="1206"/>
      <c r="VBB147" s="1206"/>
      <c r="VBC147" s="1206"/>
      <c r="VBD147" s="1206"/>
      <c r="VBE147" s="1206"/>
      <c r="VBF147" s="1206"/>
      <c r="VBG147" s="1206"/>
      <c r="VBH147" s="1206"/>
      <c r="VBI147" s="1206"/>
      <c r="VBJ147" s="1206"/>
      <c r="VBK147" s="1206"/>
      <c r="VBL147" s="1206"/>
      <c r="VBM147" s="1206"/>
      <c r="VBN147" s="1206"/>
      <c r="VBO147" s="1206"/>
      <c r="VBP147" s="1206"/>
      <c r="VBQ147" s="1206"/>
      <c r="VBR147" s="1206"/>
      <c r="VBS147" s="1206"/>
      <c r="VBT147" s="1206"/>
      <c r="VBU147" s="1206"/>
      <c r="VBV147" s="1206"/>
      <c r="VBW147" s="1206"/>
      <c r="VBX147" s="1206"/>
      <c r="VBY147" s="1206"/>
      <c r="VBZ147" s="1206"/>
      <c r="VCA147" s="1206"/>
      <c r="VCB147" s="1206"/>
      <c r="VCC147" s="1206"/>
      <c r="VCD147" s="1206"/>
      <c r="VCE147" s="1206"/>
      <c r="VCF147" s="1206"/>
      <c r="VCG147" s="1206"/>
      <c r="VCH147" s="1206"/>
      <c r="VCI147" s="1206"/>
      <c r="VCJ147" s="1206"/>
      <c r="VCK147" s="1206"/>
      <c r="VCL147" s="1206"/>
      <c r="VCM147" s="1206"/>
      <c r="VCN147" s="1206"/>
      <c r="VCO147" s="1206"/>
      <c r="VCP147" s="1206"/>
      <c r="VCQ147" s="1206"/>
      <c r="VCR147" s="1206"/>
      <c r="VCS147" s="1206"/>
      <c r="VCT147" s="1206"/>
      <c r="VCU147" s="1206"/>
      <c r="VCV147" s="1206"/>
      <c r="VCW147" s="1206"/>
      <c r="VCX147" s="1206"/>
      <c r="VCY147" s="1206"/>
      <c r="VCZ147" s="1206"/>
      <c r="VDA147" s="1206"/>
      <c r="VDB147" s="1206"/>
      <c r="VDC147" s="1206"/>
      <c r="VDD147" s="1206"/>
      <c r="VDE147" s="1206"/>
      <c r="VDF147" s="1206"/>
      <c r="VDG147" s="1206"/>
      <c r="VDH147" s="1206"/>
      <c r="VDI147" s="1206"/>
      <c r="VDJ147" s="1206"/>
      <c r="VDK147" s="1206"/>
      <c r="VDL147" s="1206"/>
      <c r="VDM147" s="1206"/>
      <c r="VDN147" s="1206"/>
      <c r="VDO147" s="1206"/>
      <c r="VDP147" s="1206"/>
      <c r="VDQ147" s="1206"/>
      <c r="VDR147" s="1206"/>
      <c r="VDS147" s="1206"/>
      <c r="VDT147" s="1206"/>
      <c r="VDU147" s="1206"/>
      <c r="VDV147" s="1206"/>
      <c r="VDW147" s="1206"/>
      <c r="VDX147" s="1206"/>
      <c r="VDY147" s="1206"/>
      <c r="VDZ147" s="1206"/>
      <c r="VEA147" s="1206"/>
      <c r="VEB147" s="1206"/>
      <c r="VEC147" s="1206"/>
      <c r="VED147" s="1206"/>
      <c r="VEE147" s="1206"/>
      <c r="VEF147" s="1206"/>
      <c r="VEG147" s="1206"/>
      <c r="VEH147" s="1206"/>
      <c r="VEI147" s="1206"/>
      <c r="VEJ147" s="1206"/>
      <c r="VEK147" s="1206"/>
      <c r="VEL147" s="1206"/>
      <c r="VEM147" s="1206"/>
      <c r="VEN147" s="1206"/>
      <c r="VEO147" s="1206"/>
      <c r="VEP147" s="1206"/>
      <c r="VEQ147" s="1206"/>
      <c r="VER147" s="1206"/>
      <c r="VES147" s="1206"/>
      <c r="VET147" s="1206"/>
      <c r="VEU147" s="1206"/>
      <c r="VEV147" s="1206"/>
      <c r="VEW147" s="1206"/>
      <c r="VEX147" s="1206"/>
      <c r="VEY147" s="1206"/>
      <c r="VEZ147" s="1206"/>
      <c r="VFA147" s="1206"/>
      <c r="VFB147" s="1206"/>
      <c r="VFC147" s="1206"/>
      <c r="VFD147" s="1206"/>
      <c r="VFE147" s="1206"/>
      <c r="VFF147" s="1206"/>
      <c r="VFG147" s="1206"/>
      <c r="VFH147" s="1206"/>
      <c r="VFI147" s="1206"/>
      <c r="VFJ147" s="1206"/>
      <c r="VFK147" s="1206"/>
      <c r="VFL147" s="1206"/>
      <c r="VFM147" s="1206"/>
      <c r="VFN147" s="1206"/>
      <c r="VFO147" s="1206"/>
      <c r="VFP147" s="1206"/>
      <c r="VFQ147" s="1206"/>
      <c r="VFR147" s="1206"/>
      <c r="VFS147" s="1206"/>
      <c r="VFT147" s="1206"/>
      <c r="VFU147" s="1206"/>
      <c r="VFV147" s="1206"/>
      <c r="VFW147" s="1206"/>
      <c r="VFX147" s="1206"/>
      <c r="VFY147" s="1206"/>
      <c r="VFZ147" s="1206"/>
      <c r="VGA147" s="1206"/>
      <c r="VGB147" s="1206"/>
      <c r="VGC147" s="1206"/>
      <c r="VGD147" s="1206"/>
      <c r="VGE147" s="1206"/>
      <c r="VGF147" s="1206"/>
      <c r="VGG147" s="1206"/>
      <c r="VGH147" s="1206"/>
      <c r="VGI147" s="1206"/>
      <c r="VGJ147" s="1206"/>
      <c r="VGK147" s="1206"/>
      <c r="VGL147" s="1206"/>
      <c r="VGM147" s="1206"/>
      <c r="VGN147" s="1206"/>
      <c r="VGO147" s="1206"/>
      <c r="VGP147" s="1206"/>
      <c r="VGQ147" s="1206"/>
      <c r="VGR147" s="1206"/>
      <c r="VGS147" s="1206"/>
      <c r="VGT147" s="1206"/>
      <c r="VGU147" s="1206"/>
      <c r="VGV147" s="1206"/>
      <c r="VGW147" s="1206"/>
      <c r="VGX147" s="1206"/>
      <c r="VGY147" s="1206"/>
      <c r="VGZ147" s="1206"/>
      <c r="VHA147" s="1206"/>
      <c r="VHB147" s="1206"/>
      <c r="VHC147" s="1206"/>
      <c r="VHD147" s="1206"/>
      <c r="VHE147" s="1206"/>
      <c r="VHF147" s="1206"/>
      <c r="VHG147" s="1206"/>
      <c r="VHH147" s="1206"/>
      <c r="VHI147" s="1206"/>
      <c r="VHJ147" s="1206"/>
      <c r="VHK147" s="1206"/>
      <c r="VHL147" s="1206"/>
      <c r="VHM147" s="1206"/>
      <c r="VHN147" s="1206"/>
      <c r="VHO147" s="1206"/>
      <c r="VHP147" s="1206"/>
      <c r="VHQ147" s="1206"/>
      <c r="VHR147" s="1206"/>
      <c r="VHS147" s="1206"/>
      <c r="VHT147" s="1206"/>
      <c r="VHU147" s="1206"/>
      <c r="VHV147" s="1206"/>
      <c r="VHW147" s="1206"/>
      <c r="VHX147" s="1206"/>
      <c r="VHY147" s="1206"/>
      <c r="VHZ147" s="1206"/>
      <c r="VIA147" s="1206"/>
      <c r="VIB147" s="1206"/>
      <c r="VIC147" s="1206"/>
      <c r="VID147" s="1206"/>
      <c r="VIE147" s="1206"/>
      <c r="VIF147" s="1206"/>
      <c r="VIG147" s="1206"/>
      <c r="VIH147" s="1206"/>
      <c r="VII147" s="1206"/>
      <c r="VIJ147" s="1206"/>
      <c r="VIK147" s="1206"/>
      <c r="VIL147" s="1206"/>
      <c r="VIM147" s="1206"/>
      <c r="VIN147" s="1206"/>
      <c r="VIO147" s="1206"/>
      <c r="VIP147" s="1206"/>
      <c r="VIQ147" s="1206"/>
      <c r="VIR147" s="1206"/>
      <c r="VIS147" s="1206"/>
      <c r="VIT147" s="1206"/>
      <c r="VIU147" s="1206"/>
      <c r="VIV147" s="1206"/>
      <c r="VIW147" s="1206"/>
      <c r="VIX147" s="1206"/>
      <c r="VIY147" s="1206"/>
      <c r="VIZ147" s="1206"/>
      <c r="VJA147" s="1206"/>
      <c r="VJB147" s="1206"/>
      <c r="VJC147" s="1206"/>
      <c r="VJD147" s="1206"/>
      <c r="VJE147" s="1206"/>
      <c r="VJF147" s="1206"/>
      <c r="VJG147" s="1206"/>
      <c r="VJH147" s="1206"/>
      <c r="VJI147" s="1206"/>
      <c r="VJJ147" s="1206"/>
      <c r="VJK147" s="1206"/>
      <c r="VJL147" s="1206"/>
      <c r="VJM147" s="1206"/>
      <c r="VJN147" s="1206"/>
      <c r="VJO147" s="1206"/>
      <c r="VJP147" s="1206"/>
      <c r="VJQ147" s="1206"/>
      <c r="VJR147" s="1206"/>
      <c r="VJS147" s="1206"/>
      <c r="VJT147" s="1206"/>
      <c r="VJU147" s="1206"/>
      <c r="VJV147" s="1206"/>
      <c r="VJW147" s="1206"/>
      <c r="VJX147" s="1206"/>
      <c r="VJY147" s="1206"/>
      <c r="VJZ147" s="1206"/>
      <c r="VKA147" s="1206"/>
      <c r="VKB147" s="1206"/>
      <c r="VKC147" s="1206"/>
      <c r="VKD147" s="1206"/>
      <c r="VKE147" s="1206"/>
      <c r="VKF147" s="1206"/>
      <c r="VKG147" s="1206"/>
      <c r="VKH147" s="1206"/>
      <c r="VKI147" s="1206"/>
      <c r="VKJ147" s="1206"/>
      <c r="VKK147" s="1206"/>
      <c r="VKL147" s="1206"/>
      <c r="VKM147" s="1206"/>
      <c r="VKN147" s="1206"/>
      <c r="VKO147" s="1206"/>
      <c r="VKP147" s="1206"/>
      <c r="VKQ147" s="1206"/>
      <c r="VKR147" s="1206"/>
      <c r="VKS147" s="1206"/>
      <c r="VKT147" s="1206"/>
      <c r="VKU147" s="1206"/>
      <c r="VKV147" s="1206"/>
      <c r="VKW147" s="1206"/>
      <c r="VKX147" s="1206"/>
      <c r="VKY147" s="1206"/>
      <c r="VKZ147" s="1206"/>
      <c r="VLA147" s="1206"/>
      <c r="VLB147" s="1206"/>
      <c r="VLC147" s="1206"/>
      <c r="VLD147" s="1206"/>
      <c r="VLE147" s="1206"/>
      <c r="VLF147" s="1206"/>
      <c r="VLG147" s="1206"/>
      <c r="VLH147" s="1206"/>
      <c r="VLI147" s="1206"/>
      <c r="VLJ147" s="1206"/>
      <c r="VLK147" s="1206"/>
      <c r="VLL147" s="1206"/>
      <c r="VLM147" s="1206"/>
      <c r="VLN147" s="1206"/>
      <c r="VLO147" s="1206"/>
      <c r="VLP147" s="1206"/>
      <c r="VLQ147" s="1206"/>
      <c r="VLR147" s="1206"/>
      <c r="VLS147" s="1206"/>
      <c r="VLT147" s="1206"/>
      <c r="VLU147" s="1206"/>
      <c r="VLV147" s="1206"/>
      <c r="VLW147" s="1206"/>
      <c r="VLX147" s="1206"/>
      <c r="VLY147" s="1206"/>
      <c r="VLZ147" s="1206"/>
      <c r="VMA147" s="1206"/>
      <c r="VMB147" s="1206"/>
      <c r="VMC147" s="1206"/>
      <c r="VMD147" s="1206"/>
      <c r="VME147" s="1206"/>
      <c r="VMF147" s="1206"/>
      <c r="VMG147" s="1206"/>
      <c r="VMH147" s="1206"/>
      <c r="VMI147" s="1206"/>
      <c r="VMJ147" s="1206"/>
      <c r="VMK147" s="1206"/>
      <c r="VML147" s="1206"/>
      <c r="VMM147" s="1206"/>
      <c r="VMN147" s="1206"/>
      <c r="VMO147" s="1206"/>
      <c r="VMP147" s="1206"/>
      <c r="VMQ147" s="1206"/>
      <c r="VMR147" s="1206"/>
      <c r="VMS147" s="1206"/>
      <c r="VMT147" s="1206"/>
      <c r="VMU147" s="1206"/>
      <c r="VMV147" s="1206"/>
      <c r="VMW147" s="1206"/>
      <c r="VMX147" s="1206"/>
      <c r="VMY147" s="1206"/>
      <c r="VMZ147" s="1206"/>
      <c r="VNA147" s="1206"/>
      <c r="VNB147" s="1206"/>
      <c r="VNC147" s="1206"/>
      <c r="VND147" s="1206"/>
      <c r="VNE147" s="1206"/>
      <c r="VNF147" s="1206"/>
      <c r="VNG147" s="1206"/>
      <c r="VNH147" s="1206"/>
      <c r="VNI147" s="1206"/>
      <c r="VNJ147" s="1206"/>
      <c r="VNK147" s="1206"/>
      <c r="VNL147" s="1206"/>
      <c r="VNM147" s="1206"/>
      <c r="VNN147" s="1206"/>
      <c r="VNO147" s="1206"/>
      <c r="VNP147" s="1206"/>
      <c r="VNQ147" s="1206"/>
      <c r="VNR147" s="1206"/>
      <c r="VNS147" s="1206"/>
      <c r="VNT147" s="1206"/>
      <c r="VNU147" s="1206"/>
      <c r="VNV147" s="1206"/>
      <c r="VNW147" s="1206"/>
      <c r="VNX147" s="1206"/>
      <c r="VNY147" s="1206"/>
      <c r="VNZ147" s="1206"/>
      <c r="VOA147" s="1206"/>
      <c r="VOB147" s="1206"/>
      <c r="VOC147" s="1206"/>
      <c r="VOD147" s="1206"/>
      <c r="VOE147" s="1206"/>
      <c r="VOF147" s="1206"/>
      <c r="VOG147" s="1206"/>
      <c r="VOH147" s="1206"/>
      <c r="VOI147" s="1206"/>
      <c r="VOJ147" s="1206"/>
      <c r="VOK147" s="1206"/>
      <c r="VOL147" s="1206"/>
      <c r="VOM147" s="1206"/>
      <c r="VON147" s="1206"/>
      <c r="VOO147" s="1206"/>
      <c r="VOP147" s="1206"/>
      <c r="VOQ147" s="1206"/>
      <c r="VOR147" s="1206"/>
      <c r="VOS147" s="1206"/>
      <c r="VOT147" s="1206"/>
      <c r="VOU147" s="1206"/>
      <c r="VOV147" s="1206"/>
      <c r="VOW147" s="1206"/>
      <c r="VOX147" s="1206"/>
      <c r="VOY147" s="1206"/>
      <c r="VOZ147" s="1206"/>
      <c r="VPA147" s="1206"/>
      <c r="VPB147" s="1206"/>
      <c r="VPC147" s="1206"/>
      <c r="VPD147" s="1206"/>
      <c r="VPE147" s="1206"/>
      <c r="VPF147" s="1206"/>
      <c r="VPG147" s="1206"/>
      <c r="VPH147" s="1206"/>
      <c r="VPI147" s="1206"/>
      <c r="VPJ147" s="1206"/>
      <c r="VPK147" s="1206"/>
      <c r="VPL147" s="1206"/>
      <c r="VPM147" s="1206"/>
      <c r="VPN147" s="1206"/>
      <c r="VPO147" s="1206"/>
      <c r="VPP147" s="1206"/>
      <c r="VPQ147" s="1206"/>
      <c r="VPR147" s="1206"/>
      <c r="VPS147" s="1206"/>
      <c r="VPT147" s="1206"/>
      <c r="VPU147" s="1206"/>
      <c r="VPV147" s="1206"/>
      <c r="VPW147" s="1206"/>
      <c r="VPX147" s="1206"/>
      <c r="VPY147" s="1206"/>
      <c r="VPZ147" s="1206"/>
      <c r="VQA147" s="1206"/>
      <c r="VQB147" s="1206"/>
      <c r="VQC147" s="1206"/>
      <c r="VQD147" s="1206"/>
      <c r="VQE147" s="1206"/>
      <c r="VQF147" s="1206"/>
      <c r="VQG147" s="1206"/>
      <c r="VQH147" s="1206"/>
      <c r="VQI147" s="1206"/>
      <c r="VQJ147" s="1206"/>
      <c r="VQK147" s="1206"/>
      <c r="VQL147" s="1206"/>
      <c r="VQM147" s="1206"/>
      <c r="VQN147" s="1206"/>
      <c r="VQO147" s="1206"/>
      <c r="VQP147" s="1206"/>
      <c r="VQQ147" s="1206"/>
      <c r="VQR147" s="1206"/>
      <c r="VQS147" s="1206"/>
      <c r="VQT147" s="1206"/>
      <c r="VQU147" s="1206"/>
      <c r="VQV147" s="1206"/>
      <c r="VQW147" s="1206"/>
      <c r="VQX147" s="1206"/>
      <c r="VQY147" s="1206"/>
      <c r="VQZ147" s="1206"/>
      <c r="VRA147" s="1206"/>
      <c r="VRB147" s="1206"/>
      <c r="VRC147" s="1206"/>
      <c r="VRD147" s="1206"/>
      <c r="VRE147" s="1206"/>
      <c r="VRF147" s="1206"/>
      <c r="VRG147" s="1206"/>
      <c r="VRH147" s="1206"/>
      <c r="VRI147" s="1206"/>
      <c r="VRJ147" s="1206"/>
      <c r="VRK147" s="1206"/>
      <c r="VRL147" s="1206"/>
      <c r="VRM147" s="1206"/>
      <c r="VRN147" s="1206"/>
      <c r="VRO147" s="1206"/>
      <c r="VRP147" s="1206"/>
      <c r="VRQ147" s="1206"/>
      <c r="VRR147" s="1206"/>
      <c r="VRS147" s="1206"/>
      <c r="VRT147" s="1206"/>
      <c r="VRU147" s="1206"/>
      <c r="VRV147" s="1206"/>
      <c r="VRW147" s="1206"/>
      <c r="VRX147" s="1206"/>
      <c r="VRY147" s="1206"/>
      <c r="VRZ147" s="1206"/>
      <c r="VSA147" s="1206"/>
      <c r="VSB147" s="1206"/>
      <c r="VSC147" s="1206"/>
      <c r="VSD147" s="1206"/>
      <c r="VSE147" s="1206"/>
      <c r="VSF147" s="1206"/>
      <c r="VSG147" s="1206"/>
      <c r="VSH147" s="1206"/>
      <c r="VSI147" s="1206"/>
      <c r="VSJ147" s="1206"/>
      <c r="VSK147" s="1206"/>
      <c r="VSL147" s="1206"/>
      <c r="VSM147" s="1206"/>
      <c r="VSN147" s="1206"/>
      <c r="VSO147" s="1206"/>
      <c r="VSP147" s="1206"/>
      <c r="VSQ147" s="1206"/>
      <c r="VSR147" s="1206"/>
      <c r="VSS147" s="1206"/>
      <c r="VST147" s="1206"/>
      <c r="VSU147" s="1206"/>
      <c r="VSV147" s="1206"/>
      <c r="VSW147" s="1206"/>
      <c r="VSX147" s="1206"/>
      <c r="VSY147" s="1206"/>
      <c r="VSZ147" s="1206"/>
      <c r="VTA147" s="1206"/>
      <c r="VTB147" s="1206"/>
      <c r="VTC147" s="1206"/>
      <c r="VTD147" s="1206"/>
      <c r="VTE147" s="1206"/>
      <c r="VTF147" s="1206"/>
      <c r="VTG147" s="1206"/>
      <c r="VTH147" s="1206"/>
      <c r="VTI147" s="1206"/>
      <c r="VTJ147" s="1206"/>
      <c r="VTK147" s="1206"/>
      <c r="VTL147" s="1206"/>
      <c r="VTM147" s="1206"/>
      <c r="VTN147" s="1206"/>
      <c r="VTO147" s="1206"/>
      <c r="VTP147" s="1206"/>
      <c r="VTQ147" s="1206"/>
      <c r="VTR147" s="1206"/>
      <c r="VTS147" s="1206"/>
      <c r="VTT147" s="1206"/>
      <c r="VTU147" s="1206"/>
      <c r="VTV147" s="1206"/>
      <c r="VTW147" s="1206"/>
      <c r="VTX147" s="1206"/>
      <c r="VTY147" s="1206"/>
      <c r="VTZ147" s="1206"/>
      <c r="VUA147" s="1206"/>
      <c r="VUB147" s="1206"/>
      <c r="VUC147" s="1206"/>
      <c r="VUD147" s="1206"/>
      <c r="VUE147" s="1206"/>
      <c r="VUF147" s="1206"/>
      <c r="VUG147" s="1206"/>
      <c r="VUH147" s="1206"/>
      <c r="VUI147" s="1206"/>
      <c r="VUJ147" s="1206"/>
      <c r="VUK147" s="1206"/>
      <c r="VUL147" s="1206"/>
      <c r="VUM147" s="1206"/>
      <c r="VUN147" s="1206"/>
      <c r="VUO147" s="1206"/>
      <c r="VUP147" s="1206"/>
      <c r="VUQ147" s="1206"/>
      <c r="VUR147" s="1206"/>
      <c r="VUS147" s="1206"/>
      <c r="VUT147" s="1206"/>
      <c r="VUU147" s="1206"/>
      <c r="VUV147" s="1206"/>
      <c r="VUW147" s="1206"/>
      <c r="VUX147" s="1206"/>
      <c r="VUY147" s="1206"/>
      <c r="VUZ147" s="1206"/>
      <c r="VVA147" s="1206"/>
      <c r="VVB147" s="1206"/>
      <c r="VVC147" s="1206"/>
      <c r="VVD147" s="1206"/>
      <c r="VVE147" s="1206"/>
      <c r="VVF147" s="1206"/>
      <c r="VVG147" s="1206"/>
      <c r="VVH147" s="1206"/>
      <c r="VVI147" s="1206"/>
      <c r="VVJ147" s="1206"/>
      <c r="VVK147" s="1206"/>
      <c r="VVL147" s="1206"/>
      <c r="VVM147" s="1206"/>
      <c r="VVN147" s="1206"/>
      <c r="VVO147" s="1206"/>
      <c r="VVP147" s="1206"/>
      <c r="VVQ147" s="1206"/>
      <c r="VVR147" s="1206"/>
      <c r="VVS147" s="1206"/>
      <c r="VVT147" s="1206"/>
      <c r="VVU147" s="1206"/>
      <c r="VVV147" s="1206"/>
      <c r="VVW147" s="1206"/>
      <c r="VVX147" s="1206"/>
      <c r="VVY147" s="1206"/>
      <c r="VVZ147" s="1206"/>
      <c r="VWA147" s="1206"/>
      <c r="VWB147" s="1206"/>
      <c r="VWC147" s="1206"/>
      <c r="VWD147" s="1206"/>
      <c r="VWE147" s="1206"/>
      <c r="VWF147" s="1206"/>
      <c r="VWG147" s="1206"/>
      <c r="VWH147" s="1206"/>
      <c r="VWI147" s="1206"/>
      <c r="VWJ147" s="1206"/>
      <c r="VWK147" s="1206"/>
      <c r="VWL147" s="1206"/>
      <c r="VWM147" s="1206"/>
      <c r="VWN147" s="1206"/>
      <c r="VWO147" s="1206"/>
      <c r="VWP147" s="1206"/>
      <c r="VWQ147" s="1206"/>
      <c r="VWR147" s="1206"/>
      <c r="VWS147" s="1206"/>
      <c r="VWT147" s="1206"/>
      <c r="VWU147" s="1206"/>
      <c r="VWV147" s="1206"/>
      <c r="VWW147" s="1206"/>
      <c r="VWX147" s="1206"/>
      <c r="VWY147" s="1206"/>
      <c r="VWZ147" s="1206"/>
      <c r="VXA147" s="1206"/>
      <c r="VXB147" s="1206"/>
      <c r="VXC147" s="1206"/>
      <c r="VXD147" s="1206"/>
      <c r="VXE147" s="1206"/>
      <c r="VXF147" s="1206"/>
      <c r="VXG147" s="1206"/>
      <c r="VXH147" s="1206"/>
      <c r="VXI147" s="1206"/>
      <c r="VXJ147" s="1206"/>
      <c r="VXK147" s="1206"/>
      <c r="VXL147" s="1206"/>
      <c r="VXM147" s="1206"/>
      <c r="VXN147" s="1206"/>
      <c r="VXO147" s="1206"/>
      <c r="VXP147" s="1206"/>
      <c r="VXQ147" s="1206"/>
      <c r="VXR147" s="1206"/>
      <c r="VXS147" s="1206"/>
      <c r="VXT147" s="1206"/>
      <c r="VXU147" s="1206"/>
      <c r="VXV147" s="1206"/>
      <c r="VXW147" s="1206"/>
      <c r="VXX147" s="1206"/>
      <c r="VXY147" s="1206"/>
      <c r="VXZ147" s="1206"/>
      <c r="VYA147" s="1206"/>
      <c r="VYB147" s="1206"/>
      <c r="VYC147" s="1206"/>
      <c r="VYD147" s="1206"/>
      <c r="VYE147" s="1206"/>
      <c r="VYF147" s="1206"/>
      <c r="VYG147" s="1206"/>
      <c r="VYH147" s="1206"/>
      <c r="VYI147" s="1206"/>
      <c r="VYJ147" s="1206"/>
      <c r="VYK147" s="1206"/>
      <c r="VYL147" s="1206"/>
      <c r="VYM147" s="1206"/>
      <c r="VYN147" s="1206"/>
      <c r="VYO147" s="1206"/>
      <c r="VYP147" s="1206"/>
      <c r="VYQ147" s="1206"/>
      <c r="VYR147" s="1206"/>
      <c r="VYS147" s="1206"/>
      <c r="VYT147" s="1206"/>
      <c r="VYU147" s="1206"/>
      <c r="VYV147" s="1206"/>
      <c r="VYW147" s="1206"/>
      <c r="VYX147" s="1206"/>
      <c r="VYY147" s="1206"/>
      <c r="VYZ147" s="1206"/>
      <c r="VZA147" s="1206"/>
      <c r="VZB147" s="1206"/>
      <c r="VZC147" s="1206"/>
      <c r="VZD147" s="1206"/>
      <c r="VZE147" s="1206"/>
      <c r="VZF147" s="1206"/>
      <c r="VZG147" s="1206"/>
      <c r="VZH147" s="1206"/>
      <c r="VZI147" s="1206"/>
      <c r="VZJ147" s="1206"/>
      <c r="VZK147" s="1206"/>
      <c r="VZL147" s="1206"/>
      <c r="VZM147" s="1206"/>
      <c r="VZN147" s="1206"/>
      <c r="VZO147" s="1206"/>
      <c r="VZP147" s="1206"/>
      <c r="VZQ147" s="1206"/>
      <c r="VZR147" s="1206"/>
      <c r="VZS147" s="1206"/>
      <c r="VZT147" s="1206"/>
      <c r="VZU147" s="1206"/>
      <c r="VZV147" s="1206"/>
      <c r="VZW147" s="1206"/>
      <c r="VZX147" s="1206"/>
      <c r="VZY147" s="1206"/>
      <c r="VZZ147" s="1206"/>
      <c r="WAA147" s="1206"/>
      <c r="WAB147" s="1206"/>
      <c r="WAC147" s="1206"/>
      <c r="WAD147" s="1206"/>
      <c r="WAE147" s="1206"/>
      <c r="WAF147" s="1206"/>
      <c r="WAG147" s="1206"/>
      <c r="WAH147" s="1206"/>
      <c r="WAI147" s="1206"/>
      <c r="WAJ147" s="1206"/>
      <c r="WAK147" s="1206"/>
      <c r="WAL147" s="1206"/>
      <c r="WAM147" s="1206"/>
      <c r="WAN147" s="1206"/>
      <c r="WAO147" s="1206"/>
      <c r="WAP147" s="1206"/>
      <c r="WAQ147" s="1206"/>
      <c r="WAR147" s="1206"/>
      <c r="WAS147" s="1206"/>
      <c r="WAT147" s="1206"/>
      <c r="WAU147" s="1206"/>
      <c r="WAV147" s="1206"/>
      <c r="WAW147" s="1206"/>
      <c r="WAX147" s="1206"/>
      <c r="WAY147" s="1206"/>
      <c r="WAZ147" s="1206"/>
      <c r="WBA147" s="1206"/>
      <c r="WBB147" s="1206"/>
      <c r="WBC147" s="1206"/>
      <c r="WBD147" s="1206"/>
      <c r="WBE147" s="1206"/>
      <c r="WBF147" s="1206"/>
      <c r="WBG147" s="1206"/>
      <c r="WBH147" s="1206"/>
      <c r="WBI147" s="1206"/>
      <c r="WBJ147" s="1206"/>
      <c r="WBK147" s="1206"/>
      <c r="WBL147" s="1206"/>
      <c r="WBM147" s="1206"/>
      <c r="WBN147" s="1206"/>
      <c r="WBO147" s="1206"/>
      <c r="WBP147" s="1206"/>
      <c r="WBQ147" s="1206"/>
      <c r="WBR147" s="1206"/>
      <c r="WBS147" s="1206"/>
      <c r="WBT147" s="1206"/>
      <c r="WBU147" s="1206"/>
      <c r="WBV147" s="1206"/>
      <c r="WBW147" s="1206"/>
      <c r="WBX147" s="1206"/>
      <c r="WBY147" s="1206"/>
      <c r="WBZ147" s="1206"/>
      <c r="WCA147" s="1206"/>
      <c r="WCB147" s="1206"/>
      <c r="WCC147" s="1206"/>
      <c r="WCD147" s="1206"/>
      <c r="WCE147" s="1206"/>
      <c r="WCF147" s="1206"/>
      <c r="WCG147" s="1206"/>
      <c r="WCH147" s="1206"/>
      <c r="WCI147" s="1206"/>
      <c r="WCJ147" s="1206"/>
      <c r="WCK147" s="1206"/>
      <c r="WCL147" s="1206"/>
      <c r="WCM147" s="1206"/>
      <c r="WCN147" s="1206"/>
      <c r="WCO147" s="1206"/>
      <c r="WCP147" s="1206"/>
      <c r="WCQ147" s="1206"/>
      <c r="WCR147" s="1206"/>
      <c r="WCS147" s="1206"/>
      <c r="WCT147" s="1206"/>
      <c r="WCU147" s="1206"/>
      <c r="WCV147" s="1206"/>
      <c r="WCW147" s="1206"/>
      <c r="WCX147" s="1206"/>
      <c r="WCY147" s="1206"/>
      <c r="WCZ147" s="1206"/>
      <c r="WDA147" s="1206"/>
      <c r="WDB147" s="1206"/>
      <c r="WDC147" s="1206"/>
      <c r="WDD147" s="1206"/>
      <c r="WDE147" s="1206"/>
      <c r="WDF147" s="1206"/>
      <c r="WDG147" s="1206"/>
      <c r="WDH147" s="1206"/>
      <c r="WDI147" s="1206"/>
      <c r="WDJ147" s="1206"/>
      <c r="WDK147" s="1206"/>
      <c r="WDL147" s="1206"/>
      <c r="WDM147" s="1206"/>
      <c r="WDN147" s="1206"/>
      <c r="WDO147" s="1206"/>
      <c r="WDP147" s="1206"/>
      <c r="WDQ147" s="1206"/>
      <c r="WDR147" s="1206"/>
      <c r="WDS147" s="1206"/>
      <c r="WDT147" s="1206"/>
      <c r="WDU147" s="1206"/>
      <c r="WDV147" s="1206"/>
      <c r="WDW147" s="1206"/>
      <c r="WDX147" s="1206"/>
      <c r="WDY147" s="1206"/>
      <c r="WDZ147" s="1206"/>
      <c r="WEA147" s="1206"/>
      <c r="WEB147" s="1206"/>
      <c r="WEC147" s="1206"/>
      <c r="WED147" s="1206"/>
      <c r="WEE147" s="1206"/>
      <c r="WEF147" s="1206"/>
      <c r="WEG147" s="1206"/>
      <c r="WEH147" s="1206"/>
      <c r="WEI147" s="1206"/>
      <c r="WEJ147" s="1206"/>
      <c r="WEK147" s="1206"/>
      <c r="WEL147" s="1206"/>
      <c r="WEM147" s="1206"/>
      <c r="WEN147" s="1206"/>
      <c r="WEO147" s="1206"/>
      <c r="WEP147" s="1206"/>
      <c r="WEQ147" s="1206"/>
      <c r="WER147" s="1206"/>
      <c r="WES147" s="1206"/>
      <c r="WET147" s="1206"/>
      <c r="WEU147" s="1206"/>
      <c r="WEV147" s="1206"/>
      <c r="WEW147" s="1206"/>
      <c r="WEX147" s="1206"/>
      <c r="WEY147" s="1206"/>
      <c r="WEZ147" s="1206"/>
      <c r="WFA147" s="1206"/>
      <c r="WFB147" s="1206"/>
      <c r="WFC147" s="1206"/>
      <c r="WFD147" s="1206"/>
      <c r="WFE147" s="1206"/>
      <c r="WFF147" s="1206"/>
      <c r="WFG147" s="1206"/>
      <c r="WFH147" s="1206"/>
      <c r="WFI147" s="1206"/>
      <c r="WFJ147" s="1206"/>
      <c r="WFK147" s="1206"/>
      <c r="WFL147" s="1206"/>
      <c r="WFM147" s="1206"/>
      <c r="WFN147" s="1206"/>
      <c r="WFO147" s="1206"/>
      <c r="WFP147" s="1206"/>
      <c r="WFQ147" s="1206"/>
      <c r="WFR147" s="1206"/>
      <c r="WFS147" s="1206"/>
      <c r="WFT147" s="1206"/>
      <c r="WFU147" s="1206"/>
      <c r="WFV147" s="1206"/>
      <c r="WFW147" s="1206"/>
      <c r="WFX147" s="1206"/>
      <c r="WFY147" s="1206"/>
      <c r="WFZ147" s="1206"/>
      <c r="WGA147" s="1206"/>
      <c r="WGB147" s="1206"/>
      <c r="WGC147" s="1206"/>
      <c r="WGD147" s="1206"/>
      <c r="WGE147" s="1206"/>
      <c r="WGF147" s="1206"/>
      <c r="WGG147" s="1206"/>
      <c r="WGH147" s="1206"/>
      <c r="WGI147" s="1206"/>
      <c r="WGJ147" s="1206"/>
      <c r="WGK147" s="1206"/>
      <c r="WGL147" s="1206"/>
      <c r="WGM147" s="1206"/>
      <c r="WGN147" s="1206"/>
      <c r="WGO147" s="1206"/>
      <c r="WGP147" s="1206"/>
      <c r="WGQ147" s="1206"/>
      <c r="WGR147" s="1206"/>
      <c r="WGS147" s="1206"/>
      <c r="WGT147" s="1206"/>
      <c r="WGU147" s="1206"/>
      <c r="WGV147" s="1206"/>
      <c r="WGW147" s="1206"/>
      <c r="WGX147" s="1206"/>
      <c r="WGY147" s="1206"/>
      <c r="WGZ147" s="1206"/>
      <c r="WHA147" s="1206"/>
      <c r="WHB147" s="1206"/>
      <c r="WHC147" s="1206"/>
      <c r="WHD147" s="1206"/>
      <c r="WHE147" s="1206"/>
      <c r="WHF147" s="1206"/>
      <c r="WHG147" s="1206"/>
      <c r="WHH147" s="1206"/>
      <c r="WHI147" s="1206"/>
      <c r="WHJ147" s="1206"/>
      <c r="WHK147" s="1206"/>
      <c r="WHL147" s="1206"/>
      <c r="WHM147" s="1206"/>
      <c r="WHN147" s="1206"/>
      <c r="WHO147" s="1206"/>
      <c r="WHP147" s="1206"/>
      <c r="WHQ147" s="1206"/>
      <c r="WHR147" s="1206"/>
      <c r="WHS147" s="1206"/>
      <c r="WHT147" s="1206"/>
      <c r="WHU147" s="1206"/>
      <c r="WHV147" s="1206"/>
      <c r="WHW147" s="1206"/>
      <c r="WHX147" s="1206"/>
      <c r="WHY147" s="1206"/>
      <c r="WHZ147" s="1206"/>
      <c r="WIA147" s="1206"/>
      <c r="WIB147" s="1206"/>
      <c r="WIC147" s="1206"/>
      <c r="WID147" s="1206"/>
      <c r="WIE147" s="1206"/>
      <c r="WIF147" s="1206"/>
      <c r="WIG147" s="1206"/>
      <c r="WIH147" s="1206"/>
      <c r="WII147" s="1206"/>
      <c r="WIJ147" s="1206"/>
      <c r="WIK147" s="1206"/>
      <c r="WIL147" s="1206"/>
      <c r="WIM147" s="1206"/>
      <c r="WIN147" s="1206"/>
      <c r="WIO147" s="1206"/>
      <c r="WIP147" s="1206"/>
      <c r="WIQ147" s="1206"/>
      <c r="WIR147" s="1206"/>
      <c r="WIS147" s="1206"/>
      <c r="WIT147" s="1206"/>
      <c r="WIU147" s="1206"/>
      <c r="WIV147" s="1206"/>
      <c r="WIW147" s="1206"/>
      <c r="WIX147" s="1206"/>
      <c r="WIY147" s="1206"/>
      <c r="WIZ147" s="1206"/>
      <c r="WJA147" s="1206"/>
      <c r="WJB147" s="1206"/>
      <c r="WJC147" s="1206"/>
      <c r="WJD147" s="1206"/>
      <c r="WJE147" s="1206"/>
      <c r="WJF147" s="1206"/>
      <c r="WJG147" s="1206"/>
      <c r="WJH147" s="1206"/>
      <c r="WJI147" s="1206"/>
      <c r="WJJ147" s="1206"/>
      <c r="WJK147" s="1206"/>
      <c r="WJL147" s="1206"/>
      <c r="WJM147" s="1206"/>
      <c r="WJN147" s="1206"/>
      <c r="WJO147" s="1206"/>
      <c r="WJP147" s="1206"/>
      <c r="WJQ147" s="1206"/>
      <c r="WJR147" s="1206"/>
      <c r="WJS147" s="1206"/>
      <c r="WJT147" s="1206"/>
      <c r="WJU147" s="1206"/>
      <c r="WJV147" s="1206"/>
      <c r="WJW147" s="1206"/>
      <c r="WJX147" s="1206"/>
      <c r="WJY147" s="1206"/>
      <c r="WJZ147" s="1206"/>
      <c r="WKA147" s="1206"/>
      <c r="WKB147" s="1206"/>
      <c r="WKC147" s="1206"/>
      <c r="WKD147" s="1206"/>
      <c r="WKE147" s="1206"/>
      <c r="WKF147" s="1206"/>
      <c r="WKG147" s="1206"/>
      <c r="WKH147" s="1206"/>
      <c r="WKI147" s="1206"/>
      <c r="WKJ147" s="1206"/>
      <c r="WKK147" s="1206"/>
      <c r="WKL147" s="1206"/>
      <c r="WKM147" s="1206"/>
      <c r="WKN147" s="1206"/>
      <c r="WKO147" s="1206"/>
      <c r="WKP147" s="1206"/>
      <c r="WKQ147" s="1206"/>
      <c r="WKR147" s="1206"/>
      <c r="WKS147" s="1206"/>
      <c r="WKT147" s="1206"/>
      <c r="WKU147" s="1206"/>
      <c r="WKV147" s="1206"/>
      <c r="WKW147" s="1206"/>
      <c r="WKX147" s="1206"/>
      <c r="WKY147" s="1206"/>
      <c r="WKZ147" s="1206"/>
      <c r="WLA147" s="1206"/>
      <c r="WLB147" s="1206"/>
      <c r="WLC147" s="1206"/>
      <c r="WLD147" s="1206"/>
      <c r="WLE147" s="1206"/>
      <c r="WLF147" s="1206"/>
      <c r="WLG147" s="1206"/>
      <c r="WLH147" s="1206"/>
      <c r="WLI147" s="1206"/>
      <c r="WLJ147" s="1206"/>
      <c r="WLK147" s="1206"/>
      <c r="WLL147" s="1206"/>
      <c r="WLM147" s="1206"/>
      <c r="WLN147" s="1206"/>
      <c r="WLO147" s="1206"/>
      <c r="WLP147" s="1206"/>
      <c r="WLQ147" s="1206"/>
      <c r="WLR147" s="1206"/>
      <c r="WLS147" s="1206"/>
      <c r="WLT147" s="1206"/>
      <c r="WLU147" s="1206"/>
      <c r="WLV147" s="1206"/>
      <c r="WLW147" s="1206"/>
      <c r="WLX147" s="1206"/>
      <c r="WLY147" s="1206"/>
      <c r="WLZ147" s="1206"/>
      <c r="WMA147" s="1206"/>
      <c r="WMB147" s="1206"/>
      <c r="WMC147" s="1206"/>
      <c r="WMD147" s="1206"/>
      <c r="WME147" s="1206"/>
      <c r="WMF147" s="1206"/>
      <c r="WMG147" s="1206"/>
      <c r="WMH147" s="1206"/>
      <c r="WMI147" s="1206"/>
      <c r="WMJ147" s="1206"/>
      <c r="WMK147" s="1206"/>
      <c r="WML147" s="1206"/>
      <c r="WMM147" s="1206"/>
      <c r="WMN147" s="1206"/>
      <c r="WMO147" s="1206"/>
      <c r="WMP147" s="1206"/>
      <c r="WMQ147" s="1206"/>
      <c r="WMR147" s="1206"/>
      <c r="WMS147" s="1206"/>
      <c r="WMT147" s="1206"/>
      <c r="WMU147" s="1206"/>
      <c r="WMV147" s="1206"/>
      <c r="WMW147" s="1206"/>
      <c r="WMX147" s="1206"/>
      <c r="WMY147" s="1206"/>
      <c r="WMZ147" s="1206"/>
      <c r="WNA147" s="1206"/>
      <c r="WNB147" s="1206"/>
      <c r="WNC147" s="1206"/>
      <c r="WND147" s="1206"/>
      <c r="WNE147" s="1206"/>
      <c r="WNF147" s="1206"/>
      <c r="WNG147" s="1206"/>
      <c r="WNH147" s="1206"/>
      <c r="WNI147" s="1206"/>
      <c r="WNJ147" s="1206"/>
      <c r="WNK147" s="1206"/>
      <c r="WNL147" s="1206"/>
      <c r="WNM147" s="1206"/>
      <c r="WNN147" s="1206"/>
      <c r="WNO147" s="1206"/>
      <c r="WNP147" s="1206"/>
      <c r="WNQ147" s="1206"/>
      <c r="WNR147" s="1206"/>
      <c r="WNS147" s="1206"/>
      <c r="WNT147" s="1206"/>
      <c r="WNU147" s="1206"/>
      <c r="WNV147" s="1206"/>
      <c r="WNW147" s="1206"/>
      <c r="WNX147" s="1206"/>
      <c r="WNY147" s="1206"/>
      <c r="WNZ147" s="1206"/>
      <c r="WOA147" s="1206"/>
      <c r="WOB147" s="1206"/>
      <c r="WOC147" s="1206"/>
      <c r="WOD147" s="1206"/>
      <c r="WOE147" s="1206"/>
      <c r="WOF147" s="1206"/>
      <c r="WOG147" s="1206"/>
      <c r="WOH147" s="1206"/>
      <c r="WOI147" s="1206"/>
      <c r="WOJ147" s="1206"/>
      <c r="WOK147" s="1206"/>
      <c r="WOL147" s="1206"/>
      <c r="WOM147" s="1206"/>
      <c r="WON147" s="1206"/>
      <c r="WOO147" s="1206"/>
      <c r="WOP147" s="1206"/>
      <c r="WOQ147" s="1206"/>
      <c r="WOR147" s="1206"/>
      <c r="WOS147" s="1206"/>
      <c r="WOT147" s="1206"/>
      <c r="WOU147" s="1206"/>
      <c r="WOV147" s="1206"/>
      <c r="WOW147" s="1206"/>
      <c r="WOX147" s="1206"/>
      <c r="WOY147" s="1206"/>
      <c r="WOZ147" s="1206"/>
      <c r="WPA147" s="1206"/>
      <c r="WPB147" s="1206"/>
      <c r="WPC147" s="1206"/>
      <c r="WPD147" s="1206"/>
      <c r="WPE147" s="1206"/>
      <c r="WPF147" s="1206"/>
      <c r="WPG147" s="1206"/>
      <c r="WPH147" s="1206"/>
      <c r="WPI147" s="1206"/>
      <c r="WPJ147" s="1206"/>
      <c r="WPK147" s="1206"/>
      <c r="WPL147" s="1206"/>
      <c r="WPM147" s="1206"/>
      <c r="WPN147" s="1206"/>
      <c r="WPO147" s="1206"/>
      <c r="WPP147" s="1206"/>
      <c r="WPQ147" s="1206"/>
      <c r="WPR147" s="1206"/>
      <c r="WPS147" s="1206"/>
      <c r="WPT147" s="1206"/>
      <c r="WPU147" s="1206"/>
      <c r="WPV147" s="1206"/>
      <c r="WPW147" s="1206"/>
      <c r="WPX147" s="1206"/>
      <c r="WPY147" s="1206"/>
      <c r="WPZ147" s="1206"/>
      <c r="WQA147" s="1206"/>
      <c r="WQB147" s="1206"/>
      <c r="WQC147" s="1206"/>
      <c r="WQD147" s="1206"/>
      <c r="WQE147" s="1206"/>
      <c r="WQF147" s="1206"/>
      <c r="WQG147" s="1206"/>
      <c r="WQH147" s="1206"/>
      <c r="WQI147" s="1206"/>
      <c r="WQJ147" s="1206"/>
      <c r="WQK147" s="1206"/>
      <c r="WQL147" s="1206"/>
      <c r="WQM147" s="1206"/>
      <c r="WQN147" s="1206"/>
      <c r="WQO147" s="1206"/>
      <c r="WQP147" s="1206"/>
      <c r="WQQ147" s="1206"/>
      <c r="WQR147" s="1206"/>
      <c r="WQS147" s="1206"/>
      <c r="WQT147" s="1206"/>
      <c r="WQU147" s="1206"/>
      <c r="WQV147" s="1206"/>
      <c r="WQW147" s="1206"/>
      <c r="WQX147" s="1206"/>
      <c r="WQY147" s="1206"/>
      <c r="WQZ147" s="1206"/>
      <c r="WRA147" s="1206"/>
      <c r="WRB147" s="1206"/>
      <c r="WRC147" s="1206"/>
      <c r="WRD147" s="1206"/>
      <c r="WRE147" s="1206"/>
      <c r="WRF147" s="1206"/>
      <c r="WRG147" s="1206"/>
      <c r="WRH147" s="1206"/>
      <c r="WRI147" s="1206"/>
      <c r="WRJ147" s="1206"/>
      <c r="WRK147" s="1206"/>
      <c r="WRL147" s="1206"/>
      <c r="WRM147" s="1206"/>
      <c r="WRN147" s="1206"/>
      <c r="WRO147" s="1206"/>
      <c r="WRP147" s="1206"/>
      <c r="WRQ147" s="1206"/>
      <c r="WRR147" s="1206"/>
      <c r="WRS147" s="1206"/>
      <c r="WRT147" s="1206"/>
      <c r="WRU147" s="1206"/>
      <c r="WRV147" s="1206"/>
      <c r="WRW147" s="1206"/>
      <c r="WRX147" s="1206"/>
      <c r="WRY147" s="1206"/>
      <c r="WRZ147" s="1206"/>
      <c r="WSA147" s="1206"/>
      <c r="WSB147" s="1206"/>
      <c r="WSC147" s="1206"/>
      <c r="WSD147" s="1206"/>
      <c r="WSE147" s="1206"/>
      <c r="WSF147" s="1206"/>
      <c r="WSG147" s="1206"/>
      <c r="WSH147" s="1206"/>
      <c r="WSI147" s="1206"/>
      <c r="WSJ147" s="1206"/>
      <c r="WSK147" s="1206"/>
      <c r="WSL147" s="1206"/>
      <c r="WSM147" s="1206"/>
      <c r="WSN147" s="1206"/>
      <c r="WSO147" s="1206"/>
      <c r="WSP147" s="1206"/>
      <c r="WSQ147" s="1206"/>
      <c r="WSR147" s="1206"/>
      <c r="WSS147" s="1206"/>
      <c r="WST147" s="1206"/>
      <c r="WSU147" s="1206"/>
      <c r="WSV147" s="1206"/>
      <c r="WSW147" s="1206"/>
      <c r="WSX147" s="1206"/>
      <c r="WSY147" s="1206"/>
      <c r="WSZ147" s="1206"/>
      <c r="WTA147" s="1206"/>
      <c r="WTB147" s="1206"/>
      <c r="WTC147" s="1206"/>
      <c r="WTD147" s="1206"/>
      <c r="WTE147" s="1206"/>
      <c r="WTF147" s="1206"/>
      <c r="WTG147" s="1206"/>
      <c r="WTH147" s="1206"/>
      <c r="WTI147" s="1206"/>
      <c r="WTJ147" s="1206"/>
      <c r="WTK147" s="1206"/>
      <c r="WTL147" s="1206"/>
      <c r="WTM147" s="1206"/>
      <c r="WTN147" s="1206"/>
      <c r="WTO147" s="1206"/>
      <c r="WTP147" s="1206"/>
      <c r="WTQ147" s="1206"/>
      <c r="WTR147" s="1206"/>
      <c r="WTS147" s="1206"/>
      <c r="WTT147" s="1206"/>
      <c r="WTU147" s="1206"/>
      <c r="WTV147" s="1206"/>
      <c r="WTW147" s="1206"/>
      <c r="WTX147" s="1206"/>
      <c r="WTY147" s="1206"/>
      <c r="WTZ147" s="1206"/>
      <c r="WUA147" s="1206"/>
      <c r="WUB147" s="1206"/>
      <c r="WUC147" s="1206"/>
      <c r="WUD147" s="1206"/>
      <c r="WUE147" s="1206"/>
      <c r="WUF147" s="1206"/>
      <c r="WUG147" s="1206"/>
      <c r="WUH147" s="1206"/>
      <c r="WUI147" s="1206"/>
      <c r="WUJ147" s="1206"/>
      <c r="WUK147" s="1206"/>
      <c r="WUL147" s="1206"/>
      <c r="WUM147" s="1206"/>
      <c r="WUN147" s="1206"/>
      <c r="WUO147" s="1206"/>
      <c r="WUP147" s="1206"/>
      <c r="WUQ147" s="1206"/>
      <c r="WUR147" s="1206"/>
      <c r="WUS147" s="1206"/>
      <c r="WUT147" s="1206"/>
      <c r="WUU147" s="1206"/>
      <c r="WUV147" s="1206"/>
      <c r="WUW147" s="1206"/>
      <c r="WUX147" s="1206"/>
      <c r="WUY147" s="1206"/>
      <c r="WUZ147" s="1206"/>
      <c r="WVA147" s="1206"/>
      <c r="WVB147" s="1206"/>
      <c r="WVC147" s="1206"/>
      <c r="WVD147" s="1206"/>
      <c r="WVE147" s="1206"/>
      <c r="WVF147" s="1206"/>
      <c r="WVG147" s="1206"/>
      <c r="WVH147" s="1206"/>
      <c r="WVI147" s="1206"/>
      <c r="WVJ147" s="1206"/>
      <c r="WVK147" s="1206"/>
      <c r="WVL147" s="1206"/>
      <c r="WVM147" s="1206"/>
      <c r="WVN147" s="1206"/>
      <c r="WVO147" s="1206"/>
      <c r="WVP147" s="1206"/>
      <c r="WVQ147" s="1206"/>
      <c r="WVR147" s="1206"/>
      <c r="WVS147" s="1206"/>
      <c r="WVT147" s="1206"/>
      <c r="WVU147" s="1206"/>
      <c r="WVV147" s="1206"/>
      <c r="WVW147" s="1206"/>
      <c r="WVX147" s="1206"/>
      <c r="WVY147" s="1206"/>
      <c r="WVZ147" s="1206"/>
      <c r="WWA147" s="1206"/>
      <c r="WWB147" s="1206"/>
      <c r="WWC147" s="1206"/>
      <c r="WWD147" s="1206"/>
      <c r="WWE147" s="1206"/>
      <c r="WWF147" s="1206"/>
      <c r="WWG147" s="1206"/>
      <c r="WWH147" s="1206"/>
      <c r="WWI147" s="1206"/>
      <c r="WWJ147" s="1206"/>
      <c r="WWK147" s="1206"/>
      <c r="WWL147" s="1206"/>
      <c r="WWM147" s="1206"/>
      <c r="WWN147" s="1206"/>
      <c r="WWO147" s="1206"/>
      <c r="WWP147" s="1206"/>
      <c r="WWQ147" s="1206"/>
      <c r="WWR147" s="1206"/>
      <c r="WWS147" s="1206"/>
      <c r="WWT147" s="1206"/>
      <c r="WWU147" s="1206"/>
      <c r="WWV147" s="1206"/>
      <c r="WWW147" s="1206"/>
      <c r="WWX147" s="1206"/>
      <c r="WWY147" s="1206"/>
      <c r="WWZ147" s="1206"/>
      <c r="WXA147" s="1206"/>
      <c r="WXB147" s="1206"/>
      <c r="WXC147" s="1206"/>
      <c r="WXD147" s="1206"/>
      <c r="WXE147" s="1206"/>
      <c r="WXF147" s="1206"/>
      <c r="WXG147" s="1206"/>
      <c r="WXH147" s="1206"/>
      <c r="WXI147" s="1206"/>
      <c r="WXJ147" s="1206"/>
      <c r="WXK147" s="1206"/>
      <c r="WXL147" s="1206"/>
      <c r="WXM147" s="1206"/>
      <c r="WXN147" s="1206"/>
      <c r="WXO147" s="1206"/>
      <c r="WXP147" s="1206"/>
      <c r="WXQ147" s="1206"/>
      <c r="WXR147" s="1206"/>
      <c r="WXS147" s="1206"/>
      <c r="WXT147" s="1206"/>
      <c r="WXU147" s="1206"/>
      <c r="WXV147" s="1206"/>
      <c r="WXW147" s="1206"/>
      <c r="WXX147" s="1206"/>
      <c r="WXY147" s="1206"/>
      <c r="WXZ147" s="1206"/>
      <c r="WYA147" s="1206"/>
      <c r="WYB147" s="1206"/>
      <c r="WYC147" s="1206"/>
      <c r="WYD147" s="1206"/>
      <c r="WYE147" s="1206"/>
      <c r="WYF147" s="1206"/>
      <c r="WYG147" s="1206"/>
      <c r="WYH147" s="1206"/>
      <c r="WYI147" s="1206"/>
      <c r="WYJ147" s="1206"/>
      <c r="WYK147" s="1206"/>
      <c r="WYL147" s="1206"/>
      <c r="WYM147" s="1206"/>
      <c r="WYN147" s="1206"/>
      <c r="WYO147" s="1206"/>
      <c r="WYP147" s="1206"/>
      <c r="WYQ147" s="1206"/>
      <c r="WYR147" s="1206"/>
      <c r="WYS147" s="1206"/>
      <c r="WYT147" s="1206"/>
      <c r="WYU147" s="1206"/>
      <c r="WYV147" s="1206"/>
      <c r="WYW147" s="1206"/>
      <c r="WYX147" s="1206"/>
      <c r="WYY147" s="1206"/>
      <c r="WYZ147" s="1206"/>
      <c r="WZA147" s="1206"/>
      <c r="WZB147" s="1206"/>
      <c r="WZC147" s="1206"/>
      <c r="WZD147" s="1206"/>
      <c r="WZE147" s="1206"/>
      <c r="WZF147" s="1206"/>
      <c r="WZG147" s="1206"/>
      <c r="WZH147" s="1206"/>
      <c r="WZI147" s="1206"/>
      <c r="WZJ147" s="1206"/>
      <c r="WZK147" s="1206"/>
      <c r="WZL147" s="1206"/>
      <c r="WZM147" s="1206"/>
      <c r="WZN147" s="1206"/>
      <c r="WZO147" s="1206"/>
      <c r="WZP147" s="1206"/>
      <c r="WZQ147" s="1206"/>
      <c r="WZR147" s="1206"/>
      <c r="WZS147" s="1206"/>
      <c r="WZT147" s="1206"/>
      <c r="WZU147" s="1206"/>
      <c r="WZV147" s="1206"/>
      <c r="WZW147" s="1206"/>
      <c r="WZX147" s="1206"/>
      <c r="WZY147" s="1206"/>
      <c r="WZZ147" s="1206"/>
      <c r="XAA147" s="1206"/>
      <c r="XAB147" s="1206"/>
      <c r="XAC147" s="1206"/>
      <c r="XAD147" s="1206"/>
      <c r="XAE147" s="1206"/>
      <c r="XAF147" s="1206"/>
      <c r="XAG147" s="1206"/>
      <c r="XAH147" s="1206"/>
      <c r="XAI147" s="1206"/>
      <c r="XAJ147" s="1206"/>
      <c r="XAK147" s="1206"/>
      <c r="XAL147" s="1206"/>
      <c r="XAM147" s="1206"/>
      <c r="XAN147" s="1206"/>
      <c r="XAO147" s="1206"/>
      <c r="XAP147" s="1206"/>
      <c r="XAQ147" s="1206"/>
      <c r="XAR147" s="1206"/>
      <c r="XAS147" s="1206"/>
      <c r="XAT147" s="1206"/>
      <c r="XAU147" s="1206"/>
      <c r="XAV147" s="1206"/>
      <c r="XAW147" s="1206"/>
      <c r="XAX147" s="1206"/>
      <c r="XAY147" s="1206"/>
      <c r="XAZ147" s="1206"/>
      <c r="XBA147" s="1206"/>
      <c r="XBB147" s="1206"/>
      <c r="XBC147" s="1206"/>
      <c r="XBD147" s="1206"/>
      <c r="XBE147" s="1206"/>
      <c r="XBF147" s="1206"/>
      <c r="XBG147" s="1206"/>
      <c r="XBH147" s="1206"/>
      <c r="XBI147" s="1206"/>
      <c r="XBJ147" s="1206"/>
      <c r="XBK147" s="1206"/>
      <c r="XBL147" s="1206"/>
      <c r="XBM147" s="1206"/>
      <c r="XBN147" s="1206"/>
      <c r="XBO147" s="1206"/>
      <c r="XBP147" s="1206"/>
      <c r="XBQ147" s="1206"/>
      <c r="XBR147" s="1206"/>
      <c r="XBS147" s="1206"/>
      <c r="XBT147" s="1206"/>
      <c r="XBU147" s="1206"/>
      <c r="XBV147" s="1206"/>
      <c r="XBW147" s="1206"/>
      <c r="XBX147" s="1206"/>
      <c r="XBY147" s="1206"/>
      <c r="XBZ147" s="1206"/>
      <c r="XCA147" s="1206"/>
      <c r="XCB147" s="1206"/>
      <c r="XCC147" s="1206"/>
      <c r="XCD147" s="1206"/>
      <c r="XCE147" s="1206"/>
      <c r="XCF147" s="1206"/>
      <c r="XCG147" s="1206"/>
      <c r="XCH147" s="1206"/>
      <c r="XCI147" s="1206"/>
      <c r="XCJ147" s="1206"/>
      <c r="XCK147" s="1206"/>
      <c r="XCL147" s="1206"/>
      <c r="XCM147" s="1206"/>
      <c r="XCN147" s="1206"/>
      <c r="XCO147" s="1206"/>
      <c r="XCP147" s="1206"/>
      <c r="XCQ147" s="1206"/>
      <c r="XCR147" s="1206"/>
      <c r="XCS147" s="1206"/>
      <c r="XCT147" s="1206"/>
      <c r="XCU147" s="1206"/>
      <c r="XCV147" s="1206"/>
      <c r="XCW147" s="1206"/>
      <c r="XCX147" s="1206"/>
      <c r="XCY147" s="1206"/>
      <c r="XCZ147" s="1206"/>
      <c r="XDA147" s="1206"/>
      <c r="XDB147" s="1206"/>
      <c r="XDC147" s="1206"/>
      <c r="XDD147" s="1206"/>
      <c r="XDE147" s="1206"/>
      <c r="XDF147" s="1206"/>
      <c r="XDG147" s="1206"/>
      <c r="XDH147" s="1206"/>
      <c r="XDI147" s="1206"/>
      <c r="XDJ147" s="1206"/>
      <c r="XDK147" s="1206"/>
      <c r="XDL147" s="1206"/>
      <c r="XDM147" s="1206"/>
      <c r="XDN147" s="1206"/>
      <c r="XDO147" s="1206"/>
      <c r="XDP147" s="1206"/>
      <c r="XDQ147" s="1206"/>
      <c r="XDR147" s="1206"/>
      <c r="XDS147" s="1206"/>
      <c r="XDT147" s="1206"/>
      <c r="XDU147" s="1206"/>
      <c r="XDV147" s="1206"/>
      <c r="XDW147" s="1206"/>
      <c r="XDX147" s="1206"/>
      <c r="XDY147" s="1206"/>
      <c r="XDZ147" s="1206"/>
      <c r="XEA147" s="1206"/>
      <c r="XEB147" s="1206"/>
      <c r="XEC147" s="1206"/>
      <c r="XED147" s="1206"/>
      <c r="XEE147" s="1206"/>
      <c r="XEF147" s="1206"/>
      <c r="XEG147" s="1206"/>
      <c r="XEH147" s="1206"/>
      <c r="XEI147" s="1206"/>
      <c r="XEJ147" s="1206"/>
      <c r="XEK147" s="1206"/>
      <c r="XEL147" s="1206"/>
      <c r="XEM147" s="1206"/>
      <c r="XEN147" s="1206"/>
      <c r="XEO147" s="1206"/>
      <c r="XEP147" s="1206"/>
      <c r="XEQ147" s="1206"/>
      <c r="XER147" s="1206"/>
      <c r="XES147" s="1206"/>
      <c r="XET147" s="1206"/>
      <c r="XEU147" s="1206"/>
      <c r="XEV147" s="1206"/>
      <c r="XEW147" s="1206"/>
      <c r="XEX147" s="1206"/>
      <c r="XEY147" s="1206"/>
      <c r="XEZ147" s="1206"/>
      <c r="XFA147" s="1206"/>
      <c r="XFB147" s="1206"/>
      <c r="XFC147" s="1206"/>
      <c r="XFD147" s="1206"/>
    </row>
    <row r="148" spans="1:16384" ht="15.6">
      <c r="A148" s="1205" t="s">
        <v>980</v>
      </c>
      <c r="B148" s="1200" t="s">
        <v>981</v>
      </c>
      <c r="C148" s="1200">
        <f t="shared" si="19"/>
        <v>0</v>
      </c>
      <c r="D148" s="1200">
        <f t="shared" si="20"/>
        <v>37092</v>
      </c>
      <c r="F148" s="1407">
        <f>D148/1000</f>
        <v>37.091999999999999</v>
      </c>
      <c r="I148" s="1210"/>
      <c r="K148" s="1028" t="s">
        <v>2933</v>
      </c>
      <c r="L148" s="383" t="s">
        <v>2934</v>
      </c>
      <c r="M148" s="905">
        <v>0</v>
      </c>
      <c r="N148" s="905">
        <v>0.24</v>
      </c>
      <c r="O148" s="1963">
        <f t="shared" si="21"/>
        <v>0</v>
      </c>
      <c r="P148" s="1963">
        <f t="shared" si="22"/>
        <v>0</v>
      </c>
    </row>
    <row r="149" spans="1:16384" ht="15.6">
      <c r="A149" s="1205" t="s">
        <v>2931</v>
      </c>
      <c r="B149" s="1200" t="s">
        <v>2932</v>
      </c>
      <c r="C149" s="1200">
        <f t="shared" si="19"/>
        <v>0</v>
      </c>
      <c r="D149" s="1200">
        <f t="shared" si="20"/>
        <v>31</v>
      </c>
      <c r="F149" s="1407">
        <f>D149/1000</f>
        <v>3.1E-2</v>
      </c>
      <c r="H149" s="1201" t="str">
        <f>IS!A34</f>
        <v>Printing and related charges</v>
      </c>
      <c r="I149" s="1210">
        <f>C168</f>
        <v>25</v>
      </c>
      <c r="K149" s="1028" t="s">
        <v>3224</v>
      </c>
      <c r="L149" s="383" t="s">
        <v>3225</v>
      </c>
      <c r="M149" s="905">
        <v>0</v>
      </c>
      <c r="N149" s="905">
        <v>120604929.04000001</v>
      </c>
      <c r="O149" s="1963">
        <f t="shared" si="21"/>
        <v>0</v>
      </c>
      <c r="P149" s="1963">
        <f t="shared" si="22"/>
        <v>120605</v>
      </c>
    </row>
    <row r="150" spans="1:16384" ht="16.2" thickBot="1">
      <c r="A150" s="1205"/>
      <c r="B150" s="1206"/>
      <c r="C150" s="1206"/>
      <c r="D150" s="1206"/>
      <c r="F150" s="1206"/>
      <c r="I150" s="1210">
        <f>SUM(I134:I149)</f>
        <v>135652</v>
      </c>
      <c r="K150" s="1028" t="s">
        <v>861</v>
      </c>
      <c r="L150" s="383" t="s">
        <v>862</v>
      </c>
      <c r="M150" s="905">
        <v>266524</v>
      </c>
      <c r="N150" s="905">
        <v>0</v>
      </c>
      <c r="O150" s="1963">
        <f t="shared" si="21"/>
        <v>267</v>
      </c>
      <c r="P150" s="1963">
        <f t="shared" si="22"/>
        <v>0</v>
      </c>
    </row>
    <row r="151" spans="1:16384" ht="16.2" thickBot="1">
      <c r="A151" s="1205"/>
      <c r="B151" s="1204" t="s">
        <v>287</v>
      </c>
      <c r="C151" s="1200"/>
      <c r="D151" s="1200"/>
      <c r="E151" s="1206"/>
      <c r="H151" s="1201" t="str">
        <f>IS!A37</f>
        <v>Sindh Workers' Welfare Fund (SWWF)</v>
      </c>
      <c r="I151" s="1210">
        <f>C163+C164-D163-D164</f>
        <v>-120605</v>
      </c>
      <c r="K151" s="1028" t="s">
        <v>737</v>
      </c>
      <c r="L151" s="383" t="s">
        <v>144</v>
      </c>
      <c r="M151" s="905">
        <v>435111</v>
      </c>
      <c r="N151" s="905">
        <v>0</v>
      </c>
      <c r="O151" s="1963">
        <f t="shared" si="21"/>
        <v>435</v>
      </c>
      <c r="P151" s="1963">
        <f t="shared" si="22"/>
        <v>0</v>
      </c>
    </row>
    <row r="152" spans="1:16384" ht="15.6">
      <c r="A152" s="1205" t="s">
        <v>865</v>
      </c>
      <c r="B152" s="1200" t="s">
        <v>92</v>
      </c>
      <c r="C152" s="1200">
        <f t="shared" ref="C152:C177" si="23">VLOOKUP(A152,$K$7:$P$166,5,0)</f>
        <v>62880</v>
      </c>
      <c r="D152" s="1200">
        <f t="shared" ref="D152:D177" si="24">VLOOKUP(A152,$K$7:$P$166,6,0)</f>
        <v>0</v>
      </c>
      <c r="F152" s="1409">
        <f>C152/1000</f>
        <v>62.88</v>
      </c>
      <c r="K152" s="1028" t="s">
        <v>740</v>
      </c>
      <c r="L152" s="383" t="s">
        <v>741</v>
      </c>
      <c r="M152" s="905">
        <v>6912.88</v>
      </c>
      <c r="N152" s="905">
        <v>0</v>
      </c>
      <c r="O152" s="1963">
        <f t="shared" si="21"/>
        <v>7</v>
      </c>
      <c r="P152" s="1963">
        <f t="shared" si="22"/>
        <v>0</v>
      </c>
    </row>
    <row r="153" spans="1:16384" ht="15.6">
      <c r="A153" s="1205" t="s">
        <v>866</v>
      </c>
      <c r="B153" s="1200" t="s">
        <v>867</v>
      </c>
      <c r="C153" s="1200">
        <f t="shared" si="23"/>
        <v>8174</v>
      </c>
      <c r="D153" s="1200">
        <f t="shared" si="24"/>
        <v>0</v>
      </c>
      <c r="E153" s="1210"/>
      <c r="F153" s="1409">
        <f>C153/1000</f>
        <v>8.1739999999999995</v>
      </c>
      <c r="K153" s="1028" t="s">
        <v>742</v>
      </c>
      <c r="L153" s="383" t="s">
        <v>743</v>
      </c>
      <c r="M153" s="905">
        <v>25136.240000000002</v>
      </c>
      <c r="N153" s="905">
        <v>0</v>
      </c>
      <c r="O153" s="1963">
        <f t="shared" si="21"/>
        <v>25</v>
      </c>
      <c r="P153" s="1963">
        <f t="shared" si="22"/>
        <v>0</v>
      </c>
    </row>
    <row r="154" spans="1:16384" ht="15.6">
      <c r="A154" s="1205" t="s">
        <v>2480</v>
      </c>
      <c r="B154" s="1200" t="s">
        <v>2481</v>
      </c>
      <c r="C154" s="1200" t="e">
        <f t="shared" si="23"/>
        <v>#N/A</v>
      </c>
      <c r="D154" s="1200" t="e">
        <f t="shared" si="24"/>
        <v>#N/A</v>
      </c>
      <c r="F154" s="1409">
        <f>C155/1000</f>
        <v>3.3959999999999999</v>
      </c>
      <c r="K154" s="1028" t="s">
        <v>1127</v>
      </c>
      <c r="L154" s="383" t="s">
        <v>1143</v>
      </c>
      <c r="M154" s="905">
        <v>16557.73</v>
      </c>
      <c r="N154" s="905">
        <v>0</v>
      </c>
      <c r="O154" s="1963">
        <f t="shared" si="21"/>
        <v>17</v>
      </c>
      <c r="P154" s="1963">
        <f t="shared" si="22"/>
        <v>0</v>
      </c>
    </row>
    <row r="155" spans="1:16384" ht="15.6">
      <c r="A155" s="1205" t="s">
        <v>868</v>
      </c>
      <c r="B155" s="1200" t="s">
        <v>91</v>
      </c>
      <c r="C155" s="1200">
        <f t="shared" si="23"/>
        <v>3396</v>
      </c>
      <c r="D155" s="1200">
        <f t="shared" si="24"/>
        <v>0</v>
      </c>
      <c r="F155" s="1409">
        <f>C156/1000</f>
        <v>0.441</v>
      </c>
      <c r="K155" s="1028" t="s">
        <v>1128</v>
      </c>
      <c r="L155" s="383" t="s">
        <v>1144</v>
      </c>
      <c r="M155" s="905">
        <v>1228</v>
      </c>
      <c r="N155" s="905">
        <v>0</v>
      </c>
      <c r="O155" s="1963">
        <f t="shared" si="21"/>
        <v>1</v>
      </c>
      <c r="P155" s="1963">
        <f t="shared" si="22"/>
        <v>0</v>
      </c>
    </row>
    <row r="156" spans="1:16384" ht="15.6">
      <c r="A156" s="1205" t="s">
        <v>869</v>
      </c>
      <c r="B156" s="1200" t="s">
        <v>870</v>
      </c>
      <c r="C156" s="1200">
        <f t="shared" si="23"/>
        <v>441</v>
      </c>
      <c r="D156" s="1200">
        <f t="shared" si="24"/>
        <v>0</v>
      </c>
      <c r="F156" s="1409">
        <f>C157/1000</f>
        <v>0.629</v>
      </c>
      <c r="G156" s="1407">
        <f>F157+F158</f>
        <v>3.1440000000000001</v>
      </c>
      <c r="K156" s="1028" t="s">
        <v>746</v>
      </c>
      <c r="L156" s="383" t="s">
        <v>747</v>
      </c>
      <c r="M156" s="905">
        <v>31008</v>
      </c>
      <c r="N156" s="905">
        <v>0</v>
      </c>
      <c r="O156" s="1963">
        <f t="shared" ref="O156:O160" si="25">ROUND(M156/1000,0)</f>
        <v>31</v>
      </c>
      <c r="P156" s="1963">
        <f t="shared" ref="P156:P158" si="26">ROUND(N156/1000,0)</f>
        <v>0</v>
      </c>
    </row>
    <row r="157" spans="1:16384" ht="15.6">
      <c r="A157" s="1205" t="s">
        <v>871</v>
      </c>
      <c r="B157" s="1200" t="s">
        <v>87</v>
      </c>
      <c r="C157" s="1200">
        <f t="shared" si="23"/>
        <v>629</v>
      </c>
      <c r="D157" s="1200">
        <f t="shared" si="24"/>
        <v>0</v>
      </c>
      <c r="F157" s="1409">
        <f>C158/1000</f>
        <v>3.1440000000000001</v>
      </c>
      <c r="K157" s="1028" t="s">
        <v>748</v>
      </c>
      <c r="L157" s="383" t="s">
        <v>749</v>
      </c>
      <c r="M157" s="905">
        <v>20539.14</v>
      </c>
      <c r="N157" s="905">
        <v>0</v>
      </c>
      <c r="O157" s="1963">
        <f t="shared" si="25"/>
        <v>21</v>
      </c>
      <c r="P157" s="1963">
        <f t="shared" si="26"/>
        <v>0</v>
      </c>
    </row>
    <row r="158" spans="1:16384" ht="15.6">
      <c r="A158" s="1205" t="s">
        <v>872</v>
      </c>
      <c r="B158" s="1200" t="s">
        <v>873</v>
      </c>
      <c r="C158" s="1200">
        <f t="shared" si="23"/>
        <v>3144</v>
      </c>
      <c r="D158" s="1200">
        <f t="shared" si="24"/>
        <v>0</v>
      </c>
      <c r="F158" s="1409"/>
      <c r="K158" s="1028" t="s">
        <v>750</v>
      </c>
      <c r="L158" s="383" t="s">
        <v>751</v>
      </c>
      <c r="M158" s="905">
        <v>6.9</v>
      </c>
      <c r="N158" s="905">
        <v>0</v>
      </c>
      <c r="O158" s="1963">
        <f t="shared" si="25"/>
        <v>0</v>
      </c>
      <c r="P158" s="1963">
        <f t="shared" si="26"/>
        <v>0</v>
      </c>
    </row>
    <row r="159" spans="1:16384" ht="15.6">
      <c r="A159" s="1205" t="s">
        <v>1126</v>
      </c>
      <c r="B159" s="1200" t="s">
        <v>1142</v>
      </c>
      <c r="C159" s="1200">
        <f t="shared" si="23"/>
        <v>40872</v>
      </c>
      <c r="D159" s="1200">
        <f t="shared" si="24"/>
        <v>0</v>
      </c>
      <c r="F159" s="1409">
        <f>C159/1000</f>
        <v>40.872</v>
      </c>
      <c r="G159" s="1407">
        <f>F161+F160</f>
        <v>14.36</v>
      </c>
      <c r="K159" s="1028" t="s">
        <v>1129</v>
      </c>
      <c r="L159" s="383" t="s">
        <v>1145</v>
      </c>
      <c r="M159" s="905">
        <v>15.09</v>
      </c>
      <c r="N159" s="905">
        <v>0</v>
      </c>
      <c r="O159" s="1963">
        <f t="shared" si="25"/>
        <v>0</v>
      </c>
      <c r="P159" s="1963"/>
    </row>
    <row r="160" spans="1:16384" ht="15.6">
      <c r="A160" s="1205" t="s">
        <v>754</v>
      </c>
      <c r="B160" s="1200" t="s">
        <v>755</v>
      </c>
      <c r="C160" s="1200">
        <f t="shared" si="23"/>
        <v>14360</v>
      </c>
      <c r="D160" s="1200">
        <f t="shared" si="24"/>
        <v>0</v>
      </c>
      <c r="F160" s="1409">
        <f>C160/1000</f>
        <v>14.36</v>
      </c>
      <c r="K160" s="1028"/>
      <c r="L160" s="383"/>
      <c r="M160" s="383"/>
      <c r="N160" s="383"/>
      <c r="O160" s="1963">
        <f t="shared" si="25"/>
        <v>0</v>
      </c>
      <c r="P160" s="1963"/>
    </row>
    <row r="161" spans="1:16" ht="15.6">
      <c r="A161" s="1205" t="s">
        <v>876</v>
      </c>
      <c r="B161" s="1200" t="s">
        <v>877</v>
      </c>
      <c r="C161" s="1200">
        <f t="shared" si="23"/>
        <v>382</v>
      </c>
      <c r="D161" s="1200">
        <f t="shared" si="24"/>
        <v>0</v>
      </c>
      <c r="F161" s="1409"/>
      <c r="G161" s="1407">
        <f>F162+F163</f>
        <v>0.56999999999999995</v>
      </c>
      <c r="K161" s="1028"/>
      <c r="L161" s="383"/>
      <c r="M161" s="383"/>
      <c r="N161" s="383"/>
      <c r="O161" s="1963">
        <f t="shared" ref="O161:O166" si="27">ROUND(M161/1000,0)</f>
        <v>0</v>
      </c>
      <c r="P161" s="1963">
        <f t="shared" ref="P161:P166" si="28">ROUND(N161/1000,0)</f>
        <v>0</v>
      </c>
    </row>
    <row r="162" spans="1:16" ht="15.6">
      <c r="A162" s="1205" t="s">
        <v>758</v>
      </c>
      <c r="B162" s="1200" t="s">
        <v>759</v>
      </c>
      <c r="C162" s="1200">
        <f t="shared" si="23"/>
        <v>570</v>
      </c>
      <c r="D162" s="1200">
        <f t="shared" si="24"/>
        <v>0</v>
      </c>
      <c r="F162" s="1409">
        <f>C162/1000</f>
        <v>0.56999999999999995</v>
      </c>
      <c r="K162" s="1028"/>
      <c r="L162" s="383"/>
      <c r="M162" s="383"/>
      <c r="N162" s="383"/>
      <c r="O162" s="1963">
        <f t="shared" si="27"/>
        <v>0</v>
      </c>
      <c r="P162" s="1963">
        <f t="shared" si="28"/>
        <v>0</v>
      </c>
    </row>
    <row r="163" spans="1:16" ht="15.6">
      <c r="A163" s="1205" t="s">
        <v>2933</v>
      </c>
      <c r="B163" s="1200" t="s">
        <v>2934</v>
      </c>
      <c r="C163" s="1200">
        <f t="shared" si="23"/>
        <v>0</v>
      </c>
      <c r="D163" s="1200">
        <f t="shared" si="24"/>
        <v>0</v>
      </c>
      <c r="F163" s="1409">
        <f>C163/1000</f>
        <v>0</v>
      </c>
      <c r="K163" s="1028"/>
      <c r="L163" s="383"/>
      <c r="M163" s="383"/>
      <c r="N163" s="383"/>
      <c r="O163" s="1963">
        <f t="shared" si="27"/>
        <v>0</v>
      </c>
      <c r="P163" s="1963">
        <f t="shared" si="28"/>
        <v>0</v>
      </c>
    </row>
    <row r="164" spans="1:16" ht="15.6">
      <c r="A164" s="1205" t="s">
        <v>3224</v>
      </c>
      <c r="B164" s="1200" t="s">
        <v>2934</v>
      </c>
      <c r="C164" s="1200">
        <f t="shared" si="23"/>
        <v>0</v>
      </c>
      <c r="D164" s="1200">
        <f t="shared" si="24"/>
        <v>120605</v>
      </c>
      <c r="F164" s="1409">
        <f>C165/1000</f>
        <v>0.26700000000000002</v>
      </c>
      <c r="K164" s="1028"/>
      <c r="L164" s="383"/>
      <c r="M164" s="383"/>
      <c r="N164" s="383"/>
      <c r="O164" s="1963">
        <f t="shared" si="27"/>
        <v>0</v>
      </c>
      <c r="P164" s="1963"/>
    </row>
    <row r="165" spans="1:16" ht="15.6">
      <c r="A165" s="1205" t="s">
        <v>861</v>
      </c>
      <c r="B165" s="1200" t="s">
        <v>862</v>
      </c>
      <c r="C165" s="1200">
        <f t="shared" si="23"/>
        <v>267</v>
      </c>
      <c r="D165" s="1200">
        <f t="shared" si="24"/>
        <v>0</v>
      </c>
      <c r="F165" s="1409">
        <f>C166/1000</f>
        <v>0.435</v>
      </c>
      <c r="K165" s="1028"/>
      <c r="L165" s="383"/>
      <c r="M165" s="383"/>
      <c r="N165" s="383"/>
      <c r="O165" s="1963">
        <f t="shared" si="27"/>
        <v>0</v>
      </c>
      <c r="P165" s="1963">
        <f t="shared" si="28"/>
        <v>0</v>
      </c>
    </row>
    <row r="166" spans="1:16" ht="15.6">
      <c r="A166" s="1205" t="s">
        <v>737</v>
      </c>
      <c r="B166" s="1200" t="s">
        <v>144</v>
      </c>
      <c r="C166" s="1200">
        <f t="shared" si="23"/>
        <v>435</v>
      </c>
      <c r="D166" s="1200">
        <f t="shared" si="24"/>
        <v>0</v>
      </c>
      <c r="F166" s="1409" t="e">
        <f>#REF!/1000</f>
        <v>#REF!</v>
      </c>
      <c r="G166" s="1407" t="e">
        <f>SUM(F166:F169)</f>
        <v>#REF!</v>
      </c>
      <c r="K166" s="1028"/>
      <c r="L166" s="383"/>
      <c r="M166" s="383"/>
      <c r="N166" s="383"/>
      <c r="O166" s="1963">
        <f t="shared" si="27"/>
        <v>0</v>
      </c>
      <c r="P166" s="1963">
        <f t="shared" si="28"/>
        <v>0</v>
      </c>
    </row>
    <row r="167" spans="1:16">
      <c r="A167" s="1205" t="s">
        <v>740</v>
      </c>
      <c r="B167" s="1200" t="s">
        <v>741</v>
      </c>
      <c r="C167" s="1200">
        <f t="shared" si="23"/>
        <v>7</v>
      </c>
      <c r="D167" s="1200">
        <f t="shared" si="24"/>
        <v>0</v>
      </c>
      <c r="F167" s="1409">
        <f>C167/1000</f>
        <v>7.0000000000000001E-3</v>
      </c>
    </row>
    <row r="168" spans="1:16">
      <c r="A168" s="1205" t="s">
        <v>742</v>
      </c>
      <c r="B168" s="1200" t="s">
        <v>743</v>
      </c>
      <c r="C168" s="1200">
        <f t="shared" si="23"/>
        <v>25</v>
      </c>
      <c r="D168" s="1200">
        <f t="shared" si="24"/>
        <v>0</v>
      </c>
      <c r="F168" s="1409">
        <f t="shared" ref="F168:F169" si="29">C168/1000</f>
        <v>2.5000000000000001E-2</v>
      </c>
    </row>
    <row r="169" spans="1:16">
      <c r="A169" s="1205" t="s">
        <v>1127</v>
      </c>
      <c r="B169" s="1200" t="s">
        <v>1143</v>
      </c>
      <c r="C169" s="1200">
        <f t="shared" si="23"/>
        <v>17</v>
      </c>
      <c r="D169" s="1200">
        <f t="shared" si="24"/>
        <v>0</v>
      </c>
      <c r="F169" s="1409">
        <f t="shared" si="29"/>
        <v>1.7000000000000001E-2</v>
      </c>
      <c r="M169" s="1962">
        <f>SUM(M7:M168)</f>
        <v>18453893001.510002</v>
      </c>
      <c r="N169" s="1962">
        <f>SUM(N7:N168)</f>
        <v>18453892940.570004</v>
      </c>
      <c r="O169" s="1962">
        <f>SUM(O7:O168)</f>
        <v>18453895</v>
      </c>
      <c r="P169" s="1962">
        <f>SUM(P7:P168)</f>
        <v>18453892</v>
      </c>
    </row>
    <row r="170" spans="1:16" ht="15.6">
      <c r="A170" s="1028" t="s">
        <v>744</v>
      </c>
      <c r="B170" s="383" t="s">
        <v>745</v>
      </c>
      <c r="C170" s="1200">
        <v>0</v>
      </c>
      <c r="D170" s="1200" t="e">
        <f t="shared" si="24"/>
        <v>#N/A</v>
      </c>
      <c r="F170" s="1409">
        <f>C169/1000</f>
        <v>1.7000000000000001E-2</v>
      </c>
      <c r="N170" s="1963">
        <f>N169-M169</f>
        <v>-60.939998626708984</v>
      </c>
      <c r="O170" s="1962"/>
      <c r="P170" s="1963">
        <f>P169-O169</f>
        <v>-3</v>
      </c>
    </row>
    <row r="171" spans="1:16">
      <c r="A171" s="1205" t="s">
        <v>1128</v>
      </c>
      <c r="B171" s="1200" t="s">
        <v>1144</v>
      </c>
      <c r="C171" s="1200">
        <f t="shared" si="23"/>
        <v>1</v>
      </c>
      <c r="D171" s="1200">
        <f t="shared" si="24"/>
        <v>0</v>
      </c>
      <c r="F171" s="1409">
        <f>C171/1000</f>
        <v>1E-3</v>
      </c>
    </row>
    <row r="172" spans="1:16" ht="15.6">
      <c r="A172" s="1028" t="s">
        <v>746</v>
      </c>
      <c r="B172" s="383" t="s">
        <v>747</v>
      </c>
      <c r="C172" s="1200">
        <f t="shared" si="23"/>
        <v>31</v>
      </c>
      <c r="D172" s="1200">
        <f t="shared" si="24"/>
        <v>0</v>
      </c>
      <c r="F172" s="1409">
        <f>C172/1000</f>
        <v>3.1E-2</v>
      </c>
      <c r="H172" s="1407" t="e">
        <f>G173+G161</f>
        <v>#N/A</v>
      </c>
    </row>
    <row r="173" spans="1:16">
      <c r="A173" s="1205" t="s">
        <v>748</v>
      </c>
      <c r="B173" s="1200" t="s">
        <v>749</v>
      </c>
      <c r="C173" s="1200">
        <f t="shared" si="23"/>
        <v>21</v>
      </c>
      <c r="D173" s="1200">
        <f t="shared" si="24"/>
        <v>0</v>
      </c>
      <c r="F173" s="1409">
        <f>C173/1000</f>
        <v>2.1000000000000001E-2</v>
      </c>
      <c r="G173" s="1407" t="e">
        <f>SUM(F170:F175)</f>
        <v>#N/A</v>
      </c>
    </row>
    <row r="174" spans="1:16" ht="15.6">
      <c r="A174" s="1028" t="s">
        <v>750</v>
      </c>
      <c r="B174" s="383" t="s">
        <v>751</v>
      </c>
      <c r="C174" s="1200">
        <f t="shared" si="23"/>
        <v>0</v>
      </c>
      <c r="D174" s="1200">
        <f t="shared" si="24"/>
        <v>0</v>
      </c>
      <c r="F174" s="1409">
        <f>C176/1000</f>
        <v>0</v>
      </c>
    </row>
    <row r="175" spans="1:16" ht="15.6">
      <c r="A175" s="1028" t="s">
        <v>752</v>
      </c>
      <c r="B175" s="383" t="s">
        <v>753</v>
      </c>
      <c r="C175" s="1200" t="e">
        <f t="shared" si="23"/>
        <v>#N/A</v>
      </c>
      <c r="D175" s="1200" t="e">
        <f t="shared" si="24"/>
        <v>#N/A</v>
      </c>
      <c r="F175" s="1409" t="e">
        <f>C177/1000</f>
        <v>#N/A</v>
      </c>
    </row>
    <row r="176" spans="1:16">
      <c r="A176" s="1205" t="s">
        <v>1129</v>
      </c>
      <c r="B176" s="1200" t="s">
        <v>1145</v>
      </c>
      <c r="C176" s="1200">
        <f t="shared" si="23"/>
        <v>0</v>
      </c>
      <c r="D176" s="1200">
        <f t="shared" si="24"/>
        <v>0</v>
      </c>
    </row>
    <row r="177" spans="1:5">
      <c r="A177" s="1205" t="s">
        <v>2482</v>
      </c>
      <c r="B177" s="1200" t="s">
        <v>2483</v>
      </c>
      <c r="C177" s="1200" t="e">
        <f t="shared" si="23"/>
        <v>#N/A</v>
      </c>
      <c r="D177" s="1200" t="e">
        <f t="shared" si="24"/>
        <v>#N/A</v>
      </c>
    </row>
    <row r="179" spans="1:5">
      <c r="B179" s="1208" t="s">
        <v>44</v>
      </c>
      <c r="C179" s="1209" t="e">
        <f>SUM(C6:C178)</f>
        <v>#N/A</v>
      </c>
      <c r="D179" s="1209" t="e">
        <f>SUM(D6:D178)</f>
        <v>#N/A</v>
      </c>
      <c r="E179" s="1209" t="e">
        <f>C179-D179</f>
        <v>#N/A</v>
      </c>
    </row>
    <row r="180" spans="1:5">
      <c r="C180" s="1210" t="e">
        <f>C179-O169</f>
        <v>#N/A</v>
      </c>
      <c r="D180" s="1210" t="e">
        <f>D179-P169</f>
        <v>#N/A</v>
      </c>
    </row>
    <row r="182" spans="1:5" ht="15.6">
      <c r="B182" s="383" t="s">
        <v>1143</v>
      </c>
    </row>
    <row r="183" spans="1:5" ht="15.6">
      <c r="B183" s="383" t="s">
        <v>745</v>
      </c>
    </row>
    <row r="184" spans="1:5" ht="15.6">
      <c r="B184" s="383" t="s">
        <v>1144</v>
      </c>
    </row>
    <row r="185" spans="1:5" ht="15.6">
      <c r="B185" s="383" t="s">
        <v>747</v>
      </c>
    </row>
    <row r="186" spans="1:5" ht="15.6">
      <c r="B186" s="383" t="s">
        <v>749</v>
      </c>
    </row>
    <row r="187" spans="1:5" ht="15.6">
      <c r="B187" s="383" t="s">
        <v>751</v>
      </c>
    </row>
    <row r="188" spans="1:5" ht="15.6">
      <c r="B188" s="383" t="s">
        <v>753</v>
      </c>
    </row>
    <row r="189" spans="1:5" ht="15.6">
      <c r="B189" s="383" t="s">
        <v>1145</v>
      </c>
    </row>
    <row r="190" spans="1:5" ht="15.6">
      <c r="B190" s="383" t="s">
        <v>2483</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86"/>
  <sheetViews>
    <sheetView topLeftCell="A1328" workbookViewId="0">
      <selection activeCell="D45" sqref="D45"/>
    </sheetView>
  </sheetViews>
  <sheetFormatPr defaultColWidth="8.19921875" defaultRowHeight="14.4"/>
  <cols>
    <col min="1" max="1" width="10.19921875" style="2162" bestFit="1" customWidth="1"/>
    <col min="2" max="2" width="2.59765625" style="2162" customWidth="1"/>
    <col min="3" max="3" width="33.5" style="2162" bestFit="1" customWidth="1"/>
    <col min="4" max="4" width="7" style="2162" customWidth="1"/>
    <col min="5" max="5" width="19.59765625" style="2162" customWidth="1"/>
    <col min="6" max="7" width="8.19921875" style="2162" hidden="1" customWidth="1"/>
    <col min="8" max="11" width="8.19921875" style="2162"/>
    <col min="12" max="12" width="12.59765625" style="2162" bestFit="1" customWidth="1"/>
    <col min="13" max="13" width="8.19921875" style="2162"/>
    <col min="14" max="14" width="13" style="2162" bestFit="1" customWidth="1"/>
    <col min="15" max="17" width="8.19921875" style="2162"/>
    <col min="18" max="18" width="12.19921875" style="2162" bestFit="1" customWidth="1"/>
    <col min="19" max="19" width="10.19921875" style="2162" bestFit="1" customWidth="1"/>
    <col min="20" max="16384" width="8.19921875" style="2162"/>
  </cols>
  <sheetData>
    <row r="1" spans="1:15" ht="27.6">
      <c r="A1" s="2160" t="s">
        <v>2634</v>
      </c>
      <c r="B1" s="2161"/>
      <c r="C1" s="2160" t="s">
        <v>2635</v>
      </c>
      <c r="D1" s="2161"/>
      <c r="E1" s="2160" t="s">
        <v>2636</v>
      </c>
      <c r="F1" s="2161"/>
    </row>
    <row r="2" spans="1:15">
      <c r="A2" s="2163"/>
      <c r="B2" s="2163"/>
      <c r="C2" s="2163"/>
      <c r="D2" s="2163"/>
      <c r="E2" s="2163"/>
      <c r="F2" s="2163"/>
      <c r="G2" s="2163"/>
      <c r="H2" s="2163"/>
      <c r="I2" s="2163"/>
      <c r="J2" s="2163"/>
      <c r="K2" s="2163"/>
      <c r="L2" s="2163"/>
      <c r="M2" s="2163"/>
    </row>
    <row r="3" spans="1:15">
      <c r="A3" s="2164"/>
      <c r="H3" s="2522" t="s">
        <v>2637</v>
      </c>
      <c r="I3" s="2522"/>
      <c r="J3" s="2163"/>
      <c r="K3" s="2523">
        <v>0</v>
      </c>
      <c r="L3" s="2523"/>
      <c r="M3" s="2163"/>
      <c r="N3" s="2527"/>
      <c r="O3" s="2163"/>
    </row>
    <row r="4" spans="1:15">
      <c r="H4" s="2163"/>
      <c r="I4" s="2163"/>
      <c r="J4" s="2163"/>
      <c r="K4" s="2523"/>
      <c r="L4" s="2523"/>
      <c r="N4" s="2527"/>
    </row>
    <row r="5" spans="1:15" ht="15.75" customHeight="1">
      <c r="A5" s="2165">
        <v>32141</v>
      </c>
      <c r="B5" s="2163"/>
      <c r="C5" s="2524" t="s">
        <v>2638</v>
      </c>
      <c r="D5" s="2524"/>
      <c r="E5" s="2524"/>
      <c r="F5" s="2524"/>
      <c r="G5" s="2524"/>
      <c r="H5" s="2524"/>
      <c r="I5" s="2524"/>
      <c r="J5" s="2163"/>
      <c r="K5" s="2163"/>
      <c r="L5" s="2163"/>
      <c r="M5" s="2163"/>
    </row>
    <row r="6" spans="1:15">
      <c r="A6" s="2163"/>
      <c r="B6" s="2163"/>
      <c r="C6" s="2163"/>
      <c r="D6" s="2163"/>
      <c r="E6" s="2163"/>
      <c r="F6" s="2163"/>
      <c r="G6" s="2163"/>
      <c r="H6" s="2163"/>
      <c r="I6" s="2163"/>
      <c r="J6" s="2163"/>
      <c r="K6" s="2163"/>
      <c r="L6" s="2163"/>
      <c r="M6" s="2163"/>
    </row>
    <row r="7" spans="1:15">
      <c r="A7" s="2529"/>
      <c r="B7" s="2529"/>
      <c r="C7" s="2529"/>
      <c r="D7" s="2166"/>
      <c r="E7" s="2166"/>
      <c r="F7" s="2166"/>
      <c r="G7" s="2166"/>
      <c r="H7" s="2525"/>
      <c r="I7" s="2525"/>
      <c r="J7" s="2525"/>
      <c r="K7" s="2166"/>
      <c r="L7" s="2167"/>
      <c r="M7" s="2166"/>
    </row>
    <row r="8" spans="1:15">
      <c r="A8" s="2164"/>
      <c r="B8" s="2164"/>
      <c r="C8" s="2164"/>
      <c r="D8" s="2164"/>
      <c r="E8" s="2522" t="s">
        <v>2639</v>
      </c>
      <c r="F8" s="2522"/>
      <c r="G8" s="2164"/>
      <c r="H8" s="2523">
        <v>0</v>
      </c>
      <c r="I8" s="2523"/>
      <c r="J8" s="2523"/>
      <c r="K8" s="2163"/>
      <c r="L8" s="2523">
        <v>0</v>
      </c>
      <c r="M8" s="2163"/>
    </row>
    <row r="9" spans="1:15">
      <c r="A9" s="2164"/>
      <c r="B9" s="2164"/>
      <c r="C9" s="2164"/>
      <c r="D9" s="2164"/>
      <c r="E9" s="2164"/>
      <c r="F9" s="2164"/>
      <c r="G9" s="2164"/>
      <c r="H9" s="2523"/>
      <c r="I9" s="2523"/>
      <c r="J9" s="2523"/>
      <c r="K9" s="2163"/>
      <c r="L9" s="2523"/>
      <c r="M9" s="2163"/>
    </row>
    <row r="10" spans="1:15">
      <c r="A10" s="2160" t="s">
        <v>2634</v>
      </c>
      <c r="B10" s="2161"/>
      <c r="C10" s="2160" t="s">
        <v>2635</v>
      </c>
      <c r="D10" s="2161"/>
      <c r="E10" s="2160" t="s">
        <v>2640</v>
      </c>
      <c r="F10" s="2161"/>
    </row>
    <row r="11" spans="1:15">
      <c r="A11" s="2163"/>
      <c r="B11" s="2163"/>
      <c r="C11" s="2163"/>
      <c r="D11" s="2163"/>
      <c r="E11" s="2163"/>
      <c r="F11" s="2163"/>
      <c r="G11" s="2163"/>
      <c r="H11" s="2163"/>
      <c r="I11" s="2163"/>
      <c r="J11" s="2163"/>
      <c r="K11" s="2163"/>
      <c r="L11" s="2163"/>
      <c r="M11" s="2163"/>
    </row>
    <row r="12" spans="1:15">
      <c r="A12" s="2164"/>
      <c r="H12" s="2522" t="s">
        <v>2637</v>
      </c>
      <c r="I12" s="2522"/>
      <c r="J12" s="2163"/>
      <c r="K12" s="2523">
        <v>3.2000000000000002E-3</v>
      </c>
      <c r="L12" s="2523"/>
      <c r="M12" s="2163"/>
      <c r="N12" s="2527"/>
      <c r="O12" s="2163"/>
    </row>
    <row r="13" spans="1:15">
      <c r="H13" s="2163"/>
      <c r="I13" s="2163"/>
      <c r="J13" s="2163"/>
      <c r="K13" s="2523"/>
      <c r="L13" s="2523"/>
      <c r="N13" s="2527"/>
    </row>
    <row r="14" spans="1:15">
      <c r="A14" s="2165">
        <v>425</v>
      </c>
      <c r="B14" s="2163"/>
      <c r="C14" s="2524" t="s">
        <v>2641</v>
      </c>
      <c r="D14" s="2524"/>
      <c r="E14" s="2524"/>
      <c r="F14" s="2524"/>
      <c r="G14" s="2524"/>
      <c r="H14" s="2524"/>
      <c r="I14" s="2524"/>
      <c r="J14" s="2163"/>
      <c r="K14" s="2163"/>
      <c r="L14" s="2163"/>
      <c r="M14" s="2163"/>
    </row>
    <row r="15" spans="1:15">
      <c r="A15" s="2163"/>
      <c r="B15" s="2163"/>
      <c r="C15" s="2163"/>
      <c r="D15" s="2163"/>
      <c r="E15" s="2163"/>
      <c r="F15" s="2163"/>
      <c r="G15" s="2163"/>
      <c r="H15" s="2163"/>
      <c r="I15" s="2163"/>
      <c r="J15" s="2163"/>
      <c r="K15" s="2163"/>
      <c r="L15" s="2163"/>
      <c r="M15" s="2163"/>
    </row>
    <row r="16" spans="1:15">
      <c r="A16" s="2529"/>
      <c r="B16" s="2529"/>
      <c r="C16" s="2529"/>
      <c r="D16" s="2166"/>
      <c r="E16" s="2166"/>
      <c r="F16" s="2166"/>
      <c r="G16" s="2166"/>
      <c r="H16" s="2525"/>
      <c r="I16" s="2525"/>
      <c r="J16" s="2525"/>
      <c r="K16" s="2166"/>
      <c r="L16" s="2167"/>
      <c r="M16" s="2166"/>
    </row>
    <row r="17" spans="1:15">
      <c r="A17" s="2164"/>
      <c r="B17" s="2164"/>
      <c r="C17" s="2164"/>
      <c r="D17" s="2164"/>
      <c r="E17" s="2522" t="s">
        <v>2639</v>
      </c>
      <c r="F17" s="2522"/>
      <c r="G17" s="2164"/>
      <c r="H17" s="2523">
        <v>3.2000000000000002E-3</v>
      </c>
      <c r="I17" s="2523"/>
      <c r="J17" s="2523"/>
      <c r="K17" s="2163"/>
      <c r="L17" s="2523">
        <v>0.35</v>
      </c>
      <c r="M17" s="2163"/>
    </row>
    <row r="18" spans="1:15">
      <c r="A18" s="2164"/>
      <c r="B18" s="2164"/>
      <c r="C18" s="2164"/>
      <c r="D18" s="2164"/>
      <c r="E18" s="2164"/>
      <c r="F18" s="2164"/>
      <c r="G18" s="2164"/>
      <c r="H18" s="2523"/>
      <c r="I18" s="2523"/>
      <c r="J18" s="2523"/>
      <c r="K18" s="2163"/>
      <c r="L18" s="2523"/>
      <c r="M18" s="2163"/>
    </row>
    <row r="19" spans="1:15">
      <c r="A19" s="2160" t="s">
        <v>2634</v>
      </c>
      <c r="B19" s="2161"/>
      <c r="C19" s="2160" t="s">
        <v>2635</v>
      </c>
      <c r="D19" s="2161"/>
      <c r="E19" s="2160" t="s">
        <v>2640</v>
      </c>
      <c r="F19" s="2161"/>
    </row>
    <row r="20" spans="1:15">
      <c r="A20" s="2163"/>
      <c r="B20" s="2163"/>
      <c r="C20" s="2163"/>
      <c r="D20" s="2163"/>
      <c r="E20" s="2163"/>
      <c r="F20" s="2163"/>
      <c r="G20" s="2163"/>
      <c r="H20" s="2163"/>
      <c r="I20" s="2163"/>
      <c r="J20" s="2163"/>
      <c r="K20" s="2163"/>
      <c r="L20" s="2163"/>
      <c r="M20" s="2163"/>
    </row>
    <row r="21" spans="1:15">
      <c r="A21" s="2164"/>
      <c r="H21" s="2522" t="s">
        <v>2637</v>
      </c>
      <c r="I21" s="2522"/>
      <c r="J21" s="2163"/>
      <c r="K21" s="2523">
        <v>0</v>
      </c>
      <c r="L21" s="2523"/>
      <c r="M21" s="2163"/>
      <c r="N21" s="2527"/>
      <c r="O21" s="2163"/>
    </row>
    <row r="22" spans="1:15">
      <c r="H22" s="2163"/>
      <c r="I22" s="2163"/>
      <c r="J22" s="2163"/>
      <c r="K22" s="2523"/>
      <c r="L22" s="2523"/>
      <c r="N22" s="2527"/>
    </row>
    <row r="23" spans="1:15">
      <c r="A23" s="2165">
        <v>24543</v>
      </c>
      <c r="B23" s="2163"/>
      <c r="C23" s="2524" t="s">
        <v>2642</v>
      </c>
      <c r="D23" s="2524"/>
      <c r="E23" s="2524"/>
      <c r="F23" s="2524"/>
      <c r="G23" s="2524"/>
      <c r="H23" s="2524"/>
      <c r="I23" s="2524"/>
      <c r="J23" s="2163"/>
      <c r="K23" s="2163"/>
      <c r="L23" s="2163"/>
      <c r="M23" s="2163"/>
    </row>
    <row r="24" spans="1:15">
      <c r="A24" s="2163"/>
      <c r="B24" s="2163"/>
      <c r="C24" s="2163"/>
      <c r="D24" s="2163"/>
      <c r="E24" s="2163"/>
      <c r="F24" s="2163"/>
      <c r="G24" s="2163"/>
      <c r="H24" s="2163"/>
      <c r="I24" s="2163"/>
      <c r="J24" s="2163"/>
      <c r="K24" s="2163"/>
      <c r="L24" s="2163"/>
      <c r="M24" s="2163"/>
    </row>
    <row r="25" spans="1:15">
      <c r="A25" s="2529"/>
      <c r="B25" s="2529"/>
      <c r="C25" s="2529"/>
      <c r="D25" s="2166"/>
      <c r="E25" s="2166"/>
      <c r="F25" s="2166"/>
      <c r="G25" s="2166"/>
      <c r="H25" s="2525"/>
      <c r="I25" s="2525"/>
      <c r="J25" s="2525"/>
      <c r="K25" s="2166"/>
      <c r="L25" s="2167"/>
      <c r="M25" s="2166"/>
    </row>
    <row r="26" spans="1:15">
      <c r="A26" s="2164"/>
      <c r="B26" s="2164"/>
      <c r="C26" s="2164"/>
      <c r="D26" s="2164"/>
      <c r="E26" s="2522" t="s">
        <v>2639</v>
      </c>
      <c r="F26" s="2522"/>
      <c r="G26" s="2164"/>
      <c r="H26" s="2523">
        <v>0</v>
      </c>
      <c r="I26" s="2523"/>
      <c r="J26" s="2523"/>
      <c r="K26" s="2163"/>
      <c r="L26" s="2523">
        <v>0</v>
      </c>
      <c r="M26" s="2163"/>
    </row>
    <row r="27" spans="1:15">
      <c r="A27" s="2164"/>
      <c r="B27" s="2164"/>
      <c r="C27" s="2164"/>
      <c r="D27" s="2164"/>
      <c r="E27" s="2164"/>
      <c r="F27" s="2164"/>
      <c r="G27" s="2164"/>
      <c r="H27" s="2523"/>
      <c r="I27" s="2523"/>
      <c r="J27" s="2523"/>
      <c r="K27" s="2163"/>
      <c r="L27" s="2523"/>
      <c r="M27" s="2163"/>
    </row>
    <row r="28" spans="1:15">
      <c r="A28" s="2160" t="s">
        <v>2634</v>
      </c>
      <c r="B28" s="2161"/>
      <c r="C28" s="2160" t="s">
        <v>2635</v>
      </c>
      <c r="D28" s="2161"/>
      <c r="E28" s="2160" t="s">
        <v>2640</v>
      </c>
      <c r="F28" s="2161"/>
    </row>
    <row r="29" spans="1:15">
      <c r="A29" s="2163"/>
      <c r="B29" s="2163"/>
      <c r="C29" s="2163"/>
      <c r="D29" s="2163"/>
      <c r="E29" s="2163"/>
      <c r="F29" s="2163"/>
      <c r="G29" s="2163"/>
      <c r="H29" s="2163"/>
      <c r="I29" s="2163"/>
      <c r="J29" s="2163"/>
      <c r="K29" s="2163"/>
      <c r="L29" s="2163"/>
      <c r="M29" s="2163"/>
    </row>
    <row r="30" spans="1:15">
      <c r="A30" s="2164"/>
      <c r="H30" s="2522" t="s">
        <v>2637</v>
      </c>
      <c r="I30" s="2522"/>
      <c r="J30" s="2163"/>
      <c r="K30" s="2523">
        <v>0</v>
      </c>
      <c r="L30" s="2523"/>
      <c r="M30" s="2163"/>
      <c r="N30" s="2527"/>
      <c r="O30" s="2163"/>
    </row>
    <row r="31" spans="1:15">
      <c r="H31" s="2163"/>
      <c r="I31" s="2163"/>
      <c r="J31" s="2163"/>
      <c r="K31" s="2523"/>
      <c r="L31" s="2523"/>
      <c r="N31" s="2527"/>
    </row>
    <row r="32" spans="1:15">
      <c r="A32" s="2165">
        <v>42039</v>
      </c>
      <c r="B32" s="2163"/>
      <c r="C32" s="2524" t="s">
        <v>2643</v>
      </c>
      <c r="D32" s="2524"/>
      <c r="E32" s="2524"/>
      <c r="F32" s="2524"/>
      <c r="G32" s="2524"/>
      <c r="H32" s="2524"/>
      <c r="I32" s="2524"/>
      <c r="J32" s="2163"/>
      <c r="K32" s="2163"/>
      <c r="L32" s="2163"/>
      <c r="M32" s="2163"/>
    </row>
    <row r="33" spans="1:15">
      <c r="A33" s="2163"/>
      <c r="B33" s="2163"/>
      <c r="C33" s="2163"/>
      <c r="D33" s="2163"/>
      <c r="E33" s="2163"/>
      <c r="F33" s="2163"/>
      <c r="G33" s="2163"/>
      <c r="H33" s="2163"/>
      <c r="I33" s="2163"/>
      <c r="J33" s="2163"/>
      <c r="K33" s="2163"/>
      <c r="L33" s="2163"/>
      <c r="M33" s="2163"/>
    </row>
    <row r="34" spans="1:15">
      <c r="A34" s="2529"/>
      <c r="B34" s="2529"/>
      <c r="C34" s="2529"/>
      <c r="D34" s="2166"/>
      <c r="E34" s="2166"/>
      <c r="F34" s="2166"/>
      <c r="G34" s="2166"/>
      <c r="H34" s="2525"/>
      <c r="I34" s="2525"/>
      <c r="J34" s="2525"/>
      <c r="K34" s="2166"/>
      <c r="L34" s="2167"/>
      <c r="M34" s="2166"/>
    </row>
    <row r="35" spans="1:15">
      <c r="A35" s="2164"/>
      <c r="B35" s="2164"/>
      <c r="C35" s="2164"/>
      <c r="D35" s="2164"/>
      <c r="E35" s="2522" t="s">
        <v>2639</v>
      </c>
      <c r="F35" s="2522"/>
      <c r="G35" s="2164"/>
      <c r="H35" s="2523">
        <v>0</v>
      </c>
      <c r="I35" s="2523"/>
      <c r="J35" s="2523"/>
      <c r="K35" s="2163"/>
      <c r="L35" s="2523">
        <v>0</v>
      </c>
      <c r="M35" s="2163"/>
    </row>
    <row r="36" spans="1:15">
      <c r="A36" s="2164"/>
      <c r="B36" s="2164"/>
      <c r="C36" s="2164"/>
      <c r="D36" s="2164"/>
      <c r="E36" s="2164"/>
      <c r="F36" s="2164"/>
      <c r="G36" s="2164"/>
      <c r="H36" s="2523"/>
      <c r="I36" s="2523"/>
      <c r="J36" s="2523"/>
      <c r="K36" s="2163"/>
      <c r="L36" s="2523"/>
      <c r="M36" s="2163"/>
    </row>
    <row r="37" spans="1:15">
      <c r="A37" s="2160" t="s">
        <v>2634</v>
      </c>
      <c r="B37" s="2161"/>
      <c r="C37" s="2160" t="s">
        <v>2635</v>
      </c>
      <c r="D37" s="2161"/>
      <c r="E37" s="2160" t="s">
        <v>2640</v>
      </c>
      <c r="F37" s="2161"/>
    </row>
    <row r="38" spans="1:15">
      <c r="A38" s="2163"/>
      <c r="B38" s="2163"/>
      <c r="C38" s="2163"/>
      <c r="D38" s="2163"/>
      <c r="E38" s="2163"/>
      <c r="F38" s="2163"/>
      <c r="G38" s="2163"/>
      <c r="H38" s="2163"/>
      <c r="I38" s="2163"/>
      <c r="J38" s="2163"/>
      <c r="K38" s="2163"/>
      <c r="L38" s="2163"/>
      <c r="M38" s="2163"/>
    </row>
    <row r="39" spans="1:15">
      <c r="A39" s="2164"/>
      <c r="H39" s="2522" t="s">
        <v>2637</v>
      </c>
      <c r="I39" s="2522"/>
      <c r="J39" s="2163"/>
      <c r="K39" s="2528">
        <v>1573656.899</v>
      </c>
      <c r="L39" s="2528"/>
      <c r="M39" s="2163"/>
      <c r="N39" s="2527" t="s">
        <v>2974</v>
      </c>
      <c r="O39" s="2163"/>
    </row>
    <row r="40" spans="1:15">
      <c r="H40" s="2163"/>
      <c r="I40" s="2163"/>
      <c r="J40" s="2163"/>
      <c r="K40" s="2528"/>
      <c r="L40" s="2528"/>
      <c r="N40" s="2527"/>
    </row>
    <row r="41" spans="1:15">
      <c r="A41" s="2165">
        <v>32148</v>
      </c>
      <c r="B41" s="2163"/>
      <c r="C41" s="2524" t="s">
        <v>2644</v>
      </c>
      <c r="D41" s="2524"/>
      <c r="E41" s="2524"/>
      <c r="F41" s="2524"/>
      <c r="G41" s="2524"/>
      <c r="H41" s="2524"/>
      <c r="I41" s="2524"/>
      <c r="J41" s="2163"/>
      <c r="K41" s="2163"/>
      <c r="L41" s="2163"/>
      <c r="M41" s="2163"/>
    </row>
    <row r="42" spans="1:15">
      <c r="A42" s="2163"/>
      <c r="B42" s="2163"/>
      <c r="C42" s="2163"/>
      <c r="D42" s="2163"/>
      <c r="E42" s="2163"/>
      <c r="F42" s="2163"/>
      <c r="G42" s="2163"/>
      <c r="H42" s="2163"/>
      <c r="I42" s="2163"/>
      <c r="J42" s="2163"/>
      <c r="K42" s="2163"/>
      <c r="L42" s="2163"/>
      <c r="M42" s="2163"/>
    </row>
    <row r="43" spans="1:15">
      <c r="A43" s="2529"/>
      <c r="B43" s="2529"/>
      <c r="C43" s="2529"/>
      <c r="D43" s="2166"/>
      <c r="E43" s="2166"/>
      <c r="F43" s="2166"/>
      <c r="G43" s="2166"/>
      <c r="H43" s="2525"/>
      <c r="I43" s="2525"/>
      <c r="J43" s="2525"/>
      <c r="K43" s="2166"/>
      <c r="L43" s="2167"/>
      <c r="M43" s="2166"/>
    </row>
    <row r="44" spans="1:15">
      <c r="A44" s="2164"/>
      <c r="B44" s="2164"/>
      <c r="C44" s="2164"/>
      <c r="D44" s="2164"/>
      <c r="E44" s="2522" t="s">
        <v>2639</v>
      </c>
      <c r="F44" s="2522"/>
      <c r="G44" s="2164"/>
      <c r="H44" s="2528">
        <v>1573656.899</v>
      </c>
      <c r="I44" s="2528"/>
      <c r="J44" s="2528"/>
      <c r="K44" s="2163"/>
      <c r="L44" s="2528">
        <v>171133771.47999999</v>
      </c>
      <c r="M44" s="2163"/>
    </row>
    <row r="45" spans="1:15">
      <c r="A45" s="2164"/>
      <c r="B45" s="2164"/>
      <c r="C45" s="2164"/>
      <c r="D45" s="2164"/>
      <c r="E45" s="2164"/>
      <c r="F45" s="2164"/>
      <c r="G45" s="2164"/>
      <c r="H45" s="2528"/>
      <c r="I45" s="2528"/>
      <c r="J45" s="2528"/>
      <c r="K45" s="2163"/>
      <c r="L45" s="2528"/>
      <c r="M45" s="2163"/>
    </row>
    <row r="46" spans="1:15">
      <c r="A46" s="2160" t="s">
        <v>2634</v>
      </c>
      <c r="B46" s="2161"/>
      <c r="C46" s="2160" t="s">
        <v>2635</v>
      </c>
      <c r="D46" s="2161"/>
      <c r="E46" s="2160" t="s">
        <v>2640</v>
      </c>
      <c r="F46" s="2161"/>
    </row>
    <row r="47" spans="1:15">
      <c r="A47" s="2163"/>
      <c r="B47" s="2163"/>
      <c r="C47" s="2163"/>
      <c r="D47" s="2163"/>
      <c r="E47" s="2163"/>
      <c r="F47" s="2163"/>
      <c r="G47" s="2163"/>
      <c r="H47" s="2163"/>
      <c r="I47" s="2163"/>
      <c r="J47" s="2163"/>
      <c r="K47" s="2163"/>
      <c r="L47" s="2163"/>
      <c r="M47" s="2163"/>
    </row>
    <row r="48" spans="1:15">
      <c r="A48" s="2164"/>
      <c r="H48" s="2522" t="s">
        <v>2637</v>
      </c>
      <c r="I48" s="2522"/>
      <c r="J48" s="2163"/>
      <c r="K48" s="2528">
        <v>1573656.899</v>
      </c>
      <c r="L48" s="2528"/>
      <c r="M48" s="2163"/>
      <c r="N48" s="2527" t="s">
        <v>2974</v>
      </c>
      <c r="O48" s="2163"/>
    </row>
    <row r="49" spans="1:15">
      <c r="H49" s="2163"/>
      <c r="I49" s="2163"/>
      <c r="J49" s="2163"/>
      <c r="K49" s="2528"/>
      <c r="L49" s="2528"/>
      <c r="N49" s="2527"/>
    </row>
    <row r="50" spans="1:15">
      <c r="A50" s="2165">
        <v>32149</v>
      </c>
      <c r="B50" s="2163"/>
      <c r="C50" s="2524" t="s">
        <v>2646</v>
      </c>
      <c r="D50" s="2524"/>
      <c r="E50" s="2524"/>
      <c r="F50" s="2524"/>
      <c r="G50" s="2524"/>
      <c r="H50" s="2524"/>
      <c r="I50" s="2524"/>
      <c r="J50" s="2163"/>
      <c r="K50" s="2163"/>
      <c r="L50" s="2163"/>
      <c r="M50" s="2163"/>
    </row>
    <row r="51" spans="1:15">
      <c r="A51" s="2163"/>
      <c r="B51" s="2163"/>
      <c r="C51" s="2163"/>
      <c r="D51" s="2163"/>
      <c r="E51" s="2163"/>
      <c r="F51" s="2163"/>
      <c r="G51" s="2163"/>
      <c r="H51" s="2163"/>
      <c r="I51" s="2163"/>
      <c r="J51" s="2163"/>
      <c r="K51" s="2163"/>
      <c r="L51" s="2163"/>
      <c r="M51" s="2163"/>
    </row>
    <row r="52" spans="1:15">
      <c r="A52" s="2529"/>
      <c r="B52" s="2529"/>
      <c r="C52" s="2529"/>
      <c r="D52" s="2166"/>
      <c r="E52" s="2166"/>
      <c r="F52" s="2166"/>
      <c r="G52" s="2166"/>
      <c r="H52" s="2525"/>
      <c r="I52" s="2525"/>
      <c r="J52" s="2525"/>
      <c r="K52" s="2166"/>
      <c r="L52" s="2167"/>
      <c r="M52" s="2166"/>
    </row>
    <row r="53" spans="1:15">
      <c r="A53" s="2164"/>
      <c r="B53" s="2164"/>
      <c r="C53" s="2164"/>
      <c r="D53" s="2164"/>
      <c r="E53" s="2522" t="s">
        <v>2639</v>
      </c>
      <c r="F53" s="2522"/>
      <c r="G53" s="2164"/>
      <c r="H53" s="2528">
        <v>1573656.899</v>
      </c>
      <c r="I53" s="2528"/>
      <c r="J53" s="2528"/>
      <c r="K53" s="2163"/>
      <c r="L53" s="2528">
        <v>171133771.47999999</v>
      </c>
      <c r="M53" s="2163"/>
    </row>
    <row r="54" spans="1:15">
      <c r="A54" s="2164"/>
      <c r="B54" s="2164"/>
      <c r="C54" s="2164"/>
      <c r="D54" s="2164"/>
      <c r="E54" s="2164"/>
      <c r="F54" s="2164"/>
      <c r="G54" s="2164"/>
      <c r="H54" s="2528"/>
      <c r="I54" s="2528"/>
      <c r="J54" s="2528"/>
      <c r="K54" s="2163"/>
      <c r="L54" s="2528"/>
      <c r="M54" s="2163"/>
    </row>
    <row r="55" spans="1:15">
      <c r="A55" s="2160" t="s">
        <v>2634</v>
      </c>
      <c r="B55" s="2161"/>
      <c r="C55" s="2160" t="s">
        <v>2635</v>
      </c>
      <c r="D55" s="2161"/>
      <c r="E55" s="2160" t="s">
        <v>2640</v>
      </c>
      <c r="F55" s="2161"/>
    </row>
    <row r="56" spans="1:15">
      <c r="A56" s="2163"/>
      <c r="B56" s="2163"/>
      <c r="C56" s="2163"/>
      <c r="D56" s="2163"/>
      <c r="E56" s="2163"/>
      <c r="F56" s="2163"/>
      <c r="G56" s="2163"/>
      <c r="H56" s="2163"/>
      <c r="I56" s="2163"/>
      <c r="J56" s="2163"/>
      <c r="K56" s="2163"/>
      <c r="L56" s="2163"/>
      <c r="M56" s="2163"/>
    </row>
    <row r="57" spans="1:15">
      <c r="A57" s="2164"/>
      <c r="H57" s="2522" t="s">
        <v>2637</v>
      </c>
      <c r="I57" s="2522"/>
      <c r="J57" s="2163"/>
      <c r="K57" s="2523">
        <v>1E-4</v>
      </c>
      <c r="L57" s="2523"/>
      <c r="M57" s="2163"/>
      <c r="N57" s="2527"/>
      <c r="O57" s="2163"/>
    </row>
    <row r="58" spans="1:15">
      <c r="H58" s="2163"/>
      <c r="I58" s="2163"/>
      <c r="J58" s="2163"/>
      <c r="K58" s="2523"/>
      <c r="L58" s="2523"/>
      <c r="N58" s="2527"/>
    </row>
    <row r="59" spans="1:15">
      <c r="A59" s="2165">
        <v>32636</v>
      </c>
      <c r="B59" s="2163"/>
      <c r="C59" s="2524" t="s">
        <v>2641</v>
      </c>
      <c r="D59" s="2524"/>
      <c r="E59" s="2524"/>
      <c r="F59" s="2524"/>
      <c r="G59" s="2524"/>
      <c r="H59" s="2524"/>
      <c r="I59" s="2524"/>
      <c r="J59" s="2163"/>
      <c r="K59" s="2163"/>
      <c r="L59" s="2163"/>
      <c r="M59" s="2163"/>
    </row>
    <row r="60" spans="1:15">
      <c r="A60" s="2163"/>
      <c r="B60" s="2163"/>
      <c r="C60" s="2163"/>
      <c r="D60" s="2163"/>
      <c r="E60" s="2163"/>
      <c r="F60" s="2163"/>
      <c r="G60" s="2163"/>
      <c r="H60" s="2163"/>
      <c r="I60" s="2163"/>
      <c r="J60" s="2163"/>
      <c r="K60" s="2163"/>
      <c r="L60" s="2163"/>
      <c r="M60" s="2163"/>
    </row>
    <row r="61" spans="1:15">
      <c r="A61" s="2520" t="s">
        <v>2648</v>
      </c>
      <c r="B61" s="2520"/>
      <c r="C61" s="2520"/>
      <c r="D61" s="2166"/>
      <c r="E61" s="2166"/>
      <c r="F61" s="2166"/>
      <c r="G61" s="2166"/>
      <c r="H61" s="2526">
        <v>-9344.1190000000006</v>
      </c>
      <c r="I61" s="2526"/>
      <c r="J61" s="2526"/>
      <c r="K61" s="2166"/>
      <c r="L61" s="2168">
        <v>-1015540.33</v>
      </c>
      <c r="M61" s="2166"/>
    </row>
    <row r="62" spans="1:15">
      <c r="A62" s="2520" t="s">
        <v>2649</v>
      </c>
      <c r="B62" s="2520"/>
      <c r="C62" s="2520"/>
      <c r="D62" s="2166"/>
      <c r="E62" s="2166"/>
      <c r="F62" s="2166"/>
      <c r="G62" s="2166"/>
      <c r="H62" s="2526">
        <v>9344.1190000000006</v>
      </c>
      <c r="I62" s="2526"/>
      <c r="J62" s="2526"/>
      <c r="K62" s="2166"/>
      <c r="L62" s="2168">
        <v>1014790</v>
      </c>
      <c r="M62" s="2166"/>
    </row>
    <row r="63" spans="1:15">
      <c r="A63" s="2164"/>
      <c r="B63" s="2164"/>
      <c r="C63" s="2164"/>
      <c r="D63" s="2164"/>
      <c r="E63" s="2522" t="s">
        <v>2639</v>
      </c>
      <c r="F63" s="2522"/>
      <c r="G63" s="2164"/>
      <c r="H63" s="2523">
        <v>1E-4</v>
      </c>
      <c r="I63" s="2523"/>
      <c r="J63" s="2523"/>
      <c r="K63" s="2163"/>
      <c r="L63" s="2523">
        <v>0.01</v>
      </c>
      <c r="M63" s="2163"/>
    </row>
    <row r="64" spans="1:15">
      <c r="A64" s="2164"/>
      <c r="B64" s="2164"/>
      <c r="C64" s="2164"/>
      <c r="D64" s="2164"/>
      <c r="E64" s="2164"/>
      <c r="F64" s="2164"/>
      <c r="G64" s="2164"/>
      <c r="H64" s="2523"/>
      <c r="I64" s="2523"/>
      <c r="J64" s="2523"/>
      <c r="K64" s="2163"/>
      <c r="L64" s="2523"/>
      <c r="M64" s="2163"/>
    </row>
    <row r="65" spans="1:15">
      <c r="A65" s="2160" t="s">
        <v>2634</v>
      </c>
      <c r="B65" s="2161"/>
      <c r="C65" s="2160" t="s">
        <v>2635</v>
      </c>
      <c r="D65" s="2161"/>
      <c r="E65" s="2160" t="s">
        <v>2640</v>
      </c>
      <c r="F65" s="2161"/>
    </row>
    <row r="66" spans="1:15">
      <c r="A66" s="2163"/>
      <c r="B66" s="2163"/>
      <c r="C66" s="2163"/>
      <c r="D66" s="2163"/>
      <c r="E66" s="2163"/>
      <c r="F66" s="2163"/>
      <c r="G66" s="2163"/>
      <c r="H66" s="2163"/>
      <c r="I66" s="2163"/>
      <c r="J66" s="2163"/>
      <c r="K66" s="2163"/>
      <c r="L66" s="2163"/>
      <c r="M66" s="2163"/>
    </row>
    <row r="67" spans="1:15">
      <c r="A67" s="2164"/>
      <c r="H67" s="2522" t="s">
        <v>2637</v>
      </c>
      <c r="I67" s="2522"/>
      <c r="J67" s="2163"/>
      <c r="K67" s="2523">
        <v>0</v>
      </c>
      <c r="L67" s="2523"/>
      <c r="M67" s="2163"/>
      <c r="N67" s="2527"/>
      <c r="O67" s="2163"/>
    </row>
    <row r="68" spans="1:15">
      <c r="H68" s="2163"/>
      <c r="I68" s="2163"/>
      <c r="J68" s="2163"/>
      <c r="K68" s="2523"/>
      <c r="L68" s="2523"/>
      <c r="N68" s="2527"/>
    </row>
    <row r="69" spans="1:15">
      <c r="A69" s="2165">
        <v>32141</v>
      </c>
      <c r="B69" s="2163"/>
      <c r="C69" s="2524" t="s">
        <v>2638</v>
      </c>
      <c r="D69" s="2524"/>
      <c r="E69" s="2524"/>
      <c r="F69" s="2524"/>
      <c r="G69" s="2524"/>
      <c r="H69" s="2524"/>
      <c r="I69" s="2524"/>
      <c r="J69" s="2163"/>
      <c r="K69" s="2163"/>
      <c r="L69" s="2163"/>
      <c r="M69" s="2163"/>
    </row>
    <row r="70" spans="1:15">
      <c r="A70" s="2163"/>
      <c r="B70" s="2163"/>
      <c r="C70" s="2163"/>
      <c r="D70" s="2163"/>
      <c r="E70" s="2163"/>
      <c r="F70" s="2163"/>
      <c r="G70" s="2163"/>
      <c r="H70" s="2163"/>
      <c r="I70" s="2163"/>
      <c r="J70" s="2163"/>
      <c r="K70" s="2163"/>
      <c r="L70" s="2163"/>
      <c r="M70" s="2163"/>
    </row>
    <row r="71" spans="1:15">
      <c r="A71" s="2529"/>
      <c r="B71" s="2529"/>
      <c r="C71" s="2529"/>
      <c r="D71" s="2166"/>
      <c r="E71" s="2166"/>
      <c r="F71" s="2166"/>
      <c r="G71" s="2166"/>
      <c r="H71" s="2525"/>
      <c r="I71" s="2525"/>
      <c r="J71" s="2525"/>
      <c r="K71" s="2166"/>
      <c r="L71" s="2167"/>
      <c r="M71" s="2166"/>
    </row>
    <row r="72" spans="1:15">
      <c r="A72" s="2164"/>
      <c r="B72" s="2164"/>
      <c r="C72" s="2164"/>
      <c r="D72" s="2164"/>
      <c r="E72" s="2522" t="s">
        <v>2639</v>
      </c>
      <c r="F72" s="2522"/>
      <c r="G72" s="2164"/>
      <c r="H72" s="2523">
        <v>0</v>
      </c>
      <c r="I72" s="2523"/>
      <c r="J72" s="2523"/>
      <c r="K72" s="2163"/>
      <c r="L72" s="2523">
        <v>0</v>
      </c>
      <c r="M72" s="2163"/>
    </row>
    <row r="73" spans="1:15">
      <c r="A73" s="2164"/>
      <c r="B73" s="2164"/>
      <c r="C73" s="2164"/>
      <c r="D73" s="2164"/>
      <c r="E73" s="2164"/>
      <c r="F73" s="2164"/>
      <c r="G73" s="2164"/>
      <c r="H73" s="2523"/>
      <c r="I73" s="2523"/>
      <c r="J73" s="2523"/>
      <c r="K73" s="2163"/>
      <c r="L73" s="2523"/>
      <c r="M73" s="2163"/>
    </row>
    <row r="74" spans="1:15">
      <c r="A74" s="2160" t="s">
        <v>2634</v>
      </c>
      <c r="B74" s="2161"/>
      <c r="C74" s="2160" t="s">
        <v>2635</v>
      </c>
      <c r="D74" s="2161"/>
      <c r="E74" s="2160" t="s">
        <v>2640</v>
      </c>
      <c r="F74" s="2161"/>
    </row>
    <row r="75" spans="1:15">
      <c r="A75" s="2163"/>
      <c r="B75" s="2163"/>
      <c r="C75" s="2163"/>
      <c r="D75" s="2163"/>
      <c r="E75" s="2163"/>
      <c r="F75" s="2163"/>
      <c r="G75" s="2163"/>
      <c r="H75" s="2163"/>
      <c r="I75" s="2163"/>
      <c r="J75" s="2163"/>
      <c r="K75" s="2163"/>
      <c r="L75" s="2163"/>
      <c r="M75" s="2163"/>
    </row>
    <row r="76" spans="1:15">
      <c r="A76" s="2164"/>
      <c r="H76" s="2522" t="s">
        <v>2637</v>
      </c>
      <c r="I76" s="2522"/>
      <c r="J76" s="2163"/>
      <c r="K76" s="2523">
        <v>0</v>
      </c>
      <c r="L76" s="2523"/>
      <c r="M76" s="2163"/>
      <c r="N76" s="2527"/>
      <c r="O76" s="2163"/>
    </row>
    <row r="77" spans="1:15">
      <c r="H77" s="2163"/>
      <c r="I77" s="2163"/>
      <c r="J77" s="2163"/>
      <c r="K77" s="2523"/>
      <c r="L77" s="2523"/>
      <c r="N77" s="2527"/>
    </row>
    <row r="78" spans="1:15">
      <c r="A78" s="2165">
        <v>32143</v>
      </c>
      <c r="B78" s="2163"/>
      <c r="C78" s="2524" t="s">
        <v>2650</v>
      </c>
      <c r="D78" s="2524"/>
      <c r="E78" s="2524"/>
      <c r="F78" s="2524"/>
      <c r="G78" s="2524"/>
      <c r="H78" s="2524"/>
      <c r="I78" s="2524"/>
      <c r="J78" s="2163"/>
      <c r="K78" s="2163"/>
      <c r="L78" s="2163"/>
      <c r="M78" s="2163"/>
    </row>
    <row r="79" spans="1:15">
      <c r="A79" s="2163"/>
      <c r="B79" s="2163"/>
      <c r="C79" s="2163"/>
      <c r="D79" s="2163"/>
      <c r="E79" s="2163"/>
      <c r="F79" s="2163"/>
      <c r="G79" s="2163"/>
      <c r="H79" s="2163"/>
      <c r="I79" s="2163"/>
      <c r="J79" s="2163"/>
      <c r="K79" s="2163"/>
      <c r="L79" s="2163"/>
      <c r="M79" s="2163"/>
    </row>
    <row r="80" spans="1:15">
      <c r="A80" s="2529"/>
      <c r="B80" s="2529"/>
      <c r="C80" s="2529"/>
      <c r="D80" s="2166"/>
      <c r="E80" s="2166"/>
      <c r="F80" s="2166"/>
      <c r="G80" s="2166"/>
      <c r="H80" s="2525"/>
      <c r="I80" s="2525"/>
      <c r="J80" s="2525"/>
      <c r="K80" s="2166"/>
      <c r="L80" s="2167"/>
      <c r="M80" s="2166"/>
    </row>
    <row r="81" spans="1:15">
      <c r="A81" s="2164"/>
      <c r="B81" s="2164"/>
      <c r="C81" s="2164"/>
      <c r="D81" s="2164"/>
      <c r="E81" s="2522" t="s">
        <v>2639</v>
      </c>
      <c r="F81" s="2522"/>
      <c r="G81" s="2164"/>
      <c r="H81" s="2523">
        <v>0</v>
      </c>
      <c r="I81" s="2523"/>
      <c r="J81" s="2523"/>
      <c r="K81" s="2163"/>
      <c r="L81" s="2523">
        <v>0</v>
      </c>
      <c r="M81" s="2163"/>
    </row>
    <row r="82" spans="1:15">
      <c r="A82" s="2164"/>
      <c r="B82" s="2164"/>
      <c r="C82" s="2164"/>
      <c r="D82" s="2164"/>
      <c r="E82" s="2164"/>
      <c r="F82" s="2164"/>
      <c r="G82" s="2164"/>
      <c r="H82" s="2523"/>
      <c r="I82" s="2523"/>
      <c r="J82" s="2523"/>
      <c r="K82" s="2163"/>
      <c r="L82" s="2523"/>
      <c r="M82" s="2163"/>
    </row>
    <row r="83" spans="1:15">
      <c r="A83" s="2160" t="s">
        <v>2634</v>
      </c>
      <c r="B83" s="2161"/>
      <c r="C83" s="2160" t="s">
        <v>2635</v>
      </c>
      <c r="D83" s="2161"/>
      <c r="E83" s="2160" t="s">
        <v>2640</v>
      </c>
      <c r="F83" s="2161"/>
    </row>
    <row r="84" spans="1:15">
      <c r="A84" s="2163"/>
      <c r="B84" s="2163"/>
      <c r="C84" s="2163"/>
      <c r="D84" s="2163"/>
      <c r="E84" s="2163"/>
      <c r="F84" s="2163"/>
      <c r="G84" s="2163"/>
      <c r="H84" s="2163"/>
      <c r="I84" s="2163"/>
      <c r="J84" s="2163"/>
      <c r="K84" s="2163"/>
      <c r="L84" s="2163"/>
      <c r="M84" s="2163"/>
    </row>
    <row r="85" spans="1:15">
      <c r="A85" s="2164"/>
      <c r="H85" s="2522" t="s">
        <v>2637</v>
      </c>
      <c r="I85" s="2522"/>
      <c r="J85" s="2163"/>
      <c r="K85" s="2523">
        <v>0</v>
      </c>
      <c r="L85" s="2523"/>
      <c r="M85" s="2163"/>
      <c r="N85" s="2527"/>
      <c r="O85" s="2163"/>
    </row>
    <row r="86" spans="1:15">
      <c r="H86" s="2163"/>
      <c r="I86" s="2163"/>
      <c r="J86" s="2163"/>
      <c r="K86" s="2523"/>
      <c r="L86" s="2523"/>
      <c r="N86" s="2527"/>
    </row>
    <row r="87" spans="1:15">
      <c r="A87" s="2165">
        <v>32115</v>
      </c>
      <c r="B87" s="2163"/>
      <c r="C87" s="2524" t="s">
        <v>2651</v>
      </c>
      <c r="D87" s="2524"/>
      <c r="E87" s="2524"/>
      <c r="F87" s="2524"/>
      <c r="G87" s="2524"/>
      <c r="H87" s="2524"/>
      <c r="I87" s="2524"/>
      <c r="J87" s="2163"/>
      <c r="K87" s="2163"/>
      <c r="L87" s="2163"/>
      <c r="M87" s="2163"/>
    </row>
    <row r="88" spans="1:15">
      <c r="A88" s="2163"/>
      <c r="B88" s="2163"/>
      <c r="C88" s="2163"/>
      <c r="D88" s="2163"/>
      <c r="E88" s="2163"/>
      <c r="F88" s="2163"/>
      <c r="G88" s="2163"/>
      <c r="H88" s="2163"/>
      <c r="I88" s="2163"/>
      <c r="J88" s="2163"/>
      <c r="K88" s="2163"/>
      <c r="L88" s="2163"/>
      <c r="M88" s="2163"/>
    </row>
    <row r="89" spans="1:15">
      <c r="A89" s="2529"/>
      <c r="B89" s="2529"/>
      <c r="C89" s="2529"/>
      <c r="D89" s="2166"/>
      <c r="E89" s="2166"/>
      <c r="F89" s="2166"/>
      <c r="G89" s="2166"/>
      <c r="H89" s="2525"/>
      <c r="I89" s="2525"/>
      <c r="J89" s="2525"/>
      <c r="K89" s="2166"/>
      <c r="L89" s="2167"/>
      <c r="M89" s="2166"/>
    </row>
    <row r="90" spans="1:15">
      <c r="A90" s="2164"/>
      <c r="B90" s="2164"/>
      <c r="C90" s="2164"/>
      <c r="D90" s="2164"/>
      <c r="E90" s="2522" t="s">
        <v>2639</v>
      </c>
      <c r="F90" s="2522"/>
      <c r="G90" s="2164"/>
      <c r="H90" s="2523">
        <v>0</v>
      </c>
      <c r="I90" s="2523"/>
      <c r="J90" s="2523"/>
      <c r="K90" s="2163"/>
      <c r="L90" s="2523">
        <v>0</v>
      </c>
      <c r="M90" s="2163"/>
    </row>
    <row r="91" spans="1:15">
      <c r="A91" s="2164"/>
      <c r="B91" s="2164"/>
      <c r="C91" s="2164"/>
      <c r="D91" s="2164"/>
      <c r="E91" s="2164"/>
      <c r="F91" s="2164"/>
      <c r="G91" s="2164"/>
      <c r="H91" s="2523"/>
      <c r="I91" s="2523"/>
      <c r="J91" s="2523"/>
      <c r="K91" s="2163"/>
      <c r="L91" s="2523"/>
      <c r="M91" s="2163"/>
    </row>
    <row r="92" spans="1:15">
      <c r="A92" s="2160" t="s">
        <v>2634</v>
      </c>
      <c r="B92" s="2161"/>
      <c r="C92" s="2160" t="s">
        <v>2635</v>
      </c>
      <c r="D92" s="2161"/>
      <c r="E92" s="2160" t="s">
        <v>2640</v>
      </c>
      <c r="F92" s="2161"/>
    </row>
    <row r="93" spans="1:15">
      <c r="A93" s="2163"/>
      <c r="B93" s="2163"/>
      <c r="C93" s="2163"/>
      <c r="D93" s="2163"/>
      <c r="E93" s="2163"/>
      <c r="F93" s="2163"/>
      <c r="G93" s="2163"/>
      <c r="H93" s="2163"/>
      <c r="I93" s="2163"/>
      <c r="J93" s="2163"/>
      <c r="K93" s="2163"/>
      <c r="L93" s="2163"/>
      <c r="M93" s="2163"/>
    </row>
    <row r="94" spans="1:15">
      <c r="A94" s="2164"/>
      <c r="H94" s="2522" t="s">
        <v>2637</v>
      </c>
      <c r="I94" s="2522"/>
      <c r="J94" s="2163"/>
      <c r="K94" s="2523">
        <v>0</v>
      </c>
      <c r="L94" s="2523"/>
      <c r="M94" s="2163"/>
      <c r="N94" s="2527"/>
      <c r="O94" s="2163"/>
    </row>
    <row r="95" spans="1:15">
      <c r="H95" s="2163"/>
      <c r="I95" s="2163"/>
      <c r="J95" s="2163"/>
      <c r="K95" s="2523"/>
      <c r="L95" s="2523"/>
      <c r="N95" s="2527"/>
    </row>
    <row r="96" spans="1:15">
      <c r="A96" s="2165">
        <v>32127</v>
      </c>
      <c r="B96" s="2163"/>
      <c r="C96" s="2524" t="s">
        <v>2652</v>
      </c>
      <c r="D96" s="2524"/>
      <c r="E96" s="2524"/>
      <c r="F96" s="2524"/>
      <c r="G96" s="2524"/>
      <c r="H96" s="2524"/>
      <c r="I96" s="2524"/>
      <c r="J96" s="2163"/>
      <c r="K96" s="2163"/>
      <c r="L96" s="2163"/>
      <c r="M96" s="2163"/>
    </row>
    <row r="97" spans="1:15">
      <c r="A97" s="2163"/>
      <c r="B97" s="2163"/>
      <c r="C97" s="2163"/>
      <c r="D97" s="2163"/>
      <c r="E97" s="2163"/>
      <c r="F97" s="2163"/>
      <c r="G97" s="2163"/>
      <c r="H97" s="2163"/>
      <c r="I97" s="2163"/>
      <c r="J97" s="2163"/>
      <c r="K97" s="2163"/>
      <c r="L97" s="2163"/>
      <c r="M97" s="2163"/>
    </row>
    <row r="98" spans="1:15">
      <c r="A98" s="2529"/>
      <c r="B98" s="2529"/>
      <c r="C98" s="2529"/>
      <c r="D98" s="2166"/>
      <c r="E98" s="2166"/>
      <c r="F98" s="2166"/>
      <c r="G98" s="2166"/>
      <c r="H98" s="2525"/>
      <c r="I98" s="2525"/>
      <c r="J98" s="2525"/>
      <c r="K98" s="2166"/>
      <c r="L98" s="2167"/>
      <c r="M98" s="2166"/>
    </row>
    <row r="99" spans="1:15">
      <c r="A99" s="2164"/>
      <c r="B99" s="2164"/>
      <c r="C99" s="2164"/>
      <c r="D99" s="2164"/>
      <c r="E99" s="2522" t="s">
        <v>2639</v>
      </c>
      <c r="F99" s="2522"/>
      <c r="G99" s="2164"/>
      <c r="H99" s="2523">
        <v>0</v>
      </c>
      <c r="I99" s="2523"/>
      <c r="J99" s="2523"/>
      <c r="K99" s="2163"/>
      <c r="L99" s="2523">
        <v>0</v>
      </c>
      <c r="M99" s="2163"/>
    </row>
    <row r="100" spans="1:15">
      <c r="A100" s="2164"/>
      <c r="B100" s="2164"/>
      <c r="C100" s="2164"/>
      <c r="D100" s="2164"/>
      <c r="E100" s="2164"/>
      <c r="F100" s="2164"/>
      <c r="G100" s="2164"/>
      <c r="H100" s="2523"/>
      <c r="I100" s="2523"/>
      <c r="J100" s="2523"/>
      <c r="K100" s="2163"/>
      <c r="L100" s="2523"/>
      <c r="M100" s="2163"/>
    </row>
    <row r="101" spans="1:15">
      <c r="A101" s="2160" t="s">
        <v>2634</v>
      </c>
      <c r="B101" s="2161"/>
      <c r="C101" s="2160" t="s">
        <v>2635</v>
      </c>
      <c r="D101" s="2161"/>
      <c r="E101" s="2160" t="s">
        <v>2640</v>
      </c>
      <c r="F101" s="2161"/>
    </row>
    <row r="102" spans="1:15">
      <c r="A102" s="2163"/>
      <c r="B102" s="2163"/>
      <c r="C102" s="2163"/>
      <c r="D102" s="2163"/>
      <c r="E102" s="2163"/>
      <c r="F102" s="2163"/>
      <c r="G102" s="2163"/>
      <c r="H102" s="2163"/>
      <c r="I102" s="2163"/>
      <c r="J102" s="2163"/>
      <c r="K102" s="2163"/>
      <c r="L102" s="2163"/>
      <c r="M102" s="2163"/>
    </row>
    <row r="103" spans="1:15">
      <c r="A103" s="2164"/>
      <c r="H103" s="2522" t="s">
        <v>2637</v>
      </c>
      <c r="I103" s="2522"/>
      <c r="J103" s="2163"/>
      <c r="K103" s="2523">
        <v>0</v>
      </c>
      <c r="L103" s="2523"/>
      <c r="M103" s="2163"/>
      <c r="N103" s="2527"/>
      <c r="O103" s="2163"/>
    </row>
    <row r="104" spans="1:15">
      <c r="H104" s="2163"/>
      <c r="I104" s="2163"/>
      <c r="J104" s="2163"/>
      <c r="K104" s="2523"/>
      <c r="L104" s="2523"/>
      <c r="N104" s="2527"/>
    </row>
    <row r="105" spans="1:15">
      <c r="A105" s="2165">
        <v>32128</v>
      </c>
      <c r="B105" s="2163"/>
      <c r="C105" s="2524" t="s">
        <v>2653</v>
      </c>
      <c r="D105" s="2524"/>
      <c r="E105" s="2524"/>
      <c r="F105" s="2524"/>
      <c r="G105" s="2524"/>
      <c r="H105" s="2524"/>
      <c r="I105" s="2524"/>
      <c r="J105" s="2163"/>
      <c r="K105" s="2163"/>
      <c r="L105" s="2163"/>
      <c r="M105" s="2163"/>
    </row>
    <row r="106" spans="1:15">
      <c r="A106" s="2163"/>
      <c r="B106" s="2163"/>
      <c r="C106" s="2163"/>
      <c r="D106" s="2163"/>
      <c r="E106" s="2163"/>
      <c r="F106" s="2163"/>
      <c r="G106" s="2163"/>
      <c r="H106" s="2163"/>
      <c r="I106" s="2163"/>
      <c r="J106" s="2163"/>
      <c r="K106" s="2163"/>
      <c r="L106" s="2163"/>
      <c r="M106" s="2163"/>
    </row>
    <row r="107" spans="1:15">
      <c r="A107" s="2529"/>
      <c r="B107" s="2529"/>
      <c r="C107" s="2529"/>
      <c r="D107" s="2166"/>
      <c r="E107" s="2166"/>
      <c r="F107" s="2166"/>
      <c r="G107" s="2166"/>
      <c r="H107" s="2525"/>
      <c r="I107" s="2525"/>
      <c r="J107" s="2525"/>
      <c r="K107" s="2166"/>
      <c r="L107" s="2167"/>
      <c r="M107" s="2166"/>
    </row>
    <row r="108" spans="1:15">
      <c r="A108" s="2164"/>
      <c r="B108" s="2164"/>
      <c r="C108" s="2164"/>
      <c r="D108" s="2164"/>
      <c r="E108" s="2522" t="s">
        <v>2639</v>
      </c>
      <c r="F108" s="2522"/>
      <c r="G108" s="2164"/>
      <c r="H108" s="2523">
        <v>0</v>
      </c>
      <c r="I108" s="2523"/>
      <c r="J108" s="2523"/>
      <c r="K108" s="2163"/>
      <c r="L108" s="2523">
        <v>0</v>
      </c>
      <c r="M108" s="2163"/>
    </row>
    <row r="109" spans="1:15">
      <c r="A109" s="2164"/>
      <c r="B109" s="2164"/>
      <c r="C109" s="2164"/>
      <c r="D109" s="2164"/>
      <c r="E109" s="2164"/>
      <c r="F109" s="2164"/>
      <c r="G109" s="2164"/>
      <c r="H109" s="2523"/>
      <c r="I109" s="2523"/>
      <c r="J109" s="2523"/>
      <c r="K109" s="2163"/>
      <c r="L109" s="2523"/>
      <c r="M109" s="2163"/>
    </row>
    <row r="110" spans="1:15">
      <c r="A110" s="2160" t="s">
        <v>2634</v>
      </c>
      <c r="B110" s="2161"/>
      <c r="C110" s="2160" t="s">
        <v>2635</v>
      </c>
      <c r="D110" s="2161"/>
      <c r="E110" s="2160" t="s">
        <v>2640</v>
      </c>
      <c r="F110" s="2161"/>
    </row>
    <row r="111" spans="1:15">
      <c r="A111" s="2163"/>
      <c r="B111" s="2163"/>
      <c r="C111" s="2163"/>
      <c r="D111" s="2163"/>
      <c r="E111" s="2163"/>
      <c r="F111" s="2163"/>
      <c r="G111" s="2163"/>
      <c r="H111" s="2163"/>
      <c r="I111" s="2163"/>
      <c r="J111" s="2163"/>
      <c r="K111" s="2163"/>
      <c r="L111" s="2163"/>
      <c r="M111" s="2163"/>
    </row>
    <row r="112" spans="1:15">
      <c r="A112" s="2164"/>
      <c r="H112" s="2522" t="s">
        <v>2637</v>
      </c>
      <c r="I112" s="2522"/>
      <c r="J112" s="2163"/>
      <c r="K112" s="2523">
        <v>0</v>
      </c>
      <c r="L112" s="2523"/>
      <c r="M112" s="2163"/>
      <c r="N112" s="2527"/>
      <c r="O112" s="2163"/>
    </row>
    <row r="113" spans="1:15">
      <c r="H113" s="2163"/>
      <c r="I113" s="2163"/>
      <c r="J113" s="2163"/>
      <c r="K113" s="2523"/>
      <c r="L113" s="2523"/>
      <c r="N113" s="2527"/>
    </row>
    <row r="114" spans="1:15">
      <c r="A114" s="2165">
        <v>32129</v>
      </c>
      <c r="B114" s="2163"/>
      <c r="C114" s="2524" t="s">
        <v>2654</v>
      </c>
      <c r="D114" s="2524"/>
      <c r="E114" s="2524"/>
      <c r="F114" s="2524"/>
      <c r="G114" s="2524"/>
      <c r="H114" s="2524"/>
      <c r="I114" s="2524"/>
      <c r="J114" s="2163"/>
      <c r="K114" s="2163"/>
      <c r="L114" s="2163"/>
      <c r="M114" s="2163"/>
    </row>
    <row r="115" spans="1:15">
      <c r="A115" s="2163"/>
      <c r="B115" s="2163"/>
      <c r="C115" s="2163"/>
      <c r="D115" s="2163"/>
      <c r="E115" s="2163"/>
      <c r="F115" s="2163"/>
      <c r="G115" s="2163"/>
      <c r="H115" s="2163"/>
      <c r="I115" s="2163"/>
      <c r="J115" s="2163"/>
      <c r="K115" s="2163"/>
      <c r="L115" s="2163"/>
      <c r="M115" s="2163"/>
    </row>
    <row r="116" spans="1:15">
      <c r="A116" s="2529"/>
      <c r="B116" s="2529"/>
      <c r="C116" s="2529"/>
      <c r="D116" s="2166"/>
      <c r="E116" s="2166"/>
      <c r="F116" s="2166"/>
      <c r="G116" s="2166"/>
      <c r="H116" s="2525"/>
      <c r="I116" s="2525"/>
      <c r="J116" s="2525"/>
      <c r="K116" s="2166"/>
      <c r="L116" s="2167"/>
      <c r="M116" s="2166"/>
    </row>
    <row r="117" spans="1:15">
      <c r="A117" s="2164"/>
      <c r="B117" s="2164"/>
      <c r="C117" s="2164"/>
      <c r="D117" s="2164"/>
      <c r="E117" s="2522" t="s">
        <v>2639</v>
      </c>
      <c r="F117" s="2522"/>
      <c r="G117" s="2164"/>
      <c r="H117" s="2523">
        <v>0</v>
      </c>
      <c r="I117" s="2523"/>
      <c r="J117" s="2523"/>
      <c r="K117" s="2163"/>
      <c r="L117" s="2523">
        <v>0</v>
      </c>
      <c r="M117" s="2163"/>
    </row>
    <row r="118" spans="1:15">
      <c r="A118" s="2164"/>
      <c r="B118" s="2164"/>
      <c r="C118" s="2164"/>
      <c r="D118" s="2164"/>
      <c r="E118" s="2164"/>
      <c r="F118" s="2164"/>
      <c r="G118" s="2164"/>
      <c r="H118" s="2523"/>
      <c r="I118" s="2523"/>
      <c r="J118" s="2523"/>
      <c r="K118" s="2163"/>
      <c r="L118" s="2523"/>
      <c r="M118" s="2163"/>
    </row>
    <row r="119" spans="1:15">
      <c r="A119" s="2160" t="s">
        <v>2634</v>
      </c>
      <c r="B119" s="2161"/>
      <c r="C119" s="2160" t="s">
        <v>2635</v>
      </c>
      <c r="D119" s="2161"/>
      <c r="E119" s="2160" t="s">
        <v>2640</v>
      </c>
      <c r="F119" s="2161"/>
    </row>
    <row r="120" spans="1:15">
      <c r="A120" s="2163"/>
      <c r="B120" s="2163"/>
      <c r="C120" s="2163"/>
      <c r="D120" s="2163"/>
      <c r="E120" s="2163"/>
      <c r="F120" s="2163"/>
      <c r="G120" s="2163"/>
      <c r="H120" s="2163"/>
      <c r="I120" s="2163"/>
      <c r="J120" s="2163"/>
      <c r="K120" s="2163"/>
      <c r="L120" s="2163"/>
      <c r="M120" s="2163"/>
    </row>
    <row r="121" spans="1:15">
      <c r="A121" s="2164"/>
      <c r="H121" s="2522" t="s">
        <v>2637</v>
      </c>
      <c r="I121" s="2522"/>
      <c r="J121" s="2163"/>
      <c r="K121" s="2523">
        <v>0</v>
      </c>
      <c r="L121" s="2523"/>
      <c r="M121" s="2163"/>
      <c r="N121" s="2527"/>
      <c r="O121" s="2163"/>
    </row>
    <row r="122" spans="1:15">
      <c r="H122" s="2163"/>
      <c r="I122" s="2163"/>
      <c r="J122" s="2163"/>
      <c r="K122" s="2523"/>
      <c r="L122" s="2523"/>
      <c r="N122" s="2527"/>
    </row>
    <row r="123" spans="1:15">
      <c r="A123" s="2165">
        <v>32130</v>
      </c>
      <c r="B123" s="2163"/>
      <c r="C123" s="2524" t="s">
        <v>2655</v>
      </c>
      <c r="D123" s="2524"/>
      <c r="E123" s="2524"/>
      <c r="F123" s="2524"/>
      <c r="G123" s="2524"/>
      <c r="H123" s="2524"/>
      <c r="I123" s="2524"/>
      <c r="J123" s="2163"/>
      <c r="K123" s="2163"/>
      <c r="L123" s="2163"/>
      <c r="M123" s="2163"/>
    </row>
    <row r="124" spans="1:15">
      <c r="A124" s="2163"/>
      <c r="B124" s="2163"/>
      <c r="C124" s="2163"/>
      <c r="D124" s="2163"/>
      <c r="E124" s="2163"/>
      <c r="F124" s="2163"/>
      <c r="G124" s="2163"/>
      <c r="H124" s="2163"/>
      <c r="I124" s="2163"/>
      <c r="J124" s="2163"/>
      <c r="K124" s="2163"/>
      <c r="L124" s="2163"/>
      <c r="M124" s="2163"/>
    </row>
    <row r="125" spans="1:15">
      <c r="A125" s="2529"/>
      <c r="B125" s="2529"/>
      <c r="C125" s="2529"/>
      <c r="D125" s="2166"/>
      <c r="E125" s="2166"/>
      <c r="F125" s="2166"/>
      <c r="G125" s="2166"/>
      <c r="H125" s="2525"/>
      <c r="I125" s="2525"/>
      <c r="J125" s="2525"/>
      <c r="K125" s="2166"/>
      <c r="L125" s="2167"/>
      <c r="M125" s="2166"/>
    </row>
    <row r="126" spans="1:15">
      <c r="A126" s="2164"/>
      <c r="B126" s="2164"/>
      <c r="C126" s="2164"/>
      <c r="D126" s="2164"/>
      <c r="E126" s="2522" t="s">
        <v>2639</v>
      </c>
      <c r="F126" s="2522"/>
      <c r="G126" s="2164"/>
      <c r="H126" s="2523">
        <v>0</v>
      </c>
      <c r="I126" s="2523"/>
      <c r="J126" s="2523"/>
      <c r="K126" s="2163"/>
      <c r="L126" s="2523">
        <v>0</v>
      </c>
      <c r="M126" s="2163"/>
    </row>
    <row r="127" spans="1:15">
      <c r="A127" s="2164"/>
      <c r="B127" s="2164"/>
      <c r="C127" s="2164"/>
      <c r="D127" s="2164"/>
      <c r="E127" s="2164"/>
      <c r="F127" s="2164"/>
      <c r="G127" s="2164"/>
      <c r="H127" s="2523"/>
      <c r="I127" s="2523"/>
      <c r="J127" s="2523"/>
      <c r="K127" s="2163"/>
      <c r="L127" s="2523"/>
      <c r="M127" s="2163"/>
    </row>
    <row r="128" spans="1:15">
      <c r="A128" s="2160" t="s">
        <v>2634</v>
      </c>
      <c r="B128" s="2161"/>
      <c r="C128" s="2160" t="s">
        <v>2635</v>
      </c>
      <c r="D128" s="2161"/>
      <c r="E128" s="2160" t="s">
        <v>2640</v>
      </c>
      <c r="F128" s="2161"/>
    </row>
    <row r="129" spans="1:15">
      <c r="A129" s="2163"/>
      <c r="B129" s="2163"/>
      <c r="C129" s="2163"/>
      <c r="D129" s="2163"/>
      <c r="E129" s="2163"/>
      <c r="F129" s="2163"/>
      <c r="G129" s="2163"/>
      <c r="H129" s="2163"/>
      <c r="I129" s="2163"/>
      <c r="J129" s="2163"/>
      <c r="K129" s="2163"/>
      <c r="L129" s="2163"/>
      <c r="M129" s="2163"/>
    </row>
    <row r="130" spans="1:15">
      <c r="A130" s="2164"/>
      <c r="H130" s="2522" t="s">
        <v>2637</v>
      </c>
      <c r="I130" s="2522"/>
      <c r="J130" s="2163"/>
      <c r="K130" s="2528">
        <v>4733.6144999999997</v>
      </c>
      <c r="L130" s="2528"/>
      <c r="M130" s="2163"/>
      <c r="N130" s="2527" t="s">
        <v>2975</v>
      </c>
      <c r="O130" s="2163"/>
    </row>
    <row r="131" spans="1:15">
      <c r="H131" s="2163"/>
      <c r="I131" s="2163"/>
      <c r="J131" s="2163"/>
      <c r="K131" s="2528"/>
      <c r="L131" s="2528"/>
      <c r="N131" s="2527"/>
    </row>
    <row r="132" spans="1:15">
      <c r="A132" s="2165">
        <v>32346</v>
      </c>
      <c r="B132" s="2163"/>
      <c r="C132" s="2524" t="s">
        <v>2656</v>
      </c>
      <c r="D132" s="2524"/>
      <c r="E132" s="2524"/>
      <c r="F132" s="2524"/>
      <c r="G132" s="2524"/>
      <c r="H132" s="2524"/>
      <c r="I132" s="2524"/>
      <c r="J132" s="2163"/>
      <c r="K132" s="2163"/>
      <c r="L132" s="2163"/>
      <c r="M132" s="2163"/>
    </row>
    <row r="133" spans="1:15">
      <c r="A133" s="2163"/>
      <c r="B133" s="2163"/>
      <c r="C133" s="2163"/>
      <c r="D133" s="2163"/>
      <c r="E133" s="2163"/>
      <c r="F133" s="2163"/>
      <c r="G133" s="2163"/>
      <c r="H133" s="2163"/>
      <c r="I133" s="2163"/>
      <c r="J133" s="2163"/>
      <c r="K133" s="2163"/>
      <c r="L133" s="2163"/>
      <c r="M133" s="2163"/>
    </row>
    <row r="134" spans="1:15">
      <c r="A134" s="2529"/>
      <c r="B134" s="2529"/>
      <c r="C134" s="2529"/>
      <c r="D134" s="2166"/>
      <c r="E134" s="2166"/>
      <c r="F134" s="2166"/>
      <c r="G134" s="2166"/>
      <c r="H134" s="2525"/>
      <c r="I134" s="2525"/>
      <c r="J134" s="2525"/>
      <c r="K134" s="2166"/>
      <c r="L134" s="2167"/>
      <c r="M134" s="2166"/>
    </row>
    <row r="135" spans="1:15">
      <c r="A135" s="2164"/>
      <c r="B135" s="2164"/>
      <c r="C135" s="2164"/>
      <c r="D135" s="2164"/>
      <c r="E135" s="2522" t="s">
        <v>2639</v>
      </c>
      <c r="F135" s="2522"/>
      <c r="G135" s="2164"/>
      <c r="H135" s="2528">
        <v>4733.6144999999997</v>
      </c>
      <c r="I135" s="2528"/>
      <c r="J135" s="2528"/>
      <c r="K135" s="2163"/>
      <c r="L135" s="2528">
        <v>514776.32000000001</v>
      </c>
      <c r="M135" s="2163"/>
    </row>
    <row r="136" spans="1:15">
      <c r="A136" s="2164"/>
      <c r="B136" s="2164"/>
      <c r="C136" s="2164"/>
      <c r="D136" s="2164"/>
      <c r="E136" s="2164"/>
      <c r="F136" s="2164"/>
      <c r="G136" s="2164"/>
      <c r="H136" s="2528"/>
      <c r="I136" s="2528"/>
      <c r="J136" s="2528"/>
      <c r="K136" s="2163"/>
      <c r="L136" s="2528"/>
      <c r="M136" s="2163"/>
    </row>
    <row r="137" spans="1:15">
      <c r="A137" s="2160" t="s">
        <v>2634</v>
      </c>
      <c r="B137" s="2161"/>
      <c r="C137" s="2160" t="s">
        <v>2635</v>
      </c>
      <c r="D137" s="2161"/>
      <c r="E137" s="2160" t="s">
        <v>2640</v>
      </c>
      <c r="F137" s="2161"/>
    </row>
    <row r="138" spans="1:15">
      <c r="A138" s="2163"/>
      <c r="B138" s="2163"/>
      <c r="C138" s="2163"/>
      <c r="D138" s="2163"/>
      <c r="E138" s="2163"/>
      <c r="F138" s="2163"/>
      <c r="G138" s="2163"/>
      <c r="H138" s="2163"/>
      <c r="I138" s="2163"/>
      <c r="J138" s="2163"/>
      <c r="K138" s="2163"/>
      <c r="L138" s="2163"/>
      <c r="M138" s="2163"/>
    </row>
    <row r="139" spans="1:15">
      <c r="A139" s="2164"/>
      <c r="H139" s="2522" t="s">
        <v>2637</v>
      </c>
      <c r="I139" s="2522"/>
      <c r="J139" s="2163"/>
      <c r="K139" s="2523">
        <v>0</v>
      </c>
      <c r="L139" s="2523"/>
      <c r="M139" s="2163"/>
      <c r="N139" s="2527"/>
      <c r="O139" s="2163"/>
    </row>
    <row r="140" spans="1:15">
      <c r="H140" s="2163"/>
      <c r="I140" s="2163"/>
      <c r="J140" s="2163"/>
      <c r="K140" s="2523"/>
      <c r="L140" s="2523"/>
      <c r="N140" s="2527"/>
    </row>
    <row r="141" spans="1:15">
      <c r="A141" s="2165">
        <v>34106</v>
      </c>
      <c r="B141" s="2163"/>
      <c r="C141" s="2524" t="s">
        <v>2657</v>
      </c>
      <c r="D141" s="2524"/>
      <c r="E141" s="2524"/>
      <c r="F141" s="2524"/>
      <c r="G141" s="2524"/>
      <c r="H141" s="2524"/>
      <c r="I141" s="2524"/>
      <c r="J141" s="2163"/>
      <c r="K141" s="2163"/>
      <c r="L141" s="2163"/>
      <c r="M141" s="2163"/>
    </row>
    <row r="142" spans="1:15">
      <c r="A142" s="2163"/>
      <c r="B142" s="2163"/>
      <c r="C142" s="2163"/>
      <c r="D142" s="2163"/>
      <c r="E142" s="2163"/>
      <c r="F142" s="2163"/>
      <c r="G142" s="2163"/>
      <c r="H142" s="2163"/>
      <c r="I142" s="2163"/>
      <c r="J142" s="2163"/>
      <c r="K142" s="2163"/>
      <c r="L142" s="2163"/>
      <c r="M142" s="2163"/>
    </row>
    <row r="143" spans="1:15">
      <c r="A143" s="2529"/>
      <c r="B143" s="2529"/>
      <c r="C143" s="2529"/>
      <c r="D143" s="2166"/>
      <c r="E143" s="2166"/>
      <c r="F143" s="2166"/>
      <c r="G143" s="2166"/>
      <c r="H143" s="2525"/>
      <c r="I143" s="2525"/>
      <c r="J143" s="2525"/>
      <c r="K143" s="2166"/>
      <c r="L143" s="2167"/>
      <c r="M143" s="2166"/>
    </row>
    <row r="144" spans="1:15">
      <c r="A144" s="2164"/>
      <c r="B144" s="2164"/>
      <c r="C144" s="2164"/>
      <c r="D144" s="2164"/>
      <c r="E144" s="2522" t="s">
        <v>2639</v>
      </c>
      <c r="F144" s="2522"/>
      <c r="G144" s="2164"/>
      <c r="H144" s="2523">
        <v>0</v>
      </c>
      <c r="I144" s="2523"/>
      <c r="J144" s="2523"/>
      <c r="K144" s="2163"/>
      <c r="L144" s="2523">
        <v>0</v>
      </c>
      <c r="M144" s="2163"/>
    </row>
    <row r="145" spans="1:15">
      <c r="A145" s="2164"/>
      <c r="B145" s="2164"/>
      <c r="C145" s="2164"/>
      <c r="D145" s="2164"/>
      <c r="E145" s="2164"/>
      <c r="F145" s="2164"/>
      <c r="G145" s="2164"/>
      <c r="H145" s="2523"/>
      <c r="I145" s="2523"/>
      <c r="J145" s="2523"/>
      <c r="K145" s="2163"/>
      <c r="L145" s="2523"/>
      <c r="M145" s="2163"/>
    </row>
    <row r="146" spans="1:15">
      <c r="A146" s="2160" t="s">
        <v>2634</v>
      </c>
      <c r="B146" s="2161"/>
      <c r="C146" s="2160" t="s">
        <v>2635</v>
      </c>
      <c r="D146" s="2161"/>
      <c r="E146" s="2160" t="s">
        <v>2640</v>
      </c>
      <c r="F146" s="2161"/>
    </row>
    <row r="147" spans="1:15">
      <c r="A147" s="2163"/>
      <c r="B147" s="2163"/>
      <c r="C147" s="2163"/>
      <c r="D147" s="2163"/>
      <c r="E147" s="2163"/>
      <c r="F147" s="2163"/>
      <c r="G147" s="2163"/>
      <c r="H147" s="2163"/>
      <c r="I147" s="2163"/>
      <c r="J147" s="2163"/>
      <c r="K147" s="2163"/>
      <c r="L147" s="2163"/>
      <c r="M147" s="2163"/>
    </row>
    <row r="148" spans="1:15">
      <c r="A148" s="2164"/>
      <c r="H148" s="2522" t="s">
        <v>2637</v>
      </c>
      <c r="I148" s="2522"/>
      <c r="J148" s="2163"/>
      <c r="K148" s="2523">
        <v>0</v>
      </c>
      <c r="L148" s="2523"/>
      <c r="M148" s="2163"/>
      <c r="N148" s="2527"/>
      <c r="O148" s="2163"/>
    </row>
    <row r="149" spans="1:15">
      <c r="H149" s="2163"/>
      <c r="I149" s="2163"/>
      <c r="J149" s="2163"/>
      <c r="K149" s="2523"/>
      <c r="L149" s="2523"/>
      <c r="N149" s="2527"/>
    </row>
    <row r="150" spans="1:15">
      <c r="A150" s="2165">
        <v>33186</v>
      </c>
      <c r="B150" s="2163"/>
      <c r="C150" s="2524" t="s">
        <v>2976</v>
      </c>
      <c r="D150" s="2524"/>
      <c r="E150" s="2524"/>
      <c r="F150" s="2524"/>
      <c r="G150" s="2524"/>
      <c r="H150" s="2524"/>
      <c r="I150" s="2524"/>
      <c r="J150" s="2163"/>
      <c r="K150" s="2163"/>
      <c r="L150" s="2163"/>
      <c r="M150" s="2163"/>
    </row>
    <row r="151" spans="1:15">
      <c r="A151" s="2163"/>
      <c r="B151" s="2163"/>
      <c r="C151" s="2163"/>
      <c r="D151" s="2163"/>
      <c r="E151" s="2163"/>
      <c r="F151" s="2163"/>
      <c r="G151" s="2163"/>
      <c r="H151" s="2163"/>
      <c r="I151" s="2163"/>
      <c r="J151" s="2163"/>
      <c r="K151" s="2163"/>
      <c r="L151" s="2163"/>
      <c r="M151" s="2163"/>
    </row>
    <row r="152" spans="1:15">
      <c r="A152" s="2529"/>
      <c r="B152" s="2529"/>
      <c r="C152" s="2529"/>
      <c r="D152" s="2166"/>
      <c r="E152" s="2166"/>
      <c r="F152" s="2166"/>
      <c r="G152" s="2166"/>
      <c r="H152" s="2525"/>
      <c r="I152" s="2525"/>
      <c r="J152" s="2525"/>
      <c r="K152" s="2166"/>
      <c r="L152" s="2167"/>
      <c r="M152" s="2166"/>
    </row>
    <row r="153" spans="1:15">
      <c r="A153" s="2164"/>
      <c r="B153" s="2164"/>
      <c r="C153" s="2164"/>
      <c r="D153" s="2164"/>
      <c r="E153" s="2522" t="s">
        <v>2639</v>
      </c>
      <c r="F153" s="2522"/>
      <c r="G153" s="2164"/>
      <c r="H153" s="2523">
        <v>0</v>
      </c>
      <c r="I153" s="2523"/>
      <c r="J153" s="2523"/>
      <c r="K153" s="2163"/>
      <c r="L153" s="2523">
        <v>0</v>
      </c>
      <c r="M153" s="2163"/>
    </row>
    <row r="154" spans="1:15">
      <c r="A154" s="2164"/>
      <c r="B154" s="2164"/>
      <c r="C154" s="2164"/>
      <c r="D154" s="2164"/>
      <c r="E154" s="2164"/>
      <c r="F154" s="2164"/>
      <c r="G154" s="2164"/>
      <c r="H154" s="2523"/>
      <c r="I154" s="2523"/>
      <c r="J154" s="2523"/>
      <c r="K154" s="2163"/>
      <c r="L154" s="2523"/>
      <c r="M154" s="2163"/>
    </row>
    <row r="155" spans="1:15">
      <c r="A155" s="2160" t="s">
        <v>2634</v>
      </c>
      <c r="B155" s="2161"/>
      <c r="C155" s="2160" t="s">
        <v>2635</v>
      </c>
      <c r="D155" s="2161"/>
      <c r="E155" s="2160" t="s">
        <v>2640</v>
      </c>
      <c r="F155" s="2161"/>
    </row>
    <row r="156" spans="1:15">
      <c r="A156" s="2163"/>
      <c r="B156" s="2163"/>
      <c r="C156" s="2163"/>
      <c r="D156" s="2163"/>
      <c r="E156" s="2163"/>
      <c r="F156" s="2163"/>
      <c r="G156" s="2163"/>
      <c r="H156" s="2163"/>
      <c r="I156" s="2163"/>
      <c r="J156" s="2163"/>
      <c r="K156" s="2163"/>
      <c r="L156" s="2163"/>
      <c r="M156" s="2163"/>
    </row>
    <row r="157" spans="1:15">
      <c r="A157" s="2164"/>
      <c r="H157" s="2522" t="s">
        <v>2637</v>
      </c>
      <c r="I157" s="2522"/>
      <c r="J157" s="2163"/>
      <c r="K157" s="2523">
        <v>0</v>
      </c>
      <c r="L157" s="2523"/>
      <c r="M157" s="2163"/>
      <c r="N157" s="2527"/>
      <c r="O157" s="2163"/>
    </row>
    <row r="158" spans="1:15">
      <c r="H158" s="2163"/>
      <c r="I158" s="2163"/>
      <c r="J158" s="2163"/>
      <c r="K158" s="2523"/>
      <c r="L158" s="2523"/>
      <c r="N158" s="2527"/>
    </row>
    <row r="159" spans="1:15">
      <c r="A159" s="2165">
        <v>44234</v>
      </c>
      <c r="B159" s="2163"/>
      <c r="C159" s="2524" t="s">
        <v>2658</v>
      </c>
      <c r="D159" s="2524"/>
      <c r="E159" s="2524"/>
      <c r="F159" s="2524"/>
      <c r="G159" s="2524"/>
      <c r="H159" s="2524"/>
      <c r="I159" s="2524"/>
      <c r="J159" s="2163"/>
      <c r="K159" s="2163"/>
      <c r="L159" s="2163"/>
      <c r="M159" s="2163"/>
    </row>
    <row r="160" spans="1:15">
      <c r="A160" s="2163"/>
      <c r="B160" s="2163"/>
      <c r="C160" s="2163"/>
      <c r="D160" s="2163"/>
      <c r="E160" s="2163"/>
      <c r="F160" s="2163"/>
      <c r="G160" s="2163"/>
      <c r="H160" s="2163"/>
      <c r="I160" s="2163"/>
      <c r="J160" s="2163"/>
      <c r="K160" s="2163"/>
      <c r="L160" s="2163"/>
      <c r="M160" s="2163"/>
    </row>
    <row r="161" spans="1:15">
      <c r="A161" s="2529"/>
      <c r="B161" s="2529"/>
      <c r="C161" s="2529"/>
      <c r="D161" s="2166"/>
      <c r="E161" s="2166"/>
      <c r="F161" s="2166"/>
      <c r="G161" s="2166"/>
      <c r="H161" s="2525"/>
      <c r="I161" s="2525"/>
      <c r="J161" s="2525"/>
      <c r="K161" s="2166"/>
      <c r="L161" s="2167"/>
      <c r="M161" s="2166"/>
    </row>
    <row r="162" spans="1:15">
      <c r="A162" s="2164"/>
      <c r="B162" s="2164"/>
      <c r="C162" s="2164"/>
      <c r="D162" s="2164"/>
      <c r="E162" s="2522" t="s">
        <v>2639</v>
      </c>
      <c r="F162" s="2522"/>
      <c r="G162" s="2164"/>
      <c r="H162" s="2523">
        <v>0</v>
      </c>
      <c r="I162" s="2523"/>
      <c r="J162" s="2523"/>
      <c r="K162" s="2163"/>
      <c r="L162" s="2523">
        <v>0</v>
      </c>
      <c r="M162" s="2163"/>
    </row>
    <row r="163" spans="1:15">
      <c r="A163" s="2164"/>
      <c r="B163" s="2164"/>
      <c r="C163" s="2164"/>
      <c r="D163" s="2164"/>
      <c r="E163" s="2164"/>
      <c r="F163" s="2164"/>
      <c r="G163" s="2164"/>
      <c r="H163" s="2523"/>
      <c r="I163" s="2523"/>
      <c r="J163" s="2523"/>
      <c r="K163" s="2163"/>
      <c r="L163" s="2523"/>
      <c r="M163" s="2163"/>
    </row>
    <row r="164" spans="1:15">
      <c r="A164" s="2160" t="s">
        <v>2634</v>
      </c>
      <c r="B164" s="2161"/>
      <c r="C164" s="2160" t="s">
        <v>2635</v>
      </c>
      <c r="D164" s="2161"/>
      <c r="E164" s="2160" t="s">
        <v>2640</v>
      </c>
      <c r="F164" s="2161"/>
    </row>
    <row r="165" spans="1:15">
      <c r="A165" s="2163"/>
      <c r="B165" s="2163"/>
      <c r="C165" s="2163"/>
      <c r="D165" s="2163"/>
      <c r="E165" s="2163"/>
      <c r="F165" s="2163"/>
      <c r="G165" s="2163"/>
      <c r="H165" s="2163"/>
      <c r="I165" s="2163"/>
      <c r="J165" s="2163"/>
      <c r="K165" s="2163"/>
      <c r="L165" s="2163"/>
      <c r="M165" s="2163"/>
    </row>
    <row r="166" spans="1:15">
      <c r="A166" s="2164"/>
      <c r="H166" s="2522" t="s">
        <v>2637</v>
      </c>
      <c r="I166" s="2522"/>
      <c r="J166" s="2163"/>
      <c r="K166" s="2523">
        <v>0</v>
      </c>
      <c r="L166" s="2523"/>
      <c r="M166" s="2163"/>
      <c r="N166" s="2527"/>
      <c r="O166" s="2163"/>
    </row>
    <row r="167" spans="1:15">
      <c r="H167" s="2163"/>
      <c r="I167" s="2163"/>
      <c r="J167" s="2163"/>
      <c r="K167" s="2523"/>
      <c r="L167" s="2523"/>
      <c r="N167" s="2527"/>
    </row>
    <row r="168" spans="1:15">
      <c r="A168" s="2165">
        <v>41794</v>
      </c>
      <c r="B168" s="2163"/>
      <c r="C168" s="2524" t="s">
        <v>2659</v>
      </c>
      <c r="D168" s="2524"/>
      <c r="E168" s="2524"/>
      <c r="F168" s="2524"/>
      <c r="G168" s="2524"/>
      <c r="H168" s="2524"/>
      <c r="I168" s="2524"/>
      <c r="J168" s="2163"/>
      <c r="K168" s="2163"/>
      <c r="L168" s="2163"/>
      <c r="M168" s="2163"/>
    </row>
    <row r="169" spans="1:15">
      <c r="A169" s="2163"/>
      <c r="B169" s="2163"/>
      <c r="C169" s="2163"/>
      <c r="D169" s="2163"/>
      <c r="E169" s="2163"/>
      <c r="F169" s="2163"/>
      <c r="G169" s="2163"/>
      <c r="H169" s="2163"/>
      <c r="I169" s="2163"/>
      <c r="J169" s="2163"/>
      <c r="K169" s="2163"/>
      <c r="L169" s="2163"/>
      <c r="M169" s="2163"/>
    </row>
    <row r="170" spans="1:15">
      <c r="A170" s="2529"/>
      <c r="B170" s="2529"/>
      <c r="C170" s="2529"/>
      <c r="D170" s="2166"/>
      <c r="E170" s="2166"/>
      <c r="F170" s="2166"/>
      <c r="G170" s="2166"/>
      <c r="H170" s="2525"/>
      <c r="I170" s="2525"/>
      <c r="J170" s="2525"/>
      <c r="K170" s="2166"/>
      <c r="L170" s="2167"/>
      <c r="M170" s="2166"/>
    </row>
    <row r="171" spans="1:15">
      <c r="A171" s="2164"/>
      <c r="B171" s="2164"/>
      <c r="C171" s="2164"/>
      <c r="D171" s="2164"/>
      <c r="E171" s="2522" t="s">
        <v>2639</v>
      </c>
      <c r="F171" s="2522"/>
      <c r="G171" s="2164"/>
      <c r="H171" s="2523">
        <v>0</v>
      </c>
      <c r="I171" s="2523"/>
      <c r="J171" s="2523"/>
      <c r="K171" s="2163"/>
      <c r="L171" s="2523">
        <v>0</v>
      </c>
      <c r="M171" s="2163"/>
    </row>
    <row r="172" spans="1:15">
      <c r="A172" s="2164"/>
      <c r="B172" s="2164"/>
      <c r="C172" s="2164"/>
      <c r="D172" s="2164"/>
      <c r="E172" s="2164"/>
      <c r="F172" s="2164"/>
      <c r="G172" s="2164"/>
      <c r="H172" s="2523"/>
      <c r="I172" s="2523"/>
      <c r="J172" s="2523"/>
      <c r="K172" s="2163"/>
      <c r="L172" s="2523"/>
      <c r="M172" s="2163"/>
    </row>
    <row r="173" spans="1:15">
      <c r="A173" s="2160" t="s">
        <v>2634</v>
      </c>
      <c r="B173" s="2161"/>
      <c r="C173" s="2160" t="s">
        <v>2635</v>
      </c>
      <c r="D173" s="2161"/>
      <c r="E173" s="2160" t="s">
        <v>2640</v>
      </c>
      <c r="F173" s="2161"/>
    </row>
    <row r="174" spans="1:15">
      <c r="A174" s="2163"/>
      <c r="B174" s="2163"/>
      <c r="C174" s="2163"/>
      <c r="D174" s="2163"/>
      <c r="E174" s="2163"/>
      <c r="F174" s="2163"/>
      <c r="G174" s="2163"/>
      <c r="H174" s="2163"/>
      <c r="I174" s="2163"/>
      <c r="J174" s="2163"/>
      <c r="K174" s="2163"/>
      <c r="L174" s="2163"/>
      <c r="M174" s="2163"/>
    </row>
    <row r="175" spans="1:15">
      <c r="A175" s="2164"/>
      <c r="H175" s="2522" t="s">
        <v>2637</v>
      </c>
      <c r="I175" s="2522"/>
      <c r="J175" s="2163"/>
      <c r="K175" s="2523">
        <v>0</v>
      </c>
      <c r="L175" s="2523"/>
      <c r="M175" s="2163"/>
      <c r="N175" s="2527"/>
      <c r="O175" s="2163"/>
    </row>
    <row r="176" spans="1:15">
      <c r="H176" s="2163"/>
      <c r="I176" s="2163"/>
      <c r="J176" s="2163"/>
      <c r="K176" s="2523"/>
      <c r="L176" s="2523"/>
      <c r="N176" s="2527"/>
    </row>
    <row r="177" spans="1:15">
      <c r="A177" s="2165">
        <v>41538</v>
      </c>
      <c r="B177" s="2163"/>
      <c r="C177" s="2524" t="s">
        <v>2977</v>
      </c>
      <c r="D177" s="2524"/>
      <c r="E177" s="2524"/>
      <c r="F177" s="2524"/>
      <c r="G177" s="2524"/>
      <c r="H177" s="2524"/>
      <c r="I177" s="2524"/>
      <c r="J177" s="2163"/>
      <c r="K177" s="2163"/>
      <c r="L177" s="2163"/>
      <c r="M177" s="2163"/>
    </row>
    <row r="178" spans="1:15">
      <c r="A178" s="2163"/>
      <c r="B178" s="2163"/>
      <c r="C178" s="2163"/>
      <c r="D178" s="2163"/>
      <c r="E178" s="2163"/>
      <c r="F178" s="2163"/>
      <c r="G178" s="2163"/>
      <c r="H178" s="2163"/>
      <c r="I178" s="2163"/>
      <c r="J178" s="2163"/>
      <c r="K178" s="2163"/>
      <c r="L178" s="2163"/>
      <c r="M178" s="2163"/>
    </row>
    <row r="179" spans="1:15">
      <c r="A179" s="2529"/>
      <c r="B179" s="2529"/>
      <c r="C179" s="2529"/>
      <c r="D179" s="2166"/>
      <c r="E179" s="2166"/>
      <c r="F179" s="2166"/>
      <c r="G179" s="2166"/>
      <c r="H179" s="2525"/>
      <c r="I179" s="2525"/>
      <c r="J179" s="2525"/>
      <c r="K179" s="2166"/>
      <c r="L179" s="2167"/>
      <c r="M179" s="2166"/>
    </row>
    <row r="180" spans="1:15">
      <c r="A180" s="2164"/>
      <c r="B180" s="2164"/>
      <c r="C180" s="2164"/>
      <c r="D180" s="2164"/>
      <c r="E180" s="2522" t="s">
        <v>2639</v>
      </c>
      <c r="F180" s="2522"/>
      <c r="G180" s="2164"/>
      <c r="H180" s="2523">
        <v>0</v>
      </c>
      <c r="I180" s="2523"/>
      <c r="J180" s="2523"/>
      <c r="K180" s="2163"/>
      <c r="L180" s="2523">
        <v>0</v>
      </c>
      <c r="M180" s="2163"/>
    </row>
    <row r="181" spans="1:15">
      <c r="A181" s="2164"/>
      <c r="B181" s="2164"/>
      <c r="C181" s="2164"/>
      <c r="D181" s="2164"/>
      <c r="E181" s="2164"/>
      <c r="F181" s="2164"/>
      <c r="G181" s="2164"/>
      <c r="H181" s="2523"/>
      <c r="I181" s="2523"/>
      <c r="J181" s="2523"/>
      <c r="K181" s="2163"/>
      <c r="L181" s="2523"/>
      <c r="M181" s="2163"/>
    </row>
    <row r="182" spans="1:15">
      <c r="A182" s="2160" t="s">
        <v>2634</v>
      </c>
      <c r="B182" s="2161"/>
      <c r="C182" s="2160" t="s">
        <v>2635</v>
      </c>
      <c r="D182" s="2161"/>
      <c r="E182" s="2160" t="s">
        <v>2640</v>
      </c>
      <c r="F182" s="2161"/>
    </row>
    <row r="183" spans="1:15">
      <c r="A183" s="2163"/>
      <c r="B183" s="2163"/>
      <c r="C183" s="2163"/>
      <c r="D183" s="2163"/>
      <c r="E183" s="2163"/>
      <c r="F183" s="2163"/>
      <c r="G183" s="2163"/>
      <c r="H183" s="2163"/>
      <c r="I183" s="2163"/>
      <c r="J183" s="2163"/>
      <c r="K183" s="2163"/>
      <c r="L183" s="2163"/>
      <c r="M183" s="2163"/>
    </row>
    <row r="184" spans="1:15">
      <c r="A184" s="2164"/>
      <c r="H184" s="2522" t="s">
        <v>2637</v>
      </c>
      <c r="I184" s="2522"/>
      <c r="J184" s="2163"/>
      <c r="K184" s="2523">
        <v>0</v>
      </c>
      <c r="L184" s="2523"/>
      <c r="M184" s="2163"/>
      <c r="N184" s="2527"/>
      <c r="O184" s="2163"/>
    </row>
    <row r="185" spans="1:15">
      <c r="H185" s="2163"/>
      <c r="I185" s="2163"/>
      <c r="J185" s="2163"/>
      <c r="K185" s="2523"/>
      <c r="L185" s="2523"/>
      <c r="N185" s="2527"/>
    </row>
    <row r="186" spans="1:15">
      <c r="A186" s="2165">
        <v>39845</v>
      </c>
      <c r="B186" s="2163"/>
      <c r="C186" s="2524" t="s">
        <v>2660</v>
      </c>
      <c r="D186" s="2524"/>
      <c r="E186" s="2524"/>
      <c r="F186" s="2524"/>
      <c r="G186" s="2524"/>
      <c r="H186" s="2524"/>
      <c r="I186" s="2524"/>
      <c r="J186" s="2163"/>
      <c r="K186" s="2163"/>
      <c r="L186" s="2163"/>
      <c r="M186" s="2163"/>
    </row>
    <row r="187" spans="1:15">
      <c r="A187" s="2163"/>
      <c r="B187" s="2163"/>
      <c r="C187" s="2163"/>
      <c r="D187" s="2163"/>
      <c r="E187" s="2163"/>
      <c r="F187" s="2163"/>
      <c r="G187" s="2163"/>
      <c r="H187" s="2163"/>
      <c r="I187" s="2163"/>
      <c r="J187" s="2163"/>
      <c r="K187" s="2163"/>
      <c r="L187" s="2163"/>
      <c r="M187" s="2163"/>
    </row>
    <row r="188" spans="1:15">
      <c r="A188" s="2529"/>
      <c r="B188" s="2529"/>
      <c r="C188" s="2529"/>
      <c r="D188" s="2166"/>
      <c r="E188" s="2166"/>
      <c r="F188" s="2166"/>
      <c r="G188" s="2166"/>
      <c r="H188" s="2525"/>
      <c r="I188" s="2525"/>
      <c r="J188" s="2525"/>
      <c r="K188" s="2166"/>
      <c r="L188" s="2167"/>
      <c r="M188" s="2166"/>
    </row>
    <row r="189" spans="1:15">
      <c r="A189" s="2164"/>
      <c r="B189" s="2164"/>
      <c r="C189" s="2164"/>
      <c r="D189" s="2164"/>
      <c r="E189" s="2522" t="s">
        <v>2639</v>
      </c>
      <c r="F189" s="2522"/>
      <c r="G189" s="2164"/>
      <c r="H189" s="2523">
        <v>0</v>
      </c>
      <c r="I189" s="2523"/>
      <c r="J189" s="2523"/>
      <c r="K189" s="2163"/>
      <c r="L189" s="2523">
        <v>0</v>
      </c>
      <c r="M189" s="2163"/>
    </row>
    <row r="190" spans="1:15">
      <c r="A190" s="2164"/>
      <c r="B190" s="2164"/>
      <c r="C190" s="2164"/>
      <c r="D190" s="2164"/>
      <c r="E190" s="2164"/>
      <c r="F190" s="2164"/>
      <c r="G190" s="2164"/>
      <c r="H190" s="2523"/>
      <c r="I190" s="2523"/>
      <c r="J190" s="2523"/>
      <c r="K190" s="2163"/>
      <c r="L190" s="2523"/>
      <c r="M190" s="2163"/>
    </row>
    <row r="191" spans="1:15">
      <c r="A191" s="2160" t="s">
        <v>2634</v>
      </c>
      <c r="B191" s="2161"/>
      <c r="C191" s="2160" t="s">
        <v>2635</v>
      </c>
      <c r="D191" s="2161"/>
      <c r="E191" s="2160" t="s">
        <v>2640</v>
      </c>
      <c r="F191" s="2161"/>
    </row>
    <row r="192" spans="1:15">
      <c r="A192" s="2163"/>
      <c r="B192" s="2163"/>
      <c r="C192" s="2163"/>
      <c r="D192" s="2163"/>
      <c r="E192" s="2163"/>
      <c r="F192" s="2163"/>
      <c r="G192" s="2163"/>
      <c r="H192" s="2163"/>
      <c r="I192" s="2163"/>
      <c r="J192" s="2163"/>
      <c r="K192" s="2163"/>
      <c r="L192" s="2163"/>
      <c r="M192" s="2163"/>
    </row>
    <row r="193" spans="1:15">
      <c r="A193" s="2164"/>
      <c r="H193" s="2522" t="s">
        <v>2637</v>
      </c>
      <c r="I193" s="2522"/>
      <c r="J193" s="2163"/>
      <c r="K193" s="2523">
        <v>0</v>
      </c>
      <c r="L193" s="2523"/>
      <c r="M193" s="2163"/>
      <c r="N193" s="2527"/>
      <c r="O193" s="2163"/>
    </row>
    <row r="194" spans="1:15">
      <c r="H194" s="2163"/>
      <c r="I194" s="2163"/>
      <c r="J194" s="2163"/>
      <c r="K194" s="2523"/>
      <c r="L194" s="2523"/>
      <c r="N194" s="2527"/>
    </row>
    <row r="195" spans="1:15">
      <c r="A195" s="2165">
        <v>39350</v>
      </c>
      <c r="B195" s="2163"/>
      <c r="C195" s="2524" t="s">
        <v>2661</v>
      </c>
      <c r="D195" s="2524"/>
      <c r="E195" s="2524"/>
      <c r="F195" s="2524"/>
      <c r="G195" s="2524"/>
      <c r="H195" s="2524"/>
      <c r="I195" s="2524"/>
      <c r="J195" s="2163"/>
      <c r="K195" s="2163"/>
      <c r="L195" s="2163"/>
      <c r="M195" s="2163"/>
    </row>
    <row r="196" spans="1:15">
      <c r="A196" s="2163"/>
      <c r="B196" s="2163"/>
      <c r="C196" s="2163"/>
      <c r="D196" s="2163"/>
      <c r="E196" s="2163"/>
      <c r="F196" s="2163"/>
      <c r="G196" s="2163"/>
      <c r="H196" s="2163"/>
      <c r="I196" s="2163"/>
      <c r="J196" s="2163"/>
      <c r="K196" s="2163"/>
      <c r="L196" s="2163"/>
      <c r="M196" s="2163"/>
    </row>
    <row r="197" spans="1:15">
      <c r="A197" s="2529"/>
      <c r="B197" s="2529"/>
      <c r="C197" s="2529"/>
      <c r="D197" s="2166"/>
      <c r="E197" s="2166"/>
      <c r="F197" s="2166"/>
      <c r="G197" s="2166"/>
      <c r="H197" s="2525"/>
      <c r="I197" s="2525"/>
      <c r="J197" s="2525"/>
      <c r="K197" s="2166"/>
      <c r="L197" s="2167"/>
      <c r="M197" s="2166"/>
    </row>
    <row r="198" spans="1:15">
      <c r="A198" s="2164"/>
      <c r="B198" s="2164"/>
      <c r="C198" s="2164"/>
      <c r="D198" s="2164"/>
      <c r="E198" s="2522" t="s">
        <v>2639</v>
      </c>
      <c r="F198" s="2522"/>
      <c r="G198" s="2164"/>
      <c r="H198" s="2523">
        <v>0</v>
      </c>
      <c r="I198" s="2523"/>
      <c r="J198" s="2523"/>
      <c r="K198" s="2163"/>
      <c r="L198" s="2523">
        <v>0</v>
      </c>
      <c r="M198" s="2163"/>
    </row>
    <row r="199" spans="1:15">
      <c r="A199" s="2164"/>
      <c r="B199" s="2164"/>
      <c r="C199" s="2164"/>
      <c r="D199" s="2164"/>
      <c r="E199" s="2164"/>
      <c r="F199" s="2164"/>
      <c r="G199" s="2164"/>
      <c r="H199" s="2523"/>
      <c r="I199" s="2523"/>
      <c r="J199" s="2523"/>
      <c r="K199" s="2163"/>
      <c r="L199" s="2523"/>
      <c r="M199" s="2163"/>
    </row>
    <row r="200" spans="1:15">
      <c r="A200" s="2160" t="s">
        <v>2634</v>
      </c>
      <c r="B200" s="2161"/>
      <c r="C200" s="2160" t="s">
        <v>2635</v>
      </c>
      <c r="D200" s="2161"/>
      <c r="E200" s="2160" t="s">
        <v>2640</v>
      </c>
      <c r="F200" s="2161"/>
    </row>
    <row r="201" spans="1:15">
      <c r="A201" s="2163"/>
      <c r="B201" s="2163"/>
      <c r="C201" s="2163"/>
      <c r="D201" s="2163"/>
      <c r="E201" s="2163"/>
      <c r="F201" s="2163"/>
      <c r="G201" s="2163"/>
      <c r="H201" s="2163"/>
      <c r="I201" s="2163"/>
      <c r="J201" s="2163"/>
      <c r="K201" s="2163"/>
      <c r="L201" s="2163"/>
      <c r="M201" s="2163"/>
    </row>
    <row r="202" spans="1:15">
      <c r="A202" s="2164"/>
      <c r="H202" s="2522" t="s">
        <v>2637</v>
      </c>
      <c r="I202" s="2522"/>
      <c r="J202" s="2163"/>
      <c r="K202" s="2523">
        <v>0</v>
      </c>
      <c r="L202" s="2523"/>
      <c r="M202" s="2163"/>
      <c r="N202" s="2527"/>
      <c r="O202" s="2163"/>
    </row>
    <row r="203" spans="1:15">
      <c r="H203" s="2163"/>
      <c r="I203" s="2163"/>
      <c r="J203" s="2163"/>
      <c r="K203" s="2523"/>
      <c r="L203" s="2523"/>
      <c r="N203" s="2527"/>
    </row>
    <row r="204" spans="1:15">
      <c r="A204" s="2165">
        <v>46553</v>
      </c>
      <c r="B204" s="2163"/>
      <c r="C204" s="2524" t="s">
        <v>2662</v>
      </c>
      <c r="D204" s="2524"/>
      <c r="E204" s="2524"/>
      <c r="F204" s="2524"/>
      <c r="G204" s="2524"/>
      <c r="H204" s="2524"/>
      <c r="I204" s="2524"/>
      <c r="J204" s="2163"/>
      <c r="K204" s="2163"/>
      <c r="L204" s="2163"/>
      <c r="M204" s="2163"/>
    </row>
    <row r="205" spans="1:15">
      <c r="A205" s="2163"/>
      <c r="B205" s="2163"/>
      <c r="C205" s="2163"/>
      <c r="D205" s="2163"/>
      <c r="E205" s="2163"/>
      <c r="F205" s="2163"/>
      <c r="G205" s="2163"/>
      <c r="H205" s="2163"/>
      <c r="I205" s="2163"/>
      <c r="J205" s="2163"/>
      <c r="K205" s="2163"/>
      <c r="L205" s="2163"/>
      <c r="M205" s="2163"/>
    </row>
    <row r="206" spans="1:15">
      <c r="A206" s="2529"/>
      <c r="B206" s="2529"/>
      <c r="C206" s="2529"/>
      <c r="D206" s="2166"/>
      <c r="E206" s="2166"/>
      <c r="F206" s="2166"/>
      <c r="G206" s="2166"/>
      <c r="H206" s="2525"/>
      <c r="I206" s="2525"/>
      <c r="J206" s="2525"/>
      <c r="K206" s="2166"/>
      <c r="L206" s="2167"/>
      <c r="M206" s="2166"/>
    </row>
    <row r="207" spans="1:15">
      <c r="A207" s="2164"/>
      <c r="B207" s="2164"/>
      <c r="C207" s="2164"/>
      <c r="D207" s="2164"/>
      <c r="E207" s="2522" t="s">
        <v>2639</v>
      </c>
      <c r="F207" s="2522"/>
      <c r="G207" s="2164"/>
      <c r="H207" s="2523">
        <v>0</v>
      </c>
      <c r="I207" s="2523"/>
      <c r="J207" s="2523"/>
      <c r="K207" s="2163"/>
      <c r="L207" s="2523">
        <v>0</v>
      </c>
      <c r="M207" s="2163"/>
    </row>
    <row r="208" spans="1:15">
      <c r="A208" s="2164"/>
      <c r="B208" s="2164"/>
      <c r="C208" s="2164"/>
      <c r="D208" s="2164"/>
      <c r="E208" s="2164"/>
      <c r="F208" s="2164"/>
      <c r="G208" s="2164"/>
      <c r="H208" s="2523"/>
      <c r="I208" s="2523"/>
      <c r="J208" s="2523"/>
      <c r="K208" s="2163"/>
      <c r="L208" s="2523"/>
      <c r="M208" s="2163"/>
    </row>
    <row r="209" spans="1:15">
      <c r="A209" s="2160" t="s">
        <v>2634</v>
      </c>
      <c r="B209" s="2161"/>
      <c r="C209" s="2160" t="s">
        <v>2635</v>
      </c>
      <c r="D209" s="2161"/>
      <c r="E209" s="2160" t="s">
        <v>2640</v>
      </c>
      <c r="F209" s="2161"/>
    </row>
    <row r="210" spans="1:15">
      <c r="A210" s="2163"/>
      <c r="B210" s="2163"/>
      <c r="C210" s="2163"/>
      <c r="D210" s="2163"/>
      <c r="E210" s="2163"/>
      <c r="F210" s="2163"/>
      <c r="G210" s="2163"/>
      <c r="H210" s="2163"/>
      <c r="I210" s="2163"/>
      <c r="J210" s="2163"/>
      <c r="K210" s="2163"/>
      <c r="L210" s="2163"/>
      <c r="M210" s="2163"/>
    </row>
    <row r="211" spans="1:15">
      <c r="A211" s="2164"/>
      <c r="H211" s="2522" t="s">
        <v>2637</v>
      </c>
      <c r="I211" s="2522"/>
      <c r="J211" s="2163"/>
      <c r="K211" s="2523">
        <v>0</v>
      </c>
      <c r="L211" s="2523"/>
      <c r="M211" s="2163"/>
      <c r="N211" s="2527"/>
      <c r="O211" s="2163"/>
    </row>
    <row r="212" spans="1:15">
      <c r="H212" s="2163"/>
      <c r="I212" s="2163"/>
      <c r="J212" s="2163"/>
      <c r="K212" s="2523"/>
      <c r="L212" s="2523"/>
      <c r="N212" s="2527"/>
    </row>
    <row r="213" spans="1:15">
      <c r="A213" s="2165">
        <v>47667</v>
      </c>
      <c r="B213" s="2163"/>
      <c r="C213" s="2524" t="s">
        <v>2663</v>
      </c>
      <c r="D213" s="2524"/>
      <c r="E213" s="2524"/>
      <c r="F213" s="2524"/>
      <c r="G213" s="2524"/>
      <c r="H213" s="2524"/>
      <c r="I213" s="2524"/>
      <c r="J213" s="2163"/>
      <c r="K213" s="2163"/>
      <c r="L213" s="2163"/>
      <c r="M213" s="2163"/>
    </row>
    <row r="214" spans="1:15">
      <c r="A214" s="2163"/>
      <c r="B214" s="2163"/>
      <c r="C214" s="2163"/>
      <c r="D214" s="2163"/>
      <c r="E214" s="2163"/>
      <c r="F214" s="2163"/>
      <c r="G214" s="2163"/>
      <c r="H214" s="2163"/>
      <c r="I214" s="2163"/>
      <c r="J214" s="2163"/>
      <c r="K214" s="2163"/>
      <c r="L214" s="2163"/>
      <c r="M214" s="2163"/>
    </row>
    <row r="215" spans="1:15">
      <c r="A215" s="2529"/>
      <c r="B215" s="2529"/>
      <c r="C215" s="2529"/>
      <c r="D215" s="2166"/>
      <c r="E215" s="2166"/>
      <c r="F215" s="2166"/>
      <c r="G215" s="2166"/>
      <c r="H215" s="2525"/>
      <c r="I215" s="2525"/>
      <c r="J215" s="2525"/>
      <c r="K215" s="2166"/>
      <c r="L215" s="2167"/>
      <c r="M215" s="2166"/>
    </row>
    <row r="216" spans="1:15">
      <c r="A216" s="2164"/>
      <c r="B216" s="2164"/>
      <c r="C216" s="2164"/>
      <c r="D216" s="2164"/>
      <c r="E216" s="2522" t="s">
        <v>2639</v>
      </c>
      <c r="F216" s="2522"/>
      <c r="G216" s="2164"/>
      <c r="H216" s="2523">
        <v>0</v>
      </c>
      <c r="I216" s="2523"/>
      <c r="J216" s="2523"/>
      <c r="K216" s="2163"/>
      <c r="L216" s="2523">
        <v>0</v>
      </c>
      <c r="M216" s="2163"/>
    </row>
    <row r="217" spans="1:15">
      <c r="A217" s="2164"/>
      <c r="B217" s="2164"/>
      <c r="C217" s="2164"/>
      <c r="D217" s="2164"/>
      <c r="E217" s="2164"/>
      <c r="F217" s="2164"/>
      <c r="G217" s="2164"/>
      <c r="H217" s="2523"/>
      <c r="I217" s="2523"/>
      <c r="J217" s="2523"/>
      <c r="K217" s="2163"/>
      <c r="L217" s="2523"/>
      <c r="M217" s="2163"/>
    </row>
    <row r="218" spans="1:15">
      <c r="A218" s="2160" t="s">
        <v>2634</v>
      </c>
      <c r="B218" s="2161"/>
      <c r="C218" s="2160" t="s">
        <v>2635</v>
      </c>
      <c r="D218" s="2161"/>
      <c r="E218" s="2160" t="s">
        <v>2640</v>
      </c>
      <c r="F218" s="2161"/>
    </row>
    <row r="219" spans="1:15">
      <c r="A219" s="2163"/>
      <c r="B219" s="2163"/>
      <c r="C219" s="2163"/>
      <c r="D219" s="2163"/>
      <c r="E219" s="2163"/>
      <c r="F219" s="2163"/>
      <c r="G219" s="2163"/>
      <c r="H219" s="2163"/>
      <c r="I219" s="2163"/>
      <c r="J219" s="2163"/>
      <c r="K219" s="2163"/>
      <c r="L219" s="2163"/>
      <c r="M219" s="2163"/>
    </row>
    <row r="220" spans="1:15">
      <c r="A220" s="2164"/>
      <c r="H220" s="2522" t="s">
        <v>2637</v>
      </c>
      <c r="I220" s="2522"/>
      <c r="J220" s="2163"/>
      <c r="K220" s="2523">
        <v>0</v>
      </c>
      <c r="L220" s="2523"/>
      <c r="M220" s="2163"/>
      <c r="N220" s="2527"/>
      <c r="O220" s="2163"/>
    </row>
    <row r="221" spans="1:15">
      <c r="H221" s="2163"/>
      <c r="I221" s="2163"/>
      <c r="J221" s="2163"/>
      <c r="K221" s="2523"/>
      <c r="L221" s="2523"/>
      <c r="N221" s="2527"/>
    </row>
    <row r="222" spans="1:15">
      <c r="A222" s="2165">
        <v>48483</v>
      </c>
      <c r="B222" s="2163"/>
      <c r="C222" s="2524" t="s">
        <v>2664</v>
      </c>
      <c r="D222" s="2524"/>
      <c r="E222" s="2524"/>
      <c r="F222" s="2524"/>
      <c r="G222" s="2524"/>
      <c r="H222" s="2524"/>
      <c r="I222" s="2524"/>
      <c r="J222" s="2163"/>
      <c r="K222" s="2163"/>
      <c r="L222" s="2163"/>
      <c r="M222" s="2163"/>
    </row>
    <row r="223" spans="1:15">
      <c r="A223" s="2163"/>
      <c r="B223" s="2163"/>
      <c r="C223" s="2163"/>
      <c r="D223" s="2163"/>
      <c r="E223" s="2163"/>
      <c r="F223" s="2163"/>
      <c r="G223" s="2163"/>
      <c r="H223" s="2163"/>
      <c r="I223" s="2163"/>
      <c r="J223" s="2163"/>
      <c r="K223" s="2163"/>
      <c r="L223" s="2163"/>
      <c r="M223" s="2163"/>
    </row>
    <row r="224" spans="1:15">
      <c r="A224" s="2529"/>
      <c r="B224" s="2529"/>
      <c r="C224" s="2529"/>
      <c r="D224" s="2166"/>
      <c r="E224" s="2166"/>
      <c r="F224" s="2166"/>
      <c r="G224" s="2166"/>
      <c r="H224" s="2525"/>
      <c r="I224" s="2525"/>
      <c r="J224" s="2525"/>
      <c r="K224" s="2166"/>
      <c r="L224" s="2167"/>
      <c r="M224" s="2166"/>
    </row>
    <row r="225" spans="1:15">
      <c r="A225" s="2164"/>
      <c r="B225" s="2164"/>
      <c r="C225" s="2164"/>
      <c r="D225" s="2164"/>
      <c r="E225" s="2522" t="s">
        <v>2639</v>
      </c>
      <c r="F225" s="2522"/>
      <c r="G225" s="2164"/>
      <c r="H225" s="2523">
        <v>0</v>
      </c>
      <c r="I225" s="2523"/>
      <c r="J225" s="2523"/>
      <c r="K225" s="2163"/>
      <c r="L225" s="2523">
        <v>0</v>
      </c>
      <c r="M225" s="2163"/>
    </row>
    <row r="226" spans="1:15">
      <c r="A226" s="2164"/>
      <c r="B226" s="2164"/>
      <c r="C226" s="2164"/>
      <c r="D226" s="2164"/>
      <c r="E226" s="2164"/>
      <c r="F226" s="2164"/>
      <c r="G226" s="2164"/>
      <c r="H226" s="2523"/>
      <c r="I226" s="2523"/>
      <c r="J226" s="2523"/>
      <c r="K226" s="2163"/>
      <c r="L226" s="2523"/>
      <c r="M226" s="2163"/>
    </row>
    <row r="227" spans="1:15">
      <c r="A227" s="2160" t="s">
        <v>2634</v>
      </c>
      <c r="B227" s="2161"/>
      <c r="C227" s="2160" t="s">
        <v>2635</v>
      </c>
      <c r="D227" s="2161"/>
      <c r="E227" s="2160" t="s">
        <v>2640</v>
      </c>
      <c r="F227" s="2161"/>
    </row>
    <row r="228" spans="1:15">
      <c r="A228" s="2163"/>
      <c r="B228" s="2163"/>
      <c r="C228" s="2163"/>
      <c r="D228" s="2163"/>
      <c r="E228" s="2163"/>
      <c r="F228" s="2163"/>
      <c r="G228" s="2163"/>
      <c r="H228" s="2163"/>
      <c r="I228" s="2163"/>
      <c r="J228" s="2163"/>
      <c r="K228" s="2163"/>
      <c r="L228" s="2163"/>
      <c r="M228" s="2163"/>
    </row>
    <row r="229" spans="1:15">
      <c r="A229" s="2164"/>
      <c r="H229" s="2522" t="s">
        <v>2637</v>
      </c>
      <c r="I229" s="2522"/>
      <c r="J229" s="2163"/>
      <c r="K229" s="2523">
        <v>0</v>
      </c>
      <c r="L229" s="2523"/>
      <c r="M229" s="2163"/>
      <c r="N229" s="2527"/>
      <c r="O229" s="2163"/>
    </row>
    <row r="230" spans="1:15">
      <c r="H230" s="2163"/>
      <c r="I230" s="2163"/>
      <c r="J230" s="2163"/>
      <c r="K230" s="2523"/>
      <c r="L230" s="2523"/>
      <c r="N230" s="2527"/>
    </row>
    <row r="231" spans="1:15">
      <c r="A231" s="2165">
        <v>48589</v>
      </c>
      <c r="B231" s="2163"/>
      <c r="C231" s="2524" t="s">
        <v>2978</v>
      </c>
      <c r="D231" s="2524"/>
      <c r="E231" s="2524"/>
      <c r="F231" s="2524"/>
      <c r="G231" s="2524"/>
      <c r="H231" s="2524"/>
      <c r="I231" s="2524"/>
      <c r="J231" s="2163"/>
      <c r="K231" s="2163"/>
      <c r="L231" s="2163"/>
      <c r="M231" s="2163"/>
    </row>
    <row r="232" spans="1:15">
      <c r="A232" s="2163"/>
      <c r="B232" s="2163"/>
      <c r="C232" s="2163"/>
      <c r="D232" s="2163"/>
      <c r="E232" s="2163"/>
      <c r="F232" s="2163"/>
      <c r="G232" s="2163"/>
      <c r="H232" s="2163"/>
      <c r="I232" s="2163"/>
      <c r="J232" s="2163"/>
      <c r="K232" s="2163"/>
      <c r="L232" s="2163"/>
      <c r="M232" s="2163"/>
    </row>
    <row r="233" spans="1:15">
      <c r="A233" s="2529"/>
      <c r="B233" s="2529"/>
      <c r="C233" s="2529"/>
      <c r="D233" s="2166"/>
      <c r="E233" s="2166"/>
      <c r="F233" s="2166"/>
      <c r="G233" s="2166"/>
      <c r="H233" s="2525"/>
      <c r="I233" s="2525"/>
      <c r="J233" s="2525"/>
      <c r="K233" s="2166"/>
      <c r="L233" s="2167"/>
      <c r="M233" s="2166"/>
    </row>
    <row r="234" spans="1:15">
      <c r="A234" s="2164"/>
      <c r="B234" s="2164"/>
      <c r="C234" s="2164"/>
      <c r="D234" s="2164"/>
      <c r="E234" s="2522" t="s">
        <v>2639</v>
      </c>
      <c r="F234" s="2522"/>
      <c r="G234" s="2164"/>
      <c r="H234" s="2523">
        <v>0</v>
      </c>
      <c r="I234" s="2523"/>
      <c r="J234" s="2523"/>
      <c r="K234" s="2163"/>
      <c r="L234" s="2523">
        <v>0</v>
      </c>
      <c r="M234" s="2163"/>
    </row>
    <row r="235" spans="1:15">
      <c r="A235" s="2164"/>
      <c r="B235" s="2164"/>
      <c r="C235" s="2164"/>
      <c r="D235" s="2164"/>
      <c r="E235" s="2164"/>
      <c r="F235" s="2164"/>
      <c r="G235" s="2164"/>
      <c r="H235" s="2523"/>
      <c r="I235" s="2523"/>
      <c r="J235" s="2523"/>
      <c r="K235" s="2163"/>
      <c r="L235" s="2523"/>
      <c r="M235" s="2163"/>
    </row>
    <row r="236" spans="1:15">
      <c r="A236" s="2160" t="s">
        <v>2634</v>
      </c>
      <c r="B236" s="2161"/>
      <c r="C236" s="2160" t="s">
        <v>2635</v>
      </c>
      <c r="D236" s="2161"/>
      <c r="E236" s="2160" t="s">
        <v>2640</v>
      </c>
      <c r="F236" s="2161"/>
    </row>
    <row r="237" spans="1:15">
      <c r="A237" s="2163"/>
      <c r="B237" s="2163"/>
      <c r="C237" s="2163"/>
      <c r="D237" s="2163"/>
      <c r="E237" s="2163"/>
      <c r="F237" s="2163"/>
      <c r="G237" s="2163"/>
      <c r="H237" s="2163"/>
      <c r="I237" s="2163"/>
      <c r="J237" s="2163"/>
      <c r="K237" s="2163"/>
      <c r="L237" s="2163"/>
      <c r="M237" s="2163"/>
    </row>
    <row r="238" spans="1:15">
      <c r="A238" s="2164"/>
      <c r="H238" s="2522" t="s">
        <v>2637</v>
      </c>
      <c r="I238" s="2522"/>
      <c r="J238" s="2163"/>
      <c r="K238" s="2523">
        <v>0</v>
      </c>
      <c r="L238" s="2523"/>
      <c r="M238" s="2163"/>
      <c r="N238" s="2527"/>
      <c r="O238" s="2163"/>
    </row>
    <row r="239" spans="1:15">
      <c r="H239" s="2163"/>
      <c r="I239" s="2163"/>
      <c r="J239" s="2163"/>
      <c r="K239" s="2523"/>
      <c r="L239" s="2523"/>
      <c r="N239" s="2527"/>
    </row>
    <row r="240" spans="1:15">
      <c r="A240" s="2165">
        <v>50113</v>
      </c>
      <c r="B240" s="2163"/>
      <c r="C240" s="2524" t="s">
        <v>2665</v>
      </c>
      <c r="D240" s="2524"/>
      <c r="E240" s="2524"/>
      <c r="F240" s="2524"/>
      <c r="G240" s="2524"/>
      <c r="H240" s="2524"/>
      <c r="I240" s="2524"/>
      <c r="J240" s="2163"/>
      <c r="K240" s="2163"/>
      <c r="L240" s="2163"/>
      <c r="M240" s="2163"/>
    </row>
    <row r="241" spans="1:15">
      <c r="A241" s="2163"/>
      <c r="B241" s="2163"/>
      <c r="C241" s="2163"/>
      <c r="D241" s="2163"/>
      <c r="E241" s="2163"/>
      <c r="F241" s="2163"/>
      <c r="G241" s="2163"/>
      <c r="H241" s="2163"/>
      <c r="I241" s="2163"/>
      <c r="J241" s="2163"/>
      <c r="K241" s="2163"/>
      <c r="L241" s="2163"/>
      <c r="M241" s="2163"/>
    </row>
    <row r="242" spans="1:15">
      <c r="A242" s="2529"/>
      <c r="B242" s="2529"/>
      <c r="C242" s="2529"/>
      <c r="D242" s="2166"/>
      <c r="E242" s="2166"/>
      <c r="F242" s="2166"/>
      <c r="G242" s="2166"/>
      <c r="H242" s="2525"/>
      <c r="I242" s="2525"/>
      <c r="J242" s="2525"/>
      <c r="K242" s="2166"/>
      <c r="L242" s="2167"/>
      <c r="M242" s="2166"/>
    </row>
    <row r="243" spans="1:15">
      <c r="A243" s="2164"/>
      <c r="B243" s="2164"/>
      <c r="C243" s="2164"/>
      <c r="D243" s="2164"/>
      <c r="E243" s="2522" t="s">
        <v>2639</v>
      </c>
      <c r="F243" s="2522"/>
      <c r="G243" s="2164"/>
      <c r="H243" s="2523">
        <v>0</v>
      </c>
      <c r="I243" s="2523"/>
      <c r="J243" s="2523"/>
      <c r="K243" s="2163"/>
      <c r="L243" s="2523">
        <v>0</v>
      </c>
      <c r="M243" s="2163"/>
    </row>
    <row r="244" spans="1:15">
      <c r="A244" s="2164"/>
      <c r="B244" s="2164"/>
      <c r="C244" s="2164"/>
      <c r="D244" s="2164"/>
      <c r="E244" s="2164"/>
      <c r="F244" s="2164"/>
      <c r="G244" s="2164"/>
      <c r="H244" s="2523"/>
      <c r="I244" s="2523"/>
      <c r="J244" s="2523"/>
      <c r="K244" s="2163"/>
      <c r="L244" s="2523"/>
      <c r="M244" s="2163"/>
    </row>
    <row r="245" spans="1:15">
      <c r="A245" s="2160" t="s">
        <v>2634</v>
      </c>
      <c r="B245" s="2161"/>
      <c r="C245" s="2160" t="s">
        <v>2635</v>
      </c>
      <c r="D245" s="2161"/>
      <c r="E245" s="2160" t="s">
        <v>2640</v>
      </c>
      <c r="F245" s="2161"/>
    </row>
    <row r="246" spans="1:15">
      <c r="A246" s="2163"/>
      <c r="B246" s="2163"/>
      <c r="C246" s="2163"/>
      <c r="D246" s="2163"/>
      <c r="E246" s="2163"/>
      <c r="F246" s="2163"/>
      <c r="G246" s="2163"/>
      <c r="H246" s="2163"/>
      <c r="I246" s="2163"/>
      <c r="J246" s="2163"/>
      <c r="K246" s="2163"/>
      <c r="L246" s="2163"/>
      <c r="M246" s="2163"/>
    </row>
    <row r="247" spans="1:15">
      <c r="A247" s="2164"/>
      <c r="H247" s="2522" t="s">
        <v>2637</v>
      </c>
      <c r="I247" s="2522"/>
      <c r="J247" s="2163"/>
      <c r="K247" s="2523">
        <v>0</v>
      </c>
      <c r="L247" s="2523"/>
      <c r="M247" s="2163"/>
      <c r="N247" s="2527"/>
      <c r="O247" s="2163"/>
    </row>
    <row r="248" spans="1:15">
      <c r="H248" s="2163"/>
      <c r="I248" s="2163"/>
      <c r="J248" s="2163"/>
      <c r="K248" s="2523"/>
      <c r="L248" s="2523"/>
      <c r="N248" s="2527"/>
    </row>
    <row r="249" spans="1:15">
      <c r="A249" s="2165">
        <v>54802</v>
      </c>
      <c r="B249" s="2163"/>
      <c r="C249" s="2524" t="s">
        <v>2666</v>
      </c>
      <c r="D249" s="2524"/>
      <c r="E249" s="2524"/>
      <c r="F249" s="2524"/>
      <c r="G249" s="2524"/>
      <c r="H249" s="2524"/>
      <c r="I249" s="2524"/>
      <c r="J249" s="2163"/>
      <c r="K249" s="2163"/>
      <c r="L249" s="2163"/>
      <c r="M249" s="2163"/>
    </row>
    <row r="250" spans="1:15">
      <c r="A250" s="2163"/>
      <c r="B250" s="2163"/>
      <c r="C250" s="2163"/>
      <c r="D250" s="2163"/>
      <c r="E250" s="2163"/>
      <c r="F250" s="2163"/>
      <c r="G250" s="2163"/>
      <c r="H250" s="2163"/>
      <c r="I250" s="2163"/>
      <c r="J250" s="2163"/>
      <c r="K250" s="2163"/>
      <c r="L250" s="2163"/>
      <c r="M250" s="2163"/>
    </row>
    <row r="251" spans="1:15">
      <c r="A251" s="2529"/>
      <c r="B251" s="2529"/>
      <c r="C251" s="2529"/>
      <c r="D251" s="2166"/>
      <c r="E251" s="2166"/>
      <c r="F251" s="2166"/>
      <c r="G251" s="2166"/>
      <c r="H251" s="2525"/>
      <c r="I251" s="2525"/>
      <c r="J251" s="2525"/>
      <c r="K251" s="2166"/>
      <c r="L251" s="2167"/>
      <c r="M251" s="2166"/>
    </row>
    <row r="252" spans="1:15">
      <c r="A252" s="2164"/>
      <c r="B252" s="2164"/>
      <c r="C252" s="2164"/>
      <c r="D252" s="2164"/>
      <c r="E252" s="2522" t="s">
        <v>2639</v>
      </c>
      <c r="F252" s="2522"/>
      <c r="G252" s="2164"/>
      <c r="H252" s="2523">
        <v>0</v>
      </c>
      <c r="I252" s="2523"/>
      <c r="J252" s="2523"/>
      <c r="K252" s="2163"/>
      <c r="L252" s="2523">
        <v>0</v>
      </c>
      <c r="M252" s="2163"/>
    </row>
    <row r="253" spans="1:15">
      <c r="A253" s="2164"/>
      <c r="B253" s="2164"/>
      <c r="C253" s="2164"/>
      <c r="D253" s="2164"/>
      <c r="E253" s="2164"/>
      <c r="F253" s="2164"/>
      <c r="G253" s="2164"/>
      <c r="H253" s="2523"/>
      <c r="I253" s="2523"/>
      <c r="J253" s="2523"/>
      <c r="K253" s="2163"/>
      <c r="L253" s="2523"/>
      <c r="M253" s="2163"/>
    </row>
    <row r="254" spans="1:15">
      <c r="A254" s="2160" t="s">
        <v>2634</v>
      </c>
      <c r="B254" s="2161"/>
      <c r="C254" s="2160" t="s">
        <v>2635</v>
      </c>
      <c r="D254" s="2161"/>
      <c r="E254" s="2160" t="s">
        <v>2640</v>
      </c>
      <c r="F254" s="2161"/>
    </row>
    <row r="255" spans="1:15">
      <c r="A255" s="2163"/>
      <c r="B255" s="2163"/>
      <c r="C255" s="2163"/>
      <c r="D255" s="2163"/>
      <c r="E255" s="2163"/>
      <c r="F255" s="2163"/>
      <c r="G255" s="2163"/>
      <c r="H255" s="2163"/>
      <c r="I255" s="2163"/>
      <c r="J255" s="2163"/>
      <c r="K255" s="2163"/>
      <c r="L255" s="2163"/>
      <c r="M255" s="2163"/>
    </row>
    <row r="256" spans="1:15">
      <c r="A256" s="2164"/>
      <c r="H256" s="2522" t="s">
        <v>2637</v>
      </c>
      <c r="I256" s="2522"/>
      <c r="J256" s="2163"/>
      <c r="K256" s="2523">
        <v>0</v>
      </c>
      <c r="L256" s="2523"/>
      <c r="M256" s="2163"/>
      <c r="N256" s="2527"/>
      <c r="O256" s="2163"/>
    </row>
    <row r="257" spans="1:15">
      <c r="H257" s="2163"/>
      <c r="I257" s="2163"/>
      <c r="J257" s="2163"/>
      <c r="K257" s="2523"/>
      <c r="L257" s="2523"/>
      <c r="N257" s="2527"/>
    </row>
    <row r="258" spans="1:15">
      <c r="A258" s="2165">
        <v>56386</v>
      </c>
      <c r="B258" s="2163"/>
      <c r="C258" s="2524" t="s">
        <v>2667</v>
      </c>
      <c r="D258" s="2524"/>
      <c r="E258" s="2524"/>
      <c r="F258" s="2524"/>
      <c r="G258" s="2524"/>
      <c r="H258" s="2524"/>
      <c r="I258" s="2524"/>
      <c r="J258" s="2163"/>
      <c r="K258" s="2163"/>
      <c r="L258" s="2163"/>
      <c r="M258" s="2163"/>
    </row>
    <row r="259" spans="1:15">
      <c r="A259" s="2163"/>
      <c r="B259" s="2163"/>
      <c r="C259" s="2163"/>
      <c r="D259" s="2163"/>
      <c r="E259" s="2163"/>
      <c r="F259" s="2163"/>
      <c r="G259" s="2163"/>
      <c r="H259" s="2163"/>
      <c r="I259" s="2163"/>
      <c r="J259" s="2163"/>
      <c r="K259" s="2163"/>
      <c r="L259" s="2163"/>
      <c r="M259" s="2163"/>
    </row>
    <row r="260" spans="1:15">
      <c r="A260" s="2529"/>
      <c r="B260" s="2529"/>
      <c r="C260" s="2529"/>
      <c r="D260" s="2166"/>
      <c r="E260" s="2166"/>
      <c r="F260" s="2166"/>
      <c r="G260" s="2166"/>
      <c r="H260" s="2525"/>
      <c r="I260" s="2525"/>
      <c r="J260" s="2525"/>
      <c r="K260" s="2166"/>
      <c r="L260" s="2167"/>
      <c r="M260" s="2166"/>
    </row>
    <row r="261" spans="1:15">
      <c r="A261" s="2164"/>
      <c r="B261" s="2164"/>
      <c r="C261" s="2164"/>
      <c r="D261" s="2164"/>
      <c r="E261" s="2522" t="s">
        <v>2639</v>
      </c>
      <c r="F261" s="2522"/>
      <c r="G261" s="2164"/>
      <c r="H261" s="2523">
        <v>0</v>
      </c>
      <c r="I261" s="2523"/>
      <c r="J261" s="2523"/>
      <c r="K261" s="2163"/>
      <c r="L261" s="2523">
        <v>0</v>
      </c>
      <c r="M261" s="2163"/>
    </row>
    <row r="262" spans="1:15">
      <c r="A262" s="2164"/>
      <c r="B262" s="2164"/>
      <c r="C262" s="2164"/>
      <c r="D262" s="2164"/>
      <c r="E262" s="2164"/>
      <c r="F262" s="2164"/>
      <c r="G262" s="2164"/>
      <c r="H262" s="2523"/>
      <c r="I262" s="2523"/>
      <c r="J262" s="2523"/>
      <c r="K262" s="2163"/>
      <c r="L262" s="2523"/>
      <c r="M262" s="2163"/>
    </row>
    <row r="263" spans="1:15">
      <c r="A263" s="2160" t="s">
        <v>2634</v>
      </c>
      <c r="B263" s="2161"/>
      <c r="C263" s="2160" t="s">
        <v>2635</v>
      </c>
      <c r="D263" s="2161"/>
      <c r="E263" s="2160" t="s">
        <v>2640</v>
      </c>
      <c r="F263" s="2161"/>
    </row>
    <row r="264" spans="1:15">
      <c r="A264" s="2163"/>
      <c r="B264" s="2163"/>
      <c r="C264" s="2163"/>
      <c r="D264" s="2163"/>
      <c r="E264" s="2163"/>
      <c r="F264" s="2163"/>
      <c r="G264" s="2163"/>
      <c r="H264" s="2163"/>
      <c r="I264" s="2163"/>
      <c r="J264" s="2163"/>
      <c r="K264" s="2163"/>
      <c r="L264" s="2163"/>
      <c r="M264" s="2163"/>
    </row>
    <row r="265" spans="1:15">
      <c r="A265" s="2164"/>
      <c r="H265" s="2522" t="s">
        <v>2637</v>
      </c>
      <c r="I265" s="2522"/>
      <c r="J265" s="2163"/>
      <c r="K265" s="2523">
        <v>0</v>
      </c>
      <c r="L265" s="2523"/>
      <c r="M265" s="2163"/>
      <c r="N265" s="2527"/>
      <c r="O265" s="2163"/>
    </row>
    <row r="266" spans="1:15">
      <c r="H266" s="2163"/>
      <c r="I266" s="2163"/>
      <c r="J266" s="2163"/>
      <c r="K266" s="2523"/>
      <c r="L266" s="2523"/>
      <c r="N266" s="2527"/>
    </row>
    <row r="267" spans="1:15">
      <c r="A267" s="2165">
        <v>57179</v>
      </c>
      <c r="B267" s="2163"/>
      <c r="C267" s="2524" t="s">
        <v>2668</v>
      </c>
      <c r="D267" s="2524"/>
      <c r="E267" s="2524"/>
      <c r="F267" s="2524"/>
      <c r="G267" s="2524"/>
      <c r="H267" s="2524"/>
      <c r="I267" s="2524"/>
      <c r="J267" s="2163"/>
      <c r="K267" s="2163"/>
      <c r="L267" s="2163"/>
      <c r="M267" s="2163"/>
    </row>
    <row r="268" spans="1:15">
      <c r="A268" s="2163"/>
      <c r="B268" s="2163"/>
      <c r="C268" s="2163"/>
      <c r="D268" s="2163"/>
      <c r="E268" s="2163"/>
      <c r="F268" s="2163"/>
      <c r="G268" s="2163"/>
      <c r="H268" s="2163"/>
      <c r="I268" s="2163"/>
      <c r="J268" s="2163"/>
      <c r="K268" s="2163"/>
      <c r="L268" s="2163"/>
      <c r="M268" s="2163"/>
    </row>
    <row r="269" spans="1:15">
      <c r="A269" s="2529"/>
      <c r="B269" s="2529"/>
      <c r="C269" s="2529"/>
      <c r="D269" s="2166"/>
      <c r="E269" s="2166"/>
      <c r="F269" s="2166"/>
      <c r="G269" s="2166"/>
      <c r="H269" s="2525"/>
      <c r="I269" s="2525"/>
      <c r="J269" s="2525"/>
      <c r="K269" s="2166"/>
      <c r="L269" s="2167"/>
      <c r="M269" s="2166"/>
    </row>
    <row r="270" spans="1:15">
      <c r="A270" s="2164"/>
      <c r="B270" s="2164"/>
      <c r="C270" s="2164"/>
      <c r="D270" s="2164"/>
      <c r="E270" s="2522" t="s">
        <v>2639</v>
      </c>
      <c r="F270" s="2522"/>
      <c r="G270" s="2164"/>
      <c r="H270" s="2523">
        <v>0</v>
      </c>
      <c r="I270" s="2523"/>
      <c r="J270" s="2523"/>
      <c r="K270" s="2163"/>
      <c r="L270" s="2523">
        <v>0</v>
      </c>
      <c r="M270" s="2163"/>
    </row>
    <row r="271" spans="1:15">
      <c r="A271" s="2164"/>
      <c r="B271" s="2164"/>
      <c r="C271" s="2164"/>
      <c r="D271" s="2164"/>
      <c r="E271" s="2164"/>
      <c r="F271" s="2164"/>
      <c r="G271" s="2164"/>
      <c r="H271" s="2523"/>
      <c r="I271" s="2523"/>
      <c r="J271" s="2523"/>
      <c r="K271" s="2163"/>
      <c r="L271" s="2523"/>
      <c r="M271" s="2163"/>
    </row>
    <row r="272" spans="1:15">
      <c r="A272" s="2160" t="s">
        <v>2634</v>
      </c>
      <c r="B272" s="2161"/>
      <c r="C272" s="2160" t="s">
        <v>2635</v>
      </c>
      <c r="D272" s="2161"/>
      <c r="E272" s="2160" t="s">
        <v>2640</v>
      </c>
      <c r="F272" s="2161"/>
    </row>
    <row r="273" spans="1:15">
      <c r="A273" s="2163"/>
      <c r="B273" s="2163"/>
      <c r="C273" s="2163"/>
      <c r="D273" s="2163"/>
      <c r="E273" s="2163"/>
      <c r="F273" s="2163"/>
      <c r="G273" s="2163"/>
      <c r="H273" s="2163"/>
      <c r="I273" s="2163"/>
      <c r="J273" s="2163"/>
      <c r="K273" s="2163"/>
      <c r="L273" s="2163"/>
      <c r="M273" s="2163"/>
    </row>
    <row r="274" spans="1:15">
      <c r="A274" s="2164"/>
      <c r="H274" s="2522" t="s">
        <v>2637</v>
      </c>
      <c r="I274" s="2522"/>
      <c r="J274" s="2163"/>
      <c r="K274" s="2523">
        <v>0</v>
      </c>
      <c r="L274" s="2523"/>
      <c r="M274" s="2163"/>
      <c r="N274" s="2527"/>
      <c r="O274" s="2163"/>
    </row>
    <row r="275" spans="1:15">
      <c r="H275" s="2163"/>
      <c r="I275" s="2163"/>
      <c r="J275" s="2163"/>
      <c r="K275" s="2523"/>
      <c r="L275" s="2523"/>
      <c r="N275" s="2527"/>
    </row>
    <row r="276" spans="1:15">
      <c r="A276" s="2165">
        <v>66113</v>
      </c>
      <c r="B276" s="2163"/>
      <c r="C276" s="2524" t="s">
        <v>2669</v>
      </c>
      <c r="D276" s="2524"/>
      <c r="E276" s="2524"/>
      <c r="F276" s="2524"/>
      <c r="G276" s="2524"/>
      <c r="H276" s="2524"/>
      <c r="I276" s="2524"/>
      <c r="J276" s="2163"/>
      <c r="K276" s="2163"/>
      <c r="L276" s="2163"/>
      <c r="M276" s="2163"/>
    </row>
    <row r="277" spans="1:15">
      <c r="A277" s="2163"/>
      <c r="B277" s="2163"/>
      <c r="C277" s="2163"/>
      <c r="D277" s="2163"/>
      <c r="E277" s="2163"/>
      <c r="F277" s="2163"/>
      <c r="G277" s="2163"/>
      <c r="H277" s="2163"/>
      <c r="I277" s="2163"/>
      <c r="J277" s="2163"/>
      <c r="K277" s="2163"/>
      <c r="L277" s="2163"/>
      <c r="M277" s="2163"/>
    </row>
    <row r="278" spans="1:15">
      <c r="A278" s="2529"/>
      <c r="B278" s="2529"/>
      <c r="C278" s="2529"/>
      <c r="D278" s="2166"/>
      <c r="E278" s="2166"/>
      <c r="F278" s="2166"/>
      <c r="G278" s="2166"/>
      <c r="H278" s="2525"/>
      <c r="I278" s="2525"/>
      <c r="J278" s="2525"/>
      <c r="K278" s="2166"/>
      <c r="L278" s="2167"/>
      <c r="M278" s="2166"/>
    </row>
    <row r="279" spans="1:15">
      <c r="A279" s="2164"/>
      <c r="B279" s="2164"/>
      <c r="C279" s="2164"/>
      <c r="D279" s="2164"/>
      <c r="E279" s="2522" t="s">
        <v>2639</v>
      </c>
      <c r="F279" s="2522"/>
      <c r="G279" s="2164"/>
      <c r="H279" s="2523">
        <v>0</v>
      </c>
      <c r="I279" s="2523"/>
      <c r="J279" s="2523"/>
      <c r="K279" s="2163"/>
      <c r="L279" s="2523">
        <v>0</v>
      </c>
      <c r="M279" s="2163"/>
    </row>
    <row r="280" spans="1:15">
      <c r="A280" s="2164"/>
      <c r="B280" s="2164"/>
      <c r="C280" s="2164"/>
      <c r="D280" s="2164"/>
      <c r="E280" s="2164"/>
      <c r="F280" s="2164"/>
      <c r="G280" s="2164"/>
      <c r="H280" s="2523"/>
      <c r="I280" s="2523"/>
      <c r="J280" s="2523"/>
      <c r="K280" s="2163"/>
      <c r="L280" s="2523"/>
      <c r="M280" s="2163"/>
    </row>
    <row r="281" spans="1:15">
      <c r="A281" s="2160" t="s">
        <v>2634</v>
      </c>
      <c r="B281" s="2161"/>
      <c r="C281" s="2160" t="s">
        <v>2635</v>
      </c>
      <c r="D281" s="2161"/>
      <c r="E281" s="2160" t="s">
        <v>2640</v>
      </c>
      <c r="F281" s="2161"/>
    </row>
    <row r="282" spans="1:15">
      <c r="A282" s="2163"/>
      <c r="B282" s="2163"/>
      <c r="C282" s="2163"/>
      <c r="D282" s="2163"/>
      <c r="E282" s="2163"/>
      <c r="F282" s="2163"/>
      <c r="G282" s="2163"/>
      <c r="H282" s="2163"/>
      <c r="I282" s="2163"/>
      <c r="J282" s="2163"/>
      <c r="K282" s="2163"/>
      <c r="L282" s="2163"/>
      <c r="M282" s="2163"/>
    </row>
    <row r="283" spans="1:15">
      <c r="A283" s="2164"/>
      <c r="H283" s="2522" t="s">
        <v>2637</v>
      </c>
      <c r="I283" s="2522"/>
      <c r="J283" s="2163"/>
      <c r="K283" s="2523">
        <v>0</v>
      </c>
      <c r="L283" s="2523"/>
      <c r="M283" s="2163"/>
      <c r="N283" s="2527"/>
      <c r="O283" s="2163"/>
    </row>
    <row r="284" spans="1:15">
      <c r="H284" s="2163"/>
      <c r="I284" s="2163"/>
      <c r="J284" s="2163"/>
      <c r="K284" s="2523"/>
      <c r="L284" s="2523"/>
      <c r="N284" s="2527"/>
    </row>
    <row r="285" spans="1:15">
      <c r="A285" s="2165">
        <v>66112</v>
      </c>
      <c r="B285" s="2163"/>
      <c r="C285" s="2524" t="s">
        <v>2670</v>
      </c>
      <c r="D285" s="2524"/>
      <c r="E285" s="2524"/>
      <c r="F285" s="2524"/>
      <c r="G285" s="2524"/>
      <c r="H285" s="2524"/>
      <c r="I285" s="2524"/>
      <c r="J285" s="2163"/>
      <c r="K285" s="2163"/>
      <c r="L285" s="2163"/>
      <c r="M285" s="2163"/>
    </row>
    <row r="286" spans="1:15">
      <c r="A286" s="2163"/>
      <c r="B286" s="2163"/>
      <c r="C286" s="2163"/>
      <c r="D286" s="2163"/>
      <c r="E286" s="2163"/>
      <c r="F286" s="2163"/>
      <c r="G286" s="2163"/>
      <c r="H286" s="2163"/>
      <c r="I286" s="2163"/>
      <c r="J286" s="2163"/>
      <c r="K286" s="2163"/>
      <c r="L286" s="2163"/>
      <c r="M286" s="2163"/>
    </row>
    <row r="287" spans="1:15">
      <c r="A287" s="2529"/>
      <c r="B287" s="2529"/>
      <c r="C287" s="2529"/>
      <c r="D287" s="2166"/>
      <c r="E287" s="2166"/>
      <c r="F287" s="2166"/>
      <c r="G287" s="2166"/>
      <c r="H287" s="2525"/>
      <c r="I287" s="2525"/>
      <c r="J287" s="2525"/>
      <c r="K287" s="2166"/>
      <c r="L287" s="2167"/>
      <c r="M287" s="2166"/>
    </row>
    <row r="288" spans="1:15">
      <c r="A288" s="2164"/>
      <c r="B288" s="2164"/>
      <c r="C288" s="2164"/>
      <c r="D288" s="2164"/>
      <c r="E288" s="2522" t="s">
        <v>2639</v>
      </c>
      <c r="F288" s="2522"/>
      <c r="G288" s="2164"/>
      <c r="H288" s="2523">
        <v>0</v>
      </c>
      <c r="I288" s="2523"/>
      <c r="J288" s="2523"/>
      <c r="K288" s="2163"/>
      <c r="L288" s="2523">
        <v>0</v>
      </c>
      <c r="M288" s="2163"/>
    </row>
    <row r="289" spans="1:15">
      <c r="A289" s="2164"/>
      <c r="B289" s="2164"/>
      <c r="C289" s="2164"/>
      <c r="D289" s="2164"/>
      <c r="E289" s="2164"/>
      <c r="F289" s="2164"/>
      <c r="G289" s="2164"/>
      <c r="H289" s="2523"/>
      <c r="I289" s="2523"/>
      <c r="J289" s="2523"/>
      <c r="K289" s="2163"/>
      <c r="L289" s="2523"/>
      <c r="M289" s="2163"/>
    </row>
    <row r="290" spans="1:15">
      <c r="A290" s="2160" t="s">
        <v>2634</v>
      </c>
      <c r="B290" s="2161"/>
      <c r="C290" s="2160" t="s">
        <v>2635</v>
      </c>
      <c r="D290" s="2161"/>
      <c r="E290" s="2160" t="s">
        <v>2671</v>
      </c>
      <c r="F290" s="2161"/>
    </row>
    <row r="291" spans="1:15">
      <c r="A291" s="2163"/>
      <c r="B291" s="2163"/>
      <c r="C291" s="2163"/>
      <c r="D291" s="2163"/>
      <c r="E291" s="2163"/>
      <c r="F291" s="2163"/>
      <c r="G291" s="2163"/>
      <c r="H291" s="2163"/>
      <c r="I291" s="2163"/>
      <c r="J291" s="2163"/>
      <c r="K291" s="2163"/>
      <c r="L291" s="2163"/>
      <c r="M291" s="2163"/>
    </row>
    <row r="292" spans="1:15">
      <c r="A292" s="2164"/>
      <c r="H292" s="2522" t="s">
        <v>2637</v>
      </c>
      <c r="I292" s="2522"/>
      <c r="J292" s="2163"/>
      <c r="K292" s="2523">
        <v>0</v>
      </c>
      <c r="L292" s="2523"/>
      <c r="M292" s="2163"/>
      <c r="N292" s="2527"/>
      <c r="O292" s="2163"/>
    </row>
    <row r="293" spans="1:15">
      <c r="H293" s="2163"/>
      <c r="I293" s="2163"/>
      <c r="J293" s="2163"/>
      <c r="K293" s="2523"/>
      <c r="L293" s="2523"/>
      <c r="N293" s="2527"/>
    </row>
    <row r="294" spans="1:15">
      <c r="A294" s="2165">
        <v>32115</v>
      </c>
      <c r="B294" s="2163"/>
      <c r="C294" s="2524" t="s">
        <v>2651</v>
      </c>
      <c r="D294" s="2524"/>
      <c r="E294" s="2524"/>
      <c r="F294" s="2524"/>
      <c r="G294" s="2524"/>
      <c r="H294" s="2524"/>
      <c r="I294" s="2524"/>
      <c r="J294" s="2163"/>
      <c r="K294" s="2163"/>
      <c r="L294" s="2163"/>
      <c r="M294" s="2163"/>
    </row>
    <row r="295" spans="1:15">
      <c r="A295" s="2163"/>
      <c r="B295" s="2163"/>
      <c r="C295" s="2163"/>
      <c r="D295" s="2163"/>
      <c r="E295" s="2163"/>
      <c r="F295" s="2163"/>
      <c r="G295" s="2163"/>
      <c r="H295" s="2163"/>
      <c r="I295" s="2163"/>
      <c r="J295" s="2163"/>
      <c r="K295" s="2163"/>
      <c r="L295" s="2163"/>
      <c r="M295" s="2163"/>
    </row>
    <row r="296" spans="1:15">
      <c r="A296" s="2529"/>
      <c r="B296" s="2529"/>
      <c r="C296" s="2529"/>
      <c r="D296" s="2166"/>
      <c r="E296" s="2166"/>
      <c r="F296" s="2166"/>
      <c r="G296" s="2166"/>
      <c r="H296" s="2525"/>
      <c r="I296" s="2525"/>
      <c r="J296" s="2525"/>
      <c r="K296" s="2166"/>
      <c r="L296" s="2167"/>
      <c r="M296" s="2166"/>
    </row>
    <row r="297" spans="1:15">
      <c r="A297" s="2164"/>
      <c r="B297" s="2164"/>
      <c r="C297" s="2164"/>
      <c r="D297" s="2164"/>
      <c r="E297" s="2522" t="s">
        <v>2639</v>
      </c>
      <c r="F297" s="2522"/>
      <c r="G297" s="2164"/>
      <c r="H297" s="2523">
        <v>0</v>
      </c>
      <c r="I297" s="2523"/>
      <c r="J297" s="2523"/>
      <c r="K297" s="2163"/>
      <c r="L297" s="2523">
        <v>0</v>
      </c>
      <c r="M297" s="2163"/>
    </row>
    <row r="298" spans="1:15">
      <c r="A298" s="2164"/>
      <c r="B298" s="2164"/>
      <c r="C298" s="2164"/>
      <c r="D298" s="2164"/>
      <c r="E298" s="2164"/>
      <c r="F298" s="2164"/>
      <c r="G298" s="2164"/>
      <c r="H298" s="2523"/>
      <c r="I298" s="2523"/>
      <c r="J298" s="2523"/>
      <c r="K298" s="2163"/>
      <c r="L298" s="2523"/>
      <c r="M298" s="2163"/>
    </row>
    <row r="299" spans="1:15">
      <c r="A299" s="2160" t="s">
        <v>2634</v>
      </c>
      <c r="B299" s="2161"/>
      <c r="C299" s="2160" t="s">
        <v>2635</v>
      </c>
      <c r="D299" s="2161"/>
      <c r="E299" s="2160" t="s">
        <v>2671</v>
      </c>
      <c r="F299" s="2161"/>
    </row>
    <row r="300" spans="1:15">
      <c r="A300" s="2163"/>
      <c r="B300" s="2163"/>
      <c r="C300" s="2163"/>
      <c r="D300" s="2163"/>
      <c r="E300" s="2163"/>
      <c r="F300" s="2163"/>
      <c r="G300" s="2163"/>
      <c r="H300" s="2163"/>
      <c r="I300" s="2163"/>
      <c r="J300" s="2163"/>
      <c r="K300" s="2163"/>
      <c r="L300" s="2163"/>
      <c r="M300" s="2163"/>
    </row>
    <row r="301" spans="1:15">
      <c r="A301" s="2164"/>
      <c r="H301" s="2522" t="s">
        <v>2637</v>
      </c>
      <c r="I301" s="2522"/>
      <c r="J301" s="2163"/>
      <c r="K301" s="2523">
        <v>0</v>
      </c>
      <c r="L301" s="2523"/>
      <c r="M301" s="2163"/>
      <c r="N301" s="2527"/>
      <c r="O301" s="2163"/>
    </row>
    <row r="302" spans="1:15">
      <c r="H302" s="2163"/>
      <c r="I302" s="2163"/>
      <c r="J302" s="2163"/>
      <c r="K302" s="2523"/>
      <c r="L302" s="2523"/>
      <c r="N302" s="2527"/>
    </row>
    <row r="303" spans="1:15">
      <c r="A303" s="2165">
        <v>32346</v>
      </c>
      <c r="B303" s="2163"/>
      <c r="C303" s="2524" t="s">
        <v>2656</v>
      </c>
      <c r="D303" s="2524"/>
      <c r="E303" s="2524"/>
      <c r="F303" s="2524"/>
      <c r="G303" s="2524"/>
      <c r="H303" s="2524"/>
      <c r="I303" s="2524"/>
      <c r="J303" s="2163"/>
      <c r="K303" s="2163"/>
      <c r="L303" s="2163"/>
      <c r="M303" s="2163"/>
    </row>
    <row r="304" spans="1:15">
      <c r="A304" s="2163"/>
      <c r="B304" s="2163"/>
      <c r="C304" s="2163"/>
      <c r="D304" s="2163"/>
      <c r="E304" s="2163"/>
      <c r="F304" s="2163"/>
      <c r="G304" s="2163"/>
      <c r="H304" s="2163"/>
      <c r="I304" s="2163"/>
      <c r="J304" s="2163"/>
      <c r="K304" s="2163"/>
      <c r="L304" s="2163"/>
      <c r="M304" s="2163"/>
    </row>
    <row r="305" spans="1:15">
      <c r="A305" s="2529"/>
      <c r="B305" s="2529"/>
      <c r="C305" s="2529"/>
      <c r="D305" s="2166"/>
      <c r="E305" s="2166"/>
      <c r="F305" s="2166"/>
      <c r="G305" s="2166"/>
      <c r="H305" s="2525"/>
      <c r="I305" s="2525"/>
      <c r="J305" s="2525"/>
      <c r="K305" s="2166"/>
      <c r="L305" s="2167"/>
      <c r="M305" s="2166"/>
    </row>
    <row r="306" spans="1:15">
      <c r="A306" s="2164"/>
      <c r="B306" s="2164"/>
      <c r="C306" s="2164"/>
      <c r="D306" s="2164"/>
      <c r="E306" s="2522" t="s">
        <v>2639</v>
      </c>
      <c r="F306" s="2522"/>
      <c r="G306" s="2164"/>
      <c r="H306" s="2523">
        <v>0</v>
      </c>
      <c r="I306" s="2523"/>
      <c r="J306" s="2523"/>
      <c r="K306" s="2163"/>
      <c r="L306" s="2523">
        <v>0</v>
      </c>
      <c r="M306" s="2163"/>
    </row>
    <row r="307" spans="1:15">
      <c r="A307" s="2164"/>
      <c r="B307" s="2164"/>
      <c r="C307" s="2164"/>
      <c r="D307" s="2164"/>
      <c r="E307" s="2164"/>
      <c r="F307" s="2164"/>
      <c r="G307" s="2164"/>
      <c r="H307" s="2523"/>
      <c r="I307" s="2523"/>
      <c r="J307" s="2523"/>
      <c r="K307" s="2163"/>
      <c r="L307" s="2523"/>
      <c r="M307" s="2163"/>
    </row>
    <row r="308" spans="1:15">
      <c r="A308" s="2160" t="s">
        <v>2634</v>
      </c>
      <c r="B308" s="2161"/>
      <c r="C308" s="2160" t="s">
        <v>2635</v>
      </c>
      <c r="D308" s="2161"/>
      <c r="E308" s="2160" t="s">
        <v>2671</v>
      </c>
      <c r="F308" s="2161"/>
    </row>
    <row r="309" spans="1:15">
      <c r="A309" s="2163"/>
      <c r="B309" s="2163"/>
      <c r="C309" s="2163"/>
      <c r="D309" s="2163"/>
      <c r="E309" s="2163"/>
      <c r="F309" s="2163"/>
      <c r="G309" s="2163"/>
      <c r="H309" s="2163"/>
      <c r="I309" s="2163"/>
      <c r="J309" s="2163"/>
      <c r="K309" s="2163"/>
      <c r="L309" s="2163"/>
      <c r="M309" s="2163"/>
    </row>
    <row r="310" spans="1:15">
      <c r="A310" s="2164"/>
      <c r="H310" s="2522" t="s">
        <v>2637</v>
      </c>
      <c r="I310" s="2522"/>
      <c r="J310" s="2163"/>
      <c r="K310" s="2523">
        <v>0</v>
      </c>
      <c r="L310" s="2523"/>
      <c r="M310" s="2163"/>
      <c r="N310" s="2527"/>
      <c r="O310" s="2163"/>
    </row>
    <row r="311" spans="1:15">
      <c r="H311" s="2163"/>
      <c r="I311" s="2163"/>
      <c r="J311" s="2163"/>
      <c r="K311" s="2523"/>
      <c r="L311" s="2523"/>
      <c r="N311" s="2527"/>
    </row>
    <row r="312" spans="1:15">
      <c r="A312" s="2165">
        <v>39386</v>
      </c>
      <c r="B312" s="2163"/>
      <c r="C312" s="2524" t="s">
        <v>2672</v>
      </c>
      <c r="D312" s="2524"/>
      <c r="E312" s="2524"/>
      <c r="F312" s="2524"/>
      <c r="G312" s="2524"/>
      <c r="H312" s="2524"/>
      <c r="I312" s="2524"/>
      <c r="J312" s="2163"/>
      <c r="K312" s="2163"/>
      <c r="L312" s="2163"/>
      <c r="M312" s="2163"/>
    </row>
    <row r="313" spans="1:15">
      <c r="A313" s="2163"/>
      <c r="B313" s="2163"/>
      <c r="C313" s="2163"/>
      <c r="D313" s="2163"/>
      <c r="E313" s="2163"/>
      <c r="F313" s="2163"/>
      <c r="G313" s="2163"/>
      <c r="H313" s="2163"/>
      <c r="I313" s="2163"/>
      <c r="J313" s="2163"/>
      <c r="K313" s="2163"/>
      <c r="L313" s="2163"/>
      <c r="M313" s="2163"/>
    </row>
    <row r="314" spans="1:15">
      <c r="A314" s="2529"/>
      <c r="B314" s="2529"/>
      <c r="C314" s="2529"/>
      <c r="D314" s="2166"/>
      <c r="E314" s="2166"/>
      <c r="F314" s="2166"/>
      <c r="G314" s="2166"/>
      <c r="H314" s="2525"/>
      <c r="I314" s="2525"/>
      <c r="J314" s="2525"/>
      <c r="K314" s="2166"/>
      <c r="L314" s="2167"/>
      <c r="M314" s="2166"/>
    </row>
    <row r="315" spans="1:15">
      <c r="A315" s="2164"/>
      <c r="B315" s="2164"/>
      <c r="C315" s="2164"/>
      <c r="D315" s="2164"/>
      <c r="E315" s="2522" t="s">
        <v>2639</v>
      </c>
      <c r="F315" s="2522"/>
      <c r="G315" s="2164"/>
      <c r="H315" s="2523">
        <v>0</v>
      </c>
      <c r="I315" s="2523"/>
      <c r="J315" s="2523"/>
      <c r="K315" s="2163"/>
      <c r="L315" s="2523">
        <v>0</v>
      </c>
      <c r="M315" s="2163"/>
    </row>
    <row r="316" spans="1:15">
      <c r="A316" s="2164"/>
      <c r="B316" s="2164"/>
      <c r="C316" s="2164"/>
      <c r="D316" s="2164"/>
      <c r="E316" s="2164"/>
      <c r="F316" s="2164"/>
      <c r="G316" s="2164"/>
      <c r="H316" s="2523"/>
      <c r="I316" s="2523"/>
      <c r="J316" s="2523"/>
      <c r="K316" s="2163"/>
      <c r="L316" s="2523"/>
      <c r="M316" s="2163"/>
    </row>
    <row r="317" spans="1:15">
      <c r="A317" s="2160" t="s">
        <v>2673</v>
      </c>
      <c r="B317" s="2161"/>
      <c r="C317" s="2160" t="s">
        <v>2674</v>
      </c>
      <c r="D317" s="2161"/>
      <c r="E317" s="2160" t="s">
        <v>2640</v>
      </c>
      <c r="F317" s="2161"/>
    </row>
    <row r="318" spans="1:15">
      <c r="A318" s="2163"/>
      <c r="B318" s="2163"/>
      <c r="C318" s="2163"/>
      <c r="D318" s="2163"/>
      <c r="E318" s="2163"/>
      <c r="F318" s="2163"/>
      <c r="G318" s="2163"/>
      <c r="H318" s="2163"/>
      <c r="I318" s="2163"/>
      <c r="J318" s="2163"/>
      <c r="K318" s="2163"/>
      <c r="L318" s="2163"/>
      <c r="M318" s="2163"/>
    </row>
    <row r="319" spans="1:15">
      <c r="A319" s="2164"/>
      <c r="H319" s="2522" t="s">
        <v>2637</v>
      </c>
      <c r="I319" s="2522"/>
      <c r="J319" s="2163"/>
      <c r="K319" s="2523">
        <v>0</v>
      </c>
      <c r="L319" s="2523"/>
      <c r="M319" s="2163"/>
      <c r="N319" s="2527"/>
      <c r="O319" s="2163"/>
    </row>
    <row r="320" spans="1:15">
      <c r="H320" s="2163"/>
      <c r="I320" s="2163"/>
      <c r="J320" s="2163"/>
      <c r="K320" s="2523"/>
      <c r="L320" s="2523"/>
      <c r="N320" s="2527"/>
    </row>
    <row r="321" spans="1:15">
      <c r="A321" s="2165">
        <v>32148</v>
      </c>
      <c r="B321" s="2163"/>
      <c r="C321" s="2524" t="s">
        <v>2644</v>
      </c>
      <c r="D321" s="2524"/>
      <c r="E321" s="2524"/>
      <c r="F321" s="2524"/>
      <c r="G321" s="2524"/>
      <c r="H321" s="2524"/>
      <c r="I321" s="2524"/>
      <c r="J321" s="2163"/>
      <c r="K321" s="2163"/>
      <c r="L321" s="2163"/>
      <c r="M321" s="2163"/>
    </row>
    <row r="322" spans="1:15">
      <c r="A322" s="2163"/>
      <c r="B322" s="2163"/>
      <c r="C322" s="2163"/>
      <c r="D322" s="2163"/>
      <c r="E322" s="2163"/>
      <c r="F322" s="2163"/>
      <c r="G322" s="2163"/>
      <c r="H322" s="2163"/>
      <c r="I322" s="2163"/>
      <c r="J322" s="2163"/>
      <c r="K322" s="2163"/>
      <c r="L322" s="2163"/>
      <c r="M322" s="2163"/>
    </row>
    <row r="323" spans="1:15">
      <c r="A323" s="2529"/>
      <c r="B323" s="2529"/>
      <c r="C323" s="2529"/>
      <c r="D323" s="2166"/>
      <c r="E323" s="2166"/>
      <c r="F323" s="2166"/>
      <c r="G323" s="2166"/>
      <c r="H323" s="2525"/>
      <c r="I323" s="2525"/>
      <c r="J323" s="2525"/>
      <c r="K323" s="2166"/>
      <c r="L323" s="2167"/>
      <c r="M323" s="2166"/>
    </row>
    <row r="324" spans="1:15">
      <c r="A324" s="2164"/>
      <c r="B324" s="2164"/>
      <c r="C324" s="2164"/>
      <c r="D324" s="2164"/>
      <c r="E324" s="2522" t="s">
        <v>2639</v>
      </c>
      <c r="F324" s="2522"/>
      <c r="G324" s="2164"/>
      <c r="H324" s="2523">
        <v>0</v>
      </c>
      <c r="I324" s="2523"/>
      <c r="J324" s="2523"/>
      <c r="K324" s="2163"/>
      <c r="L324" s="2530"/>
      <c r="M324" s="2163"/>
    </row>
    <row r="325" spans="1:15">
      <c r="A325" s="2164"/>
      <c r="B325" s="2164"/>
      <c r="C325" s="2164"/>
      <c r="D325" s="2164"/>
      <c r="E325" s="2164"/>
      <c r="F325" s="2164"/>
      <c r="G325" s="2164"/>
      <c r="H325" s="2523"/>
      <c r="I325" s="2523"/>
      <c r="J325" s="2523"/>
      <c r="K325" s="2163"/>
      <c r="L325" s="2530"/>
      <c r="M325" s="2163"/>
    </row>
    <row r="326" spans="1:15">
      <c r="A326" s="2160" t="s">
        <v>2673</v>
      </c>
      <c r="B326" s="2161"/>
      <c r="C326" s="2160" t="s">
        <v>2674</v>
      </c>
      <c r="D326" s="2161"/>
      <c r="E326" s="2160" t="s">
        <v>2640</v>
      </c>
      <c r="F326" s="2161"/>
    </row>
    <row r="327" spans="1:15">
      <c r="A327" s="2163"/>
      <c r="B327" s="2163"/>
      <c r="C327" s="2163"/>
      <c r="D327" s="2163"/>
      <c r="E327" s="2163"/>
      <c r="F327" s="2163"/>
      <c r="G327" s="2163"/>
      <c r="H327" s="2163"/>
      <c r="I327" s="2163"/>
      <c r="J327" s="2163"/>
      <c r="K327" s="2163"/>
      <c r="L327" s="2163"/>
      <c r="M327" s="2163"/>
    </row>
    <row r="328" spans="1:15">
      <c r="A328" s="2164"/>
      <c r="H328" s="2522" t="s">
        <v>2637</v>
      </c>
      <c r="I328" s="2522"/>
      <c r="J328" s="2163"/>
      <c r="K328" s="2523">
        <v>0</v>
      </c>
      <c r="L328" s="2523"/>
      <c r="M328" s="2163"/>
      <c r="N328" s="2527"/>
      <c r="O328" s="2163"/>
    </row>
    <row r="329" spans="1:15">
      <c r="H329" s="2163"/>
      <c r="I329" s="2163"/>
      <c r="J329" s="2163"/>
      <c r="K329" s="2523"/>
      <c r="L329" s="2523"/>
      <c r="N329" s="2527"/>
    </row>
    <row r="330" spans="1:15">
      <c r="A330" s="2165">
        <v>32149</v>
      </c>
      <c r="B330" s="2163"/>
      <c r="C330" s="2524" t="s">
        <v>2646</v>
      </c>
      <c r="D330" s="2524"/>
      <c r="E330" s="2524"/>
      <c r="F330" s="2524"/>
      <c r="G330" s="2524"/>
      <c r="H330" s="2524"/>
      <c r="I330" s="2524"/>
      <c r="J330" s="2163"/>
      <c r="K330" s="2163"/>
      <c r="L330" s="2163"/>
      <c r="M330" s="2163"/>
    </row>
    <row r="331" spans="1:15">
      <c r="A331" s="2163"/>
      <c r="B331" s="2163"/>
      <c r="C331" s="2163"/>
      <c r="D331" s="2163"/>
      <c r="E331" s="2163"/>
      <c r="F331" s="2163"/>
      <c r="G331" s="2163"/>
      <c r="H331" s="2163"/>
      <c r="I331" s="2163"/>
      <c r="J331" s="2163"/>
      <c r="K331" s="2163"/>
      <c r="L331" s="2163"/>
      <c r="M331" s="2163"/>
    </row>
    <row r="332" spans="1:15">
      <c r="A332" s="2529"/>
      <c r="B332" s="2529"/>
      <c r="C332" s="2529"/>
      <c r="D332" s="2166"/>
      <c r="E332" s="2166"/>
      <c r="F332" s="2166"/>
      <c r="G332" s="2166"/>
      <c r="H332" s="2525"/>
      <c r="I332" s="2525"/>
      <c r="J332" s="2525"/>
      <c r="K332" s="2166"/>
      <c r="L332" s="2167"/>
      <c r="M332" s="2166"/>
    </row>
    <row r="333" spans="1:15">
      <c r="A333" s="2164"/>
      <c r="B333" s="2164"/>
      <c r="C333" s="2164"/>
      <c r="D333" s="2164"/>
      <c r="E333" s="2522" t="s">
        <v>2639</v>
      </c>
      <c r="F333" s="2522"/>
      <c r="G333" s="2164"/>
      <c r="H333" s="2523">
        <v>0</v>
      </c>
      <c r="I333" s="2523"/>
      <c r="J333" s="2523"/>
      <c r="K333" s="2163"/>
      <c r="L333" s="2530"/>
      <c r="M333" s="2163"/>
    </row>
    <row r="334" spans="1:15">
      <c r="A334" s="2164"/>
      <c r="B334" s="2164"/>
      <c r="C334" s="2164"/>
      <c r="D334" s="2164"/>
      <c r="E334" s="2164"/>
      <c r="F334" s="2164"/>
      <c r="G334" s="2164"/>
      <c r="H334" s="2523"/>
      <c r="I334" s="2523"/>
      <c r="J334" s="2523"/>
      <c r="K334" s="2163"/>
      <c r="L334" s="2530"/>
      <c r="M334" s="2163"/>
    </row>
    <row r="335" spans="1:15">
      <c r="A335" s="2160" t="s">
        <v>2673</v>
      </c>
      <c r="B335" s="2161"/>
      <c r="C335" s="2160" t="s">
        <v>2674</v>
      </c>
      <c r="D335" s="2161"/>
      <c r="E335" s="2160" t="s">
        <v>2640</v>
      </c>
      <c r="F335" s="2161"/>
    </row>
    <row r="336" spans="1:15">
      <c r="A336" s="2163"/>
      <c r="B336" s="2163"/>
      <c r="C336" s="2163"/>
      <c r="D336" s="2163"/>
      <c r="E336" s="2163"/>
      <c r="F336" s="2163"/>
      <c r="G336" s="2163"/>
      <c r="H336" s="2163"/>
      <c r="I336" s="2163"/>
      <c r="J336" s="2163"/>
      <c r="K336" s="2163"/>
      <c r="L336" s="2163"/>
      <c r="M336" s="2163"/>
    </row>
    <row r="337" spans="1:15">
      <c r="A337" s="2164"/>
      <c r="H337" s="2522" t="s">
        <v>2637</v>
      </c>
      <c r="I337" s="2522"/>
      <c r="J337" s="2163"/>
      <c r="K337" s="2523">
        <v>0</v>
      </c>
      <c r="L337" s="2523"/>
      <c r="M337" s="2163"/>
      <c r="N337" s="2527"/>
      <c r="O337" s="2163"/>
    </row>
    <row r="338" spans="1:15">
      <c r="H338" s="2163"/>
      <c r="I338" s="2163"/>
      <c r="J338" s="2163"/>
      <c r="K338" s="2523"/>
      <c r="L338" s="2523"/>
      <c r="N338" s="2527"/>
    </row>
    <row r="339" spans="1:15">
      <c r="A339" s="2165">
        <v>32636</v>
      </c>
      <c r="B339" s="2163"/>
      <c r="C339" s="2524" t="s">
        <v>2641</v>
      </c>
      <c r="D339" s="2524"/>
      <c r="E339" s="2524"/>
      <c r="F339" s="2524"/>
      <c r="G339" s="2524"/>
      <c r="H339" s="2524"/>
      <c r="I339" s="2524"/>
      <c r="J339" s="2163"/>
      <c r="K339" s="2163"/>
      <c r="L339" s="2163"/>
      <c r="M339" s="2163"/>
    </row>
    <row r="340" spans="1:15">
      <c r="A340" s="2163"/>
      <c r="B340" s="2163"/>
      <c r="C340" s="2163"/>
      <c r="D340" s="2163"/>
      <c r="E340" s="2163"/>
      <c r="F340" s="2163"/>
      <c r="G340" s="2163"/>
      <c r="H340" s="2163"/>
      <c r="I340" s="2163"/>
      <c r="J340" s="2163"/>
      <c r="K340" s="2163"/>
      <c r="L340" s="2163"/>
      <c r="M340" s="2163"/>
    </row>
    <row r="341" spans="1:15">
      <c r="A341" s="2529"/>
      <c r="B341" s="2529"/>
      <c r="C341" s="2529"/>
      <c r="D341" s="2166"/>
      <c r="E341" s="2166"/>
      <c r="F341" s="2166"/>
      <c r="G341" s="2166"/>
      <c r="H341" s="2525"/>
      <c r="I341" s="2525"/>
      <c r="J341" s="2525"/>
      <c r="K341" s="2166"/>
      <c r="L341" s="2167"/>
      <c r="M341" s="2166"/>
    </row>
    <row r="342" spans="1:15">
      <c r="A342" s="2164"/>
      <c r="B342" s="2164"/>
      <c r="C342" s="2164"/>
      <c r="D342" s="2164"/>
      <c r="E342" s="2522" t="s">
        <v>2639</v>
      </c>
      <c r="F342" s="2522"/>
      <c r="G342" s="2164"/>
      <c r="H342" s="2523">
        <v>0</v>
      </c>
      <c r="I342" s="2523"/>
      <c r="J342" s="2523"/>
      <c r="K342" s="2163"/>
      <c r="L342" s="2530"/>
      <c r="M342" s="2163"/>
    </row>
    <row r="343" spans="1:15">
      <c r="A343" s="2164"/>
      <c r="B343" s="2164"/>
      <c r="C343" s="2164"/>
      <c r="D343" s="2164"/>
      <c r="E343" s="2164"/>
      <c r="F343" s="2164"/>
      <c r="G343" s="2164"/>
      <c r="H343" s="2523"/>
      <c r="I343" s="2523"/>
      <c r="J343" s="2523"/>
      <c r="K343" s="2163"/>
      <c r="L343" s="2530"/>
      <c r="M343" s="2163"/>
    </row>
    <row r="344" spans="1:15">
      <c r="A344" s="2160" t="s">
        <v>2673</v>
      </c>
      <c r="B344" s="2161"/>
      <c r="C344" s="2160" t="s">
        <v>2674</v>
      </c>
      <c r="D344" s="2161"/>
      <c r="E344" s="2160" t="s">
        <v>2640</v>
      </c>
      <c r="F344" s="2161"/>
    </row>
    <row r="345" spans="1:15">
      <c r="A345" s="2163"/>
      <c r="B345" s="2163"/>
      <c r="C345" s="2163"/>
      <c r="D345" s="2163"/>
      <c r="E345" s="2163"/>
      <c r="F345" s="2163"/>
      <c r="G345" s="2163"/>
      <c r="H345" s="2163"/>
      <c r="I345" s="2163"/>
      <c r="J345" s="2163"/>
      <c r="K345" s="2163"/>
      <c r="L345" s="2163"/>
      <c r="M345" s="2163"/>
    </row>
    <row r="346" spans="1:15">
      <c r="A346" s="2164"/>
      <c r="H346" s="2522" t="s">
        <v>2637</v>
      </c>
      <c r="I346" s="2522"/>
      <c r="J346" s="2163"/>
      <c r="K346" s="2523">
        <v>0</v>
      </c>
      <c r="L346" s="2523"/>
      <c r="M346" s="2163"/>
      <c r="N346" s="2527"/>
      <c r="O346" s="2163"/>
    </row>
    <row r="347" spans="1:15">
      <c r="H347" s="2163"/>
      <c r="I347" s="2163"/>
      <c r="J347" s="2163"/>
      <c r="K347" s="2523"/>
      <c r="L347" s="2523"/>
      <c r="N347" s="2527"/>
    </row>
    <row r="348" spans="1:15">
      <c r="A348" s="2165">
        <v>32358</v>
      </c>
      <c r="B348" s="2163"/>
      <c r="C348" s="2524" t="s">
        <v>2675</v>
      </c>
      <c r="D348" s="2524"/>
      <c r="E348" s="2524"/>
      <c r="F348" s="2524"/>
      <c r="G348" s="2524"/>
      <c r="H348" s="2524"/>
      <c r="I348" s="2524"/>
      <c r="J348" s="2163"/>
      <c r="K348" s="2163"/>
      <c r="L348" s="2163"/>
      <c r="M348" s="2163"/>
    </row>
    <row r="349" spans="1:15">
      <c r="A349" s="2163"/>
      <c r="B349" s="2163"/>
      <c r="C349" s="2163"/>
      <c r="D349" s="2163"/>
      <c r="E349" s="2163"/>
      <c r="F349" s="2163"/>
      <c r="G349" s="2163"/>
      <c r="H349" s="2163"/>
      <c r="I349" s="2163"/>
      <c r="J349" s="2163"/>
      <c r="K349" s="2163"/>
      <c r="L349" s="2163"/>
      <c r="M349" s="2163"/>
    </row>
    <row r="350" spans="1:15">
      <c r="A350" s="2529"/>
      <c r="B350" s="2529"/>
      <c r="C350" s="2529"/>
      <c r="D350" s="2166"/>
      <c r="E350" s="2166"/>
      <c r="F350" s="2166"/>
      <c r="G350" s="2166"/>
      <c r="H350" s="2525"/>
      <c r="I350" s="2525"/>
      <c r="J350" s="2525"/>
      <c r="K350" s="2166"/>
      <c r="L350" s="2167"/>
      <c r="M350" s="2166"/>
    </row>
    <row r="351" spans="1:15">
      <c r="A351" s="2164"/>
      <c r="B351" s="2164"/>
      <c r="C351" s="2164"/>
      <c r="D351" s="2164"/>
      <c r="E351" s="2522" t="s">
        <v>2639</v>
      </c>
      <c r="F351" s="2522"/>
      <c r="G351" s="2164"/>
      <c r="H351" s="2523">
        <v>0</v>
      </c>
      <c r="I351" s="2523"/>
      <c r="J351" s="2523"/>
      <c r="K351" s="2163"/>
      <c r="L351" s="2530"/>
      <c r="M351" s="2163"/>
    </row>
    <row r="352" spans="1:15">
      <c r="A352" s="2164"/>
      <c r="B352" s="2164"/>
      <c r="C352" s="2164"/>
      <c r="D352" s="2164"/>
      <c r="E352" s="2164"/>
      <c r="F352" s="2164"/>
      <c r="G352" s="2164"/>
      <c r="H352" s="2523"/>
      <c r="I352" s="2523"/>
      <c r="J352" s="2523"/>
      <c r="K352" s="2163"/>
      <c r="L352" s="2530"/>
      <c r="M352" s="2163"/>
    </row>
    <row r="353" spans="1:15">
      <c r="A353" s="2160" t="s">
        <v>2673</v>
      </c>
      <c r="B353" s="2161"/>
      <c r="C353" s="2160" t="s">
        <v>2674</v>
      </c>
      <c r="D353" s="2161"/>
      <c r="E353" s="2160" t="s">
        <v>2640</v>
      </c>
      <c r="F353" s="2161"/>
    </row>
    <row r="354" spans="1:15">
      <c r="A354" s="2163"/>
      <c r="B354" s="2163"/>
      <c r="C354" s="2163"/>
      <c r="D354" s="2163"/>
      <c r="E354" s="2163"/>
      <c r="F354" s="2163"/>
      <c r="G354" s="2163"/>
      <c r="H354" s="2163"/>
      <c r="I354" s="2163"/>
      <c r="J354" s="2163"/>
      <c r="K354" s="2163"/>
      <c r="L354" s="2163"/>
      <c r="M354" s="2163"/>
    </row>
    <row r="355" spans="1:15">
      <c r="A355" s="2164"/>
      <c r="H355" s="2522" t="s">
        <v>2637</v>
      </c>
      <c r="I355" s="2522"/>
      <c r="J355" s="2163"/>
      <c r="K355" s="2523">
        <v>0</v>
      </c>
      <c r="L355" s="2523"/>
      <c r="M355" s="2163"/>
      <c r="N355" s="2527"/>
      <c r="O355" s="2163"/>
    </row>
    <row r="356" spans="1:15">
      <c r="H356" s="2163"/>
      <c r="I356" s="2163"/>
      <c r="J356" s="2163"/>
      <c r="K356" s="2523"/>
      <c r="L356" s="2523"/>
      <c r="N356" s="2527"/>
    </row>
    <row r="357" spans="1:15">
      <c r="A357" s="2165">
        <v>32115</v>
      </c>
      <c r="B357" s="2163"/>
      <c r="C357" s="2524" t="s">
        <v>2651</v>
      </c>
      <c r="D357" s="2524"/>
      <c r="E357" s="2524"/>
      <c r="F357" s="2524"/>
      <c r="G357" s="2524"/>
      <c r="H357" s="2524"/>
      <c r="I357" s="2524"/>
      <c r="J357" s="2163"/>
      <c r="K357" s="2163"/>
      <c r="L357" s="2163"/>
      <c r="M357" s="2163"/>
    </row>
    <row r="358" spans="1:15">
      <c r="A358" s="2163"/>
      <c r="B358" s="2163"/>
      <c r="C358" s="2163"/>
      <c r="D358" s="2163"/>
      <c r="E358" s="2163"/>
      <c r="F358" s="2163"/>
      <c r="G358" s="2163"/>
      <c r="H358" s="2163"/>
      <c r="I358" s="2163"/>
      <c r="J358" s="2163"/>
      <c r="K358" s="2163"/>
      <c r="L358" s="2163"/>
      <c r="M358" s="2163"/>
    </row>
    <row r="359" spans="1:15">
      <c r="A359" s="2529"/>
      <c r="B359" s="2529"/>
      <c r="C359" s="2529"/>
      <c r="D359" s="2166"/>
      <c r="E359" s="2166"/>
      <c r="F359" s="2166"/>
      <c r="G359" s="2166"/>
      <c r="H359" s="2525"/>
      <c r="I359" s="2525"/>
      <c r="J359" s="2525"/>
      <c r="K359" s="2166"/>
      <c r="L359" s="2167"/>
      <c r="M359" s="2166"/>
    </row>
    <row r="360" spans="1:15">
      <c r="A360" s="2164"/>
      <c r="B360" s="2164"/>
      <c r="C360" s="2164"/>
      <c r="D360" s="2164"/>
      <c r="E360" s="2522" t="s">
        <v>2639</v>
      </c>
      <c r="F360" s="2522"/>
      <c r="G360" s="2164"/>
      <c r="H360" s="2523">
        <v>0</v>
      </c>
      <c r="I360" s="2523"/>
      <c r="J360" s="2523"/>
      <c r="K360" s="2163"/>
      <c r="L360" s="2530"/>
      <c r="M360" s="2163"/>
    </row>
    <row r="361" spans="1:15">
      <c r="A361" s="2164"/>
      <c r="B361" s="2164"/>
      <c r="C361" s="2164"/>
      <c r="D361" s="2164"/>
      <c r="E361" s="2164"/>
      <c r="F361" s="2164"/>
      <c r="G361" s="2164"/>
      <c r="H361" s="2523"/>
      <c r="I361" s="2523"/>
      <c r="J361" s="2523"/>
      <c r="K361" s="2163"/>
      <c r="L361" s="2530"/>
      <c r="M361" s="2163"/>
    </row>
    <row r="362" spans="1:15">
      <c r="A362" s="2160" t="s">
        <v>2673</v>
      </c>
      <c r="B362" s="2161"/>
      <c r="C362" s="2160" t="s">
        <v>2674</v>
      </c>
      <c r="D362" s="2161"/>
      <c r="E362" s="2160" t="s">
        <v>2640</v>
      </c>
      <c r="F362" s="2161"/>
    </row>
    <row r="363" spans="1:15">
      <c r="A363" s="2163"/>
      <c r="B363" s="2163"/>
      <c r="C363" s="2163"/>
      <c r="D363" s="2163"/>
      <c r="E363" s="2163"/>
      <c r="F363" s="2163"/>
      <c r="G363" s="2163"/>
      <c r="H363" s="2163"/>
      <c r="I363" s="2163"/>
      <c r="J363" s="2163"/>
      <c r="K363" s="2163"/>
      <c r="L363" s="2163"/>
      <c r="M363" s="2163"/>
    </row>
    <row r="364" spans="1:15">
      <c r="A364" s="2164"/>
      <c r="H364" s="2522" t="s">
        <v>2637</v>
      </c>
      <c r="I364" s="2522"/>
      <c r="J364" s="2163"/>
      <c r="K364" s="2523">
        <v>0</v>
      </c>
      <c r="L364" s="2523"/>
      <c r="M364" s="2163"/>
      <c r="N364" s="2527"/>
      <c r="O364" s="2163"/>
    </row>
    <row r="365" spans="1:15">
      <c r="H365" s="2163"/>
      <c r="I365" s="2163"/>
      <c r="J365" s="2163"/>
      <c r="K365" s="2523"/>
      <c r="L365" s="2523"/>
      <c r="N365" s="2527"/>
    </row>
    <row r="366" spans="1:15">
      <c r="A366" s="2165">
        <v>32127</v>
      </c>
      <c r="B366" s="2163"/>
      <c r="C366" s="2524" t="s">
        <v>2652</v>
      </c>
      <c r="D366" s="2524"/>
      <c r="E366" s="2524"/>
      <c r="F366" s="2524"/>
      <c r="G366" s="2524"/>
      <c r="H366" s="2524"/>
      <c r="I366" s="2524"/>
      <c r="J366" s="2163"/>
      <c r="K366" s="2163"/>
      <c r="L366" s="2163"/>
      <c r="M366" s="2163"/>
    </row>
    <row r="367" spans="1:15">
      <c r="A367" s="2163"/>
      <c r="B367" s="2163"/>
      <c r="C367" s="2163"/>
      <c r="D367" s="2163"/>
      <c r="E367" s="2163"/>
      <c r="F367" s="2163"/>
      <c r="G367" s="2163"/>
      <c r="H367" s="2163"/>
      <c r="I367" s="2163"/>
      <c r="J367" s="2163"/>
      <c r="K367" s="2163"/>
      <c r="L367" s="2163"/>
      <c r="M367" s="2163"/>
    </row>
    <row r="368" spans="1:15">
      <c r="A368" s="2529"/>
      <c r="B368" s="2529"/>
      <c r="C368" s="2529"/>
      <c r="D368" s="2166"/>
      <c r="E368" s="2166"/>
      <c r="F368" s="2166"/>
      <c r="G368" s="2166"/>
      <c r="H368" s="2525"/>
      <c r="I368" s="2525"/>
      <c r="J368" s="2525"/>
      <c r="K368" s="2166"/>
      <c r="L368" s="2167"/>
      <c r="M368" s="2166"/>
    </row>
    <row r="369" spans="1:15">
      <c r="A369" s="2164"/>
      <c r="B369" s="2164"/>
      <c r="C369" s="2164"/>
      <c r="D369" s="2164"/>
      <c r="E369" s="2522" t="s">
        <v>2639</v>
      </c>
      <c r="F369" s="2522"/>
      <c r="G369" s="2164"/>
      <c r="H369" s="2523">
        <v>0</v>
      </c>
      <c r="I369" s="2523"/>
      <c r="J369" s="2523"/>
      <c r="K369" s="2163"/>
      <c r="L369" s="2530"/>
      <c r="M369" s="2163"/>
    </row>
    <row r="370" spans="1:15">
      <c r="A370" s="2164"/>
      <c r="B370" s="2164"/>
      <c r="C370" s="2164"/>
      <c r="D370" s="2164"/>
      <c r="E370" s="2164"/>
      <c r="F370" s="2164"/>
      <c r="G370" s="2164"/>
      <c r="H370" s="2523"/>
      <c r="I370" s="2523"/>
      <c r="J370" s="2523"/>
      <c r="K370" s="2163"/>
      <c r="L370" s="2530"/>
      <c r="M370" s="2163"/>
    </row>
    <row r="371" spans="1:15">
      <c r="A371" s="2160" t="s">
        <v>2673</v>
      </c>
      <c r="B371" s="2161"/>
      <c r="C371" s="2160" t="s">
        <v>2674</v>
      </c>
      <c r="D371" s="2161"/>
      <c r="E371" s="2160" t="s">
        <v>2640</v>
      </c>
      <c r="F371" s="2161"/>
    </row>
    <row r="372" spans="1:15">
      <c r="A372" s="2163"/>
      <c r="B372" s="2163"/>
      <c r="C372" s="2163"/>
      <c r="D372" s="2163"/>
      <c r="E372" s="2163"/>
      <c r="F372" s="2163"/>
      <c r="G372" s="2163"/>
      <c r="H372" s="2163"/>
      <c r="I372" s="2163"/>
      <c r="J372" s="2163"/>
      <c r="K372" s="2163"/>
      <c r="L372" s="2163"/>
      <c r="M372" s="2163"/>
    </row>
    <row r="373" spans="1:15">
      <c r="A373" s="2164"/>
      <c r="H373" s="2522" t="s">
        <v>2637</v>
      </c>
      <c r="I373" s="2522"/>
      <c r="J373" s="2163"/>
      <c r="K373" s="2523">
        <v>0</v>
      </c>
      <c r="L373" s="2523"/>
      <c r="M373" s="2163"/>
      <c r="N373" s="2527"/>
      <c r="O373" s="2163"/>
    </row>
    <row r="374" spans="1:15">
      <c r="H374" s="2163"/>
      <c r="I374" s="2163"/>
      <c r="J374" s="2163"/>
      <c r="K374" s="2523"/>
      <c r="L374" s="2523"/>
      <c r="N374" s="2527"/>
    </row>
    <row r="375" spans="1:15">
      <c r="A375" s="2165">
        <v>32346</v>
      </c>
      <c r="B375" s="2163"/>
      <c r="C375" s="2524" t="s">
        <v>2656</v>
      </c>
      <c r="D375" s="2524"/>
      <c r="E375" s="2524"/>
      <c r="F375" s="2524"/>
      <c r="G375" s="2524"/>
      <c r="H375" s="2524"/>
      <c r="I375" s="2524"/>
      <c r="J375" s="2163"/>
      <c r="K375" s="2163"/>
      <c r="L375" s="2163"/>
      <c r="M375" s="2163"/>
    </row>
    <row r="376" spans="1:15">
      <c r="A376" s="2163"/>
      <c r="B376" s="2163"/>
      <c r="C376" s="2163"/>
      <c r="D376" s="2163"/>
      <c r="E376" s="2163"/>
      <c r="F376" s="2163"/>
      <c r="G376" s="2163"/>
      <c r="H376" s="2163"/>
      <c r="I376" s="2163"/>
      <c r="J376" s="2163"/>
      <c r="K376" s="2163"/>
      <c r="L376" s="2163"/>
      <c r="M376" s="2163"/>
    </row>
    <row r="377" spans="1:15">
      <c r="A377" s="2529"/>
      <c r="B377" s="2529"/>
      <c r="C377" s="2529"/>
      <c r="D377" s="2166"/>
      <c r="E377" s="2166"/>
      <c r="F377" s="2166"/>
      <c r="G377" s="2166"/>
      <c r="H377" s="2525"/>
      <c r="I377" s="2525"/>
      <c r="J377" s="2525"/>
      <c r="K377" s="2166"/>
      <c r="L377" s="2167"/>
      <c r="M377" s="2166"/>
    </row>
    <row r="378" spans="1:15">
      <c r="A378" s="2164"/>
      <c r="B378" s="2164"/>
      <c r="C378" s="2164"/>
      <c r="D378" s="2164"/>
      <c r="E378" s="2522" t="s">
        <v>2639</v>
      </c>
      <c r="F378" s="2522"/>
      <c r="G378" s="2164"/>
      <c r="H378" s="2523">
        <v>0</v>
      </c>
      <c r="I378" s="2523"/>
      <c r="J378" s="2523"/>
      <c r="K378" s="2163"/>
      <c r="L378" s="2530"/>
      <c r="M378" s="2163"/>
    </row>
    <row r="379" spans="1:15">
      <c r="A379" s="2164"/>
      <c r="B379" s="2164"/>
      <c r="C379" s="2164"/>
      <c r="D379" s="2164"/>
      <c r="E379" s="2164"/>
      <c r="F379" s="2164"/>
      <c r="G379" s="2164"/>
      <c r="H379" s="2523"/>
      <c r="I379" s="2523"/>
      <c r="J379" s="2523"/>
      <c r="K379" s="2163"/>
      <c r="L379" s="2530"/>
      <c r="M379" s="2163"/>
    </row>
    <row r="380" spans="1:15">
      <c r="A380" s="2160" t="s">
        <v>2673</v>
      </c>
      <c r="B380" s="2161"/>
      <c r="C380" s="2160" t="s">
        <v>2674</v>
      </c>
      <c r="D380" s="2161"/>
      <c r="E380" s="2160" t="s">
        <v>2640</v>
      </c>
      <c r="F380" s="2161"/>
    </row>
    <row r="381" spans="1:15">
      <c r="A381" s="2163"/>
      <c r="B381" s="2163"/>
      <c r="C381" s="2163"/>
      <c r="D381" s="2163"/>
      <c r="E381" s="2163"/>
      <c r="F381" s="2163"/>
      <c r="G381" s="2163"/>
      <c r="H381" s="2163"/>
      <c r="I381" s="2163"/>
      <c r="J381" s="2163"/>
      <c r="K381" s="2163"/>
      <c r="L381" s="2163"/>
      <c r="M381" s="2163"/>
    </row>
    <row r="382" spans="1:15">
      <c r="A382" s="2164"/>
      <c r="H382" s="2522" t="s">
        <v>2637</v>
      </c>
      <c r="I382" s="2522"/>
      <c r="J382" s="2163"/>
      <c r="K382" s="2523">
        <v>0</v>
      </c>
      <c r="L382" s="2523"/>
      <c r="M382" s="2163"/>
      <c r="N382" s="2527"/>
      <c r="O382" s="2163"/>
    </row>
    <row r="383" spans="1:15">
      <c r="H383" s="2163"/>
      <c r="I383" s="2163"/>
      <c r="J383" s="2163"/>
      <c r="K383" s="2523"/>
      <c r="L383" s="2523"/>
      <c r="N383" s="2527"/>
    </row>
    <row r="384" spans="1:15">
      <c r="A384" s="2165">
        <v>34106</v>
      </c>
      <c r="B384" s="2163"/>
      <c r="C384" s="2524" t="s">
        <v>2657</v>
      </c>
      <c r="D384" s="2524"/>
      <c r="E384" s="2524"/>
      <c r="F384" s="2524"/>
      <c r="G384" s="2524"/>
      <c r="H384" s="2524"/>
      <c r="I384" s="2524"/>
      <c r="J384" s="2163"/>
      <c r="K384" s="2163"/>
      <c r="L384" s="2163"/>
      <c r="M384" s="2163"/>
    </row>
    <row r="385" spans="1:15">
      <c r="A385" s="2163"/>
      <c r="B385" s="2163"/>
      <c r="C385" s="2163"/>
      <c r="D385" s="2163"/>
      <c r="E385" s="2163"/>
      <c r="F385" s="2163"/>
      <c r="G385" s="2163"/>
      <c r="H385" s="2163"/>
      <c r="I385" s="2163"/>
      <c r="J385" s="2163"/>
      <c r="K385" s="2163"/>
      <c r="L385" s="2163"/>
      <c r="M385" s="2163"/>
    </row>
    <row r="386" spans="1:15">
      <c r="A386" s="2529"/>
      <c r="B386" s="2529"/>
      <c r="C386" s="2529"/>
      <c r="D386" s="2166"/>
      <c r="E386" s="2166"/>
      <c r="F386" s="2166"/>
      <c r="G386" s="2166"/>
      <c r="H386" s="2525"/>
      <c r="I386" s="2525"/>
      <c r="J386" s="2525"/>
      <c r="K386" s="2166"/>
      <c r="L386" s="2167"/>
      <c r="M386" s="2166"/>
    </row>
    <row r="387" spans="1:15">
      <c r="A387" s="2164"/>
      <c r="B387" s="2164"/>
      <c r="C387" s="2164"/>
      <c r="D387" s="2164"/>
      <c r="E387" s="2522" t="s">
        <v>2639</v>
      </c>
      <c r="F387" s="2522"/>
      <c r="G387" s="2164"/>
      <c r="H387" s="2523">
        <v>0</v>
      </c>
      <c r="I387" s="2523"/>
      <c r="J387" s="2523"/>
      <c r="K387" s="2163"/>
      <c r="L387" s="2530"/>
      <c r="M387" s="2163"/>
    </row>
    <row r="388" spans="1:15">
      <c r="A388" s="2164"/>
      <c r="B388" s="2164"/>
      <c r="C388" s="2164"/>
      <c r="D388" s="2164"/>
      <c r="E388" s="2164"/>
      <c r="F388" s="2164"/>
      <c r="G388" s="2164"/>
      <c r="H388" s="2523"/>
      <c r="I388" s="2523"/>
      <c r="J388" s="2523"/>
      <c r="K388" s="2163"/>
      <c r="L388" s="2530"/>
      <c r="M388" s="2163"/>
    </row>
    <row r="389" spans="1:15">
      <c r="A389" s="2160" t="s">
        <v>2673</v>
      </c>
      <c r="B389" s="2161"/>
      <c r="C389" s="2160" t="s">
        <v>2674</v>
      </c>
      <c r="D389" s="2161"/>
      <c r="E389" s="2160" t="s">
        <v>2640</v>
      </c>
      <c r="F389" s="2161"/>
    </row>
    <row r="390" spans="1:15">
      <c r="A390" s="2163"/>
      <c r="B390" s="2163"/>
      <c r="C390" s="2163"/>
      <c r="D390" s="2163"/>
      <c r="E390" s="2163"/>
      <c r="F390" s="2163"/>
      <c r="G390" s="2163"/>
      <c r="H390" s="2163"/>
      <c r="I390" s="2163"/>
      <c r="J390" s="2163"/>
      <c r="K390" s="2163"/>
      <c r="L390" s="2163"/>
      <c r="M390" s="2163"/>
    </row>
    <row r="391" spans="1:15">
      <c r="A391" s="2164"/>
      <c r="H391" s="2522" t="s">
        <v>2637</v>
      </c>
      <c r="I391" s="2522"/>
      <c r="J391" s="2163"/>
      <c r="K391" s="2523">
        <v>0</v>
      </c>
      <c r="L391" s="2523"/>
      <c r="M391" s="2163"/>
      <c r="N391" s="2527"/>
      <c r="O391" s="2163"/>
    </row>
    <row r="392" spans="1:15">
      <c r="H392" s="2163"/>
      <c r="I392" s="2163"/>
      <c r="J392" s="2163"/>
      <c r="K392" s="2523"/>
      <c r="L392" s="2523"/>
      <c r="N392" s="2527"/>
    </row>
    <row r="393" spans="1:15">
      <c r="A393" s="2165">
        <v>46553</v>
      </c>
      <c r="B393" s="2163"/>
      <c r="C393" s="2524" t="s">
        <v>2662</v>
      </c>
      <c r="D393" s="2524"/>
      <c r="E393" s="2524"/>
      <c r="F393" s="2524"/>
      <c r="G393" s="2524"/>
      <c r="H393" s="2524"/>
      <c r="I393" s="2524"/>
      <c r="J393" s="2163"/>
      <c r="K393" s="2163"/>
      <c r="L393" s="2163"/>
      <c r="M393" s="2163"/>
    </row>
    <row r="394" spans="1:15">
      <c r="A394" s="2163"/>
      <c r="B394" s="2163"/>
      <c r="C394" s="2163"/>
      <c r="D394" s="2163"/>
      <c r="E394" s="2163"/>
      <c r="F394" s="2163"/>
      <c r="G394" s="2163"/>
      <c r="H394" s="2163"/>
      <c r="I394" s="2163"/>
      <c r="J394" s="2163"/>
      <c r="K394" s="2163"/>
      <c r="L394" s="2163"/>
      <c r="M394" s="2163"/>
    </row>
    <row r="395" spans="1:15">
      <c r="A395" s="2529"/>
      <c r="B395" s="2529"/>
      <c r="C395" s="2529"/>
      <c r="D395" s="2166"/>
      <c r="E395" s="2166"/>
      <c r="F395" s="2166"/>
      <c r="G395" s="2166"/>
      <c r="H395" s="2525"/>
      <c r="I395" s="2525"/>
      <c r="J395" s="2525"/>
      <c r="K395" s="2166"/>
      <c r="L395" s="2167"/>
      <c r="M395" s="2166"/>
    </row>
    <row r="396" spans="1:15">
      <c r="A396" s="2164"/>
      <c r="B396" s="2164"/>
      <c r="C396" s="2164"/>
      <c r="D396" s="2164"/>
      <c r="E396" s="2522" t="s">
        <v>2639</v>
      </c>
      <c r="F396" s="2522"/>
      <c r="G396" s="2164"/>
      <c r="H396" s="2523">
        <v>0</v>
      </c>
      <c r="I396" s="2523"/>
      <c r="J396" s="2523"/>
      <c r="K396" s="2163"/>
      <c r="L396" s="2530"/>
      <c r="M396" s="2163"/>
    </row>
    <row r="397" spans="1:15">
      <c r="A397" s="2164"/>
      <c r="B397" s="2164"/>
      <c r="C397" s="2164"/>
      <c r="D397" s="2164"/>
      <c r="E397" s="2164"/>
      <c r="F397" s="2164"/>
      <c r="G397" s="2164"/>
      <c r="H397" s="2523"/>
      <c r="I397" s="2523"/>
      <c r="J397" s="2523"/>
      <c r="K397" s="2163"/>
      <c r="L397" s="2530"/>
      <c r="M397" s="2163"/>
    </row>
    <row r="398" spans="1:15" ht="27.6">
      <c r="A398" s="2160" t="s">
        <v>2676</v>
      </c>
      <c r="B398" s="2161"/>
      <c r="C398" s="2160" t="s">
        <v>2677</v>
      </c>
      <c r="D398" s="2161"/>
      <c r="E398" s="2160" t="s">
        <v>2636</v>
      </c>
      <c r="F398" s="2161"/>
    </row>
    <row r="399" spans="1:15">
      <c r="A399" s="2163"/>
      <c r="B399" s="2163"/>
      <c r="C399" s="2163"/>
      <c r="D399" s="2163"/>
      <c r="E399" s="2163"/>
      <c r="F399" s="2163"/>
      <c r="G399" s="2163"/>
      <c r="H399" s="2163"/>
      <c r="I399" s="2163"/>
      <c r="J399" s="2163"/>
      <c r="K399" s="2163"/>
      <c r="L399" s="2163"/>
      <c r="M399" s="2163"/>
    </row>
    <row r="400" spans="1:15">
      <c r="A400" s="2164"/>
      <c r="H400" s="2522" t="s">
        <v>2637</v>
      </c>
      <c r="I400" s="2522"/>
      <c r="J400" s="2163"/>
      <c r="K400" s="2523">
        <v>0</v>
      </c>
      <c r="L400" s="2523"/>
      <c r="M400" s="2163"/>
      <c r="N400" s="2527"/>
      <c r="O400" s="2163"/>
    </row>
    <row r="401" spans="1:15">
      <c r="H401" s="2163"/>
      <c r="I401" s="2163"/>
      <c r="J401" s="2163"/>
      <c r="K401" s="2523"/>
      <c r="L401" s="2523"/>
      <c r="N401" s="2527"/>
    </row>
    <row r="402" spans="1:15">
      <c r="A402" s="2165">
        <v>32115</v>
      </c>
      <c r="B402" s="2163"/>
      <c r="C402" s="2524" t="s">
        <v>2651</v>
      </c>
      <c r="D402" s="2524"/>
      <c r="E402" s="2524"/>
      <c r="F402" s="2524"/>
      <c r="G402" s="2524"/>
      <c r="H402" s="2524"/>
      <c r="I402" s="2524"/>
      <c r="J402" s="2163"/>
      <c r="K402" s="2163"/>
      <c r="L402" s="2163"/>
      <c r="M402" s="2163"/>
    </row>
    <row r="403" spans="1:15">
      <c r="A403" s="2163"/>
      <c r="B403" s="2163"/>
      <c r="C403" s="2163"/>
      <c r="D403" s="2163"/>
      <c r="E403" s="2163"/>
      <c r="F403" s="2163"/>
      <c r="G403" s="2163"/>
      <c r="H403" s="2163"/>
      <c r="I403" s="2163"/>
      <c r="J403" s="2163"/>
      <c r="K403" s="2163"/>
      <c r="L403" s="2163"/>
      <c r="M403" s="2163"/>
    </row>
    <row r="404" spans="1:15">
      <c r="A404" s="2529"/>
      <c r="B404" s="2529"/>
      <c r="C404" s="2529"/>
      <c r="D404" s="2166"/>
      <c r="E404" s="2166"/>
      <c r="F404" s="2166"/>
      <c r="G404" s="2166"/>
      <c r="H404" s="2525"/>
      <c r="I404" s="2525"/>
      <c r="J404" s="2525"/>
      <c r="K404" s="2166"/>
      <c r="L404" s="2167"/>
      <c r="M404" s="2166"/>
    </row>
    <row r="405" spans="1:15">
      <c r="A405" s="2164"/>
      <c r="B405" s="2164"/>
      <c r="C405" s="2164"/>
      <c r="D405" s="2164"/>
      <c r="E405" s="2522" t="s">
        <v>2639</v>
      </c>
      <c r="F405" s="2522"/>
      <c r="G405" s="2164"/>
      <c r="H405" s="2523">
        <v>0</v>
      </c>
      <c r="I405" s="2523"/>
      <c r="J405" s="2523"/>
      <c r="K405" s="2163"/>
      <c r="L405" s="2523">
        <v>0</v>
      </c>
      <c r="M405" s="2163"/>
    </row>
    <row r="406" spans="1:15">
      <c r="A406" s="2164"/>
      <c r="B406" s="2164"/>
      <c r="C406" s="2164"/>
      <c r="D406" s="2164"/>
      <c r="E406" s="2164"/>
      <c r="F406" s="2164"/>
      <c r="G406" s="2164"/>
      <c r="H406" s="2523"/>
      <c r="I406" s="2523"/>
      <c r="J406" s="2523"/>
      <c r="K406" s="2163"/>
      <c r="L406" s="2523"/>
      <c r="M406" s="2163"/>
    </row>
    <row r="407" spans="1:15" ht="27.6">
      <c r="A407" s="2160" t="s">
        <v>2676</v>
      </c>
      <c r="B407" s="2161"/>
      <c r="C407" s="2160" t="s">
        <v>2677</v>
      </c>
      <c r="D407" s="2161"/>
      <c r="E407" s="2160" t="s">
        <v>2640</v>
      </c>
      <c r="F407" s="2161"/>
    </row>
    <row r="408" spans="1:15">
      <c r="A408" s="2163"/>
      <c r="B408" s="2163"/>
      <c r="C408" s="2163"/>
      <c r="D408" s="2163"/>
      <c r="E408" s="2163"/>
      <c r="F408" s="2163"/>
      <c r="G408" s="2163"/>
      <c r="H408" s="2163"/>
      <c r="I408" s="2163"/>
      <c r="J408" s="2163"/>
      <c r="K408" s="2163"/>
      <c r="L408" s="2163"/>
      <c r="M408" s="2163"/>
    </row>
    <row r="409" spans="1:15">
      <c r="A409" s="2164"/>
      <c r="H409" s="2522" t="s">
        <v>2637</v>
      </c>
      <c r="I409" s="2522"/>
      <c r="J409" s="2163"/>
      <c r="K409" s="2523">
        <v>5.8999999999999999E-3</v>
      </c>
      <c r="L409" s="2523"/>
      <c r="M409" s="2163"/>
      <c r="N409" s="2527"/>
      <c r="O409" s="2163"/>
    </row>
    <row r="410" spans="1:15">
      <c r="H410" s="2163"/>
      <c r="I410" s="2163"/>
      <c r="J410" s="2163"/>
      <c r="K410" s="2523"/>
      <c r="L410" s="2523"/>
      <c r="N410" s="2527"/>
    </row>
    <row r="411" spans="1:15">
      <c r="A411" s="2165">
        <v>425</v>
      </c>
      <c r="B411" s="2163"/>
      <c r="C411" s="2524" t="s">
        <v>2641</v>
      </c>
      <c r="D411" s="2524"/>
      <c r="E411" s="2524"/>
      <c r="F411" s="2524"/>
      <c r="G411" s="2524"/>
      <c r="H411" s="2524"/>
      <c r="I411" s="2524"/>
      <c r="J411" s="2163"/>
      <c r="K411" s="2163"/>
      <c r="L411" s="2163"/>
      <c r="M411" s="2163"/>
    </row>
    <row r="412" spans="1:15">
      <c r="A412" s="2163"/>
      <c r="B412" s="2163"/>
      <c r="C412" s="2163"/>
      <c r="D412" s="2163"/>
      <c r="E412" s="2163"/>
      <c r="F412" s="2163"/>
      <c r="G412" s="2163"/>
      <c r="H412" s="2163"/>
      <c r="I412" s="2163"/>
      <c r="J412" s="2163"/>
      <c r="K412" s="2163"/>
      <c r="L412" s="2163"/>
      <c r="M412" s="2163"/>
    </row>
    <row r="413" spans="1:15">
      <c r="A413" s="2529"/>
      <c r="B413" s="2529"/>
      <c r="C413" s="2529"/>
      <c r="D413" s="2166"/>
      <c r="E413" s="2166"/>
      <c r="F413" s="2166"/>
      <c r="G413" s="2166"/>
      <c r="H413" s="2525"/>
      <c r="I413" s="2525"/>
      <c r="J413" s="2525"/>
      <c r="K413" s="2166"/>
      <c r="L413" s="2167"/>
      <c r="M413" s="2166"/>
    </row>
    <row r="414" spans="1:15">
      <c r="A414" s="2164"/>
      <c r="B414" s="2164"/>
      <c r="C414" s="2164"/>
      <c r="D414" s="2164"/>
      <c r="E414" s="2522" t="s">
        <v>2639</v>
      </c>
      <c r="F414" s="2522"/>
      <c r="G414" s="2164"/>
      <c r="H414" s="2523">
        <v>5.8999999999999999E-3</v>
      </c>
      <c r="I414" s="2523"/>
      <c r="J414" s="2523"/>
      <c r="K414" s="2163"/>
      <c r="L414" s="2523">
        <v>0.45</v>
      </c>
      <c r="M414" s="2163"/>
    </row>
    <row r="415" spans="1:15">
      <c r="A415" s="2164"/>
      <c r="B415" s="2164"/>
      <c r="C415" s="2164"/>
      <c r="D415" s="2164"/>
      <c r="E415" s="2164"/>
      <c r="F415" s="2164"/>
      <c r="G415" s="2164"/>
      <c r="H415" s="2523"/>
      <c r="I415" s="2523"/>
      <c r="J415" s="2523"/>
      <c r="K415" s="2163"/>
      <c r="L415" s="2523"/>
      <c r="M415" s="2163"/>
    </row>
    <row r="416" spans="1:15" ht="27.6">
      <c r="A416" s="2160" t="s">
        <v>2676</v>
      </c>
      <c r="B416" s="2161"/>
      <c r="C416" s="2160" t="s">
        <v>2677</v>
      </c>
      <c r="D416" s="2161"/>
      <c r="E416" s="2160" t="s">
        <v>2640</v>
      </c>
      <c r="F416" s="2161"/>
    </row>
    <row r="417" spans="1:15">
      <c r="A417" s="2163"/>
      <c r="B417" s="2163"/>
      <c r="C417" s="2163"/>
      <c r="D417" s="2163"/>
      <c r="E417" s="2163"/>
      <c r="F417" s="2163"/>
      <c r="G417" s="2163"/>
      <c r="H417" s="2163"/>
      <c r="I417" s="2163"/>
      <c r="J417" s="2163"/>
      <c r="K417" s="2163"/>
      <c r="L417" s="2163"/>
      <c r="M417" s="2163"/>
    </row>
    <row r="418" spans="1:15">
      <c r="A418" s="2164"/>
      <c r="H418" s="2522" t="s">
        <v>2637</v>
      </c>
      <c r="I418" s="2522"/>
      <c r="J418" s="2163"/>
      <c r="K418" s="2523">
        <v>0</v>
      </c>
      <c r="L418" s="2523"/>
      <c r="M418" s="2163"/>
      <c r="N418" s="2527"/>
      <c r="O418" s="2163"/>
    </row>
    <row r="419" spans="1:15">
      <c r="H419" s="2163"/>
      <c r="I419" s="2163"/>
      <c r="J419" s="2163"/>
      <c r="K419" s="2523"/>
      <c r="L419" s="2523"/>
      <c r="N419" s="2527"/>
    </row>
    <row r="420" spans="1:15">
      <c r="A420" s="2165">
        <v>42039</v>
      </c>
      <c r="B420" s="2163"/>
      <c r="C420" s="2524" t="s">
        <v>2643</v>
      </c>
      <c r="D420" s="2524"/>
      <c r="E420" s="2524"/>
      <c r="F420" s="2524"/>
      <c r="G420" s="2524"/>
      <c r="H420" s="2524"/>
      <c r="I420" s="2524"/>
      <c r="J420" s="2163"/>
      <c r="K420" s="2163"/>
      <c r="L420" s="2163"/>
      <c r="M420" s="2163"/>
    </row>
    <row r="421" spans="1:15">
      <c r="A421" s="2163"/>
      <c r="B421" s="2163"/>
      <c r="C421" s="2163"/>
      <c r="D421" s="2163"/>
      <c r="E421" s="2163"/>
      <c r="F421" s="2163"/>
      <c r="G421" s="2163"/>
      <c r="H421" s="2163"/>
      <c r="I421" s="2163"/>
      <c r="J421" s="2163"/>
      <c r="K421" s="2163"/>
      <c r="L421" s="2163"/>
      <c r="M421" s="2163"/>
    </row>
    <row r="422" spans="1:15">
      <c r="A422" s="2529"/>
      <c r="B422" s="2529"/>
      <c r="C422" s="2529"/>
      <c r="D422" s="2166"/>
      <c r="E422" s="2166"/>
      <c r="F422" s="2166"/>
      <c r="G422" s="2166"/>
      <c r="H422" s="2525"/>
      <c r="I422" s="2525"/>
      <c r="J422" s="2525"/>
      <c r="K422" s="2166"/>
      <c r="L422" s="2167"/>
      <c r="M422" s="2166"/>
    </row>
    <row r="423" spans="1:15">
      <c r="A423" s="2164"/>
      <c r="B423" s="2164"/>
      <c r="C423" s="2164"/>
      <c r="D423" s="2164"/>
      <c r="E423" s="2522" t="s">
        <v>2639</v>
      </c>
      <c r="F423" s="2522"/>
      <c r="G423" s="2164"/>
      <c r="H423" s="2523">
        <v>0</v>
      </c>
      <c r="I423" s="2523"/>
      <c r="J423" s="2523"/>
      <c r="K423" s="2163"/>
      <c r="L423" s="2523">
        <v>0</v>
      </c>
      <c r="M423" s="2163"/>
    </row>
    <row r="424" spans="1:15">
      <c r="A424" s="2164"/>
      <c r="B424" s="2164"/>
      <c r="C424" s="2164"/>
      <c r="D424" s="2164"/>
      <c r="E424" s="2164"/>
      <c r="F424" s="2164"/>
      <c r="G424" s="2164"/>
      <c r="H424" s="2523"/>
      <c r="I424" s="2523"/>
      <c r="J424" s="2523"/>
      <c r="K424" s="2163"/>
      <c r="L424" s="2523"/>
      <c r="M424" s="2163"/>
    </row>
    <row r="425" spans="1:15" ht="27.6">
      <c r="A425" s="2160" t="s">
        <v>2676</v>
      </c>
      <c r="B425" s="2161"/>
      <c r="C425" s="2160" t="s">
        <v>2677</v>
      </c>
      <c r="D425" s="2161"/>
      <c r="E425" s="2160" t="s">
        <v>2640</v>
      </c>
      <c r="F425" s="2161"/>
    </row>
    <row r="426" spans="1:15">
      <c r="A426" s="2163"/>
      <c r="B426" s="2163"/>
      <c r="C426" s="2163"/>
      <c r="D426" s="2163"/>
      <c r="E426" s="2163"/>
      <c r="F426" s="2163"/>
      <c r="G426" s="2163"/>
      <c r="H426" s="2163"/>
      <c r="I426" s="2163"/>
      <c r="J426" s="2163"/>
      <c r="K426" s="2163"/>
      <c r="L426" s="2163"/>
      <c r="M426" s="2163"/>
    </row>
    <row r="427" spans="1:15">
      <c r="A427" s="2164"/>
      <c r="H427" s="2522" t="s">
        <v>2637</v>
      </c>
      <c r="I427" s="2522"/>
      <c r="J427" s="2163"/>
      <c r="K427" s="2523">
        <v>1E-4</v>
      </c>
      <c r="L427" s="2523"/>
      <c r="M427" s="2163"/>
      <c r="N427" s="2527"/>
      <c r="O427" s="2163"/>
    </row>
    <row r="428" spans="1:15">
      <c r="H428" s="2163"/>
      <c r="I428" s="2163"/>
      <c r="J428" s="2163"/>
      <c r="K428" s="2523"/>
      <c r="L428" s="2523"/>
      <c r="N428" s="2527"/>
    </row>
    <row r="429" spans="1:15">
      <c r="A429" s="2165">
        <v>32636</v>
      </c>
      <c r="B429" s="2163"/>
      <c r="C429" s="2524" t="s">
        <v>2641</v>
      </c>
      <c r="D429" s="2524"/>
      <c r="E429" s="2524"/>
      <c r="F429" s="2524"/>
      <c r="G429" s="2524"/>
      <c r="H429" s="2524"/>
      <c r="I429" s="2524"/>
      <c r="J429" s="2163"/>
      <c r="K429" s="2163"/>
      <c r="L429" s="2163"/>
      <c r="M429" s="2163"/>
    </row>
    <row r="430" spans="1:15">
      <c r="A430" s="2163"/>
      <c r="B430" s="2163"/>
      <c r="C430" s="2163"/>
      <c r="D430" s="2163"/>
      <c r="E430" s="2163"/>
      <c r="F430" s="2163"/>
      <c r="G430" s="2163"/>
      <c r="H430" s="2163"/>
      <c r="I430" s="2163"/>
      <c r="J430" s="2163"/>
      <c r="K430" s="2163"/>
      <c r="L430" s="2163"/>
      <c r="M430" s="2163"/>
    </row>
    <row r="431" spans="1:15">
      <c r="A431" s="2529"/>
      <c r="B431" s="2529"/>
      <c r="C431" s="2529"/>
      <c r="D431" s="2166"/>
      <c r="E431" s="2166"/>
      <c r="F431" s="2166"/>
      <c r="G431" s="2166"/>
      <c r="H431" s="2525"/>
      <c r="I431" s="2525"/>
      <c r="J431" s="2525"/>
      <c r="K431" s="2166"/>
      <c r="L431" s="2167"/>
      <c r="M431" s="2166"/>
    </row>
    <row r="432" spans="1:15">
      <c r="A432" s="2164"/>
      <c r="B432" s="2164"/>
      <c r="C432" s="2164"/>
      <c r="D432" s="2164"/>
      <c r="E432" s="2522" t="s">
        <v>2639</v>
      </c>
      <c r="F432" s="2522"/>
      <c r="G432" s="2164"/>
      <c r="H432" s="2523">
        <v>1E-4</v>
      </c>
      <c r="I432" s="2523"/>
      <c r="J432" s="2523"/>
      <c r="K432" s="2163"/>
      <c r="L432" s="2523">
        <v>0.01</v>
      </c>
      <c r="M432" s="2163"/>
    </row>
    <row r="433" spans="1:15">
      <c r="A433" s="2164"/>
      <c r="B433" s="2164"/>
      <c r="C433" s="2164"/>
      <c r="D433" s="2164"/>
      <c r="E433" s="2164"/>
      <c r="F433" s="2164"/>
      <c r="G433" s="2164"/>
      <c r="H433" s="2523"/>
      <c r="I433" s="2523"/>
      <c r="J433" s="2523"/>
      <c r="K433" s="2163"/>
      <c r="L433" s="2523"/>
      <c r="M433" s="2163"/>
    </row>
    <row r="434" spans="1:15" ht="27.6">
      <c r="A434" s="2160" t="s">
        <v>2676</v>
      </c>
      <c r="B434" s="2161"/>
      <c r="C434" s="2160" t="s">
        <v>2677</v>
      </c>
      <c r="D434" s="2161"/>
      <c r="E434" s="2160" t="s">
        <v>2640</v>
      </c>
      <c r="F434" s="2161"/>
    </row>
    <row r="435" spans="1:15">
      <c r="A435" s="2163"/>
      <c r="B435" s="2163"/>
      <c r="C435" s="2163"/>
      <c r="D435" s="2163"/>
      <c r="E435" s="2163"/>
      <c r="F435" s="2163"/>
      <c r="G435" s="2163"/>
      <c r="H435" s="2163"/>
      <c r="I435" s="2163"/>
      <c r="J435" s="2163"/>
      <c r="K435" s="2163"/>
      <c r="L435" s="2163"/>
      <c r="M435" s="2163"/>
    </row>
    <row r="436" spans="1:15">
      <c r="A436" s="2164"/>
      <c r="H436" s="2522" t="s">
        <v>2637</v>
      </c>
      <c r="I436" s="2522"/>
      <c r="J436" s="2163"/>
      <c r="K436" s="2523">
        <v>0</v>
      </c>
      <c r="L436" s="2523"/>
      <c r="M436" s="2163"/>
      <c r="N436" s="2527"/>
      <c r="O436" s="2163"/>
    </row>
    <row r="437" spans="1:15">
      <c r="H437" s="2163"/>
      <c r="I437" s="2163"/>
      <c r="J437" s="2163"/>
      <c r="K437" s="2523"/>
      <c r="L437" s="2523"/>
      <c r="N437" s="2527"/>
    </row>
    <row r="438" spans="1:15">
      <c r="A438" s="2165">
        <v>32358</v>
      </c>
      <c r="B438" s="2163"/>
      <c r="C438" s="2524" t="s">
        <v>2675</v>
      </c>
      <c r="D438" s="2524"/>
      <c r="E438" s="2524"/>
      <c r="F438" s="2524"/>
      <c r="G438" s="2524"/>
      <c r="H438" s="2524"/>
      <c r="I438" s="2524"/>
      <c r="J438" s="2163"/>
      <c r="K438" s="2163"/>
      <c r="L438" s="2163"/>
      <c r="M438" s="2163"/>
    </row>
    <row r="439" spans="1:15">
      <c r="A439" s="2163"/>
      <c r="B439" s="2163"/>
      <c r="C439" s="2163"/>
      <c r="D439" s="2163"/>
      <c r="E439" s="2163"/>
      <c r="F439" s="2163"/>
      <c r="G439" s="2163"/>
      <c r="H439" s="2163"/>
      <c r="I439" s="2163"/>
      <c r="J439" s="2163"/>
      <c r="K439" s="2163"/>
      <c r="L439" s="2163"/>
      <c r="M439" s="2163"/>
    </row>
    <row r="440" spans="1:15">
      <c r="A440" s="2529"/>
      <c r="B440" s="2529"/>
      <c r="C440" s="2529"/>
      <c r="D440" s="2166"/>
      <c r="E440" s="2166"/>
      <c r="F440" s="2166"/>
      <c r="G440" s="2166"/>
      <c r="H440" s="2525"/>
      <c r="I440" s="2525"/>
      <c r="J440" s="2525"/>
      <c r="K440" s="2166"/>
      <c r="L440" s="2167"/>
      <c r="M440" s="2166"/>
    </row>
    <row r="441" spans="1:15">
      <c r="A441" s="2164"/>
      <c r="B441" s="2164"/>
      <c r="C441" s="2164"/>
      <c r="D441" s="2164"/>
      <c r="E441" s="2522" t="s">
        <v>2639</v>
      </c>
      <c r="F441" s="2522"/>
      <c r="G441" s="2164"/>
      <c r="H441" s="2523">
        <v>0</v>
      </c>
      <c r="I441" s="2523"/>
      <c r="J441" s="2523"/>
      <c r="K441" s="2163"/>
      <c r="L441" s="2523">
        <v>0</v>
      </c>
      <c r="M441" s="2163"/>
    </row>
    <row r="442" spans="1:15">
      <c r="A442" s="2164"/>
      <c r="B442" s="2164"/>
      <c r="C442" s="2164"/>
      <c r="D442" s="2164"/>
      <c r="E442" s="2164"/>
      <c r="F442" s="2164"/>
      <c r="G442" s="2164"/>
      <c r="H442" s="2523"/>
      <c r="I442" s="2523"/>
      <c r="J442" s="2523"/>
      <c r="K442" s="2163"/>
      <c r="L442" s="2523"/>
      <c r="M442" s="2163"/>
    </row>
    <row r="443" spans="1:15" ht="27.6">
      <c r="A443" s="2160" t="s">
        <v>2676</v>
      </c>
      <c r="B443" s="2161"/>
      <c r="C443" s="2160" t="s">
        <v>2677</v>
      </c>
      <c r="D443" s="2161"/>
      <c r="E443" s="2160" t="s">
        <v>2640</v>
      </c>
      <c r="F443" s="2161"/>
    </row>
    <row r="444" spans="1:15">
      <c r="A444" s="2163"/>
      <c r="B444" s="2163"/>
      <c r="C444" s="2163"/>
      <c r="D444" s="2163"/>
      <c r="E444" s="2163"/>
      <c r="F444" s="2163"/>
      <c r="G444" s="2163"/>
      <c r="H444" s="2163"/>
      <c r="I444" s="2163"/>
      <c r="J444" s="2163"/>
      <c r="K444" s="2163"/>
      <c r="L444" s="2163"/>
      <c r="M444" s="2163"/>
    </row>
    <row r="445" spans="1:15">
      <c r="A445" s="2164"/>
      <c r="H445" s="2522" t="s">
        <v>2637</v>
      </c>
      <c r="I445" s="2522"/>
      <c r="J445" s="2163"/>
      <c r="K445" s="2528">
        <v>35027.572200000002</v>
      </c>
      <c r="L445" s="2528"/>
      <c r="M445" s="2163"/>
      <c r="N445" s="2527" t="s">
        <v>2979</v>
      </c>
      <c r="O445" s="2163"/>
    </row>
    <row r="446" spans="1:15">
      <c r="H446" s="2163"/>
      <c r="I446" s="2163"/>
      <c r="J446" s="2163"/>
      <c r="K446" s="2528"/>
      <c r="L446" s="2528"/>
      <c r="N446" s="2527"/>
    </row>
    <row r="447" spans="1:15">
      <c r="A447" s="2165">
        <v>32346</v>
      </c>
      <c r="B447" s="2163"/>
      <c r="C447" s="2524" t="s">
        <v>2656</v>
      </c>
      <c r="D447" s="2524"/>
      <c r="E447" s="2524"/>
      <c r="F447" s="2524"/>
      <c r="G447" s="2524"/>
      <c r="H447" s="2524"/>
      <c r="I447" s="2524"/>
      <c r="J447" s="2163"/>
      <c r="K447" s="2163"/>
      <c r="L447" s="2163"/>
      <c r="M447" s="2163"/>
    </row>
    <row r="448" spans="1:15">
      <c r="A448" s="2163"/>
      <c r="B448" s="2163"/>
      <c r="C448" s="2163"/>
      <c r="D448" s="2163"/>
      <c r="E448" s="2163"/>
      <c r="F448" s="2163"/>
      <c r="G448" s="2163"/>
      <c r="H448" s="2163"/>
      <c r="I448" s="2163"/>
      <c r="J448" s="2163"/>
      <c r="K448" s="2163"/>
      <c r="L448" s="2163"/>
      <c r="M448" s="2163"/>
    </row>
    <row r="449" spans="1:15">
      <c r="A449" s="2529"/>
      <c r="B449" s="2529"/>
      <c r="C449" s="2529"/>
      <c r="D449" s="2166"/>
      <c r="E449" s="2166"/>
      <c r="F449" s="2166"/>
      <c r="G449" s="2166"/>
      <c r="H449" s="2525"/>
      <c r="I449" s="2525"/>
      <c r="J449" s="2525"/>
      <c r="K449" s="2166"/>
      <c r="L449" s="2167"/>
      <c r="M449" s="2166"/>
    </row>
    <row r="450" spans="1:15">
      <c r="A450" s="2164"/>
      <c r="B450" s="2164"/>
      <c r="C450" s="2164"/>
      <c r="D450" s="2164"/>
      <c r="E450" s="2522" t="s">
        <v>2639</v>
      </c>
      <c r="F450" s="2522"/>
      <c r="G450" s="2164"/>
      <c r="H450" s="2528">
        <v>35027.572200000002</v>
      </c>
      <c r="I450" s="2528"/>
      <c r="J450" s="2528"/>
      <c r="K450" s="2163"/>
      <c r="L450" s="2528">
        <v>2681080.4300000002</v>
      </c>
      <c r="M450" s="2163"/>
    </row>
    <row r="451" spans="1:15">
      <c r="A451" s="2164"/>
      <c r="B451" s="2164"/>
      <c r="C451" s="2164"/>
      <c r="D451" s="2164"/>
      <c r="E451" s="2164"/>
      <c r="F451" s="2164"/>
      <c r="G451" s="2164"/>
      <c r="H451" s="2528"/>
      <c r="I451" s="2528"/>
      <c r="J451" s="2528"/>
      <c r="K451" s="2163"/>
      <c r="L451" s="2528"/>
      <c r="M451" s="2163"/>
    </row>
    <row r="452" spans="1:15" ht="27.6">
      <c r="A452" s="2160" t="s">
        <v>2676</v>
      </c>
      <c r="B452" s="2161"/>
      <c r="C452" s="2160" t="s">
        <v>2677</v>
      </c>
      <c r="D452" s="2161"/>
      <c r="E452" s="2160" t="s">
        <v>2640</v>
      </c>
      <c r="F452" s="2161"/>
    </row>
    <row r="453" spans="1:15">
      <c r="A453" s="2163"/>
      <c r="B453" s="2163"/>
      <c r="C453" s="2163"/>
      <c r="D453" s="2163"/>
      <c r="E453" s="2163"/>
      <c r="F453" s="2163"/>
      <c r="G453" s="2163"/>
      <c r="H453" s="2163"/>
      <c r="I453" s="2163"/>
      <c r="J453" s="2163"/>
      <c r="K453" s="2163"/>
      <c r="L453" s="2163"/>
      <c r="M453" s="2163"/>
    </row>
    <row r="454" spans="1:15">
      <c r="A454" s="2164"/>
      <c r="H454" s="2522" t="s">
        <v>2637</v>
      </c>
      <c r="I454" s="2522"/>
      <c r="J454" s="2163"/>
      <c r="K454" s="2528">
        <v>551649.55989999999</v>
      </c>
      <c r="L454" s="2528"/>
      <c r="M454" s="2163"/>
      <c r="N454" s="2527" t="s">
        <v>2980</v>
      </c>
      <c r="O454" s="2163"/>
    </row>
    <row r="455" spans="1:15">
      <c r="H455" s="2163"/>
      <c r="I455" s="2163"/>
      <c r="J455" s="2163"/>
      <c r="K455" s="2528"/>
      <c r="L455" s="2528"/>
      <c r="N455" s="2527"/>
    </row>
    <row r="456" spans="1:15">
      <c r="A456" s="2165">
        <v>44234</v>
      </c>
      <c r="B456" s="2163"/>
      <c r="C456" s="2524" t="s">
        <v>2658</v>
      </c>
      <c r="D456" s="2524"/>
      <c r="E456" s="2524"/>
      <c r="F456" s="2524"/>
      <c r="G456" s="2524"/>
      <c r="H456" s="2524"/>
      <c r="I456" s="2524"/>
      <c r="J456" s="2163"/>
      <c r="K456" s="2163"/>
      <c r="L456" s="2163"/>
      <c r="M456" s="2163"/>
    </row>
    <row r="457" spans="1:15">
      <c r="A457" s="2163"/>
      <c r="B457" s="2163"/>
      <c r="C457" s="2163"/>
      <c r="D457" s="2163"/>
      <c r="E457" s="2163"/>
      <c r="F457" s="2163"/>
      <c r="G457" s="2163"/>
      <c r="H457" s="2163"/>
      <c r="I457" s="2163"/>
      <c r="J457" s="2163"/>
      <c r="K457" s="2163"/>
      <c r="L457" s="2163"/>
      <c r="M457" s="2163"/>
    </row>
    <row r="458" spans="1:15">
      <c r="A458" s="2529"/>
      <c r="B458" s="2529"/>
      <c r="C458" s="2529"/>
      <c r="D458" s="2166"/>
      <c r="E458" s="2166"/>
      <c r="F458" s="2166"/>
      <c r="G458" s="2166"/>
      <c r="H458" s="2525"/>
      <c r="I458" s="2525"/>
      <c r="J458" s="2525"/>
      <c r="K458" s="2166"/>
      <c r="L458" s="2167"/>
      <c r="M458" s="2166"/>
    </row>
    <row r="459" spans="1:15">
      <c r="A459" s="2164"/>
      <c r="B459" s="2164"/>
      <c r="C459" s="2164"/>
      <c r="D459" s="2164"/>
      <c r="E459" s="2522" t="s">
        <v>2639</v>
      </c>
      <c r="F459" s="2522"/>
      <c r="G459" s="2164"/>
      <c r="H459" s="2528">
        <v>551649.55989999999</v>
      </c>
      <c r="I459" s="2528"/>
      <c r="J459" s="2528"/>
      <c r="K459" s="2163"/>
      <c r="L459" s="2528">
        <v>42224360.609999999</v>
      </c>
      <c r="M459" s="2163"/>
    </row>
    <row r="460" spans="1:15">
      <c r="A460" s="2164"/>
      <c r="B460" s="2164"/>
      <c r="C460" s="2164"/>
      <c r="D460" s="2164"/>
      <c r="E460" s="2164"/>
      <c r="F460" s="2164"/>
      <c r="G460" s="2164"/>
      <c r="H460" s="2528"/>
      <c r="I460" s="2528"/>
      <c r="J460" s="2528"/>
      <c r="K460" s="2163"/>
      <c r="L460" s="2528"/>
      <c r="M460" s="2163"/>
    </row>
    <row r="461" spans="1:15" ht="27.6">
      <c r="A461" s="2160" t="s">
        <v>2676</v>
      </c>
      <c r="B461" s="2161"/>
      <c r="C461" s="2160" t="s">
        <v>2677</v>
      </c>
      <c r="D461" s="2161"/>
      <c r="E461" s="2160" t="s">
        <v>2640</v>
      </c>
      <c r="F461" s="2161"/>
    </row>
    <row r="462" spans="1:15">
      <c r="A462" s="2163"/>
      <c r="B462" s="2163"/>
      <c r="C462" s="2163"/>
      <c r="D462" s="2163"/>
      <c r="E462" s="2163"/>
      <c r="F462" s="2163"/>
      <c r="G462" s="2163"/>
      <c r="H462" s="2163"/>
      <c r="I462" s="2163"/>
      <c r="J462" s="2163"/>
      <c r="K462" s="2163"/>
      <c r="L462" s="2163"/>
      <c r="M462" s="2163"/>
    </row>
    <row r="463" spans="1:15">
      <c r="A463" s="2164"/>
      <c r="H463" s="2522" t="s">
        <v>2637</v>
      </c>
      <c r="I463" s="2522"/>
      <c r="J463" s="2163"/>
      <c r="K463" s="2523">
        <v>0</v>
      </c>
      <c r="L463" s="2523"/>
      <c r="M463" s="2163"/>
      <c r="N463" s="2527"/>
      <c r="O463" s="2163"/>
    </row>
    <row r="464" spans="1:15">
      <c r="H464" s="2163"/>
      <c r="I464" s="2163"/>
      <c r="J464" s="2163"/>
      <c r="K464" s="2523"/>
      <c r="L464" s="2523"/>
      <c r="N464" s="2527"/>
    </row>
    <row r="465" spans="1:15">
      <c r="A465" s="2165">
        <v>41538</v>
      </c>
      <c r="B465" s="2163"/>
      <c r="C465" s="2524" t="s">
        <v>2977</v>
      </c>
      <c r="D465" s="2524"/>
      <c r="E465" s="2524"/>
      <c r="F465" s="2524"/>
      <c r="G465" s="2524"/>
      <c r="H465" s="2524"/>
      <c r="I465" s="2524"/>
      <c r="J465" s="2163"/>
      <c r="K465" s="2163"/>
      <c r="L465" s="2163"/>
      <c r="M465" s="2163"/>
    </row>
    <row r="466" spans="1:15">
      <c r="A466" s="2163"/>
      <c r="B466" s="2163"/>
      <c r="C466" s="2163"/>
      <c r="D466" s="2163"/>
      <c r="E466" s="2163"/>
      <c r="F466" s="2163"/>
      <c r="G466" s="2163"/>
      <c r="H466" s="2163"/>
      <c r="I466" s="2163"/>
      <c r="J466" s="2163"/>
      <c r="K466" s="2163"/>
      <c r="L466" s="2163"/>
      <c r="M466" s="2163"/>
    </row>
    <row r="467" spans="1:15">
      <c r="A467" s="2529"/>
      <c r="B467" s="2529"/>
      <c r="C467" s="2529"/>
      <c r="D467" s="2166"/>
      <c r="E467" s="2166"/>
      <c r="F467" s="2166"/>
      <c r="G467" s="2166"/>
      <c r="H467" s="2525"/>
      <c r="I467" s="2525"/>
      <c r="J467" s="2525"/>
      <c r="K467" s="2166"/>
      <c r="L467" s="2167"/>
      <c r="M467" s="2166"/>
    </row>
    <row r="468" spans="1:15">
      <c r="A468" s="2164"/>
      <c r="B468" s="2164"/>
      <c r="C468" s="2164"/>
      <c r="D468" s="2164"/>
      <c r="E468" s="2522" t="s">
        <v>2639</v>
      </c>
      <c r="F468" s="2522"/>
      <c r="G468" s="2164"/>
      <c r="H468" s="2523">
        <v>0</v>
      </c>
      <c r="I468" s="2523"/>
      <c r="J468" s="2523"/>
      <c r="K468" s="2163"/>
      <c r="L468" s="2523">
        <v>0</v>
      </c>
      <c r="M468" s="2163"/>
    </row>
    <row r="469" spans="1:15">
      <c r="A469" s="2164"/>
      <c r="B469" s="2164"/>
      <c r="C469" s="2164"/>
      <c r="D469" s="2164"/>
      <c r="E469" s="2164"/>
      <c r="F469" s="2164"/>
      <c r="G469" s="2164"/>
      <c r="H469" s="2523"/>
      <c r="I469" s="2523"/>
      <c r="J469" s="2523"/>
      <c r="K469" s="2163"/>
      <c r="L469" s="2523"/>
      <c r="M469" s="2163"/>
    </row>
    <row r="470" spans="1:15" ht="27.6">
      <c r="A470" s="2160" t="s">
        <v>2676</v>
      </c>
      <c r="B470" s="2161"/>
      <c r="C470" s="2160" t="s">
        <v>2677</v>
      </c>
      <c r="D470" s="2161"/>
      <c r="E470" s="2160" t="s">
        <v>2640</v>
      </c>
      <c r="F470" s="2161"/>
    </row>
    <row r="471" spans="1:15">
      <c r="A471" s="2163"/>
      <c r="B471" s="2163"/>
      <c r="C471" s="2163"/>
      <c r="D471" s="2163"/>
      <c r="E471" s="2163"/>
      <c r="F471" s="2163"/>
      <c r="G471" s="2163"/>
      <c r="H471" s="2163"/>
      <c r="I471" s="2163"/>
      <c r="J471" s="2163"/>
      <c r="K471" s="2163"/>
      <c r="L471" s="2163"/>
      <c r="M471" s="2163"/>
    </row>
    <row r="472" spans="1:15">
      <c r="A472" s="2164"/>
      <c r="H472" s="2522" t="s">
        <v>2637</v>
      </c>
      <c r="I472" s="2522"/>
      <c r="J472" s="2163"/>
      <c r="K472" s="2528">
        <v>5453034.7719000001</v>
      </c>
      <c r="L472" s="2528"/>
      <c r="M472" s="2163"/>
      <c r="N472" s="2527" t="s">
        <v>2981</v>
      </c>
      <c r="O472" s="2163"/>
    </row>
    <row r="473" spans="1:15">
      <c r="H473" s="2163"/>
      <c r="I473" s="2163"/>
      <c r="J473" s="2163"/>
      <c r="K473" s="2528"/>
      <c r="L473" s="2528"/>
      <c r="N473" s="2527"/>
    </row>
    <row r="474" spans="1:15">
      <c r="A474" s="2165">
        <v>46553</v>
      </c>
      <c r="B474" s="2163"/>
      <c r="C474" s="2524" t="s">
        <v>2662</v>
      </c>
      <c r="D474" s="2524"/>
      <c r="E474" s="2524"/>
      <c r="F474" s="2524"/>
      <c r="G474" s="2524"/>
      <c r="H474" s="2524"/>
      <c r="I474" s="2524"/>
      <c r="J474" s="2163"/>
      <c r="K474" s="2163"/>
      <c r="L474" s="2163"/>
      <c r="M474" s="2163"/>
    </row>
    <row r="475" spans="1:15">
      <c r="A475" s="2163"/>
      <c r="B475" s="2163"/>
      <c r="C475" s="2163"/>
      <c r="D475" s="2163"/>
      <c r="E475" s="2163"/>
      <c r="F475" s="2163"/>
      <c r="G475" s="2163"/>
      <c r="H475" s="2163"/>
      <c r="I475" s="2163"/>
      <c r="J475" s="2163"/>
      <c r="K475" s="2163"/>
      <c r="L475" s="2163"/>
      <c r="M475" s="2163"/>
    </row>
    <row r="476" spans="1:15">
      <c r="A476" s="2529"/>
      <c r="B476" s="2529"/>
      <c r="C476" s="2529"/>
      <c r="D476" s="2166"/>
      <c r="E476" s="2166"/>
      <c r="F476" s="2166"/>
      <c r="G476" s="2166"/>
      <c r="H476" s="2525"/>
      <c r="I476" s="2525"/>
      <c r="J476" s="2525"/>
      <c r="K476" s="2166"/>
      <c r="L476" s="2167"/>
      <c r="M476" s="2166"/>
    </row>
    <row r="477" spans="1:15">
      <c r="A477" s="2164"/>
      <c r="B477" s="2164"/>
      <c r="C477" s="2164"/>
      <c r="D477" s="2164"/>
      <c r="E477" s="2522" t="s">
        <v>2639</v>
      </c>
      <c r="F477" s="2522"/>
      <c r="G477" s="2164"/>
      <c r="H477" s="2528">
        <v>5453034.7719000001</v>
      </c>
      <c r="I477" s="2528"/>
      <c r="J477" s="2528"/>
      <c r="K477" s="2163"/>
      <c r="L477" s="2528">
        <v>417386187.50999999</v>
      </c>
      <c r="M477" s="2163"/>
    </row>
    <row r="478" spans="1:15">
      <c r="A478" s="2164"/>
      <c r="B478" s="2164"/>
      <c r="C478" s="2164"/>
      <c r="D478" s="2164"/>
      <c r="E478" s="2164"/>
      <c r="F478" s="2164"/>
      <c r="G478" s="2164"/>
      <c r="H478" s="2528"/>
      <c r="I478" s="2528"/>
      <c r="J478" s="2528"/>
      <c r="K478" s="2163"/>
      <c r="L478" s="2528"/>
      <c r="M478" s="2163"/>
    </row>
    <row r="479" spans="1:15" ht="27.6">
      <c r="A479" s="2160" t="s">
        <v>2676</v>
      </c>
      <c r="B479" s="2161"/>
      <c r="C479" s="2160" t="s">
        <v>2677</v>
      </c>
      <c r="D479" s="2161"/>
      <c r="E479" s="2160" t="s">
        <v>2640</v>
      </c>
      <c r="F479" s="2161"/>
    </row>
    <row r="480" spans="1:15">
      <c r="A480" s="2163"/>
      <c r="B480" s="2163"/>
      <c r="C480" s="2163"/>
      <c r="D480" s="2163"/>
      <c r="E480" s="2163"/>
      <c r="F480" s="2163"/>
      <c r="G480" s="2163"/>
      <c r="H480" s="2163"/>
      <c r="I480" s="2163"/>
      <c r="J480" s="2163"/>
      <c r="K480" s="2163"/>
      <c r="L480" s="2163"/>
      <c r="M480" s="2163"/>
    </row>
    <row r="481" spans="1:15">
      <c r="A481" s="2164"/>
      <c r="H481" s="2522" t="s">
        <v>2637</v>
      </c>
      <c r="I481" s="2522"/>
      <c r="J481" s="2163"/>
      <c r="K481" s="2523">
        <v>0</v>
      </c>
      <c r="L481" s="2523"/>
      <c r="M481" s="2163"/>
      <c r="N481" s="2527"/>
      <c r="O481" s="2163"/>
    </row>
    <row r="482" spans="1:15">
      <c r="H482" s="2163"/>
      <c r="I482" s="2163"/>
      <c r="J482" s="2163"/>
      <c r="K482" s="2523"/>
      <c r="L482" s="2523"/>
      <c r="N482" s="2527"/>
    </row>
    <row r="483" spans="1:15">
      <c r="A483" s="2165">
        <v>48483</v>
      </c>
      <c r="B483" s="2163"/>
      <c r="C483" s="2524" t="s">
        <v>2664</v>
      </c>
      <c r="D483" s="2524"/>
      <c r="E483" s="2524"/>
      <c r="F483" s="2524"/>
      <c r="G483" s="2524"/>
      <c r="H483" s="2524"/>
      <c r="I483" s="2524"/>
      <c r="J483" s="2163"/>
      <c r="K483" s="2163"/>
      <c r="L483" s="2163"/>
      <c r="M483" s="2163"/>
    </row>
    <row r="484" spans="1:15">
      <c r="A484" s="2163"/>
      <c r="B484" s="2163"/>
      <c r="C484" s="2163"/>
      <c r="D484" s="2163"/>
      <c r="E484" s="2163"/>
      <c r="F484" s="2163"/>
      <c r="G484" s="2163"/>
      <c r="H484" s="2163"/>
      <c r="I484" s="2163"/>
      <c r="J484" s="2163"/>
      <c r="K484" s="2163"/>
      <c r="L484" s="2163"/>
      <c r="M484" s="2163"/>
    </row>
    <row r="485" spans="1:15">
      <c r="A485" s="2529"/>
      <c r="B485" s="2529"/>
      <c r="C485" s="2529"/>
      <c r="D485" s="2166"/>
      <c r="E485" s="2166"/>
      <c r="F485" s="2166"/>
      <c r="G485" s="2166"/>
      <c r="H485" s="2525"/>
      <c r="I485" s="2525"/>
      <c r="J485" s="2525"/>
      <c r="K485" s="2166"/>
      <c r="L485" s="2167"/>
      <c r="M485" s="2166"/>
    </row>
    <row r="486" spans="1:15">
      <c r="A486" s="2164"/>
      <c r="B486" s="2164"/>
      <c r="C486" s="2164"/>
      <c r="D486" s="2164"/>
      <c r="E486" s="2522" t="s">
        <v>2639</v>
      </c>
      <c r="F486" s="2522"/>
      <c r="G486" s="2164"/>
      <c r="H486" s="2523">
        <v>0</v>
      </c>
      <c r="I486" s="2523"/>
      <c r="J486" s="2523"/>
      <c r="K486" s="2163"/>
      <c r="L486" s="2523">
        <v>0</v>
      </c>
      <c r="M486" s="2163"/>
    </row>
    <row r="487" spans="1:15">
      <c r="A487" s="2164"/>
      <c r="B487" s="2164"/>
      <c r="C487" s="2164"/>
      <c r="D487" s="2164"/>
      <c r="E487" s="2164"/>
      <c r="F487" s="2164"/>
      <c r="G487" s="2164"/>
      <c r="H487" s="2523"/>
      <c r="I487" s="2523"/>
      <c r="J487" s="2523"/>
      <c r="K487" s="2163"/>
      <c r="L487" s="2523"/>
      <c r="M487" s="2163"/>
    </row>
    <row r="488" spans="1:15" ht="27.6">
      <c r="A488" s="2160" t="s">
        <v>2676</v>
      </c>
      <c r="B488" s="2161"/>
      <c r="C488" s="2160" t="s">
        <v>2677</v>
      </c>
      <c r="D488" s="2161"/>
      <c r="E488" s="2160" t="s">
        <v>2640</v>
      </c>
      <c r="F488" s="2161"/>
    </row>
    <row r="489" spans="1:15">
      <c r="A489" s="2163"/>
      <c r="B489" s="2163"/>
      <c r="C489" s="2163"/>
      <c r="D489" s="2163"/>
      <c r="E489" s="2163"/>
      <c r="F489" s="2163"/>
      <c r="G489" s="2163"/>
      <c r="H489" s="2163"/>
      <c r="I489" s="2163"/>
      <c r="J489" s="2163"/>
      <c r="K489" s="2163"/>
      <c r="L489" s="2163"/>
      <c r="M489" s="2163"/>
    </row>
    <row r="490" spans="1:15">
      <c r="A490" s="2164"/>
      <c r="H490" s="2522" t="s">
        <v>2637</v>
      </c>
      <c r="I490" s="2522"/>
      <c r="J490" s="2163"/>
      <c r="K490" s="2523">
        <v>0</v>
      </c>
      <c r="L490" s="2523"/>
      <c r="M490" s="2163"/>
      <c r="N490" s="2527"/>
      <c r="O490" s="2163"/>
    </row>
    <row r="491" spans="1:15">
      <c r="H491" s="2163"/>
      <c r="I491" s="2163"/>
      <c r="J491" s="2163"/>
      <c r="K491" s="2523"/>
      <c r="L491" s="2523"/>
      <c r="N491" s="2527"/>
    </row>
    <row r="492" spans="1:15">
      <c r="A492" s="2165">
        <v>56386</v>
      </c>
      <c r="B492" s="2163"/>
      <c r="C492" s="2524" t="s">
        <v>2667</v>
      </c>
      <c r="D492" s="2524"/>
      <c r="E492" s="2524"/>
      <c r="F492" s="2524"/>
      <c r="G492" s="2524"/>
      <c r="H492" s="2524"/>
      <c r="I492" s="2524"/>
      <c r="J492" s="2163"/>
      <c r="K492" s="2163"/>
      <c r="L492" s="2163"/>
      <c r="M492" s="2163"/>
    </row>
    <row r="493" spans="1:15">
      <c r="A493" s="2163"/>
      <c r="B493" s="2163"/>
      <c r="C493" s="2163"/>
      <c r="D493" s="2163"/>
      <c r="E493" s="2163"/>
      <c r="F493" s="2163"/>
      <c r="G493" s="2163"/>
      <c r="H493" s="2163"/>
      <c r="I493" s="2163"/>
      <c r="J493" s="2163"/>
      <c r="K493" s="2163"/>
      <c r="L493" s="2163"/>
      <c r="M493" s="2163"/>
    </row>
    <row r="494" spans="1:15">
      <c r="A494" s="2529"/>
      <c r="B494" s="2529"/>
      <c r="C494" s="2529"/>
      <c r="D494" s="2166"/>
      <c r="E494" s="2166"/>
      <c r="F494" s="2166"/>
      <c r="G494" s="2166"/>
      <c r="H494" s="2525"/>
      <c r="I494" s="2525"/>
      <c r="J494" s="2525"/>
      <c r="K494" s="2166"/>
      <c r="L494" s="2167"/>
      <c r="M494" s="2166"/>
    </row>
    <row r="495" spans="1:15">
      <c r="A495" s="2164"/>
      <c r="B495" s="2164"/>
      <c r="C495" s="2164"/>
      <c r="D495" s="2164"/>
      <c r="E495" s="2522" t="s">
        <v>2639</v>
      </c>
      <c r="F495" s="2522"/>
      <c r="G495" s="2164"/>
      <c r="H495" s="2523">
        <v>0</v>
      </c>
      <c r="I495" s="2523"/>
      <c r="J495" s="2523"/>
      <c r="K495" s="2163"/>
      <c r="L495" s="2523">
        <v>0</v>
      </c>
      <c r="M495" s="2163"/>
    </row>
    <row r="496" spans="1:15">
      <c r="A496" s="2164"/>
      <c r="B496" s="2164"/>
      <c r="C496" s="2164"/>
      <c r="D496" s="2164"/>
      <c r="E496" s="2164"/>
      <c r="F496" s="2164"/>
      <c r="G496" s="2164"/>
      <c r="H496" s="2523"/>
      <c r="I496" s="2523"/>
      <c r="J496" s="2523"/>
      <c r="K496" s="2163"/>
      <c r="L496" s="2523"/>
      <c r="M496" s="2163"/>
    </row>
    <row r="497" spans="1:15" ht="27.6">
      <c r="A497" s="2160" t="s">
        <v>2676</v>
      </c>
      <c r="B497" s="2161"/>
      <c r="C497" s="2160" t="s">
        <v>2677</v>
      </c>
      <c r="D497" s="2161"/>
      <c r="E497" s="2160" t="s">
        <v>2640</v>
      </c>
      <c r="F497" s="2161"/>
    </row>
    <row r="498" spans="1:15">
      <c r="A498" s="2163"/>
      <c r="B498" s="2163"/>
      <c r="C498" s="2163"/>
      <c r="D498" s="2163"/>
      <c r="E498" s="2163"/>
      <c r="F498" s="2163"/>
      <c r="G498" s="2163"/>
      <c r="H498" s="2163"/>
      <c r="I498" s="2163"/>
      <c r="J498" s="2163"/>
      <c r="K498" s="2163"/>
      <c r="L498" s="2163"/>
      <c r="M498" s="2163"/>
    </row>
    <row r="499" spans="1:15">
      <c r="A499" s="2164"/>
      <c r="H499" s="2522" t="s">
        <v>2637</v>
      </c>
      <c r="I499" s="2522"/>
      <c r="J499" s="2163"/>
      <c r="K499" s="2523">
        <v>0</v>
      </c>
      <c r="L499" s="2523"/>
      <c r="M499" s="2163"/>
      <c r="N499" s="2527"/>
      <c r="O499" s="2163"/>
    </row>
    <row r="500" spans="1:15">
      <c r="H500" s="2163"/>
      <c r="I500" s="2163"/>
      <c r="J500" s="2163"/>
      <c r="K500" s="2523"/>
      <c r="L500" s="2523"/>
      <c r="N500" s="2527"/>
    </row>
    <row r="501" spans="1:15">
      <c r="A501" s="2165">
        <v>56965</v>
      </c>
      <c r="B501" s="2163"/>
      <c r="C501" s="2524" t="s">
        <v>2678</v>
      </c>
      <c r="D501" s="2524"/>
      <c r="E501" s="2524"/>
      <c r="F501" s="2524"/>
      <c r="G501" s="2524"/>
      <c r="H501" s="2524"/>
      <c r="I501" s="2524"/>
      <c r="J501" s="2163"/>
      <c r="K501" s="2163"/>
      <c r="L501" s="2163"/>
      <c r="M501" s="2163"/>
    </row>
    <row r="502" spans="1:15">
      <c r="A502" s="2163"/>
      <c r="B502" s="2163"/>
      <c r="C502" s="2163"/>
      <c r="D502" s="2163"/>
      <c r="E502" s="2163"/>
      <c r="F502" s="2163"/>
      <c r="G502" s="2163"/>
      <c r="H502" s="2163"/>
      <c r="I502" s="2163"/>
      <c r="J502" s="2163"/>
      <c r="K502" s="2163"/>
      <c r="L502" s="2163"/>
      <c r="M502" s="2163"/>
    </row>
    <row r="503" spans="1:15">
      <c r="A503" s="2529"/>
      <c r="B503" s="2529"/>
      <c r="C503" s="2529"/>
      <c r="D503" s="2166"/>
      <c r="E503" s="2166"/>
      <c r="F503" s="2166"/>
      <c r="G503" s="2166"/>
      <c r="H503" s="2525"/>
      <c r="I503" s="2525"/>
      <c r="J503" s="2525"/>
      <c r="K503" s="2166"/>
      <c r="L503" s="2167"/>
      <c r="M503" s="2166"/>
    </row>
    <row r="504" spans="1:15">
      <c r="A504" s="2164"/>
      <c r="B504" s="2164"/>
      <c r="C504" s="2164"/>
      <c r="D504" s="2164"/>
      <c r="E504" s="2522" t="s">
        <v>2639</v>
      </c>
      <c r="F504" s="2522"/>
      <c r="G504" s="2164"/>
      <c r="H504" s="2523">
        <v>0</v>
      </c>
      <c r="I504" s="2523"/>
      <c r="J504" s="2523"/>
      <c r="K504" s="2163"/>
      <c r="L504" s="2523">
        <v>0</v>
      </c>
      <c r="M504" s="2163"/>
    </row>
    <row r="505" spans="1:15">
      <c r="A505" s="2164"/>
      <c r="B505" s="2164"/>
      <c r="C505" s="2164"/>
      <c r="D505" s="2164"/>
      <c r="E505" s="2164"/>
      <c r="F505" s="2164"/>
      <c r="G505" s="2164"/>
      <c r="H505" s="2523"/>
      <c r="I505" s="2523"/>
      <c r="J505" s="2523"/>
      <c r="K505" s="2163"/>
      <c r="L505" s="2523"/>
      <c r="M505" s="2163"/>
    </row>
    <row r="506" spans="1:15" ht="27.6">
      <c r="A506" s="2160" t="s">
        <v>2676</v>
      </c>
      <c r="B506" s="2161"/>
      <c r="C506" s="2160" t="s">
        <v>2677</v>
      </c>
      <c r="D506" s="2161"/>
      <c r="E506" s="2160" t="s">
        <v>2640</v>
      </c>
      <c r="F506" s="2161"/>
    </row>
    <row r="507" spans="1:15">
      <c r="A507" s="2163"/>
      <c r="B507" s="2163"/>
      <c r="C507" s="2163"/>
      <c r="D507" s="2163"/>
      <c r="E507" s="2163"/>
      <c r="F507" s="2163"/>
      <c r="G507" s="2163"/>
      <c r="H507" s="2163"/>
      <c r="I507" s="2163"/>
      <c r="J507" s="2163"/>
      <c r="K507" s="2163"/>
      <c r="L507" s="2163"/>
      <c r="M507" s="2163"/>
    </row>
    <row r="508" spans="1:15">
      <c r="A508" s="2164"/>
      <c r="H508" s="2522" t="s">
        <v>2637</v>
      </c>
      <c r="I508" s="2522"/>
      <c r="J508" s="2163"/>
      <c r="K508" s="2528">
        <v>28188.6662</v>
      </c>
      <c r="L508" s="2528"/>
      <c r="M508" s="2163"/>
      <c r="N508" s="2527" t="s">
        <v>2982</v>
      </c>
      <c r="O508" s="2163"/>
    </row>
    <row r="509" spans="1:15">
      <c r="H509" s="2163"/>
      <c r="I509" s="2163"/>
      <c r="J509" s="2163"/>
      <c r="K509" s="2528"/>
      <c r="L509" s="2528"/>
      <c r="N509" s="2527"/>
    </row>
    <row r="510" spans="1:15">
      <c r="A510" s="2165">
        <v>57179</v>
      </c>
      <c r="B510" s="2163"/>
      <c r="C510" s="2524" t="s">
        <v>2668</v>
      </c>
      <c r="D510" s="2524"/>
      <c r="E510" s="2524"/>
      <c r="F510" s="2524"/>
      <c r="G510" s="2524"/>
      <c r="H510" s="2524"/>
      <c r="I510" s="2524"/>
      <c r="J510" s="2163"/>
      <c r="K510" s="2163"/>
      <c r="L510" s="2163"/>
      <c r="M510" s="2163"/>
    </row>
    <row r="511" spans="1:15">
      <c r="A511" s="2163"/>
      <c r="B511" s="2163"/>
      <c r="C511" s="2163"/>
      <c r="D511" s="2163"/>
      <c r="E511" s="2163"/>
      <c r="F511" s="2163"/>
      <c r="G511" s="2163"/>
      <c r="H511" s="2163"/>
      <c r="I511" s="2163"/>
      <c r="J511" s="2163"/>
      <c r="K511" s="2163"/>
      <c r="L511" s="2163"/>
      <c r="M511" s="2163"/>
    </row>
    <row r="512" spans="1:15">
      <c r="A512" s="2529"/>
      <c r="B512" s="2529"/>
      <c r="C512" s="2529"/>
      <c r="D512" s="2166"/>
      <c r="E512" s="2166"/>
      <c r="F512" s="2166"/>
      <c r="G512" s="2166"/>
      <c r="H512" s="2525"/>
      <c r="I512" s="2525"/>
      <c r="J512" s="2525"/>
      <c r="K512" s="2166"/>
      <c r="L512" s="2167"/>
      <c r="M512" s="2166"/>
    </row>
    <row r="513" spans="1:15">
      <c r="A513" s="2164"/>
      <c r="B513" s="2164"/>
      <c r="C513" s="2164"/>
      <c r="D513" s="2164"/>
      <c r="E513" s="2522" t="s">
        <v>2639</v>
      </c>
      <c r="F513" s="2522"/>
      <c r="G513" s="2164"/>
      <c r="H513" s="2528">
        <v>28188.6662</v>
      </c>
      <c r="I513" s="2528"/>
      <c r="J513" s="2528"/>
      <c r="K513" s="2163"/>
      <c r="L513" s="2528">
        <v>2157616.89</v>
      </c>
      <c r="M513" s="2163"/>
    </row>
    <row r="514" spans="1:15">
      <c r="A514" s="2164"/>
      <c r="B514" s="2164"/>
      <c r="C514" s="2164"/>
      <c r="D514" s="2164"/>
      <c r="E514" s="2164"/>
      <c r="F514" s="2164"/>
      <c r="G514" s="2164"/>
      <c r="H514" s="2528"/>
      <c r="I514" s="2528"/>
      <c r="J514" s="2528"/>
      <c r="K514" s="2163"/>
      <c r="L514" s="2528"/>
      <c r="M514" s="2163"/>
    </row>
    <row r="515" spans="1:15" ht="27.6">
      <c r="A515" s="2160" t="s">
        <v>2676</v>
      </c>
      <c r="B515" s="2161"/>
      <c r="C515" s="2160" t="s">
        <v>2677</v>
      </c>
      <c r="D515" s="2161"/>
      <c r="E515" s="2160" t="s">
        <v>2640</v>
      </c>
      <c r="F515" s="2161"/>
    </row>
    <row r="516" spans="1:15">
      <c r="A516" s="2163"/>
      <c r="B516" s="2163"/>
      <c r="C516" s="2163"/>
      <c r="D516" s="2163"/>
      <c r="E516" s="2163"/>
      <c r="F516" s="2163"/>
      <c r="G516" s="2163"/>
      <c r="H516" s="2163"/>
      <c r="I516" s="2163"/>
      <c r="J516" s="2163"/>
      <c r="K516" s="2163"/>
      <c r="L516" s="2163"/>
      <c r="M516" s="2163"/>
    </row>
    <row r="517" spans="1:15">
      <c r="A517" s="2164"/>
      <c r="H517" s="2522" t="s">
        <v>2637</v>
      </c>
      <c r="I517" s="2522"/>
      <c r="J517" s="2163"/>
      <c r="K517" s="2523">
        <v>0</v>
      </c>
      <c r="L517" s="2523"/>
      <c r="M517" s="2163"/>
      <c r="N517" s="2527"/>
      <c r="O517" s="2163"/>
    </row>
    <row r="518" spans="1:15">
      <c r="H518" s="2163"/>
      <c r="I518" s="2163"/>
      <c r="J518" s="2163"/>
      <c r="K518" s="2523"/>
      <c r="L518" s="2523"/>
      <c r="N518" s="2527"/>
    </row>
    <row r="519" spans="1:15">
      <c r="A519" s="2165">
        <v>66113</v>
      </c>
      <c r="B519" s="2163"/>
      <c r="C519" s="2524" t="s">
        <v>2669</v>
      </c>
      <c r="D519" s="2524"/>
      <c r="E519" s="2524"/>
      <c r="F519" s="2524"/>
      <c r="G519" s="2524"/>
      <c r="H519" s="2524"/>
      <c r="I519" s="2524"/>
      <c r="J519" s="2163"/>
      <c r="K519" s="2163"/>
      <c r="L519" s="2163"/>
      <c r="M519" s="2163"/>
    </row>
    <row r="520" spans="1:15">
      <c r="A520" s="2163"/>
      <c r="B520" s="2163"/>
      <c r="C520" s="2163"/>
      <c r="D520" s="2163"/>
      <c r="E520" s="2163"/>
      <c r="F520" s="2163"/>
      <c r="G520" s="2163"/>
      <c r="H520" s="2163"/>
      <c r="I520" s="2163"/>
      <c r="J520" s="2163"/>
      <c r="K520" s="2163"/>
      <c r="L520" s="2163"/>
      <c r="M520" s="2163"/>
    </row>
    <row r="521" spans="1:15">
      <c r="A521" s="2529"/>
      <c r="B521" s="2529"/>
      <c r="C521" s="2529"/>
      <c r="D521" s="2166"/>
      <c r="E521" s="2166"/>
      <c r="F521" s="2166"/>
      <c r="G521" s="2166"/>
      <c r="H521" s="2525"/>
      <c r="I521" s="2525"/>
      <c r="J521" s="2525"/>
      <c r="K521" s="2166"/>
      <c r="L521" s="2167"/>
      <c r="M521" s="2166"/>
    </row>
    <row r="522" spans="1:15">
      <c r="A522" s="2164"/>
      <c r="B522" s="2164"/>
      <c r="C522" s="2164"/>
      <c r="D522" s="2164"/>
      <c r="E522" s="2522" t="s">
        <v>2639</v>
      </c>
      <c r="F522" s="2522"/>
      <c r="G522" s="2164"/>
      <c r="H522" s="2523">
        <v>0</v>
      </c>
      <c r="I522" s="2523"/>
      <c r="J522" s="2523"/>
      <c r="K522" s="2163"/>
      <c r="L522" s="2523">
        <v>0</v>
      </c>
      <c r="M522" s="2163"/>
    </row>
    <row r="523" spans="1:15">
      <c r="A523" s="2164"/>
      <c r="B523" s="2164"/>
      <c r="C523" s="2164"/>
      <c r="D523" s="2164"/>
      <c r="E523" s="2164"/>
      <c r="F523" s="2164"/>
      <c r="G523" s="2164"/>
      <c r="H523" s="2523"/>
      <c r="I523" s="2523"/>
      <c r="J523" s="2523"/>
      <c r="K523" s="2163"/>
      <c r="L523" s="2523"/>
      <c r="M523" s="2163"/>
    </row>
    <row r="524" spans="1:15" ht="27.6">
      <c r="A524" s="2160" t="s">
        <v>2676</v>
      </c>
      <c r="B524" s="2161"/>
      <c r="C524" s="2160" t="s">
        <v>2677</v>
      </c>
      <c r="D524" s="2161"/>
      <c r="E524" s="2160" t="s">
        <v>2640</v>
      </c>
      <c r="F524" s="2161"/>
    </row>
    <row r="525" spans="1:15">
      <c r="A525" s="2163"/>
      <c r="B525" s="2163"/>
      <c r="C525" s="2163"/>
      <c r="D525" s="2163"/>
      <c r="E525" s="2163"/>
      <c r="F525" s="2163"/>
      <c r="G525" s="2163"/>
      <c r="H525" s="2163"/>
      <c r="I525" s="2163"/>
      <c r="J525" s="2163"/>
      <c r="K525" s="2163"/>
      <c r="L525" s="2163"/>
      <c r="M525" s="2163"/>
    </row>
    <row r="526" spans="1:15">
      <c r="A526" s="2164"/>
      <c r="H526" s="2522" t="s">
        <v>2637</v>
      </c>
      <c r="I526" s="2522"/>
      <c r="J526" s="2163"/>
      <c r="K526" s="2523">
        <v>0</v>
      </c>
      <c r="L526" s="2523"/>
      <c r="M526" s="2163"/>
      <c r="N526" s="2527"/>
      <c r="O526" s="2163"/>
    </row>
    <row r="527" spans="1:15">
      <c r="H527" s="2163"/>
      <c r="I527" s="2163"/>
      <c r="J527" s="2163"/>
      <c r="K527" s="2523"/>
      <c r="L527" s="2523"/>
      <c r="N527" s="2527"/>
    </row>
    <row r="528" spans="1:15">
      <c r="A528" s="2165">
        <v>66112</v>
      </c>
      <c r="B528" s="2163"/>
      <c r="C528" s="2524" t="s">
        <v>2670</v>
      </c>
      <c r="D528" s="2524"/>
      <c r="E528" s="2524"/>
      <c r="F528" s="2524"/>
      <c r="G528" s="2524"/>
      <c r="H528" s="2524"/>
      <c r="I528" s="2524"/>
      <c r="J528" s="2163"/>
      <c r="K528" s="2163"/>
      <c r="L528" s="2163"/>
      <c r="M528" s="2163"/>
    </row>
    <row r="529" spans="1:15">
      <c r="A529" s="2163"/>
      <c r="B529" s="2163"/>
      <c r="C529" s="2163"/>
      <c r="D529" s="2163"/>
      <c r="E529" s="2163"/>
      <c r="F529" s="2163"/>
      <c r="G529" s="2163"/>
      <c r="H529" s="2163"/>
      <c r="I529" s="2163"/>
      <c r="J529" s="2163"/>
      <c r="K529" s="2163"/>
      <c r="L529" s="2163"/>
      <c r="M529" s="2163"/>
    </row>
    <row r="530" spans="1:15">
      <c r="A530" s="2529"/>
      <c r="B530" s="2529"/>
      <c r="C530" s="2529"/>
      <c r="D530" s="2166"/>
      <c r="E530" s="2166"/>
      <c r="F530" s="2166"/>
      <c r="G530" s="2166"/>
      <c r="H530" s="2525"/>
      <c r="I530" s="2525"/>
      <c r="J530" s="2525"/>
      <c r="K530" s="2166"/>
      <c r="L530" s="2167"/>
      <c r="M530" s="2166"/>
    </row>
    <row r="531" spans="1:15">
      <c r="A531" s="2164"/>
      <c r="B531" s="2164"/>
      <c r="C531" s="2164"/>
      <c r="D531" s="2164"/>
      <c r="E531" s="2522" t="s">
        <v>2639</v>
      </c>
      <c r="F531" s="2522"/>
      <c r="G531" s="2164"/>
      <c r="H531" s="2523">
        <v>0</v>
      </c>
      <c r="I531" s="2523"/>
      <c r="J531" s="2523"/>
      <c r="K531" s="2163"/>
      <c r="L531" s="2523">
        <v>0</v>
      </c>
      <c r="M531" s="2163"/>
    </row>
    <row r="532" spans="1:15">
      <c r="A532" s="2164"/>
      <c r="B532" s="2164"/>
      <c r="C532" s="2164"/>
      <c r="D532" s="2164"/>
      <c r="E532" s="2164"/>
      <c r="F532" s="2164"/>
      <c r="G532" s="2164"/>
      <c r="H532" s="2523"/>
      <c r="I532" s="2523"/>
      <c r="J532" s="2523"/>
      <c r="K532" s="2163"/>
      <c r="L532" s="2523"/>
      <c r="M532" s="2163"/>
    </row>
    <row r="533" spans="1:15" ht="27.6">
      <c r="A533" s="2160" t="s">
        <v>2680</v>
      </c>
      <c r="B533" s="2161"/>
      <c r="C533" s="2160" t="s">
        <v>2681</v>
      </c>
      <c r="D533" s="2161"/>
      <c r="E533" s="2160" t="s">
        <v>2636</v>
      </c>
      <c r="F533" s="2161"/>
    </row>
    <row r="534" spans="1:15">
      <c r="A534" s="2163"/>
      <c r="B534" s="2163"/>
      <c r="C534" s="2163"/>
      <c r="D534" s="2163"/>
      <c r="E534" s="2163"/>
      <c r="F534" s="2163"/>
      <c r="G534" s="2163"/>
      <c r="H534" s="2163"/>
      <c r="I534" s="2163"/>
      <c r="J534" s="2163"/>
      <c r="K534" s="2163"/>
      <c r="L534" s="2163"/>
      <c r="M534" s="2163"/>
    </row>
    <row r="535" spans="1:15">
      <c r="A535" s="2164"/>
      <c r="H535" s="2522" t="s">
        <v>2637</v>
      </c>
      <c r="I535" s="2522"/>
      <c r="J535" s="2163"/>
      <c r="K535" s="2523">
        <v>0</v>
      </c>
      <c r="L535" s="2523"/>
      <c r="M535" s="2163"/>
      <c r="N535" s="2527"/>
      <c r="O535" s="2163"/>
    </row>
    <row r="536" spans="1:15">
      <c r="H536" s="2163"/>
      <c r="I536" s="2163"/>
      <c r="J536" s="2163"/>
      <c r="K536" s="2523"/>
      <c r="L536" s="2523"/>
      <c r="N536" s="2527"/>
    </row>
    <row r="537" spans="1:15">
      <c r="A537" s="2165">
        <v>32143</v>
      </c>
      <c r="B537" s="2163"/>
      <c r="C537" s="2524" t="s">
        <v>2650</v>
      </c>
      <c r="D537" s="2524"/>
      <c r="E537" s="2524"/>
      <c r="F537" s="2524"/>
      <c r="G537" s="2524"/>
      <c r="H537" s="2524"/>
      <c r="I537" s="2524"/>
      <c r="J537" s="2163"/>
      <c r="K537" s="2163"/>
      <c r="L537" s="2163"/>
      <c r="M537" s="2163"/>
    </row>
    <row r="538" spans="1:15">
      <c r="A538" s="2163"/>
      <c r="B538" s="2163"/>
      <c r="C538" s="2163"/>
      <c r="D538" s="2163"/>
      <c r="E538" s="2163"/>
      <c r="F538" s="2163"/>
      <c r="G538" s="2163"/>
      <c r="H538" s="2163"/>
      <c r="I538" s="2163"/>
      <c r="J538" s="2163"/>
      <c r="K538" s="2163"/>
      <c r="L538" s="2163"/>
      <c r="M538" s="2163"/>
    </row>
    <row r="539" spans="1:15">
      <c r="A539" s="2529"/>
      <c r="B539" s="2529"/>
      <c r="C539" s="2529"/>
      <c r="D539" s="2166"/>
      <c r="E539" s="2166"/>
      <c r="F539" s="2166"/>
      <c r="G539" s="2166"/>
      <c r="H539" s="2525"/>
      <c r="I539" s="2525"/>
      <c r="J539" s="2525"/>
      <c r="K539" s="2166"/>
      <c r="L539" s="2167"/>
      <c r="M539" s="2166"/>
    </row>
    <row r="540" spans="1:15">
      <c r="A540" s="2164"/>
      <c r="B540" s="2164"/>
      <c r="C540" s="2164"/>
      <c r="D540" s="2164"/>
      <c r="E540" s="2522" t="s">
        <v>2639</v>
      </c>
      <c r="F540" s="2522"/>
      <c r="G540" s="2164"/>
      <c r="H540" s="2523">
        <v>0</v>
      </c>
      <c r="I540" s="2523"/>
      <c r="J540" s="2523"/>
      <c r="K540" s="2163"/>
      <c r="L540" s="2523">
        <v>0</v>
      </c>
      <c r="M540" s="2163"/>
    </row>
    <row r="541" spans="1:15">
      <c r="A541" s="2164"/>
      <c r="B541" s="2164"/>
      <c r="C541" s="2164"/>
      <c r="D541" s="2164"/>
      <c r="E541" s="2164"/>
      <c r="F541" s="2164"/>
      <c r="G541" s="2164"/>
      <c r="H541" s="2523"/>
      <c r="I541" s="2523"/>
      <c r="J541" s="2523"/>
      <c r="K541" s="2163"/>
      <c r="L541" s="2523"/>
      <c r="M541" s="2163"/>
    </row>
    <row r="542" spans="1:15" ht="27.6">
      <c r="A542" s="2160" t="s">
        <v>2680</v>
      </c>
      <c r="B542" s="2161"/>
      <c r="C542" s="2160" t="s">
        <v>2681</v>
      </c>
      <c r="D542" s="2161"/>
      <c r="E542" s="2160" t="s">
        <v>2636</v>
      </c>
      <c r="F542" s="2161"/>
    </row>
    <row r="543" spans="1:15">
      <c r="A543" s="2163"/>
      <c r="B543" s="2163"/>
      <c r="C543" s="2163"/>
      <c r="D543" s="2163"/>
      <c r="E543" s="2163"/>
      <c r="F543" s="2163"/>
      <c r="G543" s="2163"/>
      <c r="H543" s="2163"/>
      <c r="I543" s="2163"/>
      <c r="J543" s="2163"/>
      <c r="K543" s="2163"/>
      <c r="L543" s="2163"/>
      <c r="M543" s="2163"/>
    </row>
    <row r="544" spans="1:15">
      <c r="A544" s="2164"/>
      <c r="H544" s="2522" t="s">
        <v>2637</v>
      </c>
      <c r="I544" s="2522"/>
      <c r="J544" s="2163"/>
      <c r="K544" s="2523">
        <v>0</v>
      </c>
      <c r="L544" s="2523"/>
      <c r="M544" s="2163"/>
      <c r="N544" s="2527"/>
      <c r="O544" s="2163"/>
    </row>
    <row r="545" spans="1:15">
      <c r="H545" s="2163"/>
      <c r="I545" s="2163"/>
      <c r="J545" s="2163"/>
      <c r="K545" s="2523"/>
      <c r="L545" s="2523"/>
      <c r="N545" s="2527"/>
    </row>
    <row r="546" spans="1:15">
      <c r="A546" s="2165">
        <v>32115</v>
      </c>
      <c r="B546" s="2163"/>
      <c r="C546" s="2524" t="s">
        <v>2651</v>
      </c>
      <c r="D546" s="2524"/>
      <c r="E546" s="2524"/>
      <c r="F546" s="2524"/>
      <c r="G546" s="2524"/>
      <c r="H546" s="2524"/>
      <c r="I546" s="2524"/>
      <c r="J546" s="2163"/>
      <c r="K546" s="2163"/>
      <c r="L546" s="2163"/>
      <c r="M546" s="2163"/>
    </row>
    <row r="547" spans="1:15">
      <c r="A547" s="2163"/>
      <c r="B547" s="2163"/>
      <c r="C547" s="2163"/>
      <c r="D547" s="2163"/>
      <c r="E547" s="2163"/>
      <c r="F547" s="2163"/>
      <c r="G547" s="2163"/>
      <c r="H547" s="2163"/>
      <c r="I547" s="2163"/>
      <c r="J547" s="2163"/>
      <c r="K547" s="2163"/>
      <c r="L547" s="2163"/>
      <c r="M547" s="2163"/>
    </row>
    <row r="548" spans="1:15">
      <c r="A548" s="2529"/>
      <c r="B548" s="2529"/>
      <c r="C548" s="2529"/>
      <c r="D548" s="2166"/>
      <c r="E548" s="2166"/>
      <c r="F548" s="2166"/>
      <c r="G548" s="2166"/>
      <c r="H548" s="2525"/>
      <c r="I548" s="2525"/>
      <c r="J548" s="2525"/>
      <c r="K548" s="2166"/>
      <c r="L548" s="2167"/>
      <c r="M548" s="2166"/>
    </row>
    <row r="549" spans="1:15">
      <c r="A549" s="2164"/>
      <c r="B549" s="2164"/>
      <c r="C549" s="2164"/>
      <c r="D549" s="2164"/>
      <c r="E549" s="2522" t="s">
        <v>2639</v>
      </c>
      <c r="F549" s="2522"/>
      <c r="G549" s="2164"/>
      <c r="H549" s="2523">
        <v>0</v>
      </c>
      <c r="I549" s="2523"/>
      <c r="J549" s="2523"/>
      <c r="K549" s="2163"/>
      <c r="L549" s="2523">
        <v>0</v>
      </c>
      <c r="M549" s="2163"/>
    </row>
    <row r="550" spans="1:15">
      <c r="A550" s="2164"/>
      <c r="B550" s="2164"/>
      <c r="C550" s="2164"/>
      <c r="D550" s="2164"/>
      <c r="E550" s="2164"/>
      <c r="F550" s="2164"/>
      <c r="G550" s="2164"/>
      <c r="H550" s="2523"/>
      <c r="I550" s="2523"/>
      <c r="J550" s="2523"/>
      <c r="K550" s="2163"/>
      <c r="L550" s="2523"/>
      <c r="M550" s="2163"/>
    </row>
    <row r="551" spans="1:15">
      <c r="A551" s="2160" t="s">
        <v>2680</v>
      </c>
      <c r="B551" s="2161"/>
      <c r="C551" s="2160" t="s">
        <v>2681</v>
      </c>
      <c r="D551" s="2161"/>
      <c r="E551" s="2160" t="s">
        <v>2640</v>
      </c>
      <c r="F551" s="2161"/>
    </row>
    <row r="552" spans="1:15">
      <c r="A552" s="2163"/>
      <c r="B552" s="2163"/>
      <c r="C552" s="2163"/>
      <c r="D552" s="2163"/>
      <c r="E552" s="2163"/>
      <c r="F552" s="2163"/>
      <c r="G552" s="2163"/>
      <c r="H552" s="2163"/>
      <c r="I552" s="2163"/>
      <c r="J552" s="2163"/>
      <c r="K552" s="2163"/>
      <c r="L552" s="2163"/>
      <c r="M552" s="2163"/>
    </row>
    <row r="553" spans="1:15">
      <c r="A553" s="2164"/>
      <c r="H553" s="2522" t="s">
        <v>2637</v>
      </c>
      <c r="I553" s="2522"/>
      <c r="J553" s="2163"/>
      <c r="K553" s="2523">
        <v>0</v>
      </c>
      <c r="L553" s="2523"/>
      <c r="M553" s="2163"/>
      <c r="N553" s="2527"/>
      <c r="O553" s="2163"/>
    </row>
    <row r="554" spans="1:15">
      <c r="H554" s="2163"/>
      <c r="I554" s="2163"/>
      <c r="J554" s="2163"/>
      <c r="K554" s="2523"/>
      <c r="L554" s="2523"/>
      <c r="N554" s="2527"/>
    </row>
    <row r="555" spans="1:15">
      <c r="A555" s="2165">
        <v>26</v>
      </c>
      <c r="B555" s="2163"/>
      <c r="C555" s="2524" t="s">
        <v>2845</v>
      </c>
      <c r="D555" s="2524"/>
      <c r="E555" s="2524"/>
      <c r="F555" s="2524"/>
      <c r="G555" s="2524"/>
      <c r="H555" s="2524"/>
      <c r="I555" s="2524"/>
      <c r="J555" s="2163"/>
      <c r="K555" s="2163"/>
      <c r="L555" s="2163"/>
      <c r="M555" s="2163"/>
    </row>
    <row r="556" spans="1:15">
      <c r="A556" s="2163"/>
      <c r="B556" s="2163"/>
      <c r="C556" s="2163"/>
      <c r="D556" s="2163"/>
      <c r="E556" s="2163"/>
      <c r="F556" s="2163"/>
      <c r="G556" s="2163"/>
      <c r="H556" s="2163"/>
      <c r="I556" s="2163"/>
      <c r="J556" s="2163"/>
      <c r="K556" s="2163"/>
      <c r="L556" s="2163"/>
      <c r="M556" s="2163"/>
    </row>
    <row r="557" spans="1:15">
      <c r="A557" s="2520" t="s">
        <v>2645</v>
      </c>
      <c r="B557" s="2520"/>
      <c r="C557" s="2520"/>
      <c r="D557" s="2166"/>
      <c r="E557" s="2166"/>
      <c r="F557" s="2166"/>
      <c r="G557" s="2166"/>
      <c r="H557" s="2525"/>
      <c r="I557" s="2525"/>
      <c r="J557" s="2525"/>
      <c r="K557" s="2166"/>
      <c r="L557" s="2167"/>
      <c r="M557" s="2166"/>
    </row>
    <row r="558" spans="1:15">
      <c r="A558" s="2520" t="s">
        <v>2645</v>
      </c>
      <c r="B558" s="2520"/>
      <c r="C558" s="2520"/>
      <c r="D558" s="2166"/>
      <c r="E558" s="2166"/>
      <c r="F558" s="2166"/>
      <c r="G558" s="2166"/>
      <c r="H558" s="2525">
        <v>145.30000000000001</v>
      </c>
      <c r="I558" s="2525"/>
      <c r="J558" s="2525"/>
      <c r="K558" s="2166"/>
      <c r="L558" s="2168">
        <v>14654.39</v>
      </c>
      <c r="M558" s="2166"/>
    </row>
    <row r="559" spans="1:15">
      <c r="A559" s="2520" t="s">
        <v>2679</v>
      </c>
      <c r="B559" s="2520"/>
      <c r="C559" s="2520"/>
      <c r="D559" s="2166"/>
      <c r="E559" s="2166"/>
      <c r="F559" s="2166"/>
      <c r="G559" s="2166"/>
      <c r="H559" s="2526">
        <v>-17829.996999999999</v>
      </c>
      <c r="I559" s="2526"/>
      <c r="J559" s="2526"/>
      <c r="K559" s="2166"/>
      <c r="L559" s="2168">
        <v>-1800000</v>
      </c>
      <c r="M559" s="2166"/>
    </row>
    <row r="560" spans="1:15">
      <c r="A560" s="2520" t="s">
        <v>2649</v>
      </c>
      <c r="B560" s="2520"/>
      <c r="C560" s="2520"/>
      <c r="D560" s="2166"/>
      <c r="E560" s="2166"/>
      <c r="F560" s="2166"/>
      <c r="G560" s="2166"/>
      <c r="H560" s="2526">
        <v>21817.302</v>
      </c>
      <c r="I560" s="2526"/>
      <c r="J560" s="2526"/>
      <c r="K560" s="2166"/>
      <c r="L560" s="2168">
        <v>2200408.1</v>
      </c>
      <c r="M560" s="2166"/>
    </row>
    <row r="561" spans="1:15">
      <c r="A561" s="2164"/>
      <c r="B561" s="2164"/>
      <c r="C561" s="2164"/>
      <c r="D561" s="2164"/>
      <c r="E561" s="2522" t="s">
        <v>2639</v>
      </c>
      <c r="F561" s="2522"/>
      <c r="G561" s="2164"/>
      <c r="H561" s="2528">
        <v>4132.6050999999998</v>
      </c>
      <c r="I561" s="2528"/>
      <c r="J561" s="2528"/>
      <c r="K561" s="2163"/>
      <c r="L561" s="2528">
        <v>417474.94</v>
      </c>
      <c r="M561" s="2163"/>
    </row>
    <row r="562" spans="1:15">
      <c r="A562" s="2164"/>
      <c r="B562" s="2164"/>
      <c r="C562" s="2164"/>
      <c r="D562" s="2164"/>
      <c r="E562" s="2164"/>
      <c r="F562" s="2164"/>
      <c r="G562" s="2164"/>
      <c r="H562" s="2528"/>
      <c r="I562" s="2528"/>
      <c r="J562" s="2528"/>
      <c r="K562" s="2163"/>
      <c r="L562" s="2528"/>
      <c r="M562" s="2163"/>
    </row>
    <row r="563" spans="1:15">
      <c r="A563" s="2160" t="s">
        <v>2680</v>
      </c>
      <c r="B563" s="2161"/>
      <c r="C563" s="2160" t="s">
        <v>2681</v>
      </c>
      <c r="D563" s="2161"/>
      <c r="E563" s="2160" t="s">
        <v>2640</v>
      </c>
      <c r="F563" s="2161"/>
    </row>
    <row r="564" spans="1:15">
      <c r="A564" s="2163"/>
      <c r="B564" s="2163"/>
      <c r="C564" s="2163"/>
      <c r="D564" s="2163"/>
      <c r="E564" s="2163"/>
      <c r="F564" s="2163"/>
      <c r="G564" s="2163"/>
      <c r="H564" s="2163"/>
      <c r="I564" s="2163"/>
      <c r="J564" s="2163"/>
      <c r="K564" s="2163"/>
      <c r="L564" s="2163"/>
      <c r="M564" s="2163"/>
    </row>
    <row r="565" spans="1:15">
      <c r="A565" s="2164"/>
      <c r="H565" s="2522" t="s">
        <v>2637</v>
      </c>
      <c r="I565" s="2522"/>
      <c r="J565" s="2163"/>
      <c r="K565" s="2523">
        <v>0</v>
      </c>
      <c r="L565" s="2523"/>
      <c r="M565" s="2163"/>
      <c r="N565" s="2527"/>
      <c r="O565" s="2163"/>
    </row>
    <row r="566" spans="1:15">
      <c r="H566" s="2163"/>
      <c r="I566" s="2163"/>
      <c r="J566" s="2163"/>
      <c r="K566" s="2523"/>
      <c r="L566" s="2523"/>
      <c r="N566" s="2527"/>
    </row>
    <row r="567" spans="1:15">
      <c r="A567" s="2165">
        <v>425</v>
      </c>
      <c r="B567" s="2163"/>
      <c r="C567" s="2524" t="s">
        <v>2641</v>
      </c>
      <c r="D567" s="2524"/>
      <c r="E567" s="2524"/>
      <c r="F567" s="2524"/>
      <c r="G567" s="2524"/>
      <c r="H567" s="2524"/>
      <c r="I567" s="2524"/>
      <c r="J567" s="2163"/>
      <c r="K567" s="2163"/>
      <c r="L567" s="2163"/>
      <c r="M567" s="2163"/>
    </row>
    <row r="568" spans="1:15">
      <c r="A568" s="2163"/>
      <c r="B568" s="2163"/>
      <c r="C568" s="2163"/>
      <c r="D568" s="2163"/>
      <c r="E568" s="2163"/>
      <c r="F568" s="2163"/>
      <c r="G568" s="2163"/>
      <c r="H568" s="2163"/>
      <c r="I568" s="2163"/>
      <c r="J568" s="2163"/>
      <c r="K568" s="2163"/>
      <c r="L568" s="2163"/>
      <c r="M568" s="2163"/>
    </row>
    <row r="569" spans="1:15">
      <c r="A569" s="2529"/>
      <c r="B569" s="2529"/>
      <c r="C569" s="2529"/>
      <c r="D569" s="2166"/>
      <c r="E569" s="2166"/>
      <c r="F569" s="2166"/>
      <c r="G569" s="2166"/>
      <c r="H569" s="2525"/>
      <c r="I569" s="2525"/>
      <c r="J569" s="2525"/>
      <c r="K569" s="2166"/>
      <c r="L569" s="2167"/>
      <c r="M569" s="2166"/>
    </row>
    <row r="570" spans="1:15">
      <c r="A570" s="2164"/>
      <c r="B570" s="2164"/>
      <c r="C570" s="2164"/>
      <c r="D570" s="2164"/>
      <c r="E570" s="2522" t="s">
        <v>2639</v>
      </c>
      <c r="F570" s="2522"/>
      <c r="G570" s="2164"/>
      <c r="H570" s="2523">
        <v>0</v>
      </c>
      <c r="I570" s="2523"/>
      <c r="J570" s="2523"/>
      <c r="K570" s="2163"/>
      <c r="L570" s="2523">
        <v>0</v>
      </c>
      <c r="M570" s="2163"/>
    </row>
    <row r="571" spans="1:15">
      <c r="A571" s="2164"/>
      <c r="B571" s="2164"/>
      <c r="C571" s="2164"/>
      <c r="D571" s="2164"/>
      <c r="E571" s="2164"/>
      <c r="F571" s="2164"/>
      <c r="G571" s="2164"/>
      <c r="H571" s="2523"/>
      <c r="I571" s="2523"/>
      <c r="J571" s="2523"/>
      <c r="K571" s="2163"/>
      <c r="L571" s="2523"/>
      <c r="M571" s="2163"/>
    </row>
    <row r="572" spans="1:15">
      <c r="A572" s="2160" t="s">
        <v>2680</v>
      </c>
      <c r="B572" s="2161"/>
      <c r="C572" s="2160" t="s">
        <v>2681</v>
      </c>
      <c r="D572" s="2161"/>
      <c r="E572" s="2160" t="s">
        <v>2640</v>
      </c>
      <c r="F572" s="2161"/>
    </row>
    <row r="573" spans="1:15">
      <c r="A573" s="2163"/>
      <c r="B573" s="2163"/>
      <c r="C573" s="2163"/>
      <c r="D573" s="2163"/>
      <c r="E573" s="2163"/>
      <c r="F573" s="2163"/>
      <c r="G573" s="2163"/>
      <c r="H573" s="2163"/>
      <c r="I573" s="2163"/>
      <c r="J573" s="2163"/>
      <c r="K573" s="2163"/>
      <c r="L573" s="2163"/>
      <c r="M573" s="2163"/>
    </row>
    <row r="574" spans="1:15">
      <c r="A574" s="2164"/>
      <c r="H574" s="2522" t="s">
        <v>2637</v>
      </c>
      <c r="I574" s="2522"/>
      <c r="J574" s="2163"/>
      <c r="K574" s="2523">
        <v>0</v>
      </c>
      <c r="L574" s="2523"/>
      <c r="M574" s="2163"/>
      <c r="N574" s="2527"/>
      <c r="O574" s="2163"/>
    </row>
    <row r="575" spans="1:15">
      <c r="H575" s="2163"/>
      <c r="I575" s="2163"/>
      <c r="J575" s="2163"/>
      <c r="K575" s="2523"/>
      <c r="L575" s="2523"/>
      <c r="N575" s="2527"/>
    </row>
    <row r="576" spans="1:15">
      <c r="A576" s="2165">
        <v>30823</v>
      </c>
      <c r="B576" s="2163"/>
      <c r="C576" s="2524" t="s">
        <v>2642</v>
      </c>
      <c r="D576" s="2524"/>
      <c r="E576" s="2524"/>
      <c r="F576" s="2524"/>
      <c r="G576" s="2524"/>
      <c r="H576" s="2524"/>
      <c r="I576" s="2524"/>
      <c r="J576" s="2163"/>
      <c r="K576" s="2163"/>
      <c r="L576" s="2163"/>
      <c r="M576" s="2163"/>
    </row>
    <row r="577" spans="1:15">
      <c r="A577" s="2163"/>
      <c r="B577" s="2163"/>
      <c r="C577" s="2163"/>
      <c r="D577" s="2163"/>
      <c r="E577" s="2163"/>
      <c r="F577" s="2163"/>
      <c r="G577" s="2163"/>
      <c r="H577" s="2163"/>
      <c r="I577" s="2163"/>
      <c r="J577" s="2163"/>
      <c r="K577" s="2163"/>
      <c r="L577" s="2163"/>
      <c r="M577" s="2163"/>
    </row>
    <row r="578" spans="1:15">
      <c r="A578" s="2520" t="s">
        <v>2645</v>
      </c>
      <c r="B578" s="2520"/>
      <c r="C578" s="2520"/>
      <c r="D578" s="2166"/>
      <c r="E578" s="2166"/>
      <c r="F578" s="2166"/>
      <c r="G578" s="2166"/>
      <c r="H578" s="2525"/>
      <c r="I578" s="2525"/>
      <c r="J578" s="2525"/>
      <c r="K578" s="2166"/>
      <c r="L578" s="2167"/>
      <c r="M578" s="2166"/>
    </row>
    <row r="579" spans="1:15">
      <c r="A579" s="2520" t="s">
        <v>2645</v>
      </c>
      <c r="B579" s="2520"/>
      <c r="C579" s="2520"/>
      <c r="D579" s="2166"/>
      <c r="E579" s="2166"/>
      <c r="F579" s="2166"/>
      <c r="G579" s="2166"/>
      <c r="H579" s="2525">
        <v>33.103999999999999</v>
      </c>
      <c r="I579" s="2525"/>
      <c r="J579" s="2525"/>
      <c r="K579" s="2166"/>
      <c r="L579" s="2168">
        <v>3338.71</v>
      </c>
      <c r="M579" s="2166"/>
    </row>
    <row r="580" spans="1:15">
      <c r="A580" s="2520" t="s">
        <v>2679</v>
      </c>
      <c r="B580" s="2520"/>
      <c r="C580" s="2520"/>
      <c r="D580" s="2166"/>
      <c r="E580" s="2166"/>
      <c r="F580" s="2166"/>
      <c r="G580" s="2166"/>
      <c r="H580" s="2526">
        <v>-2475.2080000000001</v>
      </c>
      <c r="I580" s="2526"/>
      <c r="J580" s="2526"/>
      <c r="K580" s="2166"/>
      <c r="L580" s="2168">
        <v>-250000</v>
      </c>
      <c r="M580" s="2166"/>
    </row>
    <row r="581" spans="1:15">
      <c r="A581" s="2520" t="s">
        <v>2649</v>
      </c>
      <c r="B581" s="2520"/>
      <c r="C581" s="2520"/>
      <c r="D581" s="2166"/>
      <c r="E581" s="2166"/>
      <c r="F581" s="2166"/>
      <c r="G581" s="2166"/>
      <c r="H581" s="2526">
        <v>4957.558</v>
      </c>
      <c r="I581" s="2526"/>
      <c r="J581" s="2526"/>
      <c r="K581" s="2166"/>
      <c r="L581" s="2168">
        <v>500000</v>
      </c>
      <c r="M581" s="2166"/>
    </row>
    <row r="582" spans="1:15">
      <c r="A582" s="2164"/>
      <c r="B582" s="2164"/>
      <c r="C582" s="2164"/>
      <c r="D582" s="2164"/>
      <c r="E582" s="2522" t="s">
        <v>2639</v>
      </c>
      <c r="F582" s="2522"/>
      <c r="G582" s="2164"/>
      <c r="H582" s="2528">
        <v>2515.4537999999998</v>
      </c>
      <c r="I582" s="2528"/>
      <c r="J582" s="2528"/>
      <c r="K582" s="2163"/>
      <c r="L582" s="2528">
        <v>254110.64</v>
      </c>
      <c r="M582" s="2163"/>
    </row>
    <row r="583" spans="1:15">
      <c r="A583" s="2164"/>
      <c r="B583" s="2164"/>
      <c r="C583" s="2164"/>
      <c r="D583" s="2164"/>
      <c r="E583" s="2164"/>
      <c r="F583" s="2164"/>
      <c r="G583" s="2164"/>
      <c r="H583" s="2528"/>
      <c r="I583" s="2528"/>
      <c r="J583" s="2528"/>
      <c r="K583" s="2163"/>
      <c r="L583" s="2528"/>
      <c r="M583" s="2163"/>
    </row>
    <row r="584" spans="1:15">
      <c r="A584" s="2160" t="s">
        <v>2680</v>
      </c>
      <c r="B584" s="2161"/>
      <c r="C584" s="2160" t="s">
        <v>2681</v>
      </c>
      <c r="D584" s="2161"/>
      <c r="E584" s="2160" t="s">
        <v>2640</v>
      </c>
      <c r="F584" s="2161"/>
    </row>
    <row r="585" spans="1:15">
      <c r="A585" s="2163"/>
      <c r="B585" s="2163"/>
      <c r="C585" s="2163"/>
      <c r="D585" s="2163"/>
      <c r="E585" s="2163"/>
      <c r="F585" s="2163"/>
      <c r="G585" s="2163"/>
      <c r="H585" s="2163"/>
      <c r="I585" s="2163"/>
      <c r="J585" s="2163"/>
      <c r="K585" s="2163"/>
      <c r="L585" s="2163"/>
      <c r="M585" s="2163"/>
    </row>
    <row r="586" spans="1:15">
      <c r="A586" s="2164"/>
      <c r="H586" s="2522" t="s">
        <v>2637</v>
      </c>
      <c r="I586" s="2522"/>
      <c r="J586" s="2163"/>
      <c r="K586" s="2523">
        <v>0</v>
      </c>
      <c r="L586" s="2523"/>
      <c r="M586" s="2163"/>
      <c r="N586" s="2527"/>
      <c r="O586" s="2163"/>
    </row>
    <row r="587" spans="1:15">
      <c r="H587" s="2163"/>
      <c r="I587" s="2163"/>
      <c r="J587" s="2163"/>
      <c r="K587" s="2523"/>
      <c r="L587" s="2523"/>
      <c r="N587" s="2527"/>
    </row>
    <row r="588" spans="1:15">
      <c r="A588" s="2165">
        <v>44046</v>
      </c>
      <c r="B588" s="2163"/>
      <c r="C588" s="2524" t="s">
        <v>2682</v>
      </c>
      <c r="D588" s="2524"/>
      <c r="E588" s="2524"/>
      <c r="F588" s="2524"/>
      <c r="G588" s="2524"/>
      <c r="H588" s="2524"/>
      <c r="I588" s="2524"/>
      <c r="J588" s="2163"/>
      <c r="K588" s="2163"/>
      <c r="L588" s="2163"/>
      <c r="M588" s="2163"/>
    </row>
    <row r="589" spans="1:15">
      <c r="A589" s="2163"/>
      <c r="B589" s="2163"/>
      <c r="C589" s="2163"/>
      <c r="D589" s="2163"/>
      <c r="E589" s="2163"/>
      <c r="F589" s="2163"/>
      <c r="G589" s="2163"/>
      <c r="H589" s="2163"/>
      <c r="I589" s="2163"/>
      <c r="J589" s="2163"/>
      <c r="K589" s="2163"/>
      <c r="L589" s="2163"/>
      <c r="M589" s="2163"/>
    </row>
    <row r="590" spans="1:15">
      <c r="A590" s="2529"/>
      <c r="B590" s="2529"/>
      <c r="C590" s="2529"/>
      <c r="D590" s="2166"/>
      <c r="E590" s="2166"/>
      <c r="F590" s="2166"/>
      <c r="G590" s="2166"/>
      <c r="H590" s="2525"/>
      <c r="I590" s="2525"/>
      <c r="J590" s="2525"/>
      <c r="K590" s="2166"/>
      <c r="L590" s="2167"/>
      <c r="M590" s="2166"/>
    </row>
    <row r="591" spans="1:15">
      <c r="A591" s="2164"/>
      <c r="B591" s="2164"/>
      <c r="C591" s="2164"/>
      <c r="D591" s="2164"/>
      <c r="E591" s="2522" t="s">
        <v>2639</v>
      </c>
      <c r="F591" s="2522"/>
      <c r="G591" s="2164"/>
      <c r="H591" s="2523">
        <v>0</v>
      </c>
      <c r="I591" s="2523"/>
      <c r="J591" s="2523"/>
      <c r="K591" s="2163"/>
      <c r="L591" s="2523">
        <v>0</v>
      </c>
      <c r="M591" s="2163"/>
    </row>
    <row r="592" spans="1:15">
      <c r="A592" s="2164"/>
      <c r="B592" s="2164"/>
      <c r="C592" s="2164"/>
      <c r="D592" s="2164"/>
      <c r="E592" s="2164"/>
      <c r="F592" s="2164"/>
      <c r="G592" s="2164"/>
      <c r="H592" s="2523"/>
      <c r="I592" s="2523"/>
      <c r="J592" s="2523"/>
      <c r="K592" s="2163"/>
      <c r="L592" s="2523"/>
      <c r="M592" s="2163"/>
    </row>
    <row r="593" spans="1:15">
      <c r="A593" s="2160" t="s">
        <v>2680</v>
      </c>
      <c r="B593" s="2161"/>
      <c r="C593" s="2160" t="s">
        <v>2681</v>
      </c>
      <c r="D593" s="2161"/>
      <c r="E593" s="2160" t="s">
        <v>2640</v>
      </c>
      <c r="F593" s="2161"/>
    </row>
    <row r="594" spans="1:15">
      <c r="A594" s="2163"/>
      <c r="B594" s="2163"/>
      <c r="C594" s="2163"/>
      <c r="D594" s="2163"/>
      <c r="E594" s="2163"/>
      <c r="F594" s="2163"/>
      <c r="G594" s="2163"/>
      <c r="H594" s="2163"/>
      <c r="I594" s="2163"/>
      <c r="J594" s="2163"/>
      <c r="K594" s="2163"/>
      <c r="L594" s="2163"/>
      <c r="M594" s="2163"/>
    </row>
    <row r="595" spans="1:15">
      <c r="A595" s="2164"/>
      <c r="H595" s="2522" t="s">
        <v>2637</v>
      </c>
      <c r="I595" s="2522"/>
      <c r="J595" s="2163"/>
      <c r="K595" s="2523">
        <v>0</v>
      </c>
      <c r="L595" s="2523"/>
      <c r="M595" s="2163"/>
      <c r="N595" s="2527"/>
      <c r="O595" s="2163"/>
    </row>
    <row r="596" spans="1:15">
      <c r="H596" s="2163"/>
      <c r="I596" s="2163"/>
      <c r="J596" s="2163"/>
      <c r="K596" s="2523"/>
      <c r="L596" s="2523"/>
      <c r="N596" s="2527"/>
    </row>
    <row r="597" spans="1:15">
      <c r="A597" s="2165">
        <v>42039</v>
      </c>
      <c r="B597" s="2163"/>
      <c r="C597" s="2524" t="s">
        <v>2643</v>
      </c>
      <c r="D597" s="2524"/>
      <c r="E597" s="2524"/>
      <c r="F597" s="2524"/>
      <c r="G597" s="2524"/>
      <c r="H597" s="2524"/>
      <c r="I597" s="2524"/>
      <c r="J597" s="2163"/>
      <c r="K597" s="2163"/>
      <c r="L597" s="2163"/>
      <c r="M597" s="2163"/>
    </row>
    <row r="598" spans="1:15">
      <c r="A598" s="2163"/>
      <c r="B598" s="2163"/>
      <c r="C598" s="2163"/>
      <c r="D598" s="2163"/>
      <c r="E598" s="2163"/>
      <c r="F598" s="2163"/>
      <c r="G598" s="2163"/>
      <c r="H598" s="2163"/>
      <c r="I598" s="2163"/>
      <c r="J598" s="2163"/>
      <c r="K598" s="2163"/>
      <c r="L598" s="2163"/>
      <c r="M598" s="2163"/>
    </row>
    <row r="599" spans="1:15">
      <c r="A599" s="2529"/>
      <c r="B599" s="2529"/>
      <c r="C599" s="2529"/>
      <c r="D599" s="2166"/>
      <c r="E599" s="2166"/>
      <c r="F599" s="2166"/>
      <c r="G599" s="2166"/>
      <c r="H599" s="2525"/>
      <c r="I599" s="2525"/>
      <c r="J599" s="2525"/>
      <c r="K599" s="2166"/>
      <c r="L599" s="2167"/>
      <c r="M599" s="2166"/>
    </row>
    <row r="600" spans="1:15">
      <c r="A600" s="2164"/>
      <c r="B600" s="2164"/>
      <c r="C600" s="2164"/>
      <c r="D600" s="2164"/>
      <c r="E600" s="2522" t="s">
        <v>2639</v>
      </c>
      <c r="F600" s="2522"/>
      <c r="G600" s="2164"/>
      <c r="H600" s="2523">
        <v>0</v>
      </c>
      <c r="I600" s="2523"/>
      <c r="J600" s="2523"/>
      <c r="K600" s="2163"/>
      <c r="L600" s="2523">
        <v>0</v>
      </c>
      <c r="M600" s="2163"/>
    </row>
    <row r="601" spans="1:15">
      <c r="A601" s="2164"/>
      <c r="B601" s="2164"/>
      <c r="C601" s="2164"/>
      <c r="D601" s="2164"/>
      <c r="E601" s="2164"/>
      <c r="F601" s="2164"/>
      <c r="G601" s="2164"/>
      <c r="H601" s="2523"/>
      <c r="I601" s="2523"/>
      <c r="J601" s="2523"/>
      <c r="K601" s="2163"/>
      <c r="L601" s="2523"/>
      <c r="M601" s="2163"/>
    </row>
    <row r="602" spans="1:15">
      <c r="A602" s="2160" t="s">
        <v>2680</v>
      </c>
      <c r="B602" s="2161"/>
      <c r="C602" s="2160" t="s">
        <v>2681</v>
      </c>
      <c r="D602" s="2161"/>
      <c r="E602" s="2160" t="s">
        <v>2640</v>
      </c>
      <c r="F602" s="2161"/>
    </row>
    <row r="603" spans="1:15">
      <c r="A603" s="2163"/>
      <c r="B603" s="2163"/>
      <c r="C603" s="2163"/>
      <c r="D603" s="2163"/>
      <c r="E603" s="2163"/>
      <c r="F603" s="2163"/>
      <c r="G603" s="2163"/>
      <c r="H603" s="2163"/>
      <c r="I603" s="2163"/>
      <c r="J603" s="2163"/>
      <c r="K603" s="2163"/>
      <c r="L603" s="2163"/>
      <c r="M603" s="2163"/>
    </row>
    <row r="604" spans="1:15">
      <c r="A604" s="2164"/>
      <c r="H604" s="2522" t="s">
        <v>2637</v>
      </c>
      <c r="I604" s="2522"/>
      <c r="J604" s="2163"/>
      <c r="K604" s="2528">
        <v>5469445.4888000004</v>
      </c>
      <c r="L604" s="2528"/>
      <c r="M604" s="2163"/>
      <c r="N604" s="2527" t="s">
        <v>2983</v>
      </c>
      <c r="O604" s="2163"/>
    </row>
    <row r="605" spans="1:15">
      <c r="H605" s="2163"/>
      <c r="I605" s="2163"/>
      <c r="J605" s="2163"/>
      <c r="K605" s="2528"/>
      <c r="L605" s="2528"/>
      <c r="N605" s="2527"/>
    </row>
    <row r="606" spans="1:15">
      <c r="A606" s="2165">
        <v>32636</v>
      </c>
      <c r="B606" s="2163"/>
      <c r="C606" s="2524" t="s">
        <v>2641</v>
      </c>
      <c r="D606" s="2524"/>
      <c r="E606" s="2524"/>
      <c r="F606" s="2524"/>
      <c r="G606" s="2524"/>
      <c r="H606" s="2524"/>
      <c r="I606" s="2524"/>
      <c r="J606" s="2163"/>
      <c r="K606" s="2163"/>
      <c r="L606" s="2163"/>
      <c r="M606" s="2163"/>
    </row>
    <row r="607" spans="1:15">
      <c r="A607" s="2163"/>
      <c r="B607" s="2163"/>
      <c r="C607" s="2163"/>
      <c r="D607" s="2163"/>
      <c r="E607" s="2163"/>
      <c r="F607" s="2163"/>
      <c r="G607" s="2163"/>
      <c r="H607" s="2163"/>
      <c r="I607" s="2163"/>
      <c r="J607" s="2163"/>
      <c r="K607" s="2163"/>
      <c r="L607" s="2163"/>
      <c r="M607" s="2163"/>
    </row>
    <row r="608" spans="1:15">
      <c r="A608" s="2520" t="s">
        <v>2647</v>
      </c>
      <c r="B608" s="2520"/>
      <c r="C608" s="2520"/>
      <c r="D608" s="2166"/>
      <c r="E608" s="2166"/>
      <c r="F608" s="2166"/>
      <c r="G608" s="2166"/>
      <c r="H608" s="2526">
        <v>19590811.213</v>
      </c>
      <c r="I608" s="2526"/>
      <c r="J608" s="2526"/>
      <c r="K608" s="2166"/>
      <c r="L608" s="2168">
        <v>1978576460.72</v>
      </c>
      <c r="M608" s="2166"/>
    </row>
    <row r="609" spans="1:15">
      <c r="A609" s="2520" t="s">
        <v>2648</v>
      </c>
      <c r="B609" s="2520"/>
      <c r="C609" s="2520"/>
      <c r="D609" s="2166"/>
      <c r="E609" s="2166"/>
      <c r="F609" s="2166"/>
      <c r="G609" s="2166"/>
      <c r="H609" s="2526">
        <v>-20919112.140000001</v>
      </c>
      <c r="I609" s="2526"/>
      <c r="J609" s="2526"/>
      <c r="K609" s="2166"/>
      <c r="L609" s="2168">
        <v>-2112044434.8900001</v>
      </c>
      <c r="M609" s="2166"/>
    </row>
    <row r="610" spans="1:15">
      <c r="A610" s="2520" t="s">
        <v>2645</v>
      </c>
      <c r="B610" s="2520"/>
      <c r="C610" s="2520"/>
      <c r="D610" s="2166"/>
      <c r="E610" s="2166"/>
      <c r="F610" s="2166"/>
      <c r="G610" s="2166"/>
      <c r="H610" s="2525"/>
      <c r="I610" s="2525"/>
      <c r="J610" s="2525"/>
      <c r="K610" s="2166"/>
      <c r="L610" s="2167"/>
      <c r="M610" s="2166"/>
    </row>
    <row r="611" spans="1:15">
      <c r="A611" s="2520" t="s">
        <v>2645</v>
      </c>
      <c r="B611" s="2520"/>
      <c r="C611" s="2520"/>
      <c r="D611" s="2166"/>
      <c r="E611" s="2166"/>
      <c r="F611" s="2166"/>
      <c r="G611" s="2166"/>
      <c r="H611" s="2526">
        <v>47392.639999999999</v>
      </c>
      <c r="I611" s="2526"/>
      <c r="J611" s="2526"/>
      <c r="K611" s="2166"/>
      <c r="L611" s="2168">
        <v>4779836.8499999996</v>
      </c>
      <c r="M611" s="2166"/>
    </row>
    <row r="612" spans="1:15">
      <c r="A612" s="2520" t="s">
        <v>2679</v>
      </c>
      <c r="B612" s="2520"/>
      <c r="C612" s="2520"/>
      <c r="D612" s="2166"/>
      <c r="E612" s="2166"/>
      <c r="F612" s="2166"/>
      <c r="G612" s="2166"/>
      <c r="H612" s="2526">
        <v>-2289258.5550000002</v>
      </c>
      <c r="I612" s="2526"/>
      <c r="J612" s="2526"/>
      <c r="K612" s="2166"/>
      <c r="L612" s="2168">
        <v>-231000000</v>
      </c>
      <c r="M612" s="2166"/>
    </row>
    <row r="613" spans="1:15">
      <c r="A613" s="2520" t="s">
        <v>2649</v>
      </c>
      <c r="B613" s="2520"/>
      <c r="C613" s="2520"/>
      <c r="D613" s="2166"/>
      <c r="E613" s="2166"/>
      <c r="F613" s="2166"/>
      <c r="G613" s="2166"/>
      <c r="H613" s="2526">
        <v>2513424.6189999999</v>
      </c>
      <c r="I613" s="2526"/>
      <c r="J613" s="2526"/>
      <c r="K613" s="2166"/>
      <c r="L613" s="2168">
        <v>251216569.00999999</v>
      </c>
      <c r="M613" s="2166"/>
    </row>
    <row r="614" spans="1:15">
      <c r="A614" s="2164"/>
      <c r="B614" s="2164"/>
      <c r="C614" s="2164"/>
      <c r="D614" s="2164"/>
      <c r="E614" s="2522" t="s">
        <v>2639</v>
      </c>
      <c r="F614" s="2522"/>
      <c r="G614" s="2164"/>
      <c r="H614" s="2528">
        <v>4412703.2654999997</v>
      </c>
      <c r="I614" s="2528"/>
      <c r="J614" s="2528"/>
      <c r="K614" s="2163"/>
      <c r="L614" s="2528">
        <v>445770401.33999997</v>
      </c>
      <c r="M614" s="2163"/>
    </row>
    <row r="615" spans="1:15">
      <c r="A615" s="2164"/>
      <c r="B615" s="2164"/>
      <c r="C615" s="2164"/>
      <c r="D615" s="2164"/>
      <c r="E615" s="2164"/>
      <c r="F615" s="2164"/>
      <c r="G615" s="2164"/>
      <c r="H615" s="2528"/>
      <c r="I615" s="2528"/>
      <c r="J615" s="2528"/>
      <c r="K615" s="2163"/>
      <c r="L615" s="2528"/>
      <c r="M615" s="2163"/>
    </row>
    <row r="616" spans="1:15">
      <c r="A616" s="2160" t="s">
        <v>2680</v>
      </c>
      <c r="B616" s="2161"/>
      <c r="C616" s="2160" t="s">
        <v>2681</v>
      </c>
      <c r="D616" s="2161"/>
      <c r="E616" s="2160" t="s">
        <v>2640</v>
      </c>
      <c r="F616" s="2161"/>
    </row>
    <row r="617" spans="1:15">
      <c r="A617" s="2163"/>
      <c r="B617" s="2163"/>
      <c r="C617" s="2163"/>
      <c r="D617" s="2163"/>
      <c r="E617" s="2163"/>
      <c r="F617" s="2163"/>
      <c r="G617" s="2163"/>
      <c r="H617" s="2163"/>
      <c r="I617" s="2163"/>
      <c r="J617" s="2163"/>
      <c r="K617" s="2163"/>
      <c r="L617" s="2163"/>
      <c r="M617" s="2163"/>
    </row>
    <row r="618" spans="1:15">
      <c r="A618" s="2164"/>
      <c r="H618" s="2522" t="s">
        <v>2637</v>
      </c>
      <c r="I618" s="2522"/>
      <c r="J618" s="2163"/>
      <c r="K618" s="2523">
        <v>0</v>
      </c>
      <c r="L618" s="2523"/>
      <c r="M618" s="2163"/>
      <c r="N618" s="2527"/>
      <c r="O618" s="2163"/>
    </row>
    <row r="619" spans="1:15">
      <c r="H619" s="2163"/>
      <c r="I619" s="2163"/>
      <c r="J619" s="2163"/>
      <c r="K619" s="2523"/>
      <c r="L619" s="2523"/>
      <c r="N619" s="2527"/>
    </row>
    <row r="620" spans="1:15">
      <c r="A620" s="2165">
        <v>32143</v>
      </c>
      <c r="B620" s="2163"/>
      <c r="C620" s="2524" t="s">
        <v>2650</v>
      </c>
      <c r="D620" s="2524"/>
      <c r="E620" s="2524"/>
      <c r="F620" s="2524"/>
      <c r="G620" s="2524"/>
      <c r="H620" s="2524"/>
      <c r="I620" s="2524"/>
      <c r="J620" s="2163"/>
      <c r="K620" s="2163"/>
      <c r="L620" s="2163"/>
      <c r="M620" s="2163"/>
    </row>
    <row r="621" spans="1:15">
      <c r="A621" s="2163"/>
      <c r="B621" s="2163"/>
      <c r="C621" s="2163"/>
      <c r="D621" s="2163"/>
      <c r="E621" s="2163"/>
      <c r="F621" s="2163"/>
      <c r="G621" s="2163"/>
      <c r="H621" s="2163"/>
      <c r="I621" s="2163"/>
      <c r="J621" s="2163"/>
      <c r="K621" s="2163"/>
      <c r="L621" s="2163"/>
      <c r="M621" s="2163"/>
    </row>
    <row r="622" spans="1:15">
      <c r="A622" s="2529"/>
      <c r="B622" s="2529"/>
      <c r="C622" s="2529"/>
      <c r="D622" s="2166"/>
      <c r="E622" s="2166"/>
      <c r="F622" s="2166"/>
      <c r="G622" s="2166"/>
      <c r="H622" s="2525"/>
      <c r="I622" s="2525"/>
      <c r="J622" s="2525"/>
      <c r="K622" s="2166"/>
      <c r="L622" s="2167"/>
      <c r="M622" s="2166"/>
    </row>
    <row r="623" spans="1:15">
      <c r="A623" s="2164"/>
      <c r="B623" s="2164"/>
      <c r="C623" s="2164"/>
      <c r="D623" s="2164"/>
      <c r="E623" s="2522" t="s">
        <v>2639</v>
      </c>
      <c r="F623" s="2522"/>
      <c r="G623" s="2164"/>
      <c r="H623" s="2523">
        <v>0</v>
      </c>
      <c r="I623" s="2523"/>
      <c r="J623" s="2523"/>
      <c r="K623" s="2163"/>
      <c r="L623" s="2523">
        <v>0</v>
      </c>
      <c r="M623" s="2163"/>
    </row>
    <row r="624" spans="1:15">
      <c r="A624" s="2164"/>
      <c r="B624" s="2164"/>
      <c r="C624" s="2164"/>
      <c r="D624" s="2164"/>
      <c r="E624" s="2164"/>
      <c r="F624" s="2164"/>
      <c r="G624" s="2164"/>
      <c r="H624" s="2523"/>
      <c r="I624" s="2523"/>
      <c r="J624" s="2523"/>
      <c r="K624" s="2163"/>
      <c r="L624" s="2523"/>
      <c r="M624" s="2163"/>
    </row>
    <row r="625" spans="1:15">
      <c r="A625" s="2160" t="s">
        <v>2680</v>
      </c>
      <c r="B625" s="2161"/>
      <c r="C625" s="2160" t="s">
        <v>2681</v>
      </c>
      <c r="D625" s="2161"/>
      <c r="E625" s="2160" t="s">
        <v>2640</v>
      </c>
      <c r="F625" s="2161"/>
    </row>
    <row r="626" spans="1:15">
      <c r="A626" s="2163"/>
      <c r="B626" s="2163"/>
      <c r="C626" s="2163"/>
      <c r="D626" s="2163"/>
      <c r="E626" s="2163"/>
      <c r="F626" s="2163"/>
      <c r="G626" s="2163"/>
      <c r="H626" s="2163"/>
      <c r="I626" s="2163"/>
      <c r="J626" s="2163"/>
      <c r="K626" s="2163"/>
      <c r="L626" s="2163"/>
      <c r="M626" s="2163"/>
    </row>
    <row r="627" spans="1:15">
      <c r="A627" s="2164"/>
      <c r="H627" s="2522" t="s">
        <v>2637</v>
      </c>
      <c r="I627" s="2522"/>
      <c r="J627" s="2163"/>
      <c r="K627" s="2523">
        <v>1E-4</v>
      </c>
      <c r="L627" s="2523"/>
      <c r="M627" s="2163"/>
      <c r="N627" s="2527"/>
      <c r="O627" s="2163"/>
    </row>
    <row r="628" spans="1:15">
      <c r="H628" s="2163"/>
      <c r="I628" s="2163"/>
      <c r="J628" s="2163"/>
      <c r="K628" s="2523"/>
      <c r="L628" s="2523"/>
      <c r="N628" s="2527"/>
    </row>
    <row r="629" spans="1:15">
      <c r="A629" s="2165">
        <v>32358</v>
      </c>
      <c r="B629" s="2163"/>
      <c r="C629" s="2524" t="s">
        <v>2675</v>
      </c>
      <c r="D629" s="2524"/>
      <c r="E629" s="2524"/>
      <c r="F629" s="2524"/>
      <c r="G629" s="2524"/>
      <c r="H629" s="2524"/>
      <c r="I629" s="2524"/>
      <c r="J629" s="2163"/>
      <c r="K629" s="2163"/>
      <c r="L629" s="2163"/>
      <c r="M629" s="2163"/>
    </row>
    <row r="630" spans="1:15">
      <c r="A630" s="2163"/>
      <c r="B630" s="2163"/>
      <c r="C630" s="2163"/>
      <c r="D630" s="2163"/>
      <c r="E630" s="2163"/>
      <c r="F630" s="2163"/>
      <c r="G630" s="2163"/>
      <c r="H630" s="2163"/>
      <c r="I630" s="2163"/>
      <c r="J630" s="2163"/>
      <c r="K630" s="2163"/>
      <c r="L630" s="2163"/>
      <c r="M630" s="2163"/>
    </row>
    <row r="631" spans="1:15">
      <c r="A631" s="2529"/>
      <c r="B631" s="2529"/>
      <c r="C631" s="2529"/>
      <c r="D631" s="2166"/>
      <c r="E631" s="2166"/>
      <c r="F631" s="2166"/>
      <c r="G631" s="2166"/>
      <c r="H631" s="2525"/>
      <c r="I631" s="2525"/>
      <c r="J631" s="2525"/>
      <c r="K631" s="2166"/>
      <c r="L631" s="2167"/>
      <c r="M631" s="2166"/>
    </row>
    <row r="632" spans="1:15">
      <c r="A632" s="2164"/>
      <c r="B632" s="2164"/>
      <c r="C632" s="2164"/>
      <c r="D632" s="2164"/>
      <c r="E632" s="2522" t="s">
        <v>2639</v>
      </c>
      <c r="F632" s="2522"/>
      <c r="G632" s="2164"/>
      <c r="H632" s="2523">
        <v>1E-4</v>
      </c>
      <c r="I632" s="2523"/>
      <c r="J632" s="2523"/>
      <c r="K632" s="2163"/>
      <c r="L632" s="2523">
        <v>0.01</v>
      </c>
      <c r="M632" s="2163"/>
    </row>
    <row r="633" spans="1:15">
      <c r="A633" s="2164"/>
      <c r="B633" s="2164"/>
      <c r="C633" s="2164"/>
      <c r="D633" s="2164"/>
      <c r="E633" s="2164"/>
      <c r="F633" s="2164"/>
      <c r="G633" s="2164"/>
      <c r="H633" s="2523"/>
      <c r="I633" s="2523"/>
      <c r="J633" s="2523"/>
      <c r="K633" s="2163"/>
      <c r="L633" s="2523"/>
      <c r="M633" s="2163"/>
    </row>
    <row r="634" spans="1:15">
      <c r="A634" s="2160" t="s">
        <v>2680</v>
      </c>
      <c r="B634" s="2161"/>
      <c r="C634" s="2160" t="s">
        <v>2681</v>
      </c>
      <c r="D634" s="2161"/>
      <c r="E634" s="2160" t="s">
        <v>2640</v>
      </c>
      <c r="F634" s="2161"/>
    </row>
    <row r="635" spans="1:15">
      <c r="A635" s="2163"/>
      <c r="B635" s="2163"/>
      <c r="C635" s="2163"/>
      <c r="D635" s="2163"/>
      <c r="E635" s="2163"/>
      <c r="F635" s="2163"/>
      <c r="G635" s="2163"/>
      <c r="H635" s="2163"/>
      <c r="I635" s="2163"/>
      <c r="J635" s="2163"/>
      <c r="K635" s="2163"/>
      <c r="L635" s="2163"/>
      <c r="M635" s="2163"/>
    </row>
    <row r="636" spans="1:15">
      <c r="A636" s="2164"/>
      <c r="H636" s="2522" t="s">
        <v>2637</v>
      </c>
      <c r="I636" s="2522"/>
      <c r="J636" s="2163"/>
      <c r="K636" s="2523">
        <v>0</v>
      </c>
      <c r="L636" s="2523"/>
      <c r="M636" s="2163"/>
      <c r="N636" s="2527"/>
      <c r="O636" s="2163"/>
    </row>
    <row r="637" spans="1:15">
      <c r="H637" s="2163"/>
      <c r="I637" s="2163"/>
      <c r="J637" s="2163"/>
      <c r="K637" s="2523"/>
      <c r="L637" s="2523"/>
      <c r="N637" s="2527"/>
    </row>
    <row r="638" spans="1:15">
      <c r="A638" s="2165">
        <v>34106</v>
      </c>
      <c r="B638" s="2163"/>
      <c r="C638" s="2524" t="s">
        <v>2657</v>
      </c>
      <c r="D638" s="2524"/>
      <c r="E638" s="2524"/>
      <c r="F638" s="2524"/>
      <c r="G638" s="2524"/>
      <c r="H638" s="2524"/>
      <c r="I638" s="2524"/>
      <c r="J638" s="2163"/>
      <c r="K638" s="2163"/>
      <c r="L638" s="2163"/>
      <c r="M638" s="2163"/>
    </row>
    <row r="639" spans="1:15">
      <c r="A639" s="2163"/>
      <c r="B639" s="2163"/>
      <c r="C639" s="2163"/>
      <c r="D639" s="2163"/>
      <c r="E639" s="2163"/>
      <c r="F639" s="2163"/>
      <c r="G639" s="2163"/>
      <c r="H639" s="2163"/>
      <c r="I639" s="2163"/>
      <c r="J639" s="2163"/>
      <c r="K639" s="2163"/>
      <c r="L639" s="2163"/>
      <c r="M639" s="2163"/>
    </row>
    <row r="640" spans="1:15">
      <c r="A640" s="2529"/>
      <c r="B640" s="2529"/>
      <c r="C640" s="2529"/>
      <c r="D640" s="2166"/>
      <c r="E640" s="2166"/>
      <c r="F640" s="2166"/>
      <c r="G640" s="2166"/>
      <c r="H640" s="2525"/>
      <c r="I640" s="2525"/>
      <c r="J640" s="2525"/>
      <c r="K640" s="2166"/>
      <c r="L640" s="2167"/>
      <c r="M640" s="2166"/>
    </row>
    <row r="641" spans="1:15">
      <c r="A641" s="2164"/>
      <c r="B641" s="2164"/>
      <c r="C641" s="2164"/>
      <c r="D641" s="2164"/>
      <c r="E641" s="2522" t="s">
        <v>2639</v>
      </c>
      <c r="F641" s="2522"/>
      <c r="G641" s="2164"/>
      <c r="H641" s="2523">
        <v>0</v>
      </c>
      <c r="I641" s="2523"/>
      <c r="J641" s="2523"/>
      <c r="K641" s="2163"/>
      <c r="L641" s="2523">
        <v>0</v>
      </c>
      <c r="M641" s="2163"/>
    </row>
    <row r="642" spans="1:15">
      <c r="A642" s="2164"/>
      <c r="B642" s="2164"/>
      <c r="C642" s="2164"/>
      <c r="D642" s="2164"/>
      <c r="E642" s="2164"/>
      <c r="F642" s="2164"/>
      <c r="G642" s="2164"/>
      <c r="H642" s="2523"/>
      <c r="I642" s="2523"/>
      <c r="J642" s="2523"/>
      <c r="K642" s="2163"/>
      <c r="L642" s="2523"/>
      <c r="M642" s="2163"/>
    </row>
    <row r="643" spans="1:15">
      <c r="A643" s="2160" t="s">
        <v>2680</v>
      </c>
      <c r="B643" s="2161"/>
      <c r="C643" s="2160" t="s">
        <v>2681</v>
      </c>
      <c r="D643" s="2161"/>
      <c r="E643" s="2160" t="s">
        <v>2640</v>
      </c>
      <c r="F643" s="2161"/>
    </row>
    <row r="644" spans="1:15">
      <c r="A644" s="2163"/>
      <c r="B644" s="2163"/>
      <c r="C644" s="2163"/>
      <c r="D644" s="2163"/>
      <c r="E644" s="2163"/>
      <c r="F644" s="2163"/>
      <c r="G644" s="2163"/>
      <c r="H644" s="2163"/>
      <c r="I644" s="2163"/>
      <c r="J644" s="2163"/>
      <c r="K644" s="2163"/>
      <c r="L644" s="2163"/>
      <c r="M644" s="2163"/>
    </row>
    <row r="645" spans="1:15">
      <c r="A645" s="2164"/>
      <c r="H645" s="2522" t="s">
        <v>2637</v>
      </c>
      <c r="I645" s="2522"/>
      <c r="J645" s="2163"/>
      <c r="K645" s="2523">
        <v>0</v>
      </c>
      <c r="L645" s="2523"/>
      <c r="M645" s="2163"/>
      <c r="N645" s="2527"/>
      <c r="O645" s="2163"/>
    </row>
    <row r="646" spans="1:15">
      <c r="H646" s="2163"/>
      <c r="I646" s="2163"/>
      <c r="J646" s="2163"/>
      <c r="K646" s="2523"/>
      <c r="L646" s="2523"/>
      <c r="N646" s="2527"/>
    </row>
    <row r="647" spans="1:15">
      <c r="A647" s="2165">
        <v>44234</v>
      </c>
      <c r="B647" s="2163"/>
      <c r="C647" s="2524" t="s">
        <v>2658</v>
      </c>
      <c r="D647" s="2524"/>
      <c r="E647" s="2524"/>
      <c r="F647" s="2524"/>
      <c r="G647" s="2524"/>
      <c r="H647" s="2524"/>
      <c r="I647" s="2524"/>
      <c r="J647" s="2163"/>
      <c r="K647" s="2163"/>
      <c r="L647" s="2163"/>
      <c r="M647" s="2163"/>
    </row>
    <row r="648" spans="1:15">
      <c r="A648" s="2163"/>
      <c r="B648" s="2163"/>
      <c r="C648" s="2163"/>
      <c r="D648" s="2163"/>
      <c r="E648" s="2163"/>
      <c r="F648" s="2163"/>
      <c r="G648" s="2163"/>
      <c r="H648" s="2163"/>
      <c r="I648" s="2163"/>
      <c r="J648" s="2163"/>
      <c r="K648" s="2163"/>
      <c r="L648" s="2163"/>
      <c r="M648" s="2163"/>
    </row>
    <row r="649" spans="1:15">
      <c r="A649" s="2529"/>
      <c r="B649" s="2529"/>
      <c r="C649" s="2529"/>
      <c r="D649" s="2166"/>
      <c r="E649" s="2166"/>
      <c r="F649" s="2166"/>
      <c r="G649" s="2166"/>
      <c r="H649" s="2525"/>
      <c r="I649" s="2525"/>
      <c r="J649" s="2525"/>
      <c r="K649" s="2166"/>
      <c r="L649" s="2167"/>
      <c r="M649" s="2166"/>
    </row>
    <row r="650" spans="1:15">
      <c r="A650" s="2164"/>
      <c r="B650" s="2164"/>
      <c r="C650" s="2164"/>
      <c r="D650" s="2164"/>
      <c r="E650" s="2522" t="s">
        <v>2639</v>
      </c>
      <c r="F650" s="2522"/>
      <c r="G650" s="2164"/>
      <c r="H650" s="2523">
        <v>0</v>
      </c>
      <c r="I650" s="2523"/>
      <c r="J650" s="2523"/>
      <c r="K650" s="2163"/>
      <c r="L650" s="2523">
        <v>0</v>
      </c>
      <c r="M650" s="2163"/>
    </row>
    <row r="651" spans="1:15">
      <c r="A651" s="2164"/>
      <c r="B651" s="2164"/>
      <c r="C651" s="2164"/>
      <c r="D651" s="2164"/>
      <c r="E651" s="2164"/>
      <c r="F651" s="2164"/>
      <c r="G651" s="2164"/>
      <c r="H651" s="2523"/>
      <c r="I651" s="2523"/>
      <c r="J651" s="2523"/>
      <c r="K651" s="2163"/>
      <c r="L651" s="2523"/>
      <c r="M651" s="2163"/>
    </row>
    <row r="652" spans="1:15">
      <c r="A652" s="2160" t="s">
        <v>2680</v>
      </c>
      <c r="B652" s="2161"/>
      <c r="C652" s="2160" t="s">
        <v>2681</v>
      </c>
      <c r="D652" s="2161"/>
      <c r="E652" s="2160" t="s">
        <v>2640</v>
      </c>
      <c r="F652" s="2161"/>
    </row>
    <row r="653" spans="1:15">
      <c r="A653" s="2163"/>
      <c r="B653" s="2163"/>
      <c r="C653" s="2163"/>
      <c r="D653" s="2163"/>
      <c r="E653" s="2163"/>
      <c r="F653" s="2163"/>
      <c r="G653" s="2163"/>
      <c r="H653" s="2163"/>
      <c r="I653" s="2163"/>
      <c r="J653" s="2163"/>
      <c r="K653" s="2163"/>
      <c r="L653" s="2163"/>
      <c r="M653" s="2163"/>
    </row>
    <row r="654" spans="1:15">
      <c r="A654" s="2164"/>
      <c r="H654" s="2522" t="s">
        <v>2637</v>
      </c>
      <c r="I654" s="2522"/>
      <c r="J654" s="2163"/>
      <c r="K654" s="2523">
        <v>0</v>
      </c>
      <c r="L654" s="2523"/>
      <c r="M654" s="2163"/>
      <c r="N654" s="2527"/>
      <c r="O654" s="2163"/>
    </row>
    <row r="655" spans="1:15">
      <c r="H655" s="2163"/>
      <c r="I655" s="2163"/>
      <c r="J655" s="2163"/>
      <c r="K655" s="2523"/>
      <c r="L655" s="2523"/>
      <c r="N655" s="2527"/>
    </row>
    <row r="656" spans="1:15">
      <c r="A656" s="2165">
        <v>41794</v>
      </c>
      <c r="B656" s="2163"/>
      <c r="C656" s="2524" t="s">
        <v>2659</v>
      </c>
      <c r="D656" s="2524"/>
      <c r="E656" s="2524"/>
      <c r="F656" s="2524"/>
      <c r="G656" s="2524"/>
      <c r="H656" s="2524"/>
      <c r="I656" s="2524"/>
      <c r="J656" s="2163"/>
      <c r="K656" s="2163"/>
      <c r="L656" s="2163"/>
      <c r="M656" s="2163"/>
    </row>
    <row r="657" spans="1:15">
      <c r="A657" s="2163"/>
      <c r="B657" s="2163"/>
      <c r="C657" s="2163"/>
      <c r="D657" s="2163"/>
      <c r="E657" s="2163"/>
      <c r="F657" s="2163"/>
      <c r="G657" s="2163"/>
      <c r="H657" s="2163"/>
      <c r="I657" s="2163"/>
      <c r="J657" s="2163"/>
      <c r="K657" s="2163"/>
      <c r="L657" s="2163"/>
      <c r="M657" s="2163"/>
    </row>
    <row r="658" spans="1:15">
      <c r="A658" s="2529"/>
      <c r="B658" s="2529"/>
      <c r="C658" s="2529"/>
      <c r="D658" s="2166"/>
      <c r="E658" s="2166"/>
      <c r="F658" s="2166"/>
      <c r="G658" s="2166"/>
      <c r="H658" s="2525"/>
      <c r="I658" s="2525"/>
      <c r="J658" s="2525"/>
      <c r="K658" s="2166"/>
      <c r="L658" s="2167"/>
      <c r="M658" s="2166"/>
    </row>
    <row r="659" spans="1:15">
      <c r="A659" s="2164"/>
      <c r="B659" s="2164"/>
      <c r="C659" s="2164"/>
      <c r="D659" s="2164"/>
      <c r="E659" s="2522" t="s">
        <v>2639</v>
      </c>
      <c r="F659" s="2522"/>
      <c r="G659" s="2164"/>
      <c r="H659" s="2523">
        <v>0</v>
      </c>
      <c r="I659" s="2523"/>
      <c r="J659" s="2523"/>
      <c r="K659" s="2163"/>
      <c r="L659" s="2523">
        <v>0</v>
      </c>
      <c r="M659" s="2163"/>
    </row>
    <row r="660" spans="1:15">
      <c r="A660" s="2164"/>
      <c r="B660" s="2164"/>
      <c r="C660" s="2164"/>
      <c r="D660" s="2164"/>
      <c r="E660" s="2164"/>
      <c r="F660" s="2164"/>
      <c r="G660" s="2164"/>
      <c r="H660" s="2523"/>
      <c r="I660" s="2523"/>
      <c r="J660" s="2523"/>
      <c r="K660" s="2163"/>
      <c r="L660" s="2523"/>
      <c r="M660" s="2163"/>
    </row>
    <row r="661" spans="1:15">
      <c r="A661" s="2160" t="s">
        <v>2680</v>
      </c>
      <c r="B661" s="2161"/>
      <c r="C661" s="2160" t="s">
        <v>2681</v>
      </c>
      <c r="D661" s="2161"/>
      <c r="E661" s="2160" t="s">
        <v>2640</v>
      </c>
      <c r="F661" s="2161"/>
    </row>
    <row r="662" spans="1:15">
      <c r="A662" s="2163"/>
      <c r="B662" s="2163"/>
      <c r="C662" s="2163"/>
      <c r="D662" s="2163"/>
      <c r="E662" s="2163"/>
      <c r="F662" s="2163"/>
      <c r="G662" s="2163"/>
      <c r="H662" s="2163"/>
      <c r="I662" s="2163"/>
      <c r="J662" s="2163"/>
      <c r="K662" s="2163"/>
      <c r="L662" s="2163"/>
      <c r="M662" s="2163"/>
    </row>
    <row r="663" spans="1:15">
      <c r="A663" s="2164"/>
      <c r="H663" s="2522" t="s">
        <v>2637</v>
      </c>
      <c r="I663" s="2522"/>
      <c r="J663" s="2163"/>
      <c r="K663" s="2523">
        <v>0</v>
      </c>
      <c r="L663" s="2523"/>
      <c r="M663" s="2163"/>
      <c r="N663" s="2527"/>
      <c r="O663" s="2163"/>
    </row>
    <row r="664" spans="1:15">
      <c r="H664" s="2163"/>
      <c r="I664" s="2163"/>
      <c r="J664" s="2163"/>
      <c r="K664" s="2523"/>
      <c r="L664" s="2523"/>
      <c r="N664" s="2527"/>
    </row>
    <row r="665" spans="1:15">
      <c r="A665" s="2165">
        <v>41538</v>
      </c>
      <c r="B665" s="2163"/>
      <c r="C665" s="2524" t="s">
        <v>2977</v>
      </c>
      <c r="D665" s="2524"/>
      <c r="E665" s="2524"/>
      <c r="F665" s="2524"/>
      <c r="G665" s="2524"/>
      <c r="H665" s="2524"/>
      <c r="I665" s="2524"/>
      <c r="J665" s="2163"/>
      <c r="K665" s="2163"/>
      <c r="L665" s="2163"/>
      <c r="M665" s="2163"/>
    </row>
    <row r="666" spans="1:15">
      <c r="A666" s="2163"/>
      <c r="B666" s="2163"/>
      <c r="C666" s="2163"/>
      <c r="D666" s="2163"/>
      <c r="E666" s="2163"/>
      <c r="F666" s="2163"/>
      <c r="G666" s="2163"/>
      <c r="H666" s="2163"/>
      <c r="I666" s="2163"/>
      <c r="J666" s="2163"/>
      <c r="K666" s="2163"/>
      <c r="L666" s="2163"/>
      <c r="M666" s="2163"/>
    </row>
    <row r="667" spans="1:15">
      <c r="A667" s="2520" t="s">
        <v>2649</v>
      </c>
      <c r="B667" s="2520"/>
      <c r="C667" s="2520"/>
      <c r="D667" s="2166"/>
      <c r="E667" s="2166"/>
      <c r="F667" s="2166"/>
      <c r="G667" s="2166"/>
      <c r="H667" s="2526">
        <v>494952.47499999998</v>
      </c>
      <c r="I667" s="2526"/>
      <c r="J667" s="2526"/>
      <c r="K667" s="2166"/>
      <c r="L667" s="2168">
        <v>50000000</v>
      </c>
      <c r="M667" s="2166"/>
    </row>
    <row r="668" spans="1:15">
      <c r="A668" s="2164"/>
      <c r="B668" s="2164"/>
      <c r="C668" s="2164"/>
      <c r="D668" s="2164"/>
      <c r="E668" s="2522" t="s">
        <v>2639</v>
      </c>
      <c r="F668" s="2522"/>
      <c r="G668" s="2164"/>
      <c r="H668" s="2528">
        <v>494952.47470000002</v>
      </c>
      <c r="I668" s="2528"/>
      <c r="J668" s="2528"/>
      <c r="K668" s="2163"/>
      <c r="L668" s="2528">
        <v>50000000</v>
      </c>
      <c r="M668" s="2163"/>
    </row>
    <row r="669" spans="1:15">
      <c r="A669" s="2164"/>
      <c r="B669" s="2164"/>
      <c r="C669" s="2164"/>
      <c r="D669" s="2164"/>
      <c r="E669" s="2164"/>
      <c r="F669" s="2164"/>
      <c r="G669" s="2164"/>
      <c r="H669" s="2528"/>
      <c r="I669" s="2528"/>
      <c r="J669" s="2528"/>
      <c r="K669" s="2163"/>
      <c r="L669" s="2528"/>
      <c r="M669" s="2163"/>
    </row>
    <row r="670" spans="1:15">
      <c r="A670" s="2160" t="s">
        <v>2680</v>
      </c>
      <c r="B670" s="2161"/>
      <c r="C670" s="2160" t="s">
        <v>2681</v>
      </c>
      <c r="D670" s="2161"/>
      <c r="E670" s="2160" t="s">
        <v>2640</v>
      </c>
      <c r="F670" s="2161"/>
    </row>
    <row r="671" spans="1:15">
      <c r="A671" s="2163"/>
      <c r="B671" s="2163"/>
      <c r="C671" s="2163"/>
      <c r="D671" s="2163"/>
      <c r="E671" s="2163"/>
      <c r="F671" s="2163"/>
      <c r="G671" s="2163"/>
      <c r="H671" s="2163"/>
      <c r="I671" s="2163"/>
      <c r="J671" s="2163"/>
      <c r="K671" s="2163"/>
      <c r="L671" s="2163"/>
      <c r="M671" s="2163"/>
    </row>
    <row r="672" spans="1:15">
      <c r="A672" s="2164"/>
      <c r="H672" s="2522" t="s">
        <v>2637</v>
      </c>
      <c r="I672" s="2522"/>
      <c r="J672" s="2163"/>
      <c r="K672" s="2523">
        <v>0</v>
      </c>
      <c r="L672" s="2523"/>
      <c r="M672" s="2163"/>
      <c r="N672" s="2527"/>
      <c r="O672" s="2163"/>
    </row>
    <row r="673" spans="1:15">
      <c r="H673" s="2163"/>
      <c r="I673" s="2163"/>
      <c r="J673" s="2163"/>
      <c r="K673" s="2523"/>
      <c r="L673" s="2523"/>
      <c r="N673" s="2527"/>
    </row>
    <row r="674" spans="1:15">
      <c r="A674" s="2165">
        <v>39845</v>
      </c>
      <c r="B674" s="2163"/>
      <c r="C674" s="2524" t="s">
        <v>2660</v>
      </c>
      <c r="D674" s="2524"/>
      <c r="E674" s="2524"/>
      <c r="F674" s="2524"/>
      <c r="G674" s="2524"/>
      <c r="H674" s="2524"/>
      <c r="I674" s="2524"/>
      <c r="J674" s="2163"/>
      <c r="K674" s="2163"/>
      <c r="L674" s="2163"/>
      <c r="M674" s="2163"/>
    </row>
    <row r="675" spans="1:15">
      <c r="A675" s="2163"/>
      <c r="B675" s="2163"/>
      <c r="C675" s="2163"/>
      <c r="D675" s="2163"/>
      <c r="E675" s="2163"/>
      <c r="F675" s="2163"/>
      <c r="G675" s="2163"/>
      <c r="H675" s="2163"/>
      <c r="I675" s="2163"/>
      <c r="J675" s="2163"/>
      <c r="K675" s="2163"/>
      <c r="L675" s="2163"/>
      <c r="M675" s="2163"/>
    </row>
    <row r="676" spans="1:15">
      <c r="A676" s="2529"/>
      <c r="B676" s="2529"/>
      <c r="C676" s="2529"/>
      <c r="D676" s="2166"/>
      <c r="E676" s="2166"/>
      <c r="F676" s="2166"/>
      <c r="G676" s="2166"/>
      <c r="H676" s="2525"/>
      <c r="I676" s="2525"/>
      <c r="J676" s="2525"/>
      <c r="K676" s="2166"/>
      <c r="L676" s="2167"/>
      <c r="M676" s="2166"/>
    </row>
    <row r="677" spans="1:15">
      <c r="A677" s="2164"/>
      <c r="B677" s="2164"/>
      <c r="C677" s="2164"/>
      <c r="D677" s="2164"/>
      <c r="E677" s="2522" t="s">
        <v>2639</v>
      </c>
      <c r="F677" s="2522"/>
      <c r="G677" s="2164"/>
      <c r="H677" s="2523">
        <v>0</v>
      </c>
      <c r="I677" s="2523"/>
      <c r="J677" s="2523"/>
      <c r="K677" s="2163"/>
      <c r="L677" s="2523">
        <v>0</v>
      </c>
      <c r="M677" s="2163"/>
    </row>
    <row r="678" spans="1:15">
      <c r="A678" s="2164"/>
      <c r="B678" s="2164"/>
      <c r="C678" s="2164"/>
      <c r="D678" s="2164"/>
      <c r="E678" s="2164"/>
      <c r="F678" s="2164"/>
      <c r="G678" s="2164"/>
      <c r="H678" s="2523"/>
      <c r="I678" s="2523"/>
      <c r="J678" s="2523"/>
      <c r="K678" s="2163"/>
      <c r="L678" s="2523"/>
      <c r="M678" s="2163"/>
    </row>
    <row r="679" spans="1:15">
      <c r="A679" s="2160" t="s">
        <v>2680</v>
      </c>
      <c r="B679" s="2161"/>
      <c r="C679" s="2160" t="s">
        <v>2681</v>
      </c>
      <c r="D679" s="2161"/>
      <c r="E679" s="2160" t="s">
        <v>2640</v>
      </c>
      <c r="F679" s="2161"/>
    </row>
    <row r="680" spans="1:15">
      <c r="A680" s="2163"/>
      <c r="B680" s="2163"/>
      <c r="C680" s="2163"/>
      <c r="D680" s="2163"/>
      <c r="E680" s="2163"/>
      <c r="F680" s="2163"/>
      <c r="G680" s="2163"/>
      <c r="H680" s="2163"/>
      <c r="I680" s="2163"/>
      <c r="J680" s="2163"/>
      <c r="K680" s="2163"/>
      <c r="L680" s="2163"/>
      <c r="M680" s="2163"/>
    </row>
    <row r="681" spans="1:15">
      <c r="A681" s="2164"/>
      <c r="H681" s="2522" t="s">
        <v>2637</v>
      </c>
      <c r="I681" s="2522"/>
      <c r="J681" s="2163"/>
      <c r="K681" s="2523">
        <v>0</v>
      </c>
      <c r="L681" s="2523"/>
      <c r="M681" s="2163"/>
      <c r="N681" s="2527"/>
      <c r="O681" s="2163"/>
    </row>
    <row r="682" spans="1:15">
      <c r="H682" s="2163"/>
      <c r="I682" s="2163"/>
      <c r="J682" s="2163"/>
      <c r="K682" s="2523"/>
      <c r="L682" s="2523"/>
      <c r="N682" s="2527"/>
    </row>
    <row r="683" spans="1:15">
      <c r="A683" s="2165">
        <v>39350</v>
      </c>
      <c r="B683" s="2163"/>
      <c r="C683" s="2524" t="s">
        <v>2661</v>
      </c>
      <c r="D683" s="2524"/>
      <c r="E683" s="2524"/>
      <c r="F683" s="2524"/>
      <c r="G683" s="2524"/>
      <c r="H683" s="2524"/>
      <c r="I683" s="2524"/>
      <c r="J683" s="2163"/>
      <c r="K683" s="2163"/>
      <c r="L683" s="2163"/>
      <c r="M683" s="2163"/>
    </row>
    <row r="684" spans="1:15">
      <c r="A684" s="2163"/>
      <c r="B684" s="2163"/>
      <c r="C684" s="2163"/>
      <c r="D684" s="2163"/>
      <c r="E684" s="2163"/>
      <c r="F684" s="2163"/>
      <c r="G684" s="2163"/>
      <c r="H684" s="2163"/>
      <c r="I684" s="2163"/>
      <c r="J684" s="2163"/>
      <c r="K684" s="2163"/>
      <c r="L684" s="2163"/>
      <c r="M684" s="2163"/>
    </row>
    <row r="685" spans="1:15">
      <c r="A685" s="2529"/>
      <c r="B685" s="2529"/>
      <c r="C685" s="2529"/>
      <c r="D685" s="2166"/>
      <c r="E685" s="2166"/>
      <c r="F685" s="2166"/>
      <c r="G685" s="2166"/>
      <c r="H685" s="2525"/>
      <c r="I685" s="2525"/>
      <c r="J685" s="2525"/>
      <c r="K685" s="2166"/>
      <c r="L685" s="2167"/>
      <c r="M685" s="2166"/>
    </row>
    <row r="686" spans="1:15">
      <c r="A686" s="2164"/>
      <c r="B686" s="2164"/>
      <c r="C686" s="2164"/>
      <c r="D686" s="2164"/>
      <c r="E686" s="2522" t="s">
        <v>2639</v>
      </c>
      <c r="F686" s="2522"/>
      <c r="G686" s="2164"/>
      <c r="H686" s="2523">
        <v>0</v>
      </c>
      <c r="I686" s="2523"/>
      <c r="J686" s="2523"/>
      <c r="K686" s="2163"/>
      <c r="L686" s="2523">
        <v>0</v>
      </c>
      <c r="M686" s="2163"/>
    </row>
    <row r="687" spans="1:15">
      <c r="A687" s="2164"/>
      <c r="B687" s="2164"/>
      <c r="C687" s="2164"/>
      <c r="D687" s="2164"/>
      <c r="E687" s="2164"/>
      <c r="F687" s="2164"/>
      <c r="G687" s="2164"/>
      <c r="H687" s="2523"/>
      <c r="I687" s="2523"/>
      <c r="J687" s="2523"/>
      <c r="K687" s="2163"/>
      <c r="L687" s="2523"/>
      <c r="M687" s="2163"/>
    </row>
    <row r="688" spans="1:15">
      <c r="A688" s="2160" t="s">
        <v>2680</v>
      </c>
      <c r="B688" s="2161"/>
      <c r="C688" s="2160" t="s">
        <v>2681</v>
      </c>
      <c r="D688" s="2161"/>
      <c r="E688" s="2160" t="s">
        <v>2640</v>
      </c>
      <c r="F688" s="2161"/>
    </row>
    <row r="689" spans="1:15">
      <c r="A689" s="2163"/>
      <c r="B689" s="2163"/>
      <c r="C689" s="2163"/>
      <c r="D689" s="2163"/>
      <c r="E689" s="2163"/>
      <c r="F689" s="2163"/>
      <c r="G689" s="2163"/>
      <c r="H689" s="2163"/>
      <c r="I689" s="2163"/>
      <c r="J689" s="2163"/>
      <c r="K689" s="2163"/>
      <c r="L689" s="2163"/>
      <c r="M689" s="2163"/>
    </row>
    <row r="690" spans="1:15">
      <c r="A690" s="2164"/>
      <c r="H690" s="2522" t="s">
        <v>2637</v>
      </c>
      <c r="I690" s="2522"/>
      <c r="J690" s="2163"/>
      <c r="K690" s="2523">
        <v>0</v>
      </c>
      <c r="L690" s="2523"/>
      <c r="M690" s="2163"/>
      <c r="N690" s="2527"/>
      <c r="O690" s="2163"/>
    </row>
    <row r="691" spans="1:15">
      <c r="H691" s="2163"/>
      <c r="I691" s="2163"/>
      <c r="J691" s="2163"/>
      <c r="K691" s="2523"/>
      <c r="L691" s="2523"/>
      <c r="N691" s="2527"/>
    </row>
    <row r="692" spans="1:15">
      <c r="A692" s="2165">
        <v>46553</v>
      </c>
      <c r="B692" s="2163"/>
      <c r="C692" s="2524" t="s">
        <v>2662</v>
      </c>
      <c r="D692" s="2524"/>
      <c r="E692" s="2524"/>
      <c r="F692" s="2524"/>
      <c r="G692" s="2524"/>
      <c r="H692" s="2524"/>
      <c r="I692" s="2524"/>
      <c r="J692" s="2163"/>
      <c r="K692" s="2163"/>
      <c r="L692" s="2163"/>
      <c r="M692" s="2163"/>
    </row>
    <row r="693" spans="1:15">
      <c r="A693" s="2163"/>
      <c r="B693" s="2163"/>
      <c r="C693" s="2163"/>
      <c r="D693" s="2163"/>
      <c r="E693" s="2163"/>
      <c r="F693" s="2163"/>
      <c r="G693" s="2163"/>
      <c r="H693" s="2163"/>
      <c r="I693" s="2163"/>
      <c r="J693" s="2163"/>
      <c r="K693" s="2163"/>
      <c r="L693" s="2163"/>
      <c r="M693" s="2163"/>
    </row>
    <row r="694" spans="1:15">
      <c r="A694" s="2529"/>
      <c r="B694" s="2529"/>
      <c r="C694" s="2529"/>
      <c r="D694" s="2166"/>
      <c r="E694" s="2166"/>
      <c r="F694" s="2166"/>
      <c r="G694" s="2166"/>
      <c r="H694" s="2525"/>
      <c r="I694" s="2525"/>
      <c r="J694" s="2525"/>
      <c r="K694" s="2166"/>
      <c r="L694" s="2167"/>
      <c r="M694" s="2166"/>
    </row>
    <row r="695" spans="1:15">
      <c r="A695" s="2164"/>
      <c r="B695" s="2164"/>
      <c r="C695" s="2164"/>
      <c r="D695" s="2164"/>
      <c r="E695" s="2522" t="s">
        <v>2639</v>
      </c>
      <c r="F695" s="2522"/>
      <c r="G695" s="2164"/>
      <c r="H695" s="2523">
        <v>0</v>
      </c>
      <c r="I695" s="2523"/>
      <c r="J695" s="2523"/>
      <c r="K695" s="2163"/>
      <c r="L695" s="2523">
        <v>0</v>
      </c>
      <c r="M695" s="2163"/>
    </row>
    <row r="696" spans="1:15">
      <c r="A696" s="2164"/>
      <c r="B696" s="2164"/>
      <c r="C696" s="2164"/>
      <c r="D696" s="2164"/>
      <c r="E696" s="2164"/>
      <c r="F696" s="2164"/>
      <c r="G696" s="2164"/>
      <c r="H696" s="2523"/>
      <c r="I696" s="2523"/>
      <c r="J696" s="2523"/>
      <c r="K696" s="2163"/>
      <c r="L696" s="2523"/>
      <c r="M696" s="2163"/>
    </row>
    <row r="697" spans="1:15">
      <c r="A697" s="2160" t="s">
        <v>2680</v>
      </c>
      <c r="B697" s="2161"/>
      <c r="C697" s="2160" t="s">
        <v>2681</v>
      </c>
      <c r="D697" s="2161"/>
      <c r="E697" s="2160" t="s">
        <v>2640</v>
      </c>
      <c r="F697" s="2161"/>
    </row>
    <row r="698" spans="1:15">
      <c r="A698" s="2163"/>
      <c r="B698" s="2163"/>
      <c r="C698" s="2163"/>
      <c r="D698" s="2163"/>
      <c r="E698" s="2163"/>
      <c r="F698" s="2163"/>
      <c r="G698" s="2163"/>
      <c r="H698" s="2163"/>
      <c r="I698" s="2163"/>
      <c r="J698" s="2163"/>
      <c r="K698" s="2163"/>
      <c r="L698" s="2163"/>
      <c r="M698" s="2163"/>
    </row>
    <row r="699" spans="1:15">
      <c r="A699" s="2164"/>
      <c r="H699" s="2522" t="s">
        <v>2637</v>
      </c>
      <c r="I699" s="2522"/>
      <c r="J699" s="2163"/>
      <c r="K699" s="2523">
        <v>0</v>
      </c>
      <c r="L699" s="2523"/>
      <c r="M699" s="2163"/>
      <c r="N699" s="2527"/>
      <c r="O699" s="2163"/>
    </row>
    <row r="700" spans="1:15">
      <c r="H700" s="2163"/>
      <c r="I700" s="2163"/>
      <c r="J700" s="2163"/>
      <c r="K700" s="2523"/>
      <c r="L700" s="2523"/>
      <c r="N700" s="2527"/>
    </row>
    <row r="701" spans="1:15">
      <c r="A701" s="2165">
        <v>47667</v>
      </c>
      <c r="B701" s="2163"/>
      <c r="C701" s="2524" t="s">
        <v>2663</v>
      </c>
      <c r="D701" s="2524"/>
      <c r="E701" s="2524"/>
      <c r="F701" s="2524"/>
      <c r="G701" s="2524"/>
      <c r="H701" s="2524"/>
      <c r="I701" s="2524"/>
      <c r="J701" s="2163"/>
      <c r="K701" s="2163"/>
      <c r="L701" s="2163"/>
      <c r="M701" s="2163"/>
    </row>
    <row r="702" spans="1:15">
      <c r="A702" s="2163"/>
      <c r="B702" s="2163"/>
      <c r="C702" s="2163"/>
      <c r="D702" s="2163"/>
      <c r="E702" s="2163"/>
      <c r="F702" s="2163"/>
      <c r="G702" s="2163"/>
      <c r="H702" s="2163"/>
      <c r="I702" s="2163"/>
      <c r="J702" s="2163"/>
      <c r="K702" s="2163"/>
      <c r="L702" s="2163"/>
      <c r="M702" s="2163"/>
    </row>
    <row r="703" spans="1:15">
      <c r="A703" s="2529"/>
      <c r="B703" s="2529"/>
      <c r="C703" s="2529"/>
      <c r="D703" s="2166"/>
      <c r="E703" s="2166"/>
      <c r="F703" s="2166"/>
      <c r="G703" s="2166"/>
      <c r="H703" s="2525"/>
      <c r="I703" s="2525"/>
      <c r="J703" s="2525"/>
      <c r="K703" s="2166"/>
      <c r="L703" s="2167"/>
      <c r="M703" s="2166"/>
    </row>
    <row r="704" spans="1:15">
      <c r="A704" s="2164"/>
      <c r="B704" s="2164"/>
      <c r="C704" s="2164"/>
      <c r="D704" s="2164"/>
      <c r="E704" s="2522" t="s">
        <v>2639</v>
      </c>
      <c r="F704" s="2522"/>
      <c r="G704" s="2164"/>
      <c r="H704" s="2523">
        <v>0</v>
      </c>
      <c r="I704" s="2523"/>
      <c r="J704" s="2523"/>
      <c r="K704" s="2163"/>
      <c r="L704" s="2523">
        <v>0</v>
      </c>
      <c r="M704" s="2163"/>
    </row>
    <row r="705" spans="1:15">
      <c r="A705" s="2164"/>
      <c r="B705" s="2164"/>
      <c r="C705" s="2164"/>
      <c r="D705" s="2164"/>
      <c r="E705" s="2164"/>
      <c r="F705" s="2164"/>
      <c r="G705" s="2164"/>
      <c r="H705" s="2523"/>
      <c r="I705" s="2523"/>
      <c r="J705" s="2523"/>
      <c r="K705" s="2163"/>
      <c r="L705" s="2523"/>
      <c r="M705" s="2163"/>
    </row>
    <row r="706" spans="1:15">
      <c r="A706" s="2160" t="s">
        <v>2680</v>
      </c>
      <c r="B706" s="2161"/>
      <c r="C706" s="2160" t="s">
        <v>2681</v>
      </c>
      <c r="D706" s="2161"/>
      <c r="E706" s="2160" t="s">
        <v>2640</v>
      </c>
      <c r="F706" s="2161"/>
    </row>
    <row r="707" spans="1:15">
      <c r="A707" s="2163"/>
      <c r="B707" s="2163"/>
      <c r="C707" s="2163"/>
      <c r="D707" s="2163"/>
      <c r="E707" s="2163"/>
      <c r="F707" s="2163"/>
      <c r="G707" s="2163"/>
      <c r="H707" s="2163"/>
      <c r="I707" s="2163"/>
      <c r="J707" s="2163"/>
      <c r="K707" s="2163"/>
      <c r="L707" s="2163"/>
      <c r="M707" s="2163"/>
    </row>
    <row r="708" spans="1:15">
      <c r="A708" s="2164"/>
      <c r="H708" s="2522" t="s">
        <v>2637</v>
      </c>
      <c r="I708" s="2522"/>
      <c r="J708" s="2163"/>
      <c r="K708" s="2528">
        <v>834416.63740000001</v>
      </c>
      <c r="L708" s="2528"/>
      <c r="M708" s="2163"/>
      <c r="N708" s="2527" t="s">
        <v>2984</v>
      </c>
      <c r="O708" s="2163"/>
    </row>
    <row r="709" spans="1:15">
      <c r="H709" s="2163"/>
      <c r="I709" s="2163"/>
      <c r="J709" s="2163"/>
      <c r="K709" s="2528"/>
      <c r="L709" s="2528"/>
      <c r="N709" s="2527"/>
    </row>
    <row r="710" spans="1:15">
      <c r="A710" s="2165">
        <v>47948</v>
      </c>
      <c r="B710" s="2163"/>
      <c r="C710" s="2524" t="s">
        <v>2683</v>
      </c>
      <c r="D710" s="2524"/>
      <c r="E710" s="2524"/>
      <c r="F710" s="2524"/>
      <c r="G710" s="2524"/>
      <c r="H710" s="2524"/>
      <c r="I710" s="2524"/>
      <c r="J710" s="2163"/>
      <c r="K710" s="2163"/>
      <c r="L710" s="2163"/>
      <c r="M710" s="2163"/>
    </row>
    <row r="711" spans="1:15">
      <c r="A711" s="2163"/>
      <c r="B711" s="2163"/>
      <c r="C711" s="2163"/>
      <c r="D711" s="2163"/>
      <c r="E711" s="2163"/>
      <c r="F711" s="2163"/>
      <c r="G711" s="2163"/>
      <c r="H711" s="2163"/>
      <c r="I711" s="2163"/>
      <c r="J711" s="2163"/>
      <c r="K711" s="2163"/>
      <c r="L711" s="2163"/>
      <c r="M711" s="2163"/>
    </row>
    <row r="712" spans="1:15">
      <c r="A712" s="2520" t="s">
        <v>2645</v>
      </c>
      <c r="B712" s="2520"/>
      <c r="C712" s="2520"/>
      <c r="D712" s="2166"/>
      <c r="E712" s="2166"/>
      <c r="F712" s="2166"/>
      <c r="G712" s="2166"/>
      <c r="H712" s="2525"/>
      <c r="I712" s="2525"/>
      <c r="J712" s="2525"/>
      <c r="K712" s="2166"/>
      <c r="L712" s="2167"/>
      <c r="M712" s="2166"/>
    </row>
    <row r="713" spans="1:15">
      <c r="A713" s="2520" t="s">
        <v>2645</v>
      </c>
      <c r="B713" s="2520"/>
      <c r="C713" s="2520"/>
      <c r="D713" s="2166"/>
      <c r="E713" s="2166"/>
      <c r="F713" s="2166"/>
      <c r="G713" s="2166"/>
      <c r="H713" s="2526">
        <v>10113.512000000001</v>
      </c>
      <c r="I713" s="2526"/>
      <c r="J713" s="2526"/>
      <c r="K713" s="2166"/>
      <c r="L713" s="2168">
        <v>1020009.38</v>
      </c>
      <c r="M713" s="2166"/>
    </row>
    <row r="714" spans="1:15">
      <c r="A714" s="2164"/>
      <c r="B714" s="2164"/>
      <c r="C714" s="2164"/>
      <c r="D714" s="2164"/>
      <c r="E714" s="2522" t="s">
        <v>2639</v>
      </c>
      <c r="F714" s="2522"/>
      <c r="G714" s="2164"/>
      <c r="H714" s="2528">
        <v>844530.14939999999</v>
      </c>
      <c r="I714" s="2528"/>
      <c r="J714" s="2528"/>
      <c r="K714" s="2163"/>
      <c r="L714" s="2528">
        <v>85314266.790000007</v>
      </c>
      <c r="M714" s="2163"/>
    </row>
    <row r="715" spans="1:15">
      <c r="A715" s="2164"/>
      <c r="B715" s="2164"/>
      <c r="C715" s="2164"/>
      <c r="D715" s="2164"/>
      <c r="E715" s="2164"/>
      <c r="F715" s="2164"/>
      <c r="G715" s="2164"/>
      <c r="H715" s="2528"/>
      <c r="I715" s="2528"/>
      <c r="J715" s="2528"/>
      <c r="K715" s="2163"/>
      <c r="L715" s="2528"/>
      <c r="M715" s="2163"/>
    </row>
    <row r="716" spans="1:15">
      <c r="A716" s="2160" t="s">
        <v>2680</v>
      </c>
      <c r="B716" s="2161"/>
      <c r="C716" s="2160" t="s">
        <v>2681</v>
      </c>
      <c r="D716" s="2161"/>
      <c r="E716" s="2160" t="s">
        <v>2640</v>
      </c>
      <c r="F716" s="2161"/>
    </row>
    <row r="717" spans="1:15">
      <c r="A717" s="2163"/>
      <c r="B717" s="2163"/>
      <c r="C717" s="2163"/>
      <c r="D717" s="2163"/>
      <c r="E717" s="2163"/>
      <c r="F717" s="2163"/>
      <c r="G717" s="2163"/>
      <c r="H717" s="2163"/>
      <c r="I717" s="2163"/>
      <c r="J717" s="2163"/>
      <c r="K717" s="2163"/>
      <c r="L717" s="2163"/>
      <c r="M717" s="2163"/>
    </row>
    <row r="718" spans="1:15">
      <c r="A718" s="2164"/>
      <c r="H718" s="2522" t="s">
        <v>2637</v>
      </c>
      <c r="I718" s="2522"/>
      <c r="J718" s="2163"/>
      <c r="K718" s="2523">
        <v>0</v>
      </c>
      <c r="L718" s="2523"/>
      <c r="M718" s="2163"/>
      <c r="N718" s="2527"/>
      <c r="O718" s="2163"/>
    </row>
    <row r="719" spans="1:15">
      <c r="H719" s="2163"/>
      <c r="I719" s="2163"/>
      <c r="J719" s="2163"/>
      <c r="K719" s="2523"/>
      <c r="L719" s="2523"/>
      <c r="N719" s="2527"/>
    </row>
    <row r="720" spans="1:15">
      <c r="A720" s="2165">
        <v>48483</v>
      </c>
      <c r="B720" s="2163"/>
      <c r="C720" s="2524" t="s">
        <v>2664</v>
      </c>
      <c r="D720" s="2524"/>
      <c r="E720" s="2524"/>
      <c r="F720" s="2524"/>
      <c r="G720" s="2524"/>
      <c r="H720" s="2524"/>
      <c r="I720" s="2524"/>
      <c r="J720" s="2163"/>
      <c r="K720" s="2163"/>
      <c r="L720" s="2163"/>
      <c r="M720" s="2163"/>
    </row>
    <row r="721" spans="1:15">
      <c r="A721" s="2163"/>
      <c r="B721" s="2163"/>
      <c r="C721" s="2163"/>
      <c r="D721" s="2163"/>
      <c r="E721" s="2163"/>
      <c r="F721" s="2163"/>
      <c r="G721" s="2163"/>
      <c r="H721" s="2163"/>
      <c r="I721" s="2163"/>
      <c r="J721" s="2163"/>
      <c r="K721" s="2163"/>
      <c r="L721" s="2163"/>
      <c r="M721" s="2163"/>
    </row>
    <row r="722" spans="1:15">
      <c r="A722" s="2529"/>
      <c r="B722" s="2529"/>
      <c r="C722" s="2529"/>
      <c r="D722" s="2166"/>
      <c r="E722" s="2166"/>
      <c r="F722" s="2166"/>
      <c r="G722" s="2166"/>
      <c r="H722" s="2525"/>
      <c r="I722" s="2525"/>
      <c r="J722" s="2525"/>
      <c r="K722" s="2166"/>
      <c r="L722" s="2167"/>
      <c r="M722" s="2166"/>
    </row>
    <row r="723" spans="1:15">
      <c r="A723" s="2164"/>
      <c r="B723" s="2164"/>
      <c r="C723" s="2164"/>
      <c r="D723" s="2164"/>
      <c r="E723" s="2522" t="s">
        <v>2639</v>
      </c>
      <c r="F723" s="2522"/>
      <c r="G723" s="2164"/>
      <c r="H723" s="2523">
        <v>0</v>
      </c>
      <c r="I723" s="2523"/>
      <c r="J723" s="2523"/>
      <c r="K723" s="2163"/>
      <c r="L723" s="2523">
        <v>0</v>
      </c>
      <c r="M723" s="2163"/>
    </row>
    <row r="724" spans="1:15">
      <c r="A724" s="2164"/>
      <c r="B724" s="2164"/>
      <c r="C724" s="2164"/>
      <c r="D724" s="2164"/>
      <c r="E724" s="2164"/>
      <c r="F724" s="2164"/>
      <c r="G724" s="2164"/>
      <c r="H724" s="2523"/>
      <c r="I724" s="2523"/>
      <c r="J724" s="2523"/>
      <c r="K724" s="2163"/>
      <c r="L724" s="2523"/>
      <c r="M724" s="2163"/>
    </row>
    <row r="725" spans="1:15">
      <c r="A725" s="2160" t="s">
        <v>2680</v>
      </c>
      <c r="B725" s="2161"/>
      <c r="C725" s="2160" t="s">
        <v>2681</v>
      </c>
      <c r="D725" s="2161"/>
      <c r="E725" s="2160" t="s">
        <v>2640</v>
      </c>
      <c r="F725" s="2161"/>
    </row>
    <row r="726" spans="1:15">
      <c r="A726" s="2163"/>
      <c r="B726" s="2163"/>
      <c r="C726" s="2163"/>
      <c r="D726" s="2163"/>
      <c r="E726" s="2163"/>
      <c r="F726" s="2163"/>
      <c r="G726" s="2163"/>
      <c r="H726" s="2163"/>
      <c r="I726" s="2163"/>
      <c r="J726" s="2163"/>
      <c r="K726" s="2163"/>
      <c r="L726" s="2163"/>
      <c r="M726" s="2163"/>
    </row>
    <row r="727" spans="1:15">
      <c r="A727" s="2164"/>
      <c r="H727" s="2522" t="s">
        <v>2637</v>
      </c>
      <c r="I727" s="2522"/>
      <c r="J727" s="2163"/>
      <c r="K727" s="2523">
        <v>0</v>
      </c>
      <c r="L727" s="2523"/>
      <c r="M727" s="2163"/>
      <c r="N727" s="2527"/>
      <c r="O727" s="2163"/>
    </row>
    <row r="728" spans="1:15">
      <c r="H728" s="2163"/>
      <c r="I728" s="2163"/>
      <c r="J728" s="2163"/>
      <c r="K728" s="2523"/>
      <c r="L728" s="2523"/>
      <c r="N728" s="2527"/>
    </row>
    <row r="729" spans="1:15">
      <c r="A729" s="2165">
        <v>48589</v>
      </c>
      <c r="B729" s="2163"/>
      <c r="C729" s="2524" t="s">
        <v>2978</v>
      </c>
      <c r="D729" s="2524"/>
      <c r="E729" s="2524"/>
      <c r="F729" s="2524"/>
      <c r="G729" s="2524"/>
      <c r="H729" s="2524"/>
      <c r="I729" s="2524"/>
      <c r="J729" s="2163"/>
      <c r="K729" s="2163"/>
      <c r="L729" s="2163"/>
      <c r="M729" s="2163"/>
    </row>
    <row r="730" spans="1:15">
      <c r="A730" s="2163"/>
      <c r="B730" s="2163"/>
      <c r="C730" s="2163"/>
      <c r="D730" s="2163"/>
      <c r="E730" s="2163"/>
      <c r="F730" s="2163"/>
      <c r="G730" s="2163"/>
      <c r="H730" s="2163"/>
      <c r="I730" s="2163"/>
      <c r="J730" s="2163"/>
      <c r="K730" s="2163"/>
      <c r="L730" s="2163"/>
      <c r="M730" s="2163"/>
    </row>
    <row r="731" spans="1:15">
      <c r="A731" s="2529"/>
      <c r="B731" s="2529"/>
      <c r="C731" s="2529"/>
      <c r="D731" s="2166"/>
      <c r="E731" s="2166"/>
      <c r="F731" s="2166"/>
      <c r="G731" s="2166"/>
      <c r="H731" s="2525"/>
      <c r="I731" s="2525"/>
      <c r="J731" s="2525"/>
      <c r="K731" s="2166"/>
      <c r="L731" s="2167"/>
      <c r="M731" s="2166"/>
    </row>
    <row r="732" spans="1:15">
      <c r="A732" s="2164"/>
      <c r="B732" s="2164"/>
      <c r="C732" s="2164"/>
      <c r="D732" s="2164"/>
      <c r="E732" s="2522" t="s">
        <v>2639</v>
      </c>
      <c r="F732" s="2522"/>
      <c r="G732" s="2164"/>
      <c r="H732" s="2523">
        <v>0</v>
      </c>
      <c r="I732" s="2523"/>
      <c r="J732" s="2523"/>
      <c r="K732" s="2163"/>
      <c r="L732" s="2523">
        <v>0</v>
      </c>
      <c r="M732" s="2163"/>
    </row>
    <row r="733" spans="1:15">
      <c r="A733" s="2164"/>
      <c r="B733" s="2164"/>
      <c r="C733" s="2164"/>
      <c r="D733" s="2164"/>
      <c r="E733" s="2164"/>
      <c r="F733" s="2164"/>
      <c r="G733" s="2164"/>
      <c r="H733" s="2523"/>
      <c r="I733" s="2523"/>
      <c r="J733" s="2523"/>
      <c r="K733" s="2163"/>
      <c r="L733" s="2523"/>
      <c r="M733" s="2163"/>
    </row>
    <row r="734" spans="1:15">
      <c r="A734" s="2160" t="s">
        <v>2680</v>
      </c>
      <c r="B734" s="2161"/>
      <c r="C734" s="2160" t="s">
        <v>2681</v>
      </c>
      <c r="D734" s="2161"/>
      <c r="E734" s="2160" t="s">
        <v>2640</v>
      </c>
      <c r="F734" s="2161"/>
    </row>
    <row r="735" spans="1:15">
      <c r="A735" s="2163"/>
      <c r="B735" s="2163"/>
      <c r="C735" s="2163"/>
      <c r="D735" s="2163"/>
      <c r="E735" s="2163"/>
      <c r="F735" s="2163"/>
      <c r="G735" s="2163"/>
      <c r="H735" s="2163"/>
      <c r="I735" s="2163"/>
      <c r="J735" s="2163"/>
      <c r="K735" s="2163"/>
      <c r="L735" s="2163"/>
      <c r="M735" s="2163"/>
    </row>
    <row r="736" spans="1:15">
      <c r="A736" s="2164"/>
      <c r="H736" s="2522" t="s">
        <v>2637</v>
      </c>
      <c r="I736" s="2522"/>
      <c r="J736" s="2163"/>
      <c r="K736" s="2523">
        <v>57.265300000000003</v>
      </c>
      <c r="L736" s="2523"/>
      <c r="M736" s="2163"/>
      <c r="N736" s="2527" t="s">
        <v>2985</v>
      </c>
      <c r="O736" s="2163"/>
    </row>
    <row r="737" spans="1:15">
      <c r="H737" s="2163"/>
      <c r="I737" s="2163"/>
      <c r="J737" s="2163"/>
      <c r="K737" s="2523"/>
      <c r="L737" s="2523"/>
      <c r="N737" s="2527"/>
    </row>
    <row r="738" spans="1:15">
      <c r="A738" s="2165">
        <v>76594</v>
      </c>
      <c r="B738" s="2163"/>
      <c r="C738" s="2524" t="s">
        <v>2847</v>
      </c>
      <c r="D738" s="2524"/>
      <c r="E738" s="2524"/>
      <c r="F738" s="2524"/>
      <c r="G738" s="2524"/>
      <c r="H738" s="2524"/>
      <c r="I738" s="2524"/>
      <c r="J738" s="2163"/>
      <c r="K738" s="2163"/>
      <c r="L738" s="2163"/>
      <c r="M738" s="2163"/>
    </row>
    <row r="739" spans="1:15">
      <c r="A739" s="2163"/>
      <c r="B739" s="2163"/>
      <c r="C739" s="2163"/>
      <c r="D739" s="2163"/>
      <c r="E739" s="2163"/>
      <c r="F739" s="2163"/>
      <c r="G739" s="2163"/>
      <c r="H739" s="2163"/>
      <c r="I739" s="2163"/>
      <c r="J739" s="2163"/>
      <c r="K739" s="2163"/>
      <c r="L739" s="2163"/>
      <c r="M739" s="2163"/>
    </row>
    <row r="740" spans="1:15">
      <c r="A740" s="2520" t="s">
        <v>2645</v>
      </c>
      <c r="B740" s="2520"/>
      <c r="C740" s="2520"/>
      <c r="D740" s="2166"/>
      <c r="E740" s="2166"/>
      <c r="F740" s="2166"/>
      <c r="G740" s="2166"/>
      <c r="H740" s="2525"/>
      <c r="I740" s="2525"/>
      <c r="J740" s="2525"/>
      <c r="K740" s="2166"/>
      <c r="L740" s="2167"/>
      <c r="M740" s="2166"/>
    </row>
    <row r="741" spans="1:15">
      <c r="A741" s="2520" t="s">
        <v>2645</v>
      </c>
      <c r="B741" s="2520"/>
      <c r="C741" s="2520"/>
      <c r="D741" s="2166"/>
      <c r="E741" s="2166"/>
      <c r="F741" s="2166"/>
      <c r="G741" s="2166"/>
      <c r="H741" s="2525">
        <v>0.69699999999999995</v>
      </c>
      <c r="I741" s="2525"/>
      <c r="J741" s="2525"/>
      <c r="K741" s="2166"/>
      <c r="L741" s="2167">
        <v>70.28</v>
      </c>
      <c r="M741" s="2166"/>
    </row>
    <row r="742" spans="1:15">
      <c r="A742" s="2164"/>
      <c r="B742" s="2164"/>
      <c r="C742" s="2164"/>
      <c r="D742" s="2164"/>
      <c r="E742" s="2522" t="s">
        <v>2639</v>
      </c>
      <c r="F742" s="2522"/>
      <c r="G742" s="2164"/>
      <c r="H742" s="2523">
        <v>57.9621</v>
      </c>
      <c r="I742" s="2523"/>
      <c r="J742" s="2523"/>
      <c r="K742" s="2163"/>
      <c r="L742" s="2523">
        <v>5855.32</v>
      </c>
      <c r="M742" s="2163"/>
    </row>
    <row r="743" spans="1:15">
      <c r="A743" s="2164"/>
      <c r="B743" s="2164"/>
      <c r="C743" s="2164"/>
      <c r="D743" s="2164"/>
      <c r="E743" s="2164"/>
      <c r="F743" s="2164"/>
      <c r="G743" s="2164"/>
      <c r="H743" s="2523"/>
      <c r="I743" s="2523"/>
      <c r="J743" s="2523"/>
      <c r="K743" s="2163"/>
      <c r="L743" s="2523"/>
      <c r="M743" s="2163"/>
    </row>
    <row r="744" spans="1:15">
      <c r="A744" s="2160" t="s">
        <v>2680</v>
      </c>
      <c r="B744" s="2161"/>
      <c r="C744" s="2160" t="s">
        <v>2681</v>
      </c>
      <c r="D744" s="2161"/>
      <c r="E744" s="2160" t="s">
        <v>2640</v>
      </c>
      <c r="F744" s="2161"/>
    </row>
    <row r="745" spans="1:15">
      <c r="A745" s="2163"/>
      <c r="B745" s="2163"/>
      <c r="C745" s="2163"/>
      <c r="D745" s="2163"/>
      <c r="E745" s="2163"/>
      <c r="F745" s="2163"/>
      <c r="G745" s="2163"/>
      <c r="H745" s="2163"/>
      <c r="I745" s="2163"/>
      <c r="J745" s="2163"/>
      <c r="K745" s="2163"/>
      <c r="L745" s="2163"/>
      <c r="M745" s="2163"/>
    </row>
    <row r="746" spans="1:15">
      <c r="A746" s="2164"/>
      <c r="H746" s="2522" t="s">
        <v>2637</v>
      </c>
      <c r="I746" s="2522"/>
      <c r="J746" s="2163"/>
      <c r="K746" s="2523">
        <v>0</v>
      </c>
      <c r="L746" s="2523"/>
      <c r="M746" s="2163"/>
      <c r="N746" s="2527"/>
      <c r="O746" s="2163"/>
    </row>
    <row r="747" spans="1:15">
      <c r="H747" s="2163"/>
      <c r="I747" s="2163"/>
      <c r="J747" s="2163"/>
      <c r="K747" s="2523"/>
      <c r="L747" s="2523"/>
      <c r="N747" s="2527"/>
    </row>
    <row r="748" spans="1:15">
      <c r="A748" s="2165">
        <v>52093</v>
      </c>
      <c r="B748" s="2163"/>
      <c r="C748" s="2524" t="s">
        <v>2684</v>
      </c>
      <c r="D748" s="2524"/>
      <c r="E748" s="2524"/>
      <c r="F748" s="2524"/>
      <c r="G748" s="2524"/>
      <c r="H748" s="2524"/>
      <c r="I748" s="2524"/>
      <c r="J748" s="2163"/>
      <c r="K748" s="2163"/>
      <c r="L748" s="2163"/>
      <c r="M748" s="2163"/>
    </row>
    <row r="749" spans="1:15">
      <c r="A749" s="2163"/>
      <c r="B749" s="2163"/>
      <c r="C749" s="2163"/>
      <c r="D749" s="2163"/>
      <c r="E749" s="2163"/>
      <c r="F749" s="2163"/>
      <c r="G749" s="2163"/>
      <c r="H749" s="2163"/>
      <c r="I749" s="2163"/>
      <c r="J749" s="2163"/>
      <c r="K749" s="2163"/>
      <c r="L749" s="2163"/>
      <c r="M749" s="2163"/>
    </row>
    <row r="750" spans="1:15">
      <c r="A750" s="2529"/>
      <c r="B750" s="2529"/>
      <c r="C750" s="2529"/>
      <c r="D750" s="2166"/>
      <c r="E750" s="2166"/>
      <c r="F750" s="2166"/>
      <c r="G750" s="2166"/>
      <c r="H750" s="2525"/>
      <c r="I750" s="2525"/>
      <c r="J750" s="2525"/>
      <c r="K750" s="2166"/>
      <c r="L750" s="2167"/>
      <c r="M750" s="2166"/>
    </row>
    <row r="751" spans="1:15">
      <c r="A751" s="2164"/>
      <c r="B751" s="2164"/>
      <c r="C751" s="2164"/>
      <c r="D751" s="2164"/>
      <c r="E751" s="2522" t="s">
        <v>2639</v>
      </c>
      <c r="F751" s="2522"/>
      <c r="G751" s="2164"/>
      <c r="H751" s="2523">
        <v>0</v>
      </c>
      <c r="I751" s="2523"/>
      <c r="J751" s="2523"/>
      <c r="K751" s="2163"/>
      <c r="L751" s="2523">
        <v>0</v>
      </c>
      <c r="M751" s="2163"/>
    </row>
    <row r="752" spans="1:15">
      <c r="A752" s="2164"/>
      <c r="B752" s="2164"/>
      <c r="C752" s="2164"/>
      <c r="D752" s="2164"/>
      <c r="E752" s="2164"/>
      <c r="F752" s="2164"/>
      <c r="G752" s="2164"/>
      <c r="H752" s="2523"/>
      <c r="I752" s="2523"/>
      <c r="J752" s="2523"/>
      <c r="K752" s="2163"/>
      <c r="L752" s="2523"/>
      <c r="M752" s="2163"/>
    </row>
    <row r="753" spans="1:15">
      <c r="A753" s="2160" t="s">
        <v>2680</v>
      </c>
      <c r="B753" s="2161"/>
      <c r="C753" s="2160" t="s">
        <v>2681</v>
      </c>
      <c r="D753" s="2161"/>
      <c r="E753" s="2160" t="s">
        <v>2640</v>
      </c>
      <c r="F753" s="2161"/>
    </row>
    <row r="754" spans="1:15">
      <c r="A754" s="2163"/>
      <c r="B754" s="2163"/>
      <c r="C754" s="2163"/>
      <c r="D754" s="2163"/>
      <c r="E754" s="2163"/>
      <c r="F754" s="2163"/>
      <c r="G754" s="2163"/>
      <c r="H754" s="2163"/>
      <c r="I754" s="2163"/>
      <c r="J754" s="2163"/>
      <c r="K754" s="2163"/>
      <c r="L754" s="2163"/>
      <c r="M754" s="2163"/>
    </row>
    <row r="755" spans="1:15">
      <c r="A755" s="2164"/>
      <c r="H755" s="2522" t="s">
        <v>2637</v>
      </c>
      <c r="I755" s="2522"/>
      <c r="J755" s="2163"/>
      <c r="K755" s="2523">
        <v>0</v>
      </c>
      <c r="L755" s="2523"/>
      <c r="M755" s="2163"/>
      <c r="N755" s="2527"/>
      <c r="O755" s="2163"/>
    </row>
    <row r="756" spans="1:15">
      <c r="H756" s="2163"/>
      <c r="I756" s="2163"/>
      <c r="J756" s="2163"/>
      <c r="K756" s="2523"/>
      <c r="L756" s="2523"/>
      <c r="N756" s="2527"/>
    </row>
    <row r="757" spans="1:15">
      <c r="A757" s="2165">
        <v>54802</v>
      </c>
      <c r="B757" s="2163"/>
      <c r="C757" s="2524" t="s">
        <v>2666</v>
      </c>
      <c r="D757" s="2524"/>
      <c r="E757" s="2524"/>
      <c r="F757" s="2524"/>
      <c r="G757" s="2524"/>
      <c r="H757" s="2524"/>
      <c r="I757" s="2524"/>
      <c r="J757" s="2163"/>
      <c r="K757" s="2163"/>
      <c r="L757" s="2163"/>
      <c r="M757" s="2163"/>
    </row>
    <row r="758" spans="1:15">
      <c r="A758" s="2163"/>
      <c r="B758" s="2163"/>
      <c r="C758" s="2163"/>
      <c r="D758" s="2163"/>
      <c r="E758" s="2163"/>
      <c r="F758" s="2163"/>
      <c r="G758" s="2163"/>
      <c r="H758" s="2163"/>
      <c r="I758" s="2163"/>
      <c r="J758" s="2163"/>
      <c r="K758" s="2163"/>
      <c r="L758" s="2163"/>
      <c r="M758" s="2163"/>
    </row>
    <row r="759" spans="1:15">
      <c r="A759" s="2529"/>
      <c r="B759" s="2529"/>
      <c r="C759" s="2529"/>
      <c r="D759" s="2166"/>
      <c r="E759" s="2166"/>
      <c r="F759" s="2166"/>
      <c r="G759" s="2166"/>
      <c r="H759" s="2525"/>
      <c r="I759" s="2525"/>
      <c r="J759" s="2525"/>
      <c r="K759" s="2166"/>
      <c r="L759" s="2167"/>
      <c r="M759" s="2166"/>
    </row>
    <row r="760" spans="1:15">
      <c r="A760" s="2164"/>
      <c r="B760" s="2164"/>
      <c r="C760" s="2164"/>
      <c r="D760" s="2164"/>
      <c r="E760" s="2522" t="s">
        <v>2639</v>
      </c>
      <c r="F760" s="2522"/>
      <c r="G760" s="2164"/>
      <c r="H760" s="2523">
        <v>0</v>
      </c>
      <c r="I760" s="2523"/>
      <c r="J760" s="2523"/>
      <c r="K760" s="2163"/>
      <c r="L760" s="2523">
        <v>0</v>
      </c>
      <c r="M760" s="2163"/>
    </row>
    <row r="761" spans="1:15">
      <c r="A761" s="2164"/>
      <c r="B761" s="2164"/>
      <c r="C761" s="2164"/>
      <c r="D761" s="2164"/>
      <c r="E761" s="2164"/>
      <c r="F761" s="2164"/>
      <c r="G761" s="2164"/>
      <c r="H761" s="2523"/>
      <c r="I761" s="2523"/>
      <c r="J761" s="2523"/>
      <c r="K761" s="2163"/>
      <c r="L761" s="2523"/>
      <c r="M761" s="2163"/>
    </row>
    <row r="762" spans="1:15">
      <c r="A762" s="2160" t="s">
        <v>2680</v>
      </c>
      <c r="B762" s="2161"/>
      <c r="C762" s="2160" t="s">
        <v>2681</v>
      </c>
      <c r="D762" s="2161"/>
      <c r="E762" s="2160" t="s">
        <v>2640</v>
      </c>
      <c r="F762" s="2161"/>
    </row>
    <row r="763" spans="1:15">
      <c r="A763" s="2163"/>
      <c r="B763" s="2163"/>
      <c r="C763" s="2163"/>
      <c r="D763" s="2163"/>
      <c r="E763" s="2163"/>
      <c r="F763" s="2163"/>
      <c r="G763" s="2163"/>
      <c r="H763" s="2163"/>
      <c r="I763" s="2163"/>
      <c r="J763" s="2163"/>
      <c r="K763" s="2163"/>
      <c r="L763" s="2163"/>
      <c r="M763" s="2163"/>
    </row>
    <row r="764" spans="1:15">
      <c r="A764" s="2164"/>
      <c r="H764" s="2522" t="s">
        <v>2637</v>
      </c>
      <c r="I764" s="2522"/>
      <c r="J764" s="2163"/>
      <c r="K764" s="2523">
        <v>2.6694</v>
      </c>
      <c r="L764" s="2523"/>
      <c r="M764" s="2163"/>
      <c r="N764" s="2527" t="s">
        <v>2986</v>
      </c>
      <c r="O764" s="2163"/>
    </row>
    <row r="765" spans="1:15">
      <c r="H765" s="2163"/>
      <c r="I765" s="2163"/>
      <c r="J765" s="2163"/>
      <c r="K765" s="2523"/>
      <c r="L765" s="2523"/>
      <c r="N765" s="2527"/>
    </row>
    <row r="766" spans="1:15">
      <c r="A766" s="2165">
        <v>55863</v>
      </c>
      <c r="B766" s="2163"/>
      <c r="C766" s="2524" t="s">
        <v>2685</v>
      </c>
      <c r="D766" s="2524"/>
      <c r="E766" s="2524"/>
      <c r="F766" s="2524"/>
      <c r="G766" s="2524"/>
      <c r="H766" s="2524"/>
      <c r="I766" s="2524"/>
      <c r="J766" s="2163"/>
      <c r="K766" s="2163"/>
      <c r="L766" s="2163"/>
      <c r="M766" s="2163"/>
    </row>
    <row r="767" spans="1:15">
      <c r="A767" s="2163"/>
      <c r="B767" s="2163"/>
      <c r="C767" s="2163"/>
      <c r="D767" s="2163"/>
      <c r="E767" s="2163"/>
      <c r="F767" s="2163"/>
      <c r="G767" s="2163"/>
      <c r="H767" s="2163"/>
      <c r="I767" s="2163"/>
      <c r="J767" s="2163"/>
      <c r="K767" s="2163"/>
      <c r="L767" s="2163"/>
      <c r="M767" s="2163"/>
    </row>
    <row r="768" spans="1:15">
      <c r="A768" s="2520" t="s">
        <v>2645</v>
      </c>
      <c r="B768" s="2520"/>
      <c r="C768" s="2520"/>
      <c r="D768" s="2166"/>
      <c r="E768" s="2166"/>
      <c r="F768" s="2166"/>
      <c r="G768" s="2166"/>
      <c r="H768" s="2525"/>
      <c r="I768" s="2525"/>
      <c r="J768" s="2525"/>
      <c r="K768" s="2166"/>
      <c r="L768" s="2167"/>
      <c r="M768" s="2166"/>
    </row>
    <row r="769" spans="1:15">
      <c r="A769" s="2520" t="s">
        <v>2645</v>
      </c>
      <c r="B769" s="2520"/>
      <c r="C769" s="2520"/>
      <c r="D769" s="2166"/>
      <c r="E769" s="2166"/>
      <c r="F769" s="2166"/>
      <c r="G769" s="2166"/>
      <c r="H769" s="2525">
        <v>3.2000000000000001E-2</v>
      </c>
      <c r="I769" s="2525"/>
      <c r="J769" s="2525"/>
      <c r="K769" s="2166"/>
      <c r="L769" s="2167">
        <v>3.26</v>
      </c>
      <c r="M769" s="2166"/>
    </row>
    <row r="770" spans="1:15">
      <c r="A770" s="2164"/>
      <c r="B770" s="2164"/>
      <c r="C770" s="2164"/>
      <c r="D770" s="2164"/>
      <c r="E770" s="2522" t="s">
        <v>2639</v>
      </c>
      <c r="F770" s="2522"/>
      <c r="G770" s="2164"/>
      <c r="H770" s="2523">
        <v>2.7017000000000002</v>
      </c>
      <c r="I770" s="2523"/>
      <c r="J770" s="2523"/>
      <c r="K770" s="2163"/>
      <c r="L770" s="2523">
        <v>272.93</v>
      </c>
      <c r="M770" s="2163"/>
    </row>
    <row r="771" spans="1:15">
      <c r="A771" s="2164"/>
      <c r="B771" s="2164"/>
      <c r="C771" s="2164"/>
      <c r="D771" s="2164"/>
      <c r="E771" s="2164"/>
      <c r="F771" s="2164"/>
      <c r="G771" s="2164"/>
      <c r="H771" s="2523"/>
      <c r="I771" s="2523"/>
      <c r="J771" s="2523"/>
      <c r="K771" s="2163"/>
      <c r="L771" s="2523"/>
      <c r="M771" s="2163"/>
    </row>
    <row r="772" spans="1:15">
      <c r="A772" s="2160" t="s">
        <v>2680</v>
      </c>
      <c r="B772" s="2161"/>
      <c r="C772" s="2160" t="s">
        <v>2681</v>
      </c>
      <c r="D772" s="2161"/>
      <c r="E772" s="2160" t="s">
        <v>2640</v>
      </c>
      <c r="F772" s="2161"/>
    </row>
    <row r="773" spans="1:15">
      <c r="A773" s="2163"/>
      <c r="B773" s="2163"/>
      <c r="C773" s="2163"/>
      <c r="D773" s="2163"/>
      <c r="E773" s="2163"/>
      <c r="F773" s="2163"/>
      <c r="G773" s="2163"/>
      <c r="H773" s="2163"/>
      <c r="I773" s="2163"/>
      <c r="J773" s="2163"/>
      <c r="K773" s="2163"/>
      <c r="L773" s="2163"/>
      <c r="M773" s="2163"/>
    </row>
    <row r="774" spans="1:15">
      <c r="A774" s="2164"/>
      <c r="H774" s="2522" t="s">
        <v>2637</v>
      </c>
      <c r="I774" s="2522"/>
      <c r="J774" s="2163"/>
      <c r="K774" s="2528">
        <v>103984.8778</v>
      </c>
      <c r="L774" s="2528"/>
      <c r="M774" s="2163"/>
      <c r="N774" s="2527" t="s">
        <v>2987</v>
      </c>
      <c r="O774" s="2163"/>
    </row>
    <row r="775" spans="1:15">
      <c r="H775" s="2163"/>
      <c r="I775" s="2163"/>
      <c r="J775" s="2163"/>
      <c r="K775" s="2528"/>
      <c r="L775" s="2528"/>
      <c r="N775" s="2527"/>
    </row>
    <row r="776" spans="1:15">
      <c r="A776" s="2165">
        <v>56386</v>
      </c>
      <c r="B776" s="2163"/>
      <c r="C776" s="2524" t="s">
        <v>2667</v>
      </c>
      <c r="D776" s="2524"/>
      <c r="E776" s="2524"/>
      <c r="F776" s="2524"/>
      <c r="G776" s="2524"/>
      <c r="H776" s="2524"/>
      <c r="I776" s="2524"/>
      <c r="J776" s="2163"/>
      <c r="K776" s="2163"/>
      <c r="L776" s="2163"/>
      <c r="M776" s="2163"/>
    </row>
    <row r="777" spans="1:15">
      <c r="A777" s="2163"/>
      <c r="B777" s="2163"/>
      <c r="C777" s="2163"/>
      <c r="D777" s="2163"/>
      <c r="E777" s="2163"/>
      <c r="F777" s="2163"/>
      <c r="G777" s="2163"/>
      <c r="H777" s="2163"/>
      <c r="I777" s="2163"/>
      <c r="J777" s="2163"/>
      <c r="K777" s="2163"/>
      <c r="L777" s="2163"/>
      <c r="M777" s="2163"/>
    </row>
    <row r="778" spans="1:15">
      <c r="A778" s="2520" t="s">
        <v>2645</v>
      </c>
      <c r="B778" s="2520"/>
      <c r="C778" s="2520"/>
      <c r="D778" s="2166"/>
      <c r="E778" s="2166"/>
      <c r="F778" s="2166"/>
      <c r="G778" s="2166"/>
      <c r="H778" s="2525"/>
      <c r="I778" s="2525"/>
      <c r="J778" s="2525"/>
      <c r="K778" s="2166"/>
      <c r="L778" s="2167"/>
      <c r="M778" s="2166"/>
    </row>
    <row r="779" spans="1:15">
      <c r="A779" s="2520" t="s">
        <v>2645</v>
      </c>
      <c r="B779" s="2520"/>
      <c r="C779" s="2520"/>
      <c r="D779" s="2166"/>
      <c r="E779" s="2166"/>
      <c r="F779" s="2166"/>
      <c r="G779" s="2166"/>
      <c r="H779" s="2526">
        <v>1484.0619999999999</v>
      </c>
      <c r="I779" s="2526"/>
      <c r="J779" s="2526"/>
      <c r="K779" s="2166"/>
      <c r="L779" s="2168">
        <v>149676.71</v>
      </c>
      <c r="M779" s="2166"/>
    </row>
    <row r="780" spans="1:15">
      <c r="A780" s="2164"/>
      <c r="B780" s="2164"/>
      <c r="C780" s="2164"/>
      <c r="D780" s="2164"/>
      <c r="E780" s="2522" t="s">
        <v>2639</v>
      </c>
      <c r="F780" s="2522"/>
      <c r="G780" s="2164"/>
      <c r="H780" s="2528">
        <v>105468.93979999999</v>
      </c>
      <c r="I780" s="2528"/>
      <c r="J780" s="2528"/>
      <c r="K780" s="2163"/>
      <c r="L780" s="2528">
        <v>10654451.199999999</v>
      </c>
      <c r="M780" s="2163"/>
    </row>
    <row r="781" spans="1:15">
      <c r="A781" s="2164"/>
      <c r="B781" s="2164"/>
      <c r="C781" s="2164"/>
      <c r="D781" s="2164"/>
      <c r="E781" s="2164"/>
      <c r="F781" s="2164"/>
      <c r="G781" s="2164"/>
      <c r="H781" s="2528"/>
      <c r="I781" s="2528"/>
      <c r="J781" s="2528"/>
      <c r="K781" s="2163"/>
      <c r="L781" s="2528"/>
      <c r="M781" s="2163"/>
    </row>
    <row r="782" spans="1:15">
      <c r="A782" s="2160" t="s">
        <v>2680</v>
      </c>
      <c r="B782" s="2161"/>
      <c r="C782" s="2160" t="s">
        <v>2681</v>
      </c>
      <c r="D782" s="2161"/>
      <c r="E782" s="2160" t="s">
        <v>2640</v>
      </c>
      <c r="F782" s="2161"/>
    </row>
    <row r="783" spans="1:15">
      <c r="A783" s="2163"/>
      <c r="B783" s="2163"/>
      <c r="C783" s="2163"/>
      <c r="D783" s="2163"/>
      <c r="E783" s="2163"/>
      <c r="F783" s="2163"/>
      <c r="G783" s="2163"/>
      <c r="H783" s="2163"/>
      <c r="I783" s="2163"/>
      <c r="J783" s="2163"/>
      <c r="K783" s="2163"/>
      <c r="L783" s="2163"/>
      <c r="M783" s="2163"/>
    </row>
    <row r="784" spans="1:15">
      <c r="A784" s="2164"/>
      <c r="H784" s="2522" t="s">
        <v>2637</v>
      </c>
      <c r="I784" s="2522"/>
      <c r="J784" s="2163"/>
      <c r="K784" s="2528">
        <v>4517330.8036000002</v>
      </c>
      <c r="L784" s="2528"/>
      <c r="M784" s="2163"/>
      <c r="N784" s="2527" t="s">
        <v>2988</v>
      </c>
      <c r="O784" s="2163"/>
    </row>
    <row r="785" spans="1:15">
      <c r="H785" s="2163"/>
      <c r="I785" s="2163"/>
      <c r="J785" s="2163"/>
      <c r="K785" s="2528"/>
      <c r="L785" s="2528"/>
      <c r="N785" s="2527"/>
    </row>
    <row r="786" spans="1:15">
      <c r="A786" s="2165">
        <v>56965</v>
      </c>
      <c r="B786" s="2163"/>
      <c r="C786" s="2524" t="s">
        <v>2678</v>
      </c>
      <c r="D786" s="2524"/>
      <c r="E786" s="2524"/>
      <c r="F786" s="2524"/>
      <c r="G786" s="2524"/>
      <c r="H786" s="2524"/>
      <c r="I786" s="2524"/>
      <c r="J786" s="2163"/>
      <c r="K786" s="2163"/>
      <c r="L786" s="2163"/>
      <c r="M786" s="2163"/>
    </row>
    <row r="787" spans="1:15">
      <c r="A787" s="2163"/>
      <c r="B787" s="2163"/>
      <c r="C787" s="2163"/>
      <c r="D787" s="2163"/>
      <c r="E787" s="2163"/>
      <c r="F787" s="2163"/>
      <c r="G787" s="2163"/>
      <c r="H787" s="2163"/>
      <c r="I787" s="2163"/>
      <c r="J787" s="2163"/>
      <c r="K787" s="2163"/>
      <c r="L787" s="2163"/>
      <c r="M787" s="2163"/>
    </row>
    <row r="788" spans="1:15">
      <c r="A788" s="2520" t="s">
        <v>2645</v>
      </c>
      <c r="B788" s="2520"/>
      <c r="C788" s="2520"/>
      <c r="D788" s="2166"/>
      <c r="E788" s="2166"/>
      <c r="F788" s="2166"/>
      <c r="G788" s="2166"/>
      <c r="H788" s="2525"/>
      <c r="I788" s="2525"/>
      <c r="J788" s="2525"/>
      <c r="K788" s="2166"/>
      <c r="L788" s="2167"/>
      <c r="M788" s="2166"/>
    </row>
    <row r="789" spans="1:15">
      <c r="A789" s="2520" t="s">
        <v>2645</v>
      </c>
      <c r="B789" s="2520"/>
      <c r="C789" s="2520"/>
      <c r="D789" s="2166"/>
      <c r="E789" s="2166"/>
      <c r="F789" s="2166"/>
      <c r="G789" s="2166"/>
      <c r="H789" s="2526">
        <v>46677.156999999999</v>
      </c>
      <c r="I789" s="2526"/>
      <c r="J789" s="2526"/>
      <c r="K789" s="2166"/>
      <c r="L789" s="2168">
        <v>4707676</v>
      </c>
      <c r="M789" s="2166"/>
    </row>
    <row r="790" spans="1:15">
      <c r="A790" s="2520" t="s">
        <v>2679</v>
      </c>
      <c r="B790" s="2520"/>
      <c r="C790" s="2520"/>
      <c r="D790" s="2166"/>
      <c r="E790" s="2166"/>
      <c r="F790" s="2166"/>
      <c r="G790" s="2166"/>
      <c r="H790" s="2526">
        <v>-3962679.628</v>
      </c>
      <c r="I790" s="2526"/>
      <c r="J790" s="2526"/>
      <c r="K790" s="2166"/>
      <c r="L790" s="2168">
        <v>-400000000</v>
      </c>
      <c r="M790" s="2166"/>
    </row>
    <row r="791" spans="1:15">
      <c r="A791" s="2164"/>
      <c r="B791" s="2164"/>
      <c r="C791" s="2164"/>
      <c r="D791" s="2164"/>
      <c r="E791" s="2522" t="s">
        <v>2639</v>
      </c>
      <c r="F791" s="2522"/>
      <c r="G791" s="2164"/>
      <c r="H791" s="2528">
        <v>601328.33290000004</v>
      </c>
      <c r="I791" s="2528"/>
      <c r="J791" s="2528"/>
      <c r="K791" s="2163"/>
      <c r="L791" s="2528">
        <v>60746067.93</v>
      </c>
      <c r="M791" s="2163"/>
    </row>
    <row r="792" spans="1:15">
      <c r="A792" s="2164"/>
      <c r="B792" s="2164"/>
      <c r="C792" s="2164"/>
      <c r="D792" s="2164"/>
      <c r="E792" s="2164"/>
      <c r="F792" s="2164"/>
      <c r="G792" s="2164"/>
      <c r="H792" s="2528"/>
      <c r="I792" s="2528"/>
      <c r="J792" s="2528"/>
      <c r="K792" s="2163"/>
      <c r="L792" s="2528"/>
      <c r="M792" s="2163"/>
    </row>
    <row r="793" spans="1:15">
      <c r="A793" s="2160" t="s">
        <v>2680</v>
      </c>
      <c r="B793" s="2161"/>
      <c r="C793" s="2160" t="s">
        <v>2681</v>
      </c>
      <c r="D793" s="2161"/>
      <c r="E793" s="2160" t="s">
        <v>2640</v>
      </c>
      <c r="F793" s="2161"/>
    </row>
    <row r="794" spans="1:15">
      <c r="A794" s="2163"/>
      <c r="B794" s="2163"/>
      <c r="C794" s="2163"/>
      <c r="D794" s="2163"/>
      <c r="E794" s="2163"/>
      <c r="F794" s="2163"/>
      <c r="G794" s="2163"/>
      <c r="H794" s="2163"/>
      <c r="I794" s="2163"/>
      <c r="J794" s="2163"/>
      <c r="K794" s="2163"/>
      <c r="L794" s="2163"/>
      <c r="M794" s="2163"/>
    </row>
    <row r="795" spans="1:15">
      <c r="A795" s="2164"/>
      <c r="H795" s="2522" t="s">
        <v>2637</v>
      </c>
      <c r="I795" s="2522"/>
      <c r="J795" s="2163"/>
      <c r="K795" s="2523">
        <v>0</v>
      </c>
      <c r="L795" s="2523"/>
      <c r="M795" s="2163"/>
      <c r="N795" s="2527"/>
      <c r="O795" s="2163"/>
    </row>
    <row r="796" spans="1:15">
      <c r="H796" s="2163"/>
      <c r="I796" s="2163"/>
      <c r="J796" s="2163"/>
      <c r="K796" s="2523"/>
      <c r="L796" s="2523"/>
      <c r="N796" s="2527"/>
    </row>
    <row r="797" spans="1:15">
      <c r="A797" s="2165">
        <v>60098</v>
      </c>
      <c r="B797" s="2163"/>
      <c r="C797" s="2524" t="s">
        <v>2686</v>
      </c>
      <c r="D797" s="2524"/>
      <c r="E797" s="2524"/>
      <c r="F797" s="2524"/>
      <c r="G797" s="2524"/>
      <c r="H797" s="2524"/>
      <c r="I797" s="2524"/>
      <c r="J797" s="2163"/>
      <c r="K797" s="2163"/>
      <c r="L797" s="2163"/>
      <c r="M797" s="2163"/>
    </row>
    <row r="798" spans="1:15">
      <c r="A798" s="2163"/>
      <c r="B798" s="2163"/>
      <c r="C798" s="2163"/>
      <c r="D798" s="2163"/>
      <c r="E798" s="2163"/>
      <c r="F798" s="2163"/>
      <c r="G798" s="2163"/>
      <c r="H798" s="2163"/>
      <c r="I798" s="2163"/>
      <c r="J798" s="2163"/>
      <c r="K798" s="2163"/>
      <c r="L798" s="2163"/>
      <c r="M798" s="2163"/>
    </row>
    <row r="799" spans="1:15">
      <c r="A799" s="2529"/>
      <c r="B799" s="2529"/>
      <c r="C799" s="2529"/>
      <c r="D799" s="2166"/>
      <c r="E799" s="2166"/>
      <c r="F799" s="2166"/>
      <c r="G799" s="2166"/>
      <c r="H799" s="2525"/>
      <c r="I799" s="2525"/>
      <c r="J799" s="2525"/>
      <c r="K799" s="2166"/>
      <c r="L799" s="2167"/>
      <c r="M799" s="2166"/>
    </row>
    <row r="800" spans="1:15">
      <c r="A800" s="2164"/>
      <c r="B800" s="2164"/>
      <c r="C800" s="2164"/>
      <c r="D800" s="2164"/>
      <c r="E800" s="2522" t="s">
        <v>2639</v>
      </c>
      <c r="F800" s="2522"/>
      <c r="G800" s="2164"/>
      <c r="H800" s="2523">
        <v>0</v>
      </c>
      <c r="I800" s="2523"/>
      <c r="J800" s="2523"/>
      <c r="K800" s="2163"/>
      <c r="L800" s="2523">
        <v>0</v>
      </c>
      <c r="M800" s="2163"/>
    </row>
    <row r="801" spans="1:15">
      <c r="A801" s="2164"/>
      <c r="B801" s="2164"/>
      <c r="C801" s="2164"/>
      <c r="D801" s="2164"/>
      <c r="E801" s="2164"/>
      <c r="F801" s="2164"/>
      <c r="G801" s="2164"/>
      <c r="H801" s="2523"/>
      <c r="I801" s="2523"/>
      <c r="J801" s="2523"/>
      <c r="K801" s="2163"/>
      <c r="L801" s="2523"/>
      <c r="M801" s="2163"/>
    </row>
    <row r="802" spans="1:15">
      <c r="A802" s="2160" t="s">
        <v>2680</v>
      </c>
      <c r="B802" s="2161"/>
      <c r="C802" s="2160" t="s">
        <v>2681</v>
      </c>
      <c r="D802" s="2161"/>
      <c r="E802" s="2160" t="s">
        <v>2640</v>
      </c>
      <c r="F802" s="2161"/>
    </row>
    <row r="803" spans="1:15">
      <c r="A803" s="2163"/>
      <c r="B803" s="2163"/>
      <c r="C803" s="2163"/>
      <c r="D803" s="2163"/>
      <c r="E803" s="2163"/>
      <c r="F803" s="2163"/>
      <c r="G803" s="2163"/>
      <c r="H803" s="2163"/>
      <c r="I803" s="2163"/>
      <c r="J803" s="2163"/>
      <c r="K803" s="2163"/>
      <c r="L803" s="2163"/>
      <c r="M803" s="2163"/>
    </row>
    <row r="804" spans="1:15">
      <c r="A804" s="2164"/>
      <c r="H804" s="2522" t="s">
        <v>2637</v>
      </c>
      <c r="I804" s="2522"/>
      <c r="J804" s="2163"/>
      <c r="K804" s="2528">
        <v>267293.98930000002</v>
      </c>
      <c r="L804" s="2528"/>
      <c r="M804" s="2163"/>
      <c r="N804" s="2527" t="s">
        <v>2989</v>
      </c>
      <c r="O804" s="2163"/>
    </row>
    <row r="805" spans="1:15">
      <c r="H805" s="2163"/>
      <c r="I805" s="2163"/>
      <c r="J805" s="2163"/>
      <c r="K805" s="2528"/>
      <c r="L805" s="2528"/>
      <c r="N805" s="2527"/>
    </row>
    <row r="806" spans="1:15">
      <c r="A806" s="2165">
        <v>66113</v>
      </c>
      <c r="B806" s="2163"/>
      <c r="C806" s="2524" t="s">
        <v>2669</v>
      </c>
      <c r="D806" s="2524"/>
      <c r="E806" s="2524"/>
      <c r="F806" s="2524"/>
      <c r="G806" s="2524"/>
      <c r="H806" s="2524"/>
      <c r="I806" s="2524"/>
      <c r="J806" s="2163"/>
      <c r="K806" s="2163"/>
      <c r="L806" s="2163"/>
      <c r="M806" s="2163"/>
    </row>
    <row r="807" spans="1:15">
      <c r="A807" s="2163"/>
      <c r="B807" s="2163"/>
      <c r="C807" s="2163"/>
      <c r="D807" s="2163"/>
      <c r="E807" s="2163"/>
      <c r="F807" s="2163"/>
      <c r="G807" s="2163"/>
      <c r="H807" s="2163"/>
      <c r="I807" s="2163"/>
      <c r="J807" s="2163"/>
      <c r="K807" s="2163"/>
      <c r="L807" s="2163"/>
      <c r="M807" s="2163"/>
    </row>
    <row r="808" spans="1:15">
      <c r="A808" s="2520" t="s">
        <v>2648</v>
      </c>
      <c r="B808" s="2520"/>
      <c r="C808" s="2520"/>
      <c r="D808" s="2166"/>
      <c r="E808" s="2166"/>
      <c r="F808" s="2166"/>
      <c r="G808" s="2166"/>
      <c r="H808" s="2526">
        <v>-77571.346000000005</v>
      </c>
      <c r="I808" s="2526"/>
      <c r="J808" s="2526"/>
      <c r="K808" s="2166"/>
      <c r="L808" s="2168">
        <v>-7827958.2400000002</v>
      </c>
      <c r="M808" s="2166"/>
    </row>
    <row r="809" spans="1:15">
      <c r="A809" s="2520" t="s">
        <v>2645</v>
      </c>
      <c r="B809" s="2520"/>
      <c r="C809" s="2520"/>
      <c r="D809" s="2166"/>
      <c r="E809" s="2166"/>
      <c r="F809" s="2166"/>
      <c r="G809" s="2166"/>
      <c r="H809" s="2525"/>
      <c r="I809" s="2525"/>
      <c r="J809" s="2525"/>
      <c r="K809" s="2166"/>
      <c r="L809" s="2167"/>
      <c r="M809" s="2166"/>
    </row>
    <row r="810" spans="1:15">
      <c r="A810" s="2520" t="s">
        <v>2645</v>
      </c>
      <c r="B810" s="2520"/>
      <c r="C810" s="2520"/>
      <c r="D810" s="2166"/>
      <c r="E810" s="2166"/>
      <c r="F810" s="2166"/>
      <c r="G810" s="2166"/>
      <c r="H810" s="2526">
        <v>3452.6089999999999</v>
      </c>
      <c r="I810" s="2526"/>
      <c r="J810" s="2526"/>
      <c r="K810" s="2166"/>
      <c r="L810" s="2168">
        <v>348216.7</v>
      </c>
      <c r="M810" s="2166"/>
    </row>
    <row r="811" spans="1:15">
      <c r="A811" s="2164"/>
      <c r="B811" s="2164"/>
      <c r="C811" s="2164"/>
      <c r="D811" s="2164"/>
      <c r="E811" s="2522" t="s">
        <v>2639</v>
      </c>
      <c r="F811" s="2522"/>
      <c r="G811" s="2164"/>
      <c r="H811" s="2528">
        <v>193175.25229999999</v>
      </c>
      <c r="I811" s="2528"/>
      <c r="J811" s="2528"/>
      <c r="K811" s="2163"/>
      <c r="L811" s="2528">
        <v>19514525.359999999</v>
      </c>
      <c r="M811" s="2163"/>
    </row>
    <row r="812" spans="1:15">
      <c r="A812" s="2164"/>
      <c r="B812" s="2164"/>
      <c r="C812" s="2164"/>
      <c r="D812" s="2164"/>
      <c r="E812" s="2164"/>
      <c r="F812" s="2164"/>
      <c r="G812" s="2164"/>
      <c r="H812" s="2528"/>
      <c r="I812" s="2528"/>
      <c r="J812" s="2528"/>
      <c r="K812" s="2163"/>
      <c r="L812" s="2528"/>
      <c r="M812" s="2163"/>
    </row>
    <row r="813" spans="1:15">
      <c r="A813" s="2160" t="s">
        <v>2680</v>
      </c>
      <c r="B813" s="2161"/>
      <c r="C813" s="2160" t="s">
        <v>2681</v>
      </c>
      <c r="D813" s="2161"/>
      <c r="E813" s="2160" t="s">
        <v>2640</v>
      </c>
      <c r="F813" s="2161"/>
    </row>
    <row r="814" spans="1:15">
      <c r="A814" s="2163"/>
      <c r="B814" s="2163"/>
      <c r="C814" s="2163"/>
      <c r="D814" s="2163"/>
      <c r="E814" s="2163"/>
      <c r="F814" s="2163"/>
      <c r="G814" s="2163"/>
      <c r="H814" s="2163"/>
      <c r="I814" s="2163"/>
      <c r="J814" s="2163"/>
      <c r="K814" s="2163"/>
      <c r="L814" s="2163"/>
      <c r="M814" s="2163"/>
    </row>
    <row r="815" spans="1:15">
      <c r="A815" s="2164"/>
      <c r="H815" s="2522" t="s">
        <v>2637</v>
      </c>
      <c r="I815" s="2522"/>
      <c r="J815" s="2163"/>
      <c r="K815" s="2528">
        <v>534502.76859999995</v>
      </c>
      <c r="L815" s="2528"/>
      <c r="M815" s="2163"/>
      <c r="N815" s="2527" t="s">
        <v>2990</v>
      </c>
      <c r="O815" s="2163"/>
    </row>
    <row r="816" spans="1:15">
      <c r="H816" s="2163"/>
      <c r="I816" s="2163"/>
      <c r="J816" s="2163"/>
      <c r="K816" s="2528"/>
      <c r="L816" s="2528"/>
      <c r="N816" s="2527"/>
    </row>
    <row r="817" spans="1:15">
      <c r="A817" s="2165">
        <v>66112</v>
      </c>
      <c r="B817" s="2163"/>
      <c r="C817" s="2524" t="s">
        <v>2670</v>
      </c>
      <c r="D817" s="2524"/>
      <c r="E817" s="2524"/>
      <c r="F817" s="2524"/>
      <c r="G817" s="2524"/>
      <c r="H817" s="2524"/>
      <c r="I817" s="2524"/>
      <c r="J817" s="2163"/>
      <c r="K817" s="2163"/>
      <c r="L817" s="2163"/>
      <c r="M817" s="2163"/>
    </row>
    <row r="818" spans="1:15">
      <c r="A818" s="2163"/>
      <c r="B818" s="2163"/>
      <c r="C818" s="2163"/>
      <c r="D818" s="2163"/>
      <c r="E818" s="2163"/>
      <c r="F818" s="2163"/>
      <c r="G818" s="2163"/>
      <c r="H818" s="2163"/>
      <c r="I818" s="2163"/>
      <c r="J818" s="2163"/>
      <c r="K818" s="2163"/>
      <c r="L818" s="2163"/>
      <c r="M818" s="2163"/>
    </row>
    <row r="819" spans="1:15">
      <c r="A819" s="2520" t="s">
        <v>2648</v>
      </c>
      <c r="B819" s="2520"/>
      <c r="C819" s="2520"/>
      <c r="D819" s="2166"/>
      <c r="E819" s="2166"/>
      <c r="F819" s="2166"/>
      <c r="G819" s="2166"/>
      <c r="H819" s="2526">
        <v>-155375.85500000001</v>
      </c>
      <c r="I819" s="2526"/>
      <c r="J819" s="2526"/>
      <c r="K819" s="2166"/>
      <c r="L819" s="2168">
        <v>-15679464.560000001</v>
      </c>
      <c r="M819" s="2166"/>
    </row>
    <row r="820" spans="1:15">
      <c r="A820" s="2520" t="s">
        <v>2645</v>
      </c>
      <c r="B820" s="2520"/>
      <c r="C820" s="2520"/>
      <c r="D820" s="2166"/>
      <c r="E820" s="2166"/>
      <c r="F820" s="2166"/>
      <c r="G820" s="2166"/>
      <c r="H820" s="2525"/>
      <c r="I820" s="2525"/>
      <c r="J820" s="2525"/>
      <c r="K820" s="2166"/>
      <c r="L820" s="2167"/>
      <c r="M820" s="2166"/>
    </row>
    <row r="821" spans="1:15">
      <c r="A821" s="2520" t="s">
        <v>2645</v>
      </c>
      <c r="B821" s="2520"/>
      <c r="C821" s="2520"/>
      <c r="D821" s="2166"/>
      <c r="E821" s="2166"/>
      <c r="F821" s="2166"/>
      <c r="G821" s="2166"/>
      <c r="H821" s="2526">
        <v>6900.9279999999999</v>
      </c>
      <c r="I821" s="2526"/>
      <c r="J821" s="2526"/>
      <c r="K821" s="2166"/>
      <c r="L821" s="2168">
        <v>696000.7</v>
      </c>
      <c r="M821" s="2166"/>
    </row>
    <row r="822" spans="1:15">
      <c r="A822" s="2164"/>
      <c r="B822" s="2164"/>
      <c r="C822" s="2164"/>
      <c r="D822" s="2164"/>
      <c r="E822" s="2522" t="s">
        <v>2639</v>
      </c>
      <c r="F822" s="2522"/>
      <c r="G822" s="2164"/>
      <c r="H822" s="2528">
        <v>386027.84139999998</v>
      </c>
      <c r="I822" s="2528"/>
      <c r="J822" s="2528"/>
      <c r="K822" s="2163"/>
      <c r="L822" s="2528">
        <v>38996455.329999998</v>
      </c>
      <c r="M822" s="2163"/>
    </row>
    <row r="823" spans="1:15">
      <c r="A823" s="2164"/>
      <c r="B823" s="2164"/>
      <c r="C823" s="2164"/>
      <c r="D823" s="2164"/>
      <c r="E823" s="2164"/>
      <c r="F823" s="2164"/>
      <c r="G823" s="2164"/>
      <c r="H823" s="2528"/>
      <c r="I823" s="2528"/>
      <c r="J823" s="2528"/>
      <c r="K823" s="2163"/>
      <c r="L823" s="2528"/>
      <c r="M823" s="2163"/>
    </row>
    <row r="824" spans="1:15">
      <c r="A824" s="2160" t="s">
        <v>2680</v>
      </c>
      <c r="B824" s="2161"/>
      <c r="C824" s="2160" t="s">
        <v>2681</v>
      </c>
      <c r="D824" s="2161"/>
      <c r="E824" s="2160" t="s">
        <v>2640</v>
      </c>
      <c r="F824" s="2161"/>
    </row>
    <row r="825" spans="1:15">
      <c r="A825" s="2163"/>
      <c r="B825" s="2163"/>
      <c r="C825" s="2163"/>
      <c r="D825" s="2163"/>
      <c r="E825" s="2163"/>
      <c r="F825" s="2163"/>
      <c r="G825" s="2163"/>
      <c r="H825" s="2163"/>
      <c r="I825" s="2163"/>
      <c r="J825" s="2163"/>
      <c r="K825" s="2163"/>
      <c r="L825" s="2163"/>
      <c r="M825" s="2163"/>
    </row>
    <row r="826" spans="1:15">
      <c r="A826" s="2164"/>
      <c r="H826" s="2522" t="s">
        <v>2637</v>
      </c>
      <c r="I826" s="2522"/>
      <c r="J826" s="2163"/>
      <c r="K826" s="2523">
        <v>0</v>
      </c>
      <c r="L826" s="2523"/>
      <c r="M826" s="2163"/>
      <c r="N826" s="2527"/>
      <c r="O826" s="2163"/>
    </row>
    <row r="827" spans="1:15">
      <c r="H827" s="2163"/>
      <c r="I827" s="2163"/>
      <c r="J827" s="2163"/>
      <c r="K827" s="2523"/>
      <c r="L827" s="2523"/>
      <c r="N827" s="2527"/>
    </row>
    <row r="828" spans="1:15">
      <c r="A828" s="2165">
        <v>66489</v>
      </c>
      <c r="B828" s="2163"/>
      <c r="C828" s="2524" t="s">
        <v>2687</v>
      </c>
      <c r="D828" s="2524"/>
      <c r="E828" s="2524"/>
      <c r="F828" s="2524"/>
      <c r="G828" s="2524"/>
      <c r="H828" s="2524"/>
      <c r="I828" s="2524"/>
      <c r="J828" s="2163"/>
      <c r="K828" s="2163"/>
      <c r="L828" s="2163"/>
      <c r="M828" s="2163"/>
    </row>
    <row r="829" spans="1:15">
      <c r="A829" s="2163"/>
      <c r="B829" s="2163"/>
      <c r="C829" s="2163"/>
      <c r="D829" s="2163"/>
      <c r="E829" s="2163"/>
      <c r="F829" s="2163"/>
      <c r="G829" s="2163"/>
      <c r="H829" s="2163"/>
      <c r="I829" s="2163"/>
      <c r="J829" s="2163"/>
      <c r="K829" s="2163"/>
      <c r="L829" s="2163"/>
      <c r="M829" s="2163"/>
    </row>
    <row r="830" spans="1:15">
      <c r="A830" s="2529"/>
      <c r="B830" s="2529"/>
      <c r="C830" s="2529"/>
      <c r="D830" s="2166"/>
      <c r="E830" s="2166"/>
      <c r="F830" s="2166"/>
      <c r="G830" s="2166"/>
      <c r="H830" s="2525"/>
      <c r="I830" s="2525"/>
      <c r="J830" s="2525"/>
      <c r="K830" s="2166"/>
      <c r="L830" s="2167"/>
      <c r="M830" s="2166"/>
    </row>
    <row r="831" spans="1:15">
      <c r="A831" s="2164"/>
      <c r="B831" s="2164"/>
      <c r="C831" s="2164"/>
      <c r="D831" s="2164"/>
      <c r="E831" s="2522" t="s">
        <v>2639</v>
      </c>
      <c r="F831" s="2522"/>
      <c r="G831" s="2164"/>
      <c r="H831" s="2523">
        <v>0</v>
      </c>
      <c r="I831" s="2523"/>
      <c r="J831" s="2523"/>
      <c r="K831" s="2163"/>
      <c r="L831" s="2523">
        <v>0</v>
      </c>
      <c r="M831" s="2163"/>
    </row>
    <row r="832" spans="1:15">
      <c r="A832" s="2164"/>
      <c r="B832" s="2164"/>
      <c r="C832" s="2164"/>
      <c r="D832" s="2164"/>
      <c r="E832" s="2164"/>
      <c r="F832" s="2164"/>
      <c r="G832" s="2164"/>
      <c r="H832" s="2523"/>
      <c r="I832" s="2523"/>
      <c r="J832" s="2523"/>
      <c r="K832" s="2163"/>
      <c r="L832" s="2523"/>
      <c r="M832" s="2163"/>
    </row>
    <row r="833" spans="1:15">
      <c r="A833" s="2160" t="s">
        <v>2680</v>
      </c>
      <c r="B833" s="2161"/>
      <c r="C833" s="2160" t="s">
        <v>2681</v>
      </c>
      <c r="D833" s="2161"/>
      <c r="E833" s="2160" t="s">
        <v>2640</v>
      </c>
      <c r="F833" s="2161"/>
    </row>
    <row r="834" spans="1:15">
      <c r="A834" s="2163"/>
      <c r="B834" s="2163"/>
      <c r="C834" s="2163"/>
      <c r="D834" s="2163"/>
      <c r="E834" s="2163"/>
      <c r="F834" s="2163"/>
      <c r="G834" s="2163"/>
      <c r="H834" s="2163"/>
      <c r="I834" s="2163"/>
      <c r="J834" s="2163"/>
      <c r="K834" s="2163"/>
      <c r="L834" s="2163"/>
      <c r="M834" s="2163"/>
    </row>
    <row r="835" spans="1:15">
      <c r="A835" s="2164"/>
      <c r="H835" s="2522" t="s">
        <v>2637</v>
      </c>
      <c r="I835" s="2522"/>
      <c r="J835" s="2163"/>
      <c r="K835" s="2528">
        <v>5653.8045000000002</v>
      </c>
      <c r="L835" s="2528"/>
      <c r="M835" s="2163"/>
      <c r="N835" s="2527" t="s">
        <v>2991</v>
      </c>
      <c r="O835" s="2163"/>
    </row>
    <row r="836" spans="1:15">
      <c r="H836" s="2163"/>
      <c r="I836" s="2163"/>
      <c r="J836" s="2163"/>
      <c r="K836" s="2528"/>
      <c r="L836" s="2528"/>
      <c r="N836" s="2527"/>
    </row>
    <row r="837" spans="1:15">
      <c r="A837" s="2165">
        <v>81732</v>
      </c>
      <c r="B837" s="2163"/>
      <c r="C837" s="2524" t="s">
        <v>2992</v>
      </c>
      <c r="D837" s="2524"/>
      <c r="E837" s="2524"/>
      <c r="F837" s="2524"/>
      <c r="G837" s="2524"/>
      <c r="H837" s="2524"/>
      <c r="I837" s="2524"/>
      <c r="J837" s="2163"/>
      <c r="K837" s="2163"/>
      <c r="L837" s="2163"/>
      <c r="M837" s="2163"/>
    </row>
    <row r="838" spans="1:15">
      <c r="A838" s="2163"/>
      <c r="B838" s="2163"/>
      <c r="C838" s="2163"/>
      <c r="D838" s="2163"/>
      <c r="E838" s="2163"/>
      <c r="F838" s="2163"/>
      <c r="G838" s="2163"/>
      <c r="H838" s="2163"/>
      <c r="I838" s="2163"/>
      <c r="J838" s="2163"/>
      <c r="K838" s="2163"/>
      <c r="L838" s="2163"/>
      <c r="M838" s="2163"/>
    </row>
    <row r="839" spans="1:15">
      <c r="A839" s="2520" t="s">
        <v>2645</v>
      </c>
      <c r="B839" s="2520"/>
      <c r="C839" s="2520"/>
      <c r="D839" s="2166"/>
      <c r="E839" s="2166"/>
      <c r="F839" s="2166"/>
      <c r="G839" s="2166"/>
      <c r="H839" s="2525"/>
      <c r="I839" s="2525"/>
      <c r="J839" s="2525"/>
      <c r="K839" s="2166"/>
      <c r="L839" s="2167"/>
      <c r="M839" s="2166"/>
    </row>
    <row r="840" spans="1:15">
      <c r="A840" s="2520" t="s">
        <v>2645</v>
      </c>
      <c r="B840" s="2520"/>
      <c r="C840" s="2520"/>
      <c r="D840" s="2166"/>
      <c r="E840" s="2166"/>
      <c r="F840" s="2166"/>
      <c r="G840" s="2166"/>
      <c r="H840" s="2525">
        <v>68.533000000000001</v>
      </c>
      <c r="I840" s="2525"/>
      <c r="J840" s="2525"/>
      <c r="K840" s="2166"/>
      <c r="L840" s="2168">
        <v>6911.99</v>
      </c>
      <c r="M840" s="2166"/>
    </row>
    <row r="841" spans="1:15">
      <c r="A841" s="2164"/>
      <c r="B841" s="2164"/>
      <c r="C841" s="2164"/>
      <c r="D841" s="2164"/>
      <c r="E841" s="2522" t="s">
        <v>2639</v>
      </c>
      <c r="F841" s="2522"/>
      <c r="G841" s="2164"/>
      <c r="H841" s="2528">
        <v>5722.3377</v>
      </c>
      <c r="I841" s="2528"/>
      <c r="J841" s="2528"/>
      <c r="K841" s="2163"/>
      <c r="L841" s="2528">
        <v>578069.41</v>
      </c>
      <c r="M841" s="2163"/>
    </row>
    <row r="842" spans="1:15">
      <c r="A842" s="2164"/>
      <c r="B842" s="2164"/>
      <c r="C842" s="2164"/>
      <c r="D842" s="2164"/>
      <c r="E842" s="2164"/>
      <c r="F842" s="2164"/>
      <c r="G842" s="2164"/>
      <c r="H842" s="2528"/>
      <c r="I842" s="2528"/>
      <c r="J842" s="2528"/>
      <c r="K842" s="2163"/>
      <c r="L842" s="2528"/>
      <c r="M842" s="2163"/>
    </row>
    <row r="843" spans="1:15">
      <c r="A843" s="2160" t="s">
        <v>2680</v>
      </c>
      <c r="B843" s="2161"/>
      <c r="C843" s="2160" t="s">
        <v>2681</v>
      </c>
      <c r="D843" s="2161"/>
      <c r="E843" s="2160" t="s">
        <v>2640</v>
      </c>
      <c r="F843" s="2161"/>
    </row>
    <row r="844" spans="1:15">
      <c r="A844" s="2163"/>
      <c r="B844" s="2163"/>
      <c r="C844" s="2163"/>
      <c r="D844" s="2163"/>
      <c r="E844" s="2163"/>
      <c r="F844" s="2163"/>
      <c r="G844" s="2163"/>
      <c r="H844" s="2163"/>
      <c r="I844" s="2163"/>
      <c r="J844" s="2163"/>
      <c r="K844" s="2163"/>
      <c r="L844" s="2163"/>
      <c r="M844" s="2163"/>
    </row>
    <row r="845" spans="1:15">
      <c r="A845" s="2164"/>
      <c r="H845" s="2522" t="s">
        <v>2637</v>
      </c>
      <c r="I845" s="2522"/>
      <c r="J845" s="2163"/>
      <c r="K845" s="2528">
        <v>22187.667399999998</v>
      </c>
      <c r="L845" s="2528"/>
      <c r="M845" s="2163"/>
      <c r="N845" s="2527" t="s">
        <v>2993</v>
      </c>
      <c r="O845" s="2163"/>
    </row>
    <row r="846" spans="1:15">
      <c r="H846" s="2163"/>
      <c r="I846" s="2163"/>
      <c r="J846" s="2163"/>
      <c r="K846" s="2528"/>
      <c r="L846" s="2528"/>
      <c r="N846" s="2527"/>
    </row>
    <row r="847" spans="1:15">
      <c r="A847" s="2165">
        <v>85738</v>
      </c>
      <c r="B847" s="2163"/>
      <c r="C847" s="2524" t="s">
        <v>2848</v>
      </c>
      <c r="D847" s="2524"/>
      <c r="E847" s="2524"/>
      <c r="F847" s="2524"/>
      <c r="G847" s="2524"/>
      <c r="H847" s="2524"/>
      <c r="I847" s="2524"/>
      <c r="J847" s="2163"/>
      <c r="K847" s="2163"/>
      <c r="L847" s="2163"/>
      <c r="M847" s="2163"/>
    </row>
    <row r="848" spans="1:15">
      <c r="A848" s="2163"/>
      <c r="B848" s="2163"/>
      <c r="C848" s="2163"/>
      <c r="D848" s="2163"/>
      <c r="E848" s="2163"/>
      <c r="F848" s="2163"/>
      <c r="G848" s="2163"/>
      <c r="H848" s="2163"/>
      <c r="I848" s="2163"/>
      <c r="J848" s="2163"/>
      <c r="K848" s="2163"/>
      <c r="L848" s="2163"/>
      <c r="M848" s="2163"/>
    </row>
    <row r="849" spans="1:15">
      <c r="A849" s="2520" t="s">
        <v>2645</v>
      </c>
      <c r="B849" s="2520"/>
      <c r="C849" s="2520"/>
      <c r="D849" s="2166"/>
      <c r="E849" s="2166"/>
      <c r="F849" s="2166"/>
      <c r="G849" s="2166"/>
      <c r="H849" s="2525"/>
      <c r="I849" s="2525"/>
      <c r="J849" s="2525"/>
      <c r="K849" s="2166"/>
      <c r="L849" s="2167"/>
      <c r="M849" s="2166"/>
    </row>
    <row r="850" spans="1:15">
      <c r="A850" s="2520" t="s">
        <v>2645</v>
      </c>
      <c r="B850" s="2520"/>
      <c r="C850" s="2520"/>
      <c r="D850" s="2166"/>
      <c r="E850" s="2166"/>
      <c r="F850" s="2166"/>
      <c r="G850" s="2166"/>
      <c r="H850" s="2525">
        <v>316.661</v>
      </c>
      <c r="I850" s="2525"/>
      <c r="J850" s="2525"/>
      <c r="K850" s="2166"/>
      <c r="L850" s="2168">
        <v>31937.17</v>
      </c>
      <c r="M850" s="2166"/>
    </row>
    <row r="851" spans="1:15">
      <c r="A851" s="2164"/>
      <c r="B851" s="2164"/>
      <c r="C851" s="2164"/>
      <c r="D851" s="2164"/>
      <c r="E851" s="2522" t="s">
        <v>2639</v>
      </c>
      <c r="F851" s="2522"/>
      <c r="G851" s="2164"/>
      <c r="H851" s="2528">
        <v>22504.3282</v>
      </c>
      <c r="I851" s="2528"/>
      <c r="J851" s="2528"/>
      <c r="K851" s="2163"/>
      <c r="L851" s="2528">
        <v>2273382.73</v>
      </c>
      <c r="M851" s="2163"/>
    </row>
    <row r="852" spans="1:15">
      <c r="A852" s="2164"/>
      <c r="B852" s="2164"/>
      <c r="C852" s="2164"/>
      <c r="D852" s="2164"/>
      <c r="E852" s="2164"/>
      <c r="F852" s="2164"/>
      <c r="G852" s="2164"/>
      <c r="H852" s="2528"/>
      <c r="I852" s="2528"/>
      <c r="J852" s="2528"/>
      <c r="K852" s="2163"/>
      <c r="L852" s="2528"/>
      <c r="M852" s="2163"/>
    </row>
    <row r="853" spans="1:15">
      <c r="A853" s="2160" t="s">
        <v>2680</v>
      </c>
      <c r="B853" s="2161"/>
      <c r="C853" s="2160" t="s">
        <v>2681</v>
      </c>
      <c r="D853" s="2161"/>
      <c r="E853" s="2160" t="s">
        <v>2640</v>
      </c>
      <c r="F853" s="2161"/>
    </row>
    <row r="854" spans="1:15">
      <c r="A854" s="2163"/>
      <c r="B854" s="2163"/>
      <c r="C854" s="2163"/>
      <c r="D854" s="2163"/>
      <c r="E854" s="2163"/>
      <c r="F854" s="2163"/>
      <c r="G854" s="2163"/>
      <c r="H854" s="2163"/>
      <c r="I854" s="2163"/>
      <c r="J854" s="2163"/>
      <c r="K854" s="2163"/>
      <c r="L854" s="2163"/>
      <c r="M854" s="2163"/>
    </row>
    <row r="855" spans="1:15">
      <c r="A855" s="2164"/>
      <c r="H855" s="2522" t="s">
        <v>2637</v>
      </c>
      <c r="I855" s="2522"/>
      <c r="J855" s="2163"/>
      <c r="K855" s="2528">
        <v>5361706.2948000003</v>
      </c>
      <c r="L855" s="2528"/>
      <c r="M855" s="2163"/>
      <c r="N855" s="2527" t="s">
        <v>2994</v>
      </c>
      <c r="O855" s="2163"/>
    </row>
    <row r="856" spans="1:15">
      <c r="H856" s="2163"/>
      <c r="I856" s="2163"/>
      <c r="J856" s="2163"/>
      <c r="K856" s="2528"/>
      <c r="L856" s="2528"/>
      <c r="N856" s="2527"/>
    </row>
    <row r="857" spans="1:15">
      <c r="A857" s="2165">
        <v>89200</v>
      </c>
      <c r="B857" s="2163"/>
      <c r="C857" s="2524" t="s">
        <v>2849</v>
      </c>
      <c r="D857" s="2524"/>
      <c r="E857" s="2524"/>
      <c r="F857" s="2524"/>
      <c r="G857" s="2524"/>
      <c r="H857" s="2524"/>
      <c r="I857" s="2524"/>
      <c r="J857" s="2163"/>
      <c r="K857" s="2163"/>
      <c r="L857" s="2163"/>
      <c r="M857" s="2163"/>
    </row>
    <row r="858" spans="1:15">
      <c r="A858" s="2163"/>
      <c r="B858" s="2163"/>
      <c r="C858" s="2163"/>
      <c r="D858" s="2163"/>
      <c r="E858" s="2163"/>
      <c r="F858" s="2163"/>
      <c r="G858" s="2163"/>
      <c r="H858" s="2163"/>
      <c r="I858" s="2163"/>
      <c r="J858" s="2163"/>
      <c r="K858" s="2163"/>
      <c r="L858" s="2163"/>
      <c r="M858" s="2163"/>
    </row>
    <row r="859" spans="1:15">
      <c r="A859" s="2520" t="s">
        <v>2645</v>
      </c>
      <c r="B859" s="2520"/>
      <c r="C859" s="2520"/>
      <c r="D859" s="2166"/>
      <c r="E859" s="2166"/>
      <c r="F859" s="2166"/>
      <c r="G859" s="2166"/>
      <c r="H859" s="2525"/>
      <c r="I859" s="2525"/>
      <c r="J859" s="2525"/>
      <c r="K859" s="2166"/>
      <c r="L859" s="2167"/>
      <c r="M859" s="2166"/>
    </row>
    <row r="860" spans="1:15">
      <c r="A860" s="2520" t="s">
        <v>2645</v>
      </c>
      <c r="B860" s="2520"/>
      <c r="C860" s="2520"/>
      <c r="D860" s="2166"/>
      <c r="E860" s="2166"/>
      <c r="F860" s="2166"/>
      <c r="G860" s="2166"/>
      <c r="H860" s="2526">
        <v>64986.356</v>
      </c>
      <c r="I860" s="2526"/>
      <c r="J860" s="2526"/>
      <c r="K860" s="2166"/>
      <c r="L860" s="2168">
        <v>6554270.4100000001</v>
      </c>
      <c r="M860" s="2166"/>
    </row>
    <row r="861" spans="1:15">
      <c r="A861" s="2164"/>
      <c r="B861" s="2164"/>
      <c r="C861" s="2164"/>
      <c r="D861" s="2164"/>
      <c r="E861" s="2522" t="s">
        <v>2639</v>
      </c>
      <c r="F861" s="2522"/>
      <c r="G861" s="2164"/>
      <c r="H861" s="2528">
        <v>5426692.6507000001</v>
      </c>
      <c r="I861" s="2528"/>
      <c r="J861" s="2528"/>
      <c r="K861" s="2163"/>
      <c r="L861" s="2528">
        <v>548203406.24000001</v>
      </c>
      <c r="M861" s="2163"/>
    </row>
    <row r="862" spans="1:15">
      <c r="A862" s="2164"/>
      <c r="B862" s="2164"/>
      <c r="C862" s="2164"/>
      <c r="D862" s="2164"/>
      <c r="E862" s="2164"/>
      <c r="F862" s="2164"/>
      <c r="G862" s="2164"/>
      <c r="H862" s="2528"/>
      <c r="I862" s="2528"/>
      <c r="J862" s="2528"/>
      <c r="K862" s="2163"/>
      <c r="L862" s="2528"/>
      <c r="M862" s="2163"/>
    </row>
    <row r="863" spans="1:15">
      <c r="A863" s="2160" t="s">
        <v>2680</v>
      </c>
      <c r="B863" s="2161"/>
      <c r="C863" s="2160" t="s">
        <v>2681</v>
      </c>
      <c r="D863" s="2161"/>
      <c r="E863" s="2160" t="s">
        <v>2640</v>
      </c>
      <c r="F863" s="2161"/>
    </row>
    <row r="864" spans="1:15">
      <c r="A864" s="2163"/>
      <c r="B864" s="2163"/>
      <c r="C864" s="2163"/>
      <c r="D864" s="2163"/>
      <c r="E864" s="2163"/>
      <c r="F864" s="2163"/>
      <c r="G864" s="2163"/>
      <c r="H864" s="2163"/>
      <c r="I864" s="2163"/>
      <c r="J864" s="2163"/>
      <c r="K864" s="2163"/>
      <c r="L864" s="2163"/>
      <c r="M864" s="2163"/>
    </row>
    <row r="865" spans="1:15">
      <c r="A865" s="2164"/>
      <c r="H865" s="2522" t="s">
        <v>2637</v>
      </c>
      <c r="I865" s="2522"/>
      <c r="J865" s="2163"/>
      <c r="K865" s="2528">
        <v>5339972.3147999998</v>
      </c>
      <c r="L865" s="2528"/>
      <c r="M865" s="2163"/>
      <c r="N865" s="2527" t="s">
        <v>2995</v>
      </c>
      <c r="O865" s="2163"/>
    </row>
    <row r="866" spans="1:15">
      <c r="H866" s="2163"/>
      <c r="I866" s="2163"/>
      <c r="J866" s="2163"/>
      <c r="K866" s="2528"/>
      <c r="L866" s="2528"/>
      <c r="N866" s="2527"/>
    </row>
    <row r="867" spans="1:15">
      <c r="A867" s="2165">
        <v>90321</v>
      </c>
      <c r="B867" s="2163"/>
      <c r="C867" s="2524" t="s">
        <v>2996</v>
      </c>
      <c r="D867" s="2524"/>
      <c r="E867" s="2524"/>
      <c r="F867" s="2524"/>
      <c r="G867" s="2524"/>
      <c r="H867" s="2524"/>
      <c r="I867" s="2524"/>
      <c r="J867" s="2163"/>
      <c r="K867" s="2163"/>
      <c r="L867" s="2163"/>
      <c r="M867" s="2163"/>
    </row>
    <row r="868" spans="1:15">
      <c r="A868" s="2163"/>
      <c r="B868" s="2163"/>
      <c r="C868" s="2163"/>
      <c r="D868" s="2163"/>
      <c r="E868" s="2163"/>
      <c r="F868" s="2163"/>
      <c r="G868" s="2163"/>
      <c r="H868" s="2163"/>
      <c r="I868" s="2163"/>
      <c r="J868" s="2163"/>
      <c r="K868" s="2163"/>
      <c r="L868" s="2163"/>
      <c r="M868" s="2163"/>
    </row>
    <row r="869" spans="1:15">
      <c r="A869" s="2520" t="s">
        <v>2645</v>
      </c>
      <c r="B869" s="2520"/>
      <c r="C869" s="2520"/>
      <c r="D869" s="2166"/>
      <c r="E869" s="2166"/>
      <c r="F869" s="2166"/>
      <c r="G869" s="2166"/>
      <c r="H869" s="2525"/>
      <c r="I869" s="2525"/>
      <c r="J869" s="2525"/>
      <c r="K869" s="2166"/>
      <c r="L869" s="2167"/>
      <c r="M869" s="2166"/>
    </row>
    <row r="870" spans="1:15">
      <c r="A870" s="2520" t="s">
        <v>2645</v>
      </c>
      <c r="B870" s="2520"/>
      <c r="C870" s="2520"/>
      <c r="D870" s="2166"/>
      <c r="E870" s="2166"/>
      <c r="F870" s="2166"/>
      <c r="G870" s="2166"/>
      <c r="H870" s="2526">
        <v>64722.936000000002</v>
      </c>
      <c r="I870" s="2526"/>
      <c r="J870" s="2526"/>
      <c r="K870" s="2166"/>
      <c r="L870" s="2168">
        <v>6527702.8700000001</v>
      </c>
      <c r="M870" s="2166"/>
    </row>
    <row r="871" spans="1:15">
      <c r="A871" s="2164"/>
      <c r="B871" s="2164"/>
      <c r="C871" s="2164"/>
      <c r="D871" s="2164"/>
      <c r="E871" s="2522" t="s">
        <v>2639</v>
      </c>
      <c r="F871" s="2522"/>
      <c r="G871" s="2164"/>
      <c r="H871" s="2528">
        <v>5404695.2504000003</v>
      </c>
      <c r="I871" s="2528"/>
      <c r="J871" s="2528"/>
      <c r="K871" s="2163"/>
      <c r="L871" s="2528">
        <v>545981233.25999999</v>
      </c>
      <c r="M871" s="2163"/>
    </row>
    <row r="872" spans="1:15">
      <c r="A872" s="2164"/>
      <c r="B872" s="2164"/>
      <c r="C872" s="2164"/>
      <c r="D872" s="2164"/>
      <c r="E872" s="2164"/>
      <c r="F872" s="2164"/>
      <c r="G872" s="2164"/>
      <c r="H872" s="2528"/>
      <c r="I872" s="2528"/>
      <c r="J872" s="2528"/>
      <c r="K872" s="2163"/>
      <c r="L872" s="2528"/>
      <c r="M872" s="2163"/>
    </row>
    <row r="873" spans="1:15">
      <c r="A873" s="2160" t="s">
        <v>2680</v>
      </c>
      <c r="B873" s="2161"/>
      <c r="C873" s="2160" t="s">
        <v>2681</v>
      </c>
      <c r="D873" s="2161"/>
      <c r="E873" s="2160" t="s">
        <v>2640</v>
      </c>
      <c r="F873" s="2161"/>
    </row>
    <row r="874" spans="1:15">
      <c r="A874" s="2163"/>
      <c r="B874" s="2163"/>
      <c r="C874" s="2163"/>
      <c r="D874" s="2163"/>
      <c r="E874" s="2163"/>
      <c r="F874" s="2163"/>
      <c r="G874" s="2163"/>
      <c r="H874" s="2163"/>
      <c r="I874" s="2163"/>
      <c r="J874" s="2163"/>
      <c r="K874" s="2163"/>
      <c r="L874" s="2163"/>
      <c r="M874" s="2163"/>
    </row>
    <row r="875" spans="1:15">
      <c r="A875" s="2164"/>
      <c r="H875" s="2522" t="s">
        <v>2637</v>
      </c>
      <c r="I875" s="2522"/>
      <c r="J875" s="2163"/>
      <c r="K875" s="2528">
        <v>5260619.7103000004</v>
      </c>
      <c r="L875" s="2528"/>
      <c r="M875" s="2163"/>
      <c r="N875" s="2527" t="s">
        <v>2997</v>
      </c>
      <c r="O875" s="2163"/>
    </row>
    <row r="876" spans="1:15">
      <c r="H876" s="2163"/>
      <c r="I876" s="2163"/>
      <c r="J876" s="2163"/>
      <c r="K876" s="2528"/>
      <c r="L876" s="2528"/>
      <c r="N876" s="2527"/>
    </row>
    <row r="877" spans="1:15">
      <c r="A877" s="2165">
        <v>94676</v>
      </c>
      <c r="B877" s="2163"/>
      <c r="C877" s="2524" t="s">
        <v>2998</v>
      </c>
      <c r="D877" s="2524"/>
      <c r="E877" s="2524"/>
      <c r="F877" s="2524"/>
      <c r="G877" s="2524"/>
      <c r="H877" s="2524"/>
      <c r="I877" s="2524"/>
      <c r="J877" s="2163"/>
      <c r="K877" s="2163"/>
      <c r="L877" s="2163"/>
      <c r="M877" s="2163"/>
    </row>
    <row r="878" spans="1:15">
      <c r="A878" s="2163"/>
      <c r="B878" s="2163"/>
      <c r="C878" s="2163"/>
      <c r="D878" s="2163"/>
      <c r="E878" s="2163"/>
      <c r="F878" s="2163"/>
      <c r="G878" s="2163"/>
      <c r="H878" s="2163"/>
      <c r="I878" s="2163"/>
      <c r="J878" s="2163"/>
      <c r="K878" s="2163"/>
      <c r="L878" s="2163"/>
      <c r="M878" s="2163"/>
    </row>
    <row r="879" spans="1:15">
      <c r="A879" s="2520" t="s">
        <v>2645</v>
      </c>
      <c r="B879" s="2520"/>
      <c r="C879" s="2520"/>
      <c r="D879" s="2166"/>
      <c r="E879" s="2166"/>
      <c r="F879" s="2166"/>
      <c r="G879" s="2166"/>
      <c r="H879" s="2525"/>
      <c r="I879" s="2525"/>
      <c r="J879" s="2525"/>
      <c r="K879" s="2166"/>
      <c r="L879" s="2167"/>
      <c r="M879" s="2166"/>
    </row>
    <row r="880" spans="1:15">
      <c r="A880" s="2520" t="s">
        <v>2645</v>
      </c>
      <c r="B880" s="2520"/>
      <c r="C880" s="2520"/>
      <c r="D880" s="2166"/>
      <c r="E880" s="2166"/>
      <c r="F880" s="2166"/>
      <c r="G880" s="2166"/>
      <c r="H880" s="2526">
        <v>63761.144</v>
      </c>
      <c r="I880" s="2526"/>
      <c r="J880" s="2526"/>
      <c r="K880" s="2166"/>
      <c r="L880" s="2168">
        <v>6430700.3499999996</v>
      </c>
      <c r="M880" s="2166"/>
    </row>
    <row r="881" spans="1:15">
      <c r="A881" s="2164"/>
      <c r="B881" s="2164"/>
      <c r="C881" s="2164"/>
      <c r="D881" s="2164"/>
      <c r="E881" s="2522" t="s">
        <v>2639</v>
      </c>
      <c r="F881" s="2522"/>
      <c r="G881" s="2164"/>
      <c r="H881" s="2528">
        <v>5324380.8546000002</v>
      </c>
      <c r="I881" s="2528"/>
      <c r="J881" s="2528"/>
      <c r="K881" s="2163"/>
      <c r="L881" s="2528">
        <v>537867889.05999994</v>
      </c>
      <c r="M881" s="2163"/>
    </row>
    <row r="882" spans="1:15">
      <c r="A882" s="2164"/>
      <c r="B882" s="2164"/>
      <c r="C882" s="2164"/>
      <c r="D882" s="2164"/>
      <c r="E882" s="2164"/>
      <c r="F882" s="2164"/>
      <c r="G882" s="2164"/>
      <c r="H882" s="2528"/>
      <c r="I882" s="2528"/>
      <c r="J882" s="2528"/>
      <c r="K882" s="2163"/>
      <c r="L882" s="2528"/>
      <c r="M882" s="2163"/>
    </row>
    <row r="883" spans="1:15">
      <c r="A883" s="2160" t="s">
        <v>2680</v>
      </c>
      <c r="B883" s="2161"/>
      <c r="C883" s="2160" t="s">
        <v>2681</v>
      </c>
      <c r="D883" s="2161"/>
      <c r="E883" s="2160" t="s">
        <v>2640</v>
      </c>
      <c r="F883" s="2161"/>
    </row>
    <row r="884" spans="1:15">
      <c r="A884" s="2163"/>
      <c r="B884" s="2163"/>
      <c r="C884" s="2163"/>
      <c r="D884" s="2163"/>
      <c r="E884" s="2163"/>
      <c r="F884" s="2163"/>
      <c r="G884" s="2163"/>
      <c r="H884" s="2163"/>
      <c r="I884" s="2163"/>
      <c r="J884" s="2163"/>
      <c r="K884" s="2163"/>
      <c r="L884" s="2163"/>
      <c r="M884" s="2163"/>
    </row>
    <row r="885" spans="1:15">
      <c r="A885" s="2164"/>
      <c r="H885" s="2522" t="s">
        <v>2637</v>
      </c>
      <c r="I885" s="2522"/>
      <c r="J885" s="2163"/>
      <c r="K885" s="2523">
        <v>0</v>
      </c>
      <c r="L885" s="2523"/>
      <c r="M885" s="2163"/>
      <c r="N885" s="2527"/>
      <c r="O885" s="2163"/>
    </row>
    <row r="886" spans="1:15">
      <c r="H886" s="2163"/>
      <c r="I886" s="2163"/>
      <c r="J886" s="2163"/>
      <c r="K886" s="2523"/>
      <c r="L886" s="2523"/>
      <c r="N886" s="2527"/>
    </row>
    <row r="887" spans="1:15">
      <c r="A887" s="2165">
        <v>128326</v>
      </c>
      <c r="B887" s="2163"/>
      <c r="C887" s="2524" t="s">
        <v>2999</v>
      </c>
      <c r="D887" s="2524"/>
      <c r="E887" s="2524"/>
      <c r="F887" s="2524"/>
      <c r="G887" s="2524"/>
      <c r="H887" s="2524"/>
      <c r="I887" s="2524"/>
      <c r="J887" s="2163"/>
      <c r="K887" s="2163"/>
      <c r="L887" s="2163"/>
      <c r="M887" s="2163"/>
    </row>
    <row r="888" spans="1:15">
      <c r="A888" s="2163"/>
      <c r="B888" s="2163"/>
      <c r="C888" s="2163"/>
      <c r="D888" s="2163"/>
      <c r="E888" s="2163"/>
      <c r="F888" s="2163"/>
      <c r="G888" s="2163"/>
      <c r="H888" s="2163"/>
      <c r="I888" s="2163"/>
      <c r="J888" s="2163"/>
      <c r="K888" s="2163"/>
      <c r="L888" s="2163"/>
      <c r="M888" s="2163"/>
    </row>
    <row r="889" spans="1:15">
      <c r="A889" s="2520" t="s">
        <v>2645</v>
      </c>
      <c r="B889" s="2520"/>
      <c r="C889" s="2520"/>
      <c r="D889" s="2166"/>
      <c r="E889" s="2166"/>
      <c r="F889" s="2166"/>
      <c r="G889" s="2166"/>
      <c r="H889" s="2525"/>
      <c r="I889" s="2525"/>
      <c r="J889" s="2525"/>
      <c r="K889" s="2166"/>
      <c r="L889" s="2167"/>
      <c r="M889" s="2166"/>
    </row>
    <row r="890" spans="1:15">
      <c r="A890" s="2520" t="s">
        <v>2645</v>
      </c>
      <c r="B890" s="2520"/>
      <c r="C890" s="2520"/>
      <c r="D890" s="2166"/>
      <c r="E890" s="2166"/>
      <c r="F890" s="2166"/>
      <c r="G890" s="2166"/>
      <c r="H890" s="2525">
        <v>217.363</v>
      </c>
      <c r="I890" s="2525"/>
      <c r="J890" s="2525"/>
      <c r="K890" s="2166"/>
      <c r="L890" s="2168">
        <v>21922.35</v>
      </c>
      <c r="M890" s="2166"/>
    </row>
    <row r="891" spans="1:15">
      <c r="A891" s="2520" t="s">
        <v>2679</v>
      </c>
      <c r="B891" s="2520"/>
      <c r="C891" s="2520"/>
      <c r="D891" s="2166"/>
      <c r="E891" s="2166"/>
      <c r="F891" s="2166"/>
      <c r="G891" s="2166"/>
      <c r="H891" s="2526">
        <v>-129113.88</v>
      </c>
      <c r="I891" s="2526"/>
      <c r="J891" s="2526"/>
      <c r="K891" s="2166"/>
      <c r="L891" s="2168">
        <v>-13040540.58</v>
      </c>
      <c r="M891" s="2166"/>
    </row>
    <row r="892" spans="1:15">
      <c r="A892" s="2520" t="s">
        <v>2649</v>
      </c>
      <c r="B892" s="2520"/>
      <c r="C892" s="2520"/>
      <c r="D892" s="2166"/>
      <c r="E892" s="2166"/>
      <c r="F892" s="2166"/>
      <c r="G892" s="2166"/>
      <c r="H892" s="2526">
        <v>128896.51700000001</v>
      </c>
      <c r="I892" s="2526"/>
      <c r="J892" s="2526"/>
      <c r="K892" s="2166"/>
      <c r="L892" s="2168">
        <v>13000000</v>
      </c>
      <c r="M892" s="2166"/>
    </row>
    <row r="893" spans="1:15">
      <c r="A893" s="2164"/>
      <c r="B893" s="2164"/>
      <c r="C893" s="2164"/>
      <c r="D893" s="2164"/>
      <c r="E893" s="2522" t="s">
        <v>2639</v>
      </c>
      <c r="F893" s="2522"/>
      <c r="G893" s="2164"/>
      <c r="H893" s="2523">
        <v>0</v>
      </c>
      <c r="I893" s="2523"/>
      <c r="J893" s="2523"/>
      <c r="K893" s="2163"/>
      <c r="L893" s="2523">
        <v>0</v>
      </c>
      <c r="M893" s="2163"/>
    </row>
    <row r="894" spans="1:15">
      <c r="A894" s="2164"/>
      <c r="B894" s="2164"/>
      <c r="C894" s="2164"/>
      <c r="D894" s="2164"/>
      <c r="E894" s="2164"/>
      <c r="F894" s="2164"/>
      <c r="G894" s="2164"/>
      <c r="H894" s="2523"/>
      <c r="I894" s="2523"/>
      <c r="J894" s="2523"/>
      <c r="K894" s="2163"/>
      <c r="L894" s="2523"/>
      <c r="M894" s="2163"/>
    </row>
    <row r="895" spans="1:15">
      <c r="A895" s="2160" t="s">
        <v>2688</v>
      </c>
      <c r="B895" s="2161"/>
      <c r="C895" s="2160" t="s">
        <v>2689</v>
      </c>
      <c r="D895" s="2161"/>
      <c r="E895" s="2160" t="s">
        <v>2640</v>
      </c>
      <c r="F895" s="2161"/>
    </row>
    <row r="896" spans="1:15">
      <c r="A896" s="2163"/>
      <c r="B896" s="2163"/>
      <c r="C896" s="2163"/>
      <c r="D896" s="2163"/>
      <c r="E896" s="2163"/>
      <c r="F896" s="2163"/>
      <c r="G896" s="2163"/>
      <c r="H896" s="2163"/>
      <c r="I896" s="2163"/>
      <c r="J896" s="2163"/>
      <c r="K896" s="2163"/>
      <c r="L896" s="2163"/>
      <c r="M896" s="2163"/>
    </row>
    <row r="897" spans="1:15">
      <c r="A897" s="2164"/>
      <c r="H897" s="2522" t="s">
        <v>2637</v>
      </c>
      <c r="I897" s="2522"/>
      <c r="J897" s="2163"/>
      <c r="K897" s="2523">
        <v>0</v>
      </c>
      <c r="L897" s="2523"/>
      <c r="M897" s="2163"/>
      <c r="N897" s="2527"/>
      <c r="O897" s="2163"/>
    </row>
    <row r="898" spans="1:15">
      <c r="H898" s="2163"/>
      <c r="I898" s="2163"/>
      <c r="J898" s="2163"/>
      <c r="K898" s="2523"/>
      <c r="L898" s="2523"/>
      <c r="N898" s="2527"/>
    </row>
    <row r="899" spans="1:15">
      <c r="A899" s="2165">
        <v>32636</v>
      </c>
      <c r="B899" s="2163"/>
      <c r="C899" s="2524" t="s">
        <v>2641</v>
      </c>
      <c r="D899" s="2524"/>
      <c r="E899" s="2524"/>
      <c r="F899" s="2524"/>
      <c r="G899" s="2524"/>
      <c r="H899" s="2524"/>
      <c r="I899" s="2524"/>
      <c r="J899" s="2163"/>
      <c r="K899" s="2163"/>
      <c r="L899" s="2163"/>
      <c r="M899" s="2163"/>
    </row>
    <row r="900" spans="1:15">
      <c r="A900" s="2163"/>
      <c r="B900" s="2163"/>
      <c r="C900" s="2163"/>
      <c r="D900" s="2163"/>
      <c r="E900" s="2163"/>
      <c r="F900" s="2163"/>
      <c r="G900" s="2163"/>
      <c r="H900" s="2163"/>
      <c r="I900" s="2163"/>
      <c r="J900" s="2163"/>
      <c r="K900" s="2163"/>
      <c r="L900" s="2163"/>
      <c r="M900" s="2163"/>
    </row>
    <row r="901" spans="1:15">
      <c r="A901" s="2520" t="s">
        <v>2648</v>
      </c>
      <c r="B901" s="2520"/>
      <c r="C901" s="2520"/>
      <c r="D901" s="2166"/>
      <c r="E901" s="2166"/>
      <c r="F901" s="2166"/>
      <c r="G901" s="2166"/>
      <c r="H901" s="2525">
        <v>-0.01</v>
      </c>
      <c r="I901" s="2525"/>
      <c r="J901" s="2525"/>
      <c r="K901" s="2166"/>
      <c r="L901" s="2167">
        <v>-1</v>
      </c>
      <c r="M901" s="2166"/>
    </row>
    <row r="902" spans="1:15">
      <c r="A902" s="2520" t="s">
        <v>2649</v>
      </c>
      <c r="B902" s="2520"/>
      <c r="C902" s="2520"/>
      <c r="D902" s="2166"/>
      <c r="E902" s="2166"/>
      <c r="F902" s="2166"/>
      <c r="G902" s="2166"/>
      <c r="H902" s="2525">
        <v>0.01</v>
      </c>
      <c r="I902" s="2525"/>
      <c r="J902" s="2525"/>
      <c r="K902" s="2166"/>
      <c r="L902" s="2167">
        <v>1</v>
      </c>
      <c r="M902" s="2166"/>
    </row>
    <row r="903" spans="1:15">
      <c r="A903" s="2164"/>
      <c r="B903" s="2164"/>
      <c r="C903" s="2164"/>
      <c r="D903" s="2164"/>
      <c r="E903" s="2522" t="s">
        <v>2639</v>
      </c>
      <c r="F903" s="2522"/>
      <c r="G903" s="2164"/>
      <c r="H903" s="2523">
        <v>0</v>
      </c>
      <c r="I903" s="2523"/>
      <c r="J903" s="2523"/>
      <c r="K903" s="2163"/>
      <c r="L903" s="2523">
        <v>0</v>
      </c>
      <c r="M903" s="2163"/>
    </row>
    <row r="904" spans="1:15">
      <c r="A904" s="2164"/>
      <c r="B904" s="2164"/>
      <c r="C904" s="2164"/>
      <c r="D904" s="2164"/>
      <c r="E904" s="2164"/>
      <c r="F904" s="2164"/>
      <c r="G904" s="2164"/>
      <c r="H904" s="2523"/>
      <c r="I904" s="2523"/>
      <c r="J904" s="2523"/>
      <c r="K904" s="2163"/>
      <c r="L904" s="2523"/>
      <c r="M904" s="2163"/>
    </row>
    <row r="905" spans="1:15">
      <c r="A905" s="2160" t="s">
        <v>2688</v>
      </c>
      <c r="B905" s="2161"/>
      <c r="C905" s="2160" t="s">
        <v>2689</v>
      </c>
      <c r="D905" s="2161"/>
      <c r="E905" s="2160" t="s">
        <v>2640</v>
      </c>
      <c r="F905" s="2161"/>
    </row>
    <row r="906" spans="1:15">
      <c r="A906" s="2163"/>
      <c r="B906" s="2163"/>
      <c r="C906" s="2163"/>
      <c r="D906" s="2163"/>
      <c r="E906" s="2163"/>
      <c r="F906" s="2163"/>
      <c r="G906" s="2163"/>
      <c r="H906" s="2163"/>
      <c r="I906" s="2163"/>
      <c r="J906" s="2163"/>
      <c r="K906" s="2163"/>
      <c r="L906" s="2163"/>
      <c r="M906" s="2163"/>
    </row>
    <row r="907" spans="1:15">
      <c r="A907" s="2164"/>
      <c r="H907" s="2522" t="s">
        <v>2637</v>
      </c>
      <c r="I907" s="2522"/>
      <c r="J907" s="2163"/>
      <c r="K907" s="2523">
        <v>0</v>
      </c>
      <c r="L907" s="2523"/>
      <c r="M907" s="2163"/>
      <c r="N907" s="2527"/>
      <c r="O907" s="2163"/>
    </row>
    <row r="908" spans="1:15">
      <c r="H908" s="2163"/>
      <c r="I908" s="2163"/>
      <c r="J908" s="2163"/>
      <c r="K908" s="2523"/>
      <c r="L908" s="2523"/>
      <c r="N908" s="2527"/>
    </row>
    <row r="909" spans="1:15">
      <c r="A909" s="2165">
        <v>48483</v>
      </c>
      <c r="B909" s="2163"/>
      <c r="C909" s="2524" t="s">
        <v>2664</v>
      </c>
      <c r="D909" s="2524"/>
      <c r="E909" s="2524"/>
      <c r="F909" s="2524"/>
      <c r="G909" s="2524"/>
      <c r="H909" s="2524"/>
      <c r="I909" s="2524"/>
      <c r="J909" s="2163"/>
      <c r="K909" s="2163"/>
      <c r="L909" s="2163"/>
      <c r="M909" s="2163"/>
    </row>
    <row r="910" spans="1:15">
      <c r="A910" s="2163"/>
      <c r="B910" s="2163"/>
      <c r="C910" s="2163"/>
      <c r="D910" s="2163"/>
      <c r="E910" s="2163"/>
      <c r="F910" s="2163"/>
      <c r="G910" s="2163"/>
      <c r="H910" s="2163"/>
      <c r="I910" s="2163"/>
      <c r="J910" s="2163"/>
      <c r="K910" s="2163"/>
      <c r="L910" s="2163"/>
      <c r="M910" s="2163"/>
    </row>
    <row r="911" spans="1:15">
      <c r="A911" s="2529"/>
      <c r="B911" s="2529"/>
      <c r="C911" s="2529"/>
      <c r="D911" s="2166"/>
      <c r="E911" s="2166"/>
      <c r="F911" s="2166"/>
      <c r="G911" s="2166"/>
      <c r="H911" s="2525"/>
      <c r="I911" s="2525"/>
      <c r="J911" s="2525"/>
      <c r="K911" s="2166"/>
      <c r="L911" s="2167"/>
      <c r="M911" s="2166"/>
    </row>
    <row r="912" spans="1:15">
      <c r="A912" s="2164"/>
      <c r="B912" s="2164"/>
      <c r="C912" s="2164"/>
      <c r="D912" s="2164"/>
      <c r="E912" s="2522" t="s">
        <v>2639</v>
      </c>
      <c r="F912" s="2522"/>
      <c r="G912" s="2164"/>
      <c r="H912" s="2523">
        <v>0</v>
      </c>
      <c r="I912" s="2523"/>
      <c r="J912" s="2523"/>
      <c r="K912" s="2163"/>
      <c r="L912" s="2523">
        <v>0</v>
      </c>
      <c r="M912" s="2163"/>
    </row>
    <row r="913" spans="1:15">
      <c r="A913" s="2164"/>
      <c r="B913" s="2164"/>
      <c r="C913" s="2164"/>
      <c r="D913" s="2164"/>
      <c r="E913" s="2164"/>
      <c r="F913" s="2164"/>
      <c r="G913" s="2164"/>
      <c r="H913" s="2523"/>
      <c r="I913" s="2523"/>
      <c r="J913" s="2523"/>
      <c r="K913" s="2163"/>
      <c r="L913" s="2523"/>
      <c r="M913" s="2163"/>
    </row>
    <row r="914" spans="1:15">
      <c r="A914" s="2160" t="s">
        <v>2688</v>
      </c>
      <c r="B914" s="2161"/>
      <c r="C914" s="2160" t="s">
        <v>2689</v>
      </c>
      <c r="D914" s="2161"/>
      <c r="E914" s="2160" t="s">
        <v>2640</v>
      </c>
      <c r="F914" s="2161"/>
    </row>
    <row r="915" spans="1:15">
      <c r="A915" s="2163"/>
      <c r="B915" s="2163"/>
      <c r="C915" s="2163"/>
      <c r="D915" s="2163"/>
      <c r="E915" s="2163"/>
      <c r="F915" s="2163"/>
      <c r="G915" s="2163"/>
      <c r="H915" s="2163"/>
      <c r="I915" s="2163"/>
      <c r="J915" s="2163"/>
      <c r="K915" s="2163"/>
      <c r="L915" s="2163"/>
      <c r="M915" s="2163"/>
    </row>
    <row r="916" spans="1:15">
      <c r="A916" s="2164"/>
      <c r="H916" s="2522" t="s">
        <v>2637</v>
      </c>
      <c r="I916" s="2522"/>
      <c r="J916" s="2163"/>
      <c r="K916" s="2523">
        <v>0</v>
      </c>
      <c r="L916" s="2523"/>
      <c r="M916" s="2163"/>
      <c r="N916" s="2527"/>
      <c r="O916" s="2163"/>
    </row>
    <row r="917" spans="1:15">
      <c r="H917" s="2163"/>
      <c r="I917" s="2163"/>
      <c r="J917" s="2163"/>
      <c r="K917" s="2523"/>
      <c r="L917" s="2523"/>
      <c r="N917" s="2527"/>
    </row>
    <row r="918" spans="1:15">
      <c r="A918" s="2165">
        <v>48589</v>
      </c>
      <c r="B918" s="2163"/>
      <c r="C918" s="2524" t="s">
        <v>2978</v>
      </c>
      <c r="D918" s="2524"/>
      <c r="E918" s="2524"/>
      <c r="F918" s="2524"/>
      <c r="G918" s="2524"/>
      <c r="H918" s="2524"/>
      <c r="I918" s="2524"/>
      <c r="J918" s="2163"/>
      <c r="K918" s="2163"/>
      <c r="L918" s="2163"/>
      <c r="M918" s="2163"/>
    </row>
    <row r="919" spans="1:15">
      <c r="A919" s="2163"/>
      <c r="B919" s="2163"/>
      <c r="C919" s="2163"/>
      <c r="D919" s="2163"/>
      <c r="E919" s="2163"/>
      <c r="F919" s="2163"/>
      <c r="G919" s="2163"/>
      <c r="H919" s="2163"/>
      <c r="I919" s="2163"/>
      <c r="J919" s="2163"/>
      <c r="K919" s="2163"/>
      <c r="L919" s="2163"/>
      <c r="M919" s="2163"/>
    </row>
    <row r="920" spans="1:15">
      <c r="A920" s="2529"/>
      <c r="B920" s="2529"/>
      <c r="C920" s="2529"/>
      <c r="D920" s="2166"/>
      <c r="E920" s="2166"/>
      <c r="F920" s="2166"/>
      <c r="G920" s="2166"/>
      <c r="H920" s="2525"/>
      <c r="I920" s="2525"/>
      <c r="J920" s="2525"/>
      <c r="K920" s="2166"/>
      <c r="L920" s="2167"/>
      <c r="M920" s="2166"/>
    </row>
    <row r="921" spans="1:15">
      <c r="A921" s="2164"/>
      <c r="B921" s="2164"/>
      <c r="C921" s="2164"/>
      <c r="D921" s="2164"/>
      <c r="E921" s="2522" t="s">
        <v>2639</v>
      </c>
      <c r="F921" s="2522"/>
      <c r="G921" s="2164"/>
      <c r="H921" s="2523">
        <v>0</v>
      </c>
      <c r="I921" s="2523"/>
      <c r="J921" s="2523"/>
      <c r="K921" s="2163"/>
      <c r="L921" s="2523">
        <v>0</v>
      </c>
      <c r="M921" s="2163"/>
    </row>
    <row r="922" spans="1:15">
      <c r="A922" s="2164"/>
      <c r="B922" s="2164"/>
      <c r="C922" s="2164"/>
      <c r="D922" s="2164"/>
      <c r="E922" s="2164"/>
      <c r="F922" s="2164"/>
      <c r="G922" s="2164"/>
      <c r="H922" s="2523"/>
      <c r="I922" s="2523"/>
      <c r="J922" s="2523"/>
      <c r="K922" s="2163"/>
      <c r="L922" s="2523"/>
      <c r="M922" s="2163"/>
    </row>
    <row r="923" spans="1:15">
      <c r="A923" s="2160" t="s">
        <v>2688</v>
      </c>
      <c r="B923" s="2161"/>
      <c r="C923" s="2160" t="s">
        <v>2689</v>
      </c>
      <c r="D923" s="2161"/>
      <c r="E923" s="2160" t="s">
        <v>2640</v>
      </c>
      <c r="F923" s="2161"/>
    </row>
    <row r="924" spans="1:15">
      <c r="A924" s="2163"/>
      <c r="B924" s="2163"/>
      <c r="C924" s="2163"/>
      <c r="D924" s="2163"/>
      <c r="E924" s="2163"/>
      <c r="F924" s="2163"/>
      <c r="G924" s="2163"/>
      <c r="H924" s="2163"/>
      <c r="I924" s="2163"/>
      <c r="J924" s="2163"/>
      <c r="K924" s="2163"/>
      <c r="L924" s="2163"/>
      <c r="M924" s="2163"/>
    </row>
    <row r="925" spans="1:15">
      <c r="A925" s="2164"/>
      <c r="H925" s="2522" t="s">
        <v>2637</v>
      </c>
      <c r="I925" s="2522"/>
      <c r="J925" s="2163"/>
      <c r="K925" s="2523">
        <v>-1E-4</v>
      </c>
      <c r="L925" s="2523"/>
      <c r="M925" s="2163"/>
      <c r="N925" s="2527"/>
      <c r="O925" s="2163"/>
    </row>
    <row r="926" spans="1:15">
      <c r="H926" s="2163"/>
      <c r="I926" s="2163"/>
      <c r="J926" s="2163"/>
      <c r="K926" s="2523"/>
      <c r="L926" s="2523"/>
      <c r="N926" s="2527"/>
    </row>
    <row r="927" spans="1:15">
      <c r="A927" s="2165">
        <v>50368</v>
      </c>
      <c r="B927" s="2163"/>
      <c r="C927" s="2524" t="s">
        <v>2690</v>
      </c>
      <c r="D927" s="2524"/>
      <c r="E927" s="2524"/>
      <c r="F927" s="2524"/>
      <c r="G927" s="2524"/>
      <c r="H927" s="2524"/>
      <c r="I927" s="2524"/>
      <c r="J927" s="2163"/>
      <c r="K927" s="2163"/>
      <c r="L927" s="2163"/>
      <c r="M927" s="2163"/>
    </row>
    <row r="928" spans="1:15">
      <c r="A928" s="2163"/>
      <c r="B928" s="2163"/>
      <c r="C928" s="2163"/>
      <c r="D928" s="2163"/>
      <c r="E928" s="2163"/>
      <c r="F928" s="2163"/>
      <c r="G928" s="2163"/>
      <c r="H928" s="2163"/>
      <c r="I928" s="2163"/>
      <c r="J928" s="2163"/>
      <c r="K928" s="2163"/>
      <c r="L928" s="2163"/>
      <c r="M928" s="2163"/>
    </row>
    <row r="929" spans="1:15">
      <c r="A929" s="2529"/>
      <c r="B929" s="2529"/>
      <c r="C929" s="2529"/>
      <c r="D929" s="2166"/>
      <c r="E929" s="2166"/>
      <c r="F929" s="2166"/>
      <c r="G929" s="2166"/>
      <c r="H929" s="2525"/>
      <c r="I929" s="2525"/>
      <c r="J929" s="2525"/>
      <c r="K929" s="2166"/>
      <c r="L929" s="2167"/>
      <c r="M929" s="2166"/>
    </row>
    <row r="930" spans="1:15">
      <c r="A930" s="2164"/>
      <c r="B930" s="2164"/>
      <c r="C930" s="2164"/>
      <c r="D930" s="2164"/>
      <c r="E930" s="2522" t="s">
        <v>2639</v>
      </c>
      <c r="F930" s="2522"/>
      <c r="G930" s="2164"/>
      <c r="H930" s="2523">
        <v>-1E-4</v>
      </c>
      <c r="I930" s="2523"/>
      <c r="J930" s="2523"/>
      <c r="K930" s="2163"/>
      <c r="L930" s="2523">
        <v>-0.01</v>
      </c>
      <c r="M930" s="2163"/>
    </row>
    <row r="931" spans="1:15">
      <c r="A931" s="2164"/>
      <c r="B931" s="2164"/>
      <c r="C931" s="2164"/>
      <c r="D931" s="2164"/>
      <c r="E931" s="2164"/>
      <c r="F931" s="2164"/>
      <c r="G931" s="2164"/>
      <c r="H931" s="2523"/>
      <c r="I931" s="2523"/>
      <c r="J931" s="2523"/>
      <c r="K931" s="2163"/>
      <c r="L931" s="2523"/>
      <c r="M931" s="2163"/>
    </row>
    <row r="932" spans="1:15">
      <c r="A932" s="2160" t="s">
        <v>2688</v>
      </c>
      <c r="B932" s="2161"/>
      <c r="C932" s="2160" t="s">
        <v>2689</v>
      </c>
      <c r="D932" s="2161"/>
      <c r="E932" s="2160" t="s">
        <v>2640</v>
      </c>
      <c r="F932" s="2161"/>
    </row>
    <row r="933" spans="1:15">
      <c r="A933" s="2163"/>
      <c r="B933" s="2163"/>
      <c r="C933" s="2163"/>
      <c r="D933" s="2163"/>
      <c r="E933" s="2163"/>
      <c r="F933" s="2163"/>
      <c r="G933" s="2163"/>
      <c r="H933" s="2163"/>
      <c r="I933" s="2163"/>
      <c r="J933" s="2163"/>
      <c r="K933" s="2163"/>
      <c r="L933" s="2163"/>
      <c r="M933" s="2163"/>
    </row>
    <row r="934" spans="1:15">
      <c r="A934" s="2164"/>
      <c r="H934" s="2522" t="s">
        <v>2637</v>
      </c>
      <c r="I934" s="2522"/>
      <c r="J934" s="2163"/>
      <c r="K934" s="2523">
        <v>0</v>
      </c>
      <c r="L934" s="2523"/>
      <c r="M934" s="2163"/>
      <c r="N934" s="2527"/>
      <c r="O934" s="2163"/>
    </row>
    <row r="935" spans="1:15">
      <c r="H935" s="2163"/>
      <c r="I935" s="2163"/>
      <c r="J935" s="2163"/>
      <c r="K935" s="2523"/>
      <c r="L935" s="2523"/>
      <c r="N935" s="2527"/>
    </row>
    <row r="936" spans="1:15">
      <c r="A936" s="2165">
        <v>63542</v>
      </c>
      <c r="B936" s="2163"/>
      <c r="C936" s="2524" t="s">
        <v>2691</v>
      </c>
      <c r="D936" s="2524"/>
      <c r="E936" s="2524"/>
      <c r="F936" s="2524"/>
      <c r="G936" s="2524"/>
      <c r="H936" s="2524"/>
      <c r="I936" s="2524"/>
      <c r="J936" s="2163"/>
      <c r="K936" s="2163"/>
      <c r="L936" s="2163"/>
      <c r="M936" s="2163"/>
    </row>
    <row r="937" spans="1:15">
      <c r="A937" s="2163"/>
      <c r="B937" s="2163"/>
      <c r="C937" s="2163"/>
      <c r="D937" s="2163"/>
      <c r="E937" s="2163"/>
      <c r="F937" s="2163"/>
      <c r="G937" s="2163"/>
      <c r="H937" s="2163"/>
      <c r="I937" s="2163"/>
      <c r="J937" s="2163"/>
      <c r="K937" s="2163"/>
      <c r="L937" s="2163"/>
      <c r="M937" s="2163"/>
    </row>
    <row r="938" spans="1:15">
      <c r="A938" s="2529"/>
      <c r="B938" s="2529"/>
      <c r="C938" s="2529"/>
      <c r="D938" s="2166"/>
      <c r="E938" s="2166"/>
      <c r="F938" s="2166"/>
      <c r="G938" s="2166"/>
      <c r="H938" s="2525"/>
      <c r="I938" s="2525"/>
      <c r="J938" s="2525"/>
      <c r="K938" s="2166"/>
      <c r="L938" s="2167"/>
      <c r="M938" s="2166"/>
    </row>
    <row r="939" spans="1:15">
      <c r="A939" s="2164"/>
      <c r="B939" s="2164"/>
      <c r="C939" s="2164"/>
      <c r="D939" s="2164"/>
      <c r="E939" s="2522" t="s">
        <v>2639</v>
      </c>
      <c r="F939" s="2522"/>
      <c r="G939" s="2164"/>
      <c r="H939" s="2523">
        <v>0</v>
      </c>
      <c r="I939" s="2523"/>
      <c r="J939" s="2523"/>
      <c r="K939" s="2163"/>
      <c r="L939" s="2523">
        <v>0</v>
      </c>
      <c r="M939" s="2163"/>
    </row>
    <row r="940" spans="1:15">
      <c r="A940" s="2164"/>
      <c r="B940" s="2164"/>
      <c r="C940" s="2164"/>
      <c r="D940" s="2164"/>
      <c r="E940" s="2164"/>
      <c r="F940" s="2164"/>
      <c r="G940" s="2164"/>
      <c r="H940" s="2523"/>
      <c r="I940" s="2523"/>
      <c r="J940" s="2523"/>
      <c r="K940" s="2163"/>
      <c r="L940" s="2523"/>
      <c r="M940" s="2163"/>
    </row>
    <row r="941" spans="1:15">
      <c r="A941" s="2160" t="s">
        <v>2688</v>
      </c>
      <c r="B941" s="2161"/>
      <c r="C941" s="2160" t="s">
        <v>2689</v>
      </c>
      <c r="D941" s="2161"/>
      <c r="E941" s="2160" t="s">
        <v>2640</v>
      </c>
      <c r="F941" s="2161"/>
    </row>
    <row r="942" spans="1:15">
      <c r="A942" s="2163"/>
      <c r="B942" s="2163"/>
      <c r="C942" s="2163"/>
      <c r="D942" s="2163"/>
      <c r="E942" s="2163"/>
      <c r="F942" s="2163"/>
      <c r="G942" s="2163"/>
      <c r="H942" s="2163"/>
      <c r="I942" s="2163"/>
      <c r="J942" s="2163"/>
      <c r="K942" s="2163"/>
      <c r="L942" s="2163"/>
      <c r="M942" s="2163"/>
    </row>
    <row r="943" spans="1:15">
      <c r="A943" s="2164"/>
      <c r="H943" s="2522" t="s">
        <v>2637</v>
      </c>
      <c r="I943" s="2522"/>
      <c r="J943" s="2163"/>
      <c r="K943" s="2523">
        <v>1E-4</v>
      </c>
      <c r="L943" s="2523"/>
      <c r="M943" s="2163"/>
      <c r="N943" s="2527"/>
      <c r="O943" s="2163"/>
    </row>
    <row r="944" spans="1:15">
      <c r="H944" s="2163"/>
      <c r="I944" s="2163"/>
      <c r="J944" s="2163"/>
      <c r="K944" s="2523"/>
      <c r="L944" s="2523"/>
      <c r="N944" s="2527"/>
    </row>
    <row r="945" spans="1:15">
      <c r="A945" s="2165">
        <v>65266</v>
      </c>
      <c r="B945" s="2163"/>
      <c r="C945" s="2524" t="s">
        <v>2692</v>
      </c>
      <c r="D945" s="2524"/>
      <c r="E945" s="2524"/>
      <c r="F945" s="2524"/>
      <c r="G945" s="2524"/>
      <c r="H945" s="2524"/>
      <c r="I945" s="2524"/>
      <c r="J945" s="2163"/>
      <c r="K945" s="2163"/>
      <c r="L945" s="2163"/>
      <c r="M945" s="2163"/>
    </row>
    <row r="946" spans="1:15">
      <c r="A946" s="2163"/>
      <c r="B946" s="2163"/>
      <c r="C946" s="2163"/>
      <c r="D946" s="2163"/>
      <c r="E946" s="2163"/>
      <c r="F946" s="2163"/>
      <c r="G946" s="2163"/>
      <c r="H946" s="2163"/>
      <c r="I946" s="2163"/>
      <c r="J946" s="2163"/>
      <c r="K946" s="2163"/>
      <c r="L946" s="2163"/>
      <c r="M946" s="2163"/>
    </row>
    <row r="947" spans="1:15">
      <c r="A947" s="2529"/>
      <c r="B947" s="2529"/>
      <c r="C947" s="2529"/>
      <c r="D947" s="2166"/>
      <c r="E947" s="2166"/>
      <c r="F947" s="2166"/>
      <c r="G947" s="2166"/>
      <c r="H947" s="2525"/>
      <c r="I947" s="2525"/>
      <c r="J947" s="2525"/>
      <c r="K947" s="2166"/>
      <c r="L947" s="2167"/>
      <c r="M947" s="2166"/>
    </row>
    <row r="948" spans="1:15">
      <c r="A948" s="2164"/>
      <c r="B948" s="2164"/>
      <c r="C948" s="2164"/>
      <c r="D948" s="2164"/>
      <c r="E948" s="2522" t="s">
        <v>2639</v>
      </c>
      <c r="F948" s="2522"/>
      <c r="G948" s="2164"/>
      <c r="H948" s="2523">
        <v>1E-4</v>
      </c>
      <c r="I948" s="2523"/>
      <c r="J948" s="2523"/>
      <c r="K948" s="2163"/>
      <c r="L948" s="2523">
        <v>0.01</v>
      </c>
      <c r="M948" s="2163"/>
    </row>
    <row r="949" spans="1:15">
      <c r="A949" s="2164"/>
      <c r="B949" s="2164"/>
      <c r="C949" s="2164"/>
      <c r="D949" s="2164"/>
      <c r="E949" s="2164"/>
      <c r="F949" s="2164"/>
      <c r="G949" s="2164"/>
      <c r="H949" s="2523"/>
      <c r="I949" s="2523"/>
      <c r="J949" s="2523"/>
      <c r="K949" s="2163"/>
      <c r="L949" s="2523"/>
      <c r="M949" s="2163"/>
    </row>
    <row r="950" spans="1:15">
      <c r="A950" s="2160" t="s">
        <v>2688</v>
      </c>
      <c r="B950" s="2161"/>
      <c r="C950" s="2160" t="s">
        <v>2689</v>
      </c>
      <c r="D950" s="2161"/>
      <c r="E950" s="2160" t="s">
        <v>2640</v>
      </c>
      <c r="F950" s="2161"/>
    </row>
    <row r="951" spans="1:15">
      <c r="A951" s="2163"/>
      <c r="B951" s="2163"/>
      <c r="C951" s="2163"/>
      <c r="D951" s="2163"/>
      <c r="E951" s="2163"/>
      <c r="F951" s="2163"/>
      <c r="G951" s="2163"/>
      <c r="H951" s="2163"/>
      <c r="I951" s="2163"/>
      <c r="J951" s="2163"/>
      <c r="K951" s="2163"/>
      <c r="L951" s="2163"/>
      <c r="M951" s="2163"/>
    </row>
    <row r="952" spans="1:15">
      <c r="A952" s="2164"/>
      <c r="H952" s="2522" t="s">
        <v>2637</v>
      </c>
      <c r="I952" s="2522"/>
      <c r="J952" s="2163"/>
      <c r="K952" s="2528">
        <v>3167845.6905999999</v>
      </c>
      <c r="L952" s="2528"/>
      <c r="M952" s="2163"/>
      <c r="N952" s="2527" t="s">
        <v>3000</v>
      </c>
      <c r="O952" s="2163"/>
    </row>
    <row r="953" spans="1:15">
      <c r="H953" s="2163"/>
      <c r="I953" s="2163"/>
      <c r="J953" s="2163"/>
      <c r="K953" s="2528"/>
      <c r="L953" s="2528"/>
      <c r="N953" s="2527"/>
    </row>
    <row r="954" spans="1:15">
      <c r="A954" s="2165">
        <v>65971</v>
      </c>
      <c r="B954" s="2163"/>
      <c r="C954" s="2524" t="s">
        <v>2693</v>
      </c>
      <c r="D954" s="2524"/>
      <c r="E954" s="2524"/>
      <c r="F954" s="2524"/>
      <c r="G954" s="2524"/>
      <c r="H954" s="2524"/>
      <c r="I954" s="2524"/>
      <c r="J954" s="2163"/>
      <c r="K954" s="2163"/>
      <c r="L954" s="2163"/>
      <c r="M954" s="2163"/>
    </row>
    <row r="955" spans="1:15">
      <c r="A955" s="2163"/>
      <c r="B955" s="2163"/>
      <c r="C955" s="2163"/>
      <c r="D955" s="2163"/>
      <c r="E955" s="2163"/>
      <c r="F955" s="2163"/>
      <c r="G955" s="2163"/>
      <c r="H955" s="2163"/>
      <c r="I955" s="2163"/>
      <c r="J955" s="2163"/>
      <c r="K955" s="2163"/>
      <c r="L955" s="2163"/>
      <c r="M955" s="2163"/>
    </row>
    <row r="956" spans="1:15">
      <c r="A956" s="2520" t="s">
        <v>2648</v>
      </c>
      <c r="B956" s="2520"/>
      <c r="C956" s="2520"/>
      <c r="D956" s="2166"/>
      <c r="E956" s="2166"/>
      <c r="F956" s="2166"/>
      <c r="G956" s="2166"/>
      <c r="H956" s="2526">
        <v>-301170.28899999999</v>
      </c>
      <c r="I956" s="2526"/>
      <c r="J956" s="2526"/>
      <c r="K956" s="2166"/>
      <c r="L956" s="2168">
        <v>-31000000</v>
      </c>
      <c r="M956" s="2166"/>
    </row>
    <row r="957" spans="1:15">
      <c r="A957" s="2520" t="s">
        <v>2679</v>
      </c>
      <c r="B957" s="2520"/>
      <c r="C957" s="2520"/>
      <c r="D957" s="2166"/>
      <c r="E957" s="2166"/>
      <c r="F957" s="2166"/>
      <c r="G957" s="2166"/>
      <c r="H957" s="2526">
        <v>-340901.91700000002</v>
      </c>
      <c r="I957" s="2526"/>
      <c r="J957" s="2526"/>
      <c r="K957" s="2166"/>
      <c r="L957" s="2168">
        <v>-35000000</v>
      </c>
      <c r="M957" s="2166"/>
    </row>
    <row r="958" spans="1:15">
      <c r="A958" s="2164"/>
      <c r="B958" s="2164"/>
      <c r="C958" s="2164"/>
      <c r="D958" s="2164"/>
      <c r="E958" s="2522" t="s">
        <v>2639</v>
      </c>
      <c r="F958" s="2522"/>
      <c r="G958" s="2164"/>
      <c r="H958" s="2528">
        <v>2525773.4841999998</v>
      </c>
      <c r="I958" s="2528"/>
      <c r="J958" s="2528"/>
      <c r="K958" s="2163"/>
      <c r="L958" s="2528">
        <v>261652705.13</v>
      </c>
      <c r="M958" s="2163"/>
    </row>
    <row r="959" spans="1:15">
      <c r="A959" s="2164"/>
      <c r="B959" s="2164"/>
      <c r="C959" s="2164"/>
      <c r="D959" s="2164"/>
      <c r="E959" s="2164"/>
      <c r="F959" s="2164"/>
      <c r="G959" s="2164"/>
      <c r="H959" s="2528"/>
      <c r="I959" s="2528"/>
      <c r="J959" s="2528"/>
      <c r="K959" s="2163"/>
      <c r="L959" s="2528"/>
      <c r="M959" s="2163"/>
    </row>
    <row r="960" spans="1:15">
      <c r="A960" s="2160" t="s">
        <v>2688</v>
      </c>
      <c r="B960" s="2161"/>
      <c r="C960" s="2160" t="s">
        <v>2689</v>
      </c>
      <c r="D960" s="2161"/>
      <c r="E960" s="2160" t="s">
        <v>2640</v>
      </c>
      <c r="F960" s="2161"/>
    </row>
    <row r="961" spans="1:15">
      <c r="A961" s="2163"/>
      <c r="B961" s="2163"/>
      <c r="C961" s="2163"/>
      <c r="D961" s="2163"/>
      <c r="E961" s="2163"/>
      <c r="F961" s="2163"/>
      <c r="G961" s="2163"/>
      <c r="H961" s="2163"/>
      <c r="I961" s="2163"/>
      <c r="J961" s="2163"/>
      <c r="K961" s="2163"/>
      <c r="L961" s="2163"/>
      <c r="M961" s="2163"/>
    </row>
    <row r="962" spans="1:15">
      <c r="A962" s="2164"/>
      <c r="H962" s="2522" t="s">
        <v>2637</v>
      </c>
      <c r="I962" s="2522"/>
      <c r="J962" s="2163"/>
      <c r="K962" s="2528">
        <v>1630629.2375</v>
      </c>
      <c r="L962" s="2528"/>
      <c r="M962" s="2163"/>
      <c r="N962" s="2527" t="s">
        <v>3001</v>
      </c>
      <c r="O962" s="2163"/>
    </row>
    <row r="963" spans="1:15">
      <c r="H963" s="2163"/>
      <c r="I963" s="2163"/>
      <c r="J963" s="2163"/>
      <c r="K963" s="2528"/>
      <c r="L963" s="2528"/>
      <c r="N963" s="2527"/>
    </row>
    <row r="964" spans="1:15">
      <c r="A964" s="2165">
        <v>69135</v>
      </c>
      <c r="B964" s="2163"/>
      <c r="C964" s="2524" t="s">
        <v>2694</v>
      </c>
      <c r="D964" s="2524"/>
      <c r="E964" s="2524"/>
      <c r="F964" s="2524"/>
      <c r="G964" s="2524"/>
      <c r="H964" s="2524"/>
      <c r="I964" s="2524"/>
      <c r="J964" s="2163"/>
      <c r="K964" s="2163"/>
      <c r="L964" s="2163"/>
      <c r="M964" s="2163"/>
    </row>
    <row r="965" spans="1:15">
      <c r="A965" s="2163"/>
      <c r="B965" s="2163"/>
      <c r="C965" s="2163"/>
      <c r="D965" s="2163"/>
      <c r="E965" s="2163"/>
      <c r="F965" s="2163"/>
      <c r="G965" s="2163"/>
      <c r="H965" s="2163"/>
      <c r="I965" s="2163"/>
      <c r="J965" s="2163"/>
      <c r="K965" s="2163"/>
      <c r="L965" s="2163"/>
      <c r="M965" s="2163"/>
    </row>
    <row r="966" spans="1:15">
      <c r="A966" s="2520" t="s">
        <v>2648</v>
      </c>
      <c r="B966" s="2520"/>
      <c r="C966" s="2520"/>
      <c r="D966" s="2166"/>
      <c r="E966" s="2166"/>
      <c r="F966" s="2166"/>
      <c r="G966" s="2166"/>
      <c r="H966" s="2526">
        <v>-330315.80099999998</v>
      </c>
      <c r="I966" s="2526"/>
      <c r="J966" s="2526"/>
      <c r="K966" s="2166"/>
      <c r="L966" s="2168">
        <v>-34000000</v>
      </c>
      <c r="M966" s="2166"/>
    </row>
    <row r="967" spans="1:15">
      <c r="A967" s="2520" t="s">
        <v>2679</v>
      </c>
      <c r="B967" s="2520"/>
      <c r="C967" s="2520"/>
      <c r="D967" s="2166"/>
      <c r="E967" s="2166"/>
      <c r="F967" s="2166"/>
      <c r="G967" s="2166"/>
      <c r="H967" s="2526">
        <v>-97713.599000000002</v>
      </c>
      <c r="I967" s="2526"/>
      <c r="J967" s="2526"/>
      <c r="K967" s="2166"/>
      <c r="L967" s="2168">
        <v>-10000000</v>
      </c>
      <c r="M967" s="2166"/>
    </row>
    <row r="968" spans="1:15">
      <c r="A968" s="2164"/>
      <c r="B968" s="2164"/>
      <c r="C968" s="2164"/>
      <c r="D968" s="2164"/>
      <c r="E968" s="2522" t="s">
        <v>2639</v>
      </c>
      <c r="F968" s="2522"/>
      <c r="G968" s="2164"/>
      <c r="H968" s="2528">
        <v>1202599.8367000001</v>
      </c>
      <c r="I968" s="2528"/>
      <c r="J968" s="2528"/>
      <c r="K968" s="2163"/>
      <c r="L968" s="2528">
        <v>124581045.14</v>
      </c>
      <c r="M968" s="2163"/>
    </row>
    <row r="969" spans="1:15">
      <c r="A969" s="2164"/>
      <c r="B969" s="2164"/>
      <c r="C969" s="2164"/>
      <c r="D969" s="2164"/>
      <c r="E969" s="2164"/>
      <c r="F969" s="2164"/>
      <c r="G969" s="2164"/>
      <c r="H969" s="2528"/>
      <c r="I969" s="2528"/>
      <c r="J969" s="2528"/>
      <c r="K969" s="2163"/>
      <c r="L969" s="2528"/>
      <c r="M969" s="2163"/>
    </row>
    <row r="970" spans="1:15">
      <c r="A970" s="2160" t="s">
        <v>2688</v>
      </c>
      <c r="B970" s="2161"/>
      <c r="C970" s="2160" t="s">
        <v>2689</v>
      </c>
      <c r="D970" s="2161"/>
      <c r="E970" s="2160" t="s">
        <v>2640</v>
      </c>
      <c r="F970" s="2161"/>
    </row>
    <row r="971" spans="1:15">
      <c r="A971" s="2163"/>
      <c r="B971" s="2163"/>
      <c r="C971" s="2163"/>
      <c r="D971" s="2163"/>
      <c r="E971" s="2163"/>
      <c r="F971" s="2163"/>
      <c r="G971" s="2163"/>
      <c r="H971" s="2163"/>
      <c r="I971" s="2163"/>
      <c r="J971" s="2163"/>
      <c r="K971" s="2163"/>
      <c r="L971" s="2163"/>
      <c r="M971" s="2163"/>
    </row>
    <row r="972" spans="1:15">
      <c r="A972" s="2164"/>
      <c r="H972" s="2522" t="s">
        <v>2637</v>
      </c>
      <c r="I972" s="2522"/>
      <c r="J972" s="2163"/>
      <c r="K972" s="2528">
        <v>148553.07029999999</v>
      </c>
      <c r="L972" s="2528"/>
      <c r="M972" s="2163"/>
      <c r="N972" s="2527" t="s">
        <v>3002</v>
      </c>
      <c r="O972" s="2163"/>
    </row>
    <row r="973" spans="1:15">
      <c r="H973" s="2163"/>
      <c r="I973" s="2163"/>
      <c r="J973" s="2163"/>
      <c r="K973" s="2528"/>
      <c r="L973" s="2528"/>
      <c r="N973" s="2527"/>
    </row>
    <row r="974" spans="1:15">
      <c r="A974" s="2165">
        <v>70356</v>
      </c>
      <c r="B974" s="2163"/>
      <c r="C974" s="2524" t="s">
        <v>2695</v>
      </c>
      <c r="D974" s="2524"/>
      <c r="E974" s="2524"/>
      <c r="F974" s="2524"/>
      <c r="G974" s="2524"/>
      <c r="H974" s="2524"/>
      <c r="I974" s="2524"/>
      <c r="J974" s="2163"/>
      <c r="K974" s="2163"/>
      <c r="L974" s="2163"/>
      <c r="M974" s="2163"/>
    </row>
    <row r="975" spans="1:15">
      <c r="A975" s="2163"/>
      <c r="B975" s="2163"/>
      <c r="C975" s="2163"/>
      <c r="D975" s="2163"/>
      <c r="E975" s="2163"/>
      <c r="F975" s="2163"/>
      <c r="G975" s="2163"/>
      <c r="H975" s="2163"/>
      <c r="I975" s="2163"/>
      <c r="J975" s="2163"/>
      <c r="K975" s="2163"/>
      <c r="L975" s="2163"/>
      <c r="M975" s="2163"/>
    </row>
    <row r="976" spans="1:15">
      <c r="A976" s="2520" t="s">
        <v>2679</v>
      </c>
      <c r="B976" s="2520"/>
      <c r="C976" s="2520"/>
      <c r="D976" s="2166"/>
      <c r="E976" s="2166"/>
      <c r="F976" s="2166"/>
      <c r="G976" s="2166"/>
      <c r="H976" s="2526">
        <v>-442059.533</v>
      </c>
      <c r="I976" s="2526"/>
      <c r="J976" s="2526"/>
      <c r="K976" s="2166"/>
      <c r="L976" s="2168">
        <v>-45261061.009999998</v>
      </c>
      <c r="M976" s="2166"/>
    </row>
    <row r="977" spans="1:15">
      <c r="A977" s="2520" t="s">
        <v>2649</v>
      </c>
      <c r="B977" s="2520"/>
      <c r="C977" s="2520"/>
      <c r="D977" s="2166"/>
      <c r="E977" s="2166"/>
      <c r="F977" s="2166"/>
      <c r="G977" s="2166"/>
      <c r="H977" s="2526">
        <v>829045.45</v>
      </c>
      <c r="I977" s="2526"/>
      <c r="J977" s="2526"/>
      <c r="K977" s="2166"/>
      <c r="L977" s="2168">
        <v>85000000</v>
      </c>
      <c r="M977" s="2166"/>
    </row>
    <row r="978" spans="1:15">
      <c r="A978" s="2164"/>
      <c r="B978" s="2164"/>
      <c r="C978" s="2164"/>
      <c r="D978" s="2164"/>
      <c r="E978" s="2522" t="s">
        <v>2639</v>
      </c>
      <c r="F978" s="2522"/>
      <c r="G978" s="2164"/>
      <c r="H978" s="2528">
        <v>535538.98710000003</v>
      </c>
      <c r="I978" s="2528"/>
      <c r="J978" s="2528"/>
      <c r="K978" s="2163"/>
      <c r="L978" s="2528">
        <v>55478143.840000004</v>
      </c>
      <c r="M978" s="2163"/>
    </row>
    <row r="979" spans="1:15">
      <c r="A979" s="2164"/>
      <c r="B979" s="2164"/>
      <c r="C979" s="2164"/>
      <c r="D979" s="2164"/>
      <c r="E979" s="2164"/>
      <c r="F979" s="2164"/>
      <c r="G979" s="2164"/>
      <c r="H979" s="2528"/>
      <c r="I979" s="2528"/>
      <c r="J979" s="2528"/>
      <c r="K979" s="2163"/>
      <c r="L979" s="2528"/>
      <c r="M979" s="2163"/>
    </row>
    <row r="980" spans="1:15">
      <c r="A980" s="2160" t="s">
        <v>2688</v>
      </c>
      <c r="B980" s="2161"/>
      <c r="C980" s="2160" t="s">
        <v>2689</v>
      </c>
      <c r="D980" s="2161"/>
      <c r="E980" s="2160" t="s">
        <v>2640</v>
      </c>
      <c r="F980" s="2161"/>
    </row>
    <row r="981" spans="1:15">
      <c r="A981" s="2163"/>
      <c r="B981" s="2163"/>
      <c r="C981" s="2163"/>
      <c r="D981" s="2163"/>
      <c r="E981" s="2163"/>
      <c r="F981" s="2163"/>
      <c r="G981" s="2163"/>
      <c r="H981" s="2163"/>
      <c r="I981" s="2163"/>
      <c r="J981" s="2163"/>
      <c r="K981" s="2163"/>
      <c r="L981" s="2163"/>
      <c r="M981" s="2163"/>
    </row>
    <row r="982" spans="1:15">
      <c r="A982" s="2164"/>
      <c r="H982" s="2522" t="s">
        <v>2637</v>
      </c>
      <c r="I982" s="2522"/>
      <c r="J982" s="2163"/>
      <c r="K982" s="2528">
        <v>49243.769399999997</v>
      </c>
      <c r="L982" s="2528"/>
      <c r="M982" s="2163"/>
      <c r="N982" s="2527" t="s">
        <v>3003</v>
      </c>
      <c r="O982" s="2163"/>
    </row>
    <row r="983" spans="1:15">
      <c r="H983" s="2163"/>
      <c r="I983" s="2163"/>
      <c r="J983" s="2163"/>
      <c r="K983" s="2528"/>
      <c r="L983" s="2528"/>
      <c r="N983" s="2527"/>
    </row>
    <row r="984" spans="1:15">
      <c r="A984" s="2165">
        <v>93695</v>
      </c>
      <c r="B984" s="2163"/>
      <c r="C984" s="2524" t="s">
        <v>3004</v>
      </c>
      <c r="D984" s="2524"/>
      <c r="E984" s="2524"/>
      <c r="F984" s="2524"/>
      <c r="G984" s="2524"/>
      <c r="H984" s="2524"/>
      <c r="I984" s="2524"/>
      <c r="J984" s="2163"/>
      <c r="K984" s="2163"/>
      <c r="L984" s="2163"/>
      <c r="M984" s="2163"/>
    </row>
    <row r="985" spans="1:15">
      <c r="A985" s="2163"/>
      <c r="B985" s="2163"/>
      <c r="C985" s="2163"/>
      <c r="D985" s="2163"/>
      <c r="E985" s="2163"/>
      <c r="F985" s="2163"/>
      <c r="G985" s="2163"/>
      <c r="H985" s="2163"/>
      <c r="I985" s="2163"/>
      <c r="J985" s="2163"/>
      <c r="K985" s="2163"/>
      <c r="L985" s="2163"/>
      <c r="M985" s="2163"/>
    </row>
    <row r="986" spans="1:15">
      <c r="A986" s="2529"/>
      <c r="B986" s="2529"/>
      <c r="C986" s="2529"/>
      <c r="D986" s="2166"/>
      <c r="E986" s="2166"/>
      <c r="F986" s="2166"/>
      <c r="G986" s="2166"/>
      <c r="H986" s="2525"/>
      <c r="I986" s="2525"/>
      <c r="J986" s="2525"/>
      <c r="K986" s="2166"/>
      <c r="L986" s="2167"/>
      <c r="M986" s="2166"/>
    </row>
    <row r="987" spans="1:15">
      <c r="A987" s="2164"/>
      <c r="B987" s="2164"/>
      <c r="C987" s="2164"/>
      <c r="D987" s="2164"/>
      <c r="E987" s="2522" t="s">
        <v>2639</v>
      </c>
      <c r="F987" s="2522"/>
      <c r="G987" s="2164"/>
      <c r="H987" s="2528">
        <v>49243.769399999997</v>
      </c>
      <c r="I987" s="2528"/>
      <c r="J987" s="2528"/>
      <c r="K987" s="2163"/>
      <c r="L987" s="2528">
        <v>5101314.7300000004</v>
      </c>
      <c r="M987" s="2163"/>
    </row>
    <row r="988" spans="1:15">
      <c r="A988" s="2164"/>
      <c r="B988" s="2164"/>
      <c r="C988" s="2164"/>
      <c r="D988" s="2164"/>
      <c r="E988" s="2164"/>
      <c r="F988" s="2164"/>
      <c r="G988" s="2164"/>
      <c r="H988" s="2528"/>
      <c r="I988" s="2528"/>
      <c r="J988" s="2528"/>
      <c r="K988" s="2163"/>
      <c r="L988" s="2528"/>
      <c r="M988" s="2163"/>
    </row>
    <row r="989" spans="1:15">
      <c r="A989" s="2160" t="s">
        <v>2688</v>
      </c>
      <c r="B989" s="2161"/>
      <c r="C989" s="2160" t="s">
        <v>2689</v>
      </c>
      <c r="D989" s="2161"/>
      <c r="E989" s="2160" t="s">
        <v>2640</v>
      </c>
      <c r="F989" s="2161"/>
    </row>
    <row r="990" spans="1:15">
      <c r="A990" s="2163"/>
      <c r="B990" s="2163"/>
      <c r="C990" s="2163"/>
      <c r="D990" s="2163"/>
      <c r="E990" s="2163"/>
      <c r="F990" s="2163"/>
      <c r="G990" s="2163"/>
      <c r="H990" s="2163"/>
      <c r="I990" s="2163"/>
      <c r="J990" s="2163"/>
      <c r="K990" s="2163"/>
      <c r="L990" s="2163"/>
      <c r="M990" s="2163"/>
    </row>
    <row r="991" spans="1:15">
      <c r="A991" s="2164"/>
      <c r="H991" s="2522" t="s">
        <v>2637</v>
      </c>
      <c r="I991" s="2522"/>
      <c r="J991" s="2163"/>
      <c r="K991" s="2523">
        <v>0</v>
      </c>
      <c r="L991" s="2523"/>
      <c r="M991" s="2163"/>
      <c r="N991" s="2527"/>
      <c r="O991" s="2163"/>
    </row>
    <row r="992" spans="1:15">
      <c r="H992" s="2163"/>
      <c r="I992" s="2163"/>
      <c r="J992" s="2163"/>
      <c r="K992" s="2523"/>
      <c r="L992" s="2523"/>
      <c r="N992" s="2527"/>
    </row>
    <row r="993" spans="1:15">
      <c r="A993" s="2165">
        <v>102212</v>
      </c>
      <c r="B993" s="2163"/>
      <c r="C993" s="2524" t="s">
        <v>3005</v>
      </c>
      <c r="D993" s="2524"/>
      <c r="E993" s="2524"/>
      <c r="F993" s="2524"/>
      <c r="G993" s="2524"/>
      <c r="H993" s="2524"/>
      <c r="I993" s="2524"/>
      <c r="J993" s="2163"/>
      <c r="K993" s="2163"/>
      <c r="L993" s="2163"/>
      <c r="M993" s="2163"/>
    </row>
    <row r="994" spans="1:15">
      <c r="A994" s="2163"/>
      <c r="B994" s="2163"/>
      <c r="C994" s="2163"/>
      <c r="D994" s="2163"/>
      <c r="E994" s="2163"/>
      <c r="F994" s="2163"/>
      <c r="G994" s="2163"/>
      <c r="H994" s="2163"/>
      <c r="I994" s="2163"/>
      <c r="J994" s="2163"/>
      <c r="K994" s="2163"/>
      <c r="L994" s="2163"/>
      <c r="M994" s="2163"/>
    </row>
    <row r="995" spans="1:15">
      <c r="A995" s="2520" t="s">
        <v>2647</v>
      </c>
      <c r="B995" s="2520"/>
      <c r="C995" s="2520"/>
      <c r="D995" s="2166"/>
      <c r="E995" s="2166"/>
      <c r="F995" s="2166"/>
      <c r="G995" s="2166"/>
      <c r="H995" s="2526">
        <v>68157.593999999997</v>
      </c>
      <c r="I995" s="2526"/>
      <c r="J995" s="2526"/>
      <c r="K995" s="2166"/>
      <c r="L995" s="2168">
        <v>6945919.9800000004</v>
      </c>
      <c r="M995" s="2166"/>
    </row>
    <row r="996" spans="1:15">
      <c r="A996" s="2164"/>
      <c r="B996" s="2164"/>
      <c r="C996" s="2164"/>
      <c r="D996" s="2164"/>
      <c r="E996" s="2522" t="s">
        <v>2639</v>
      </c>
      <c r="F996" s="2522"/>
      <c r="G996" s="2164"/>
      <c r="H996" s="2528">
        <v>68157.594200000007</v>
      </c>
      <c r="I996" s="2528"/>
      <c r="J996" s="2528"/>
      <c r="K996" s="2163"/>
      <c r="L996" s="2528">
        <v>7060656.4699999997</v>
      </c>
      <c r="M996" s="2163"/>
    </row>
    <row r="997" spans="1:15">
      <c r="A997" s="2164"/>
      <c r="B997" s="2164"/>
      <c r="C997" s="2164"/>
      <c r="D997" s="2164"/>
      <c r="E997" s="2164"/>
      <c r="F997" s="2164"/>
      <c r="G997" s="2164"/>
      <c r="H997" s="2528"/>
      <c r="I997" s="2528"/>
      <c r="J997" s="2528"/>
      <c r="K997" s="2163"/>
      <c r="L997" s="2528"/>
      <c r="M997" s="2163"/>
    </row>
    <row r="998" spans="1:15">
      <c r="A998" s="2160" t="s">
        <v>2688</v>
      </c>
      <c r="B998" s="2161"/>
      <c r="C998" s="2160" t="s">
        <v>2689</v>
      </c>
      <c r="D998" s="2161"/>
      <c r="E998" s="2160" t="s">
        <v>2640</v>
      </c>
      <c r="F998" s="2161"/>
    </row>
    <row r="999" spans="1:15">
      <c r="A999" s="2163"/>
      <c r="B999" s="2163"/>
      <c r="C999" s="2163"/>
      <c r="D999" s="2163"/>
      <c r="E999" s="2163"/>
      <c r="F999" s="2163"/>
      <c r="G999" s="2163"/>
      <c r="H999" s="2163"/>
      <c r="I999" s="2163"/>
      <c r="J999" s="2163"/>
      <c r="K999" s="2163"/>
      <c r="L999" s="2163"/>
      <c r="M999" s="2163"/>
    </row>
    <row r="1000" spans="1:15">
      <c r="A1000" s="2164"/>
      <c r="H1000" s="2522" t="s">
        <v>2637</v>
      </c>
      <c r="I1000" s="2522"/>
      <c r="J1000" s="2163"/>
      <c r="K1000" s="2523">
        <v>0</v>
      </c>
      <c r="L1000" s="2523"/>
      <c r="M1000" s="2163"/>
      <c r="N1000" s="2527"/>
      <c r="O1000" s="2163"/>
    </row>
    <row r="1001" spans="1:15">
      <c r="H1001" s="2163"/>
      <c r="I1001" s="2163"/>
      <c r="J1001" s="2163"/>
      <c r="K1001" s="2523"/>
      <c r="L1001" s="2523"/>
      <c r="N1001" s="2527"/>
    </row>
    <row r="1002" spans="1:15">
      <c r="A1002" s="2165">
        <v>107021</v>
      </c>
      <c r="B1002" s="2163"/>
      <c r="C1002" s="2524" t="s">
        <v>3006</v>
      </c>
      <c r="D1002" s="2524"/>
      <c r="E1002" s="2524"/>
      <c r="F1002" s="2524"/>
      <c r="G1002" s="2524"/>
      <c r="H1002" s="2524"/>
      <c r="I1002" s="2524"/>
      <c r="J1002" s="2163"/>
      <c r="K1002" s="2163"/>
      <c r="L1002" s="2163"/>
      <c r="M1002" s="2163"/>
    </row>
    <row r="1003" spans="1:15">
      <c r="A1003" s="2163"/>
      <c r="B1003" s="2163"/>
      <c r="C1003" s="2163"/>
      <c r="D1003" s="2163"/>
      <c r="E1003" s="2163"/>
      <c r="F1003" s="2163"/>
      <c r="G1003" s="2163"/>
      <c r="H1003" s="2163"/>
      <c r="I1003" s="2163"/>
      <c r="J1003" s="2163"/>
      <c r="K1003" s="2163"/>
      <c r="L1003" s="2163"/>
      <c r="M1003" s="2163"/>
    </row>
    <row r="1004" spans="1:15">
      <c r="A1004" s="2520" t="s">
        <v>2679</v>
      </c>
      <c r="B1004" s="2520"/>
      <c r="C1004" s="2520"/>
      <c r="D1004" s="2166"/>
      <c r="E1004" s="2166"/>
      <c r="F1004" s="2166"/>
      <c r="G1004" s="2166"/>
      <c r="H1004" s="2526">
        <v>-2201298.4730000002</v>
      </c>
      <c r="I1004" s="2526"/>
      <c r="J1004" s="2526"/>
      <c r="K1004" s="2166"/>
      <c r="L1004" s="2168">
        <v>-225383906.44999999</v>
      </c>
      <c r="M1004" s="2166"/>
    </row>
    <row r="1005" spans="1:15">
      <c r="A1005" s="2520" t="s">
        <v>2649</v>
      </c>
      <c r="B1005" s="2520"/>
      <c r="C1005" s="2520"/>
      <c r="D1005" s="2166"/>
      <c r="E1005" s="2166"/>
      <c r="F1005" s="2166"/>
      <c r="G1005" s="2166"/>
      <c r="H1005" s="2526">
        <v>2201298.4730000002</v>
      </c>
      <c r="I1005" s="2526"/>
      <c r="J1005" s="2526"/>
      <c r="K1005" s="2166"/>
      <c r="L1005" s="2168">
        <v>225000000</v>
      </c>
      <c r="M1005" s="2166"/>
    </row>
    <row r="1006" spans="1:15">
      <c r="A1006" s="2164"/>
      <c r="B1006" s="2164"/>
      <c r="C1006" s="2164"/>
      <c r="D1006" s="2164"/>
      <c r="E1006" s="2522" t="s">
        <v>2639</v>
      </c>
      <c r="F1006" s="2522"/>
      <c r="G1006" s="2164"/>
      <c r="H1006" s="2523">
        <v>0</v>
      </c>
      <c r="I1006" s="2523"/>
      <c r="J1006" s="2523"/>
      <c r="K1006" s="2163"/>
      <c r="L1006" s="2523">
        <v>0</v>
      </c>
      <c r="M1006" s="2163"/>
    </row>
    <row r="1007" spans="1:15">
      <c r="A1007" s="2164"/>
      <c r="B1007" s="2164"/>
      <c r="C1007" s="2164"/>
      <c r="D1007" s="2164"/>
      <c r="E1007" s="2164"/>
      <c r="F1007" s="2164"/>
      <c r="G1007" s="2164"/>
      <c r="H1007" s="2523"/>
      <c r="I1007" s="2523"/>
      <c r="J1007" s="2523"/>
      <c r="K1007" s="2163"/>
      <c r="L1007" s="2523"/>
      <c r="M1007" s="2163"/>
    </row>
    <row r="1008" spans="1:15">
      <c r="A1008" s="2160" t="s">
        <v>2696</v>
      </c>
      <c r="B1008" s="2161"/>
      <c r="C1008" s="2160" t="s">
        <v>2697</v>
      </c>
      <c r="D1008" s="2161"/>
      <c r="E1008" s="2160" t="s">
        <v>2698</v>
      </c>
      <c r="F1008" s="2161"/>
    </row>
    <row r="1009" spans="1:15">
      <c r="A1009" s="2163"/>
      <c r="B1009" s="2163"/>
      <c r="C1009" s="2163"/>
      <c r="D1009" s="2163"/>
      <c r="E1009" s="2163"/>
      <c r="F1009" s="2163"/>
      <c r="G1009" s="2163"/>
      <c r="H1009" s="2163"/>
      <c r="I1009" s="2163"/>
      <c r="J1009" s="2163"/>
      <c r="K1009" s="2163"/>
      <c r="L1009" s="2163"/>
      <c r="M1009" s="2163"/>
    </row>
    <row r="1010" spans="1:15">
      <c r="A1010" s="2164"/>
      <c r="H1010" s="2522" t="s">
        <v>2637</v>
      </c>
      <c r="I1010" s="2522"/>
      <c r="J1010" s="2163"/>
      <c r="K1010" s="2523">
        <v>0</v>
      </c>
      <c r="L1010" s="2523"/>
      <c r="M1010" s="2163"/>
      <c r="N1010" s="2527"/>
      <c r="O1010" s="2163"/>
    </row>
    <row r="1011" spans="1:15">
      <c r="H1011" s="2163"/>
      <c r="I1011" s="2163"/>
      <c r="J1011" s="2163"/>
      <c r="K1011" s="2523"/>
      <c r="L1011" s="2523"/>
      <c r="N1011" s="2527"/>
    </row>
    <row r="1012" spans="1:15">
      <c r="A1012" s="2165">
        <v>32149</v>
      </c>
      <c r="B1012" s="2163"/>
      <c r="C1012" s="2524" t="s">
        <v>2646</v>
      </c>
      <c r="D1012" s="2524"/>
      <c r="E1012" s="2524"/>
      <c r="F1012" s="2524"/>
      <c r="G1012" s="2524"/>
      <c r="H1012" s="2524"/>
      <c r="I1012" s="2524"/>
      <c r="J1012" s="2163"/>
      <c r="K1012" s="2163"/>
      <c r="L1012" s="2163"/>
      <c r="M1012" s="2163"/>
    </row>
    <row r="1013" spans="1:15">
      <c r="A1013" s="2163"/>
      <c r="B1013" s="2163"/>
      <c r="C1013" s="2163"/>
      <c r="D1013" s="2163"/>
      <c r="E1013" s="2163"/>
      <c r="F1013" s="2163"/>
      <c r="G1013" s="2163"/>
      <c r="H1013" s="2163"/>
      <c r="I1013" s="2163"/>
      <c r="J1013" s="2163"/>
      <c r="K1013" s="2163"/>
      <c r="L1013" s="2163"/>
      <c r="M1013" s="2163"/>
    </row>
    <row r="1014" spans="1:15">
      <c r="A1014" s="2529"/>
      <c r="B1014" s="2529"/>
      <c r="C1014" s="2529"/>
      <c r="D1014" s="2166"/>
      <c r="E1014" s="2166"/>
      <c r="F1014" s="2166"/>
      <c r="G1014" s="2166"/>
      <c r="H1014" s="2525"/>
      <c r="I1014" s="2525"/>
      <c r="J1014" s="2525"/>
      <c r="K1014" s="2166"/>
      <c r="L1014" s="2167"/>
      <c r="M1014" s="2166"/>
    </row>
    <row r="1015" spans="1:15">
      <c r="A1015" s="2164"/>
      <c r="B1015" s="2164"/>
      <c r="C1015" s="2164"/>
      <c r="D1015" s="2164"/>
      <c r="E1015" s="2522" t="s">
        <v>2639</v>
      </c>
      <c r="F1015" s="2522"/>
      <c r="G1015" s="2164"/>
      <c r="H1015" s="2523">
        <v>0</v>
      </c>
      <c r="I1015" s="2523"/>
      <c r="J1015" s="2523"/>
      <c r="K1015" s="2163"/>
      <c r="L1015" s="2530"/>
      <c r="M1015" s="2163"/>
    </row>
    <row r="1016" spans="1:15">
      <c r="A1016" s="2164"/>
      <c r="B1016" s="2164"/>
      <c r="C1016" s="2164"/>
      <c r="D1016" s="2164"/>
      <c r="E1016" s="2164"/>
      <c r="F1016" s="2164"/>
      <c r="G1016" s="2164"/>
      <c r="H1016" s="2523"/>
      <c r="I1016" s="2523"/>
      <c r="J1016" s="2523"/>
      <c r="K1016" s="2163"/>
      <c r="L1016" s="2530"/>
      <c r="M1016" s="2163"/>
    </row>
    <row r="1017" spans="1:15">
      <c r="A1017" s="2160" t="s">
        <v>2696</v>
      </c>
      <c r="B1017" s="2161"/>
      <c r="C1017" s="2160" t="s">
        <v>2697</v>
      </c>
      <c r="D1017" s="2161"/>
      <c r="E1017" s="2160" t="s">
        <v>2698</v>
      </c>
      <c r="F1017" s="2161"/>
    </row>
    <row r="1018" spans="1:15">
      <c r="A1018" s="2163"/>
      <c r="B1018" s="2163"/>
      <c r="C1018" s="2163"/>
      <c r="D1018" s="2163"/>
      <c r="E1018" s="2163"/>
      <c r="F1018" s="2163"/>
      <c r="G1018" s="2163"/>
      <c r="H1018" s="2163"/>
      <c r="I1018" s="2163"/>
      <c r="J1018" s="2163"/>
      <c r="K1018" s="2163"/>
      <c r="L1018" s="2163"/>
      <c r="M1018" s="2163"/>
    </row>
    <row r="1019" spans="1:15">
      <c r="A1019" s="2164"/>
      <c r="H1019" s="2522" t="s">
        <v>2637</v>
      </c>
      <c r="I1019" s="2522"/>
      <c r="J1019" s="2163"/>
      <c r="K1019" s="2523">
        <v>0</v>
      </c>
      <c r="L1019" s="2523"/>
      <c r="M1019" s="2163"/>
      <c r="N1019" s="2527"/>
      <c r="O1019" s="2163"/>
    </row>
    <row r="1020" spans="1:15">
      <c r="H1020" s="2163"/>
      <c r="I1020" s="2163"/>
      <c r="J1020" s="2163"/>
      <c r="K1020" s="2523"/>
      <c r="L1020" s="2523"/>
      <c r="N1020" s="2527"/>
    </row>
    <row r="1021" spans="1:15">
      <c r="A1021" s="2165">
        <v>32636</v>
      </c>
      <c r="B1021" s="2163"/>
      <c r="C1021" s="2524" t="s">
        <v>2641</v>
      </c>
      <c r="D1021" s="2524"/>
      <c r="E1021" s="2524"/>
      <c r="F1021" s="2524"/>
      <c r="G1021" s="2524"/>
      <c r="H1021" s="2524"/>
      <c r="I1021" s="2524"/>
      <c r="J1021" s="2163"/>
      <c r="K1021" s="2163"/>
      <c r="L1021" s="2163"/>
      <c r="M1021" s="2163"/>
    </row>
    <row r="1022" spans="1:15">
      <c r="A1022" s="2163"/>
      <c r="B1022" s="2163"/>
      <c r="C1022" s="2163"/>
      <c r="D1022" s="2163"/>
      <c r="E1022" s="2163"/>
      <c r="F1022" s="2163"/>
      <c r="G1022" s="2163"/>
      <c r="H1022" s="2163"/>
      <c r="I1022" s="2163"/>
      <c r="J1022" s="2163"/>
      <c r="K1022" s="2163"/>
      <c r="L1022" s="2163"/>
      <c r="M1022" s="2163"/>
    </row>
    <row r="1023" spans="1:15">
      <c r="A1023" s="2529"/>
      <c r="B1023" s="2529"/>
      <c r="C1023" s="2529"/>
      <c r="D1023" s="2166"/>
      <c r="E1023" s="2166"/>
      <c r="F1023" s="2166"/>
      <c r="G1023" s="2166"/>
      <c r="H1023" s="2525"/>
      <c r="I1023" s="2525"/>
      <c r="J1023" s="2525"/>
      <c r="K1023" s="2166"/>
      <c r="L1023" s="2167"/>
      <c r="M1023" s="2166"/>
    </row>
    <row r="1024" spans="1:15">
      <c r="A1024" s="2164"/>
      <c r="B1024" s="2164"/>
      <c r="C1024" s="2164"/>
      <c r="D1024" s="2164"/>
      <c r="E1024" s="2522" t="s">
        <v>2639</v>
      </c>
      <c r="F1024" s="2522"/>
      <c r="G1024" s="2164"/>
      <c r="H1024" s="2523">
        <v>0</v>
      </c>
      <c r="I1024" s="2523"/>
      <c r="J1024" s="2523"/>
      <c r="K1024" s="2163"/>
      <c r="L1024" s="2530"/>
      <c r="M1024" s="2163"/>
    </row>
    <row r="1025" spans="1:15">
      <c r="A1025" s="2164"/>
      <c r="B1025" s="2164"/>
      <c r="C1025" s="2164"/>
      <c r="D1025" s="2164"/>
      <c r="E1025" s="2164"/>
      <c r="F1025" s="2164"/>
      <c r="G1025" s="2164"/>
      <c r="H1025" s="2523"/>
      <c r="I1025" s="2523"/>
      <c r="J1025" s="2523"/>
      <c r="K1025" s="2163"/>
      <c r="L1025" s="2530"/>
      <c r="M1025" s="2163"/>
    </row>
    <row r="1026" spans="1:15">
      <c r="A1026" s="2160" t="s">
        <v>2696</v>
      </c>
      <c r="B1026" s="2161"/>
      <c r="C1026" s="2160" t="s">
        <v>2697</v>
      </c>
      <c r="D1026" s="2161"/>
      <c r="E1026" s="2160" t="s">
        <v>2698</v>
      </c>
      <c r="F1026" s="2161"/>
    </row>
    <row r="1027" spans="1:15">
      <c r="A1027" s="2163"/>
      <c r="B1027" s="2163"/>
      <c r="C1027" s="2163"/>
      <c r="D1027" s="2163"/>
      <c r="E1027" s="2163"/>
      <c r="F1027" s="2163"/>
      <c r="G1027" s="2163"/>
      <c r="H1027" s="2163"/>
      <c r="I1027" s="2163"/>
      <c r="J1027" s="2163"/>
      <c r="K1027" s="2163"/>
      <c r="L1027" s="2163"/>
      <c r="M1027" s="2163"/>
    </row>
    <row r="1028" spans="1:15">
      <c r="A1028" s="2164"/>
      <c r="H1028" s="2522" t="s">
        <v>2637</v>
      </c>
      <c r="I1028" s="2522"/>
      <c r="J1028" s="2163"/>
      <c r="K1028" s="2523">
        <v>0</v>
      </c>
      <c r="L1028" s="2523"/>
      <c r="M1028" s="2163"/>
      <c r="N1028" s="2527"/>
      <c r="O1028" s="2163"/>
    </row>
    <row r="1029" spans="1:15">
      <c r="H1029" s="2163"/>
      <c r="I1029" s="2163"/>
      <c r="J1029" s="2163"/>
      <c r="K1029" s="2523"/>
      <c r="L1029" s="2523"/>
      <c r="N1029" s="2527"/>
    </row>
    <row r="1030" spans="1:15">
      <c r="A1030" s="2165">
        <v>32143</v>
      </c>
      <c r="B1030" s="2163"/>
      <c r="C1030" s="2524" t="s">
        <v>2650</v>
      </c>
      <c r="D1030" s="2524"/>
      <c r="E1030" s="2524"/>
      <c r="F1030" s="2524"/>
      <c r="G1030" s="2524"/>
      <c r="H1030" s="2524"/>
      <c r="I1030" s="2524"/>
      <c r="J1030" s="2163"/>
      <c r="K1030" s="2163"/>
      <c r="L1030" s="2163"/>
      <c r="M1030" s="2163"/>
    </row>
    <row r="1031" spans="1:15">
      <c r="A1031" s="2163"/>
      <c r="B1031" s="2163"/>
      <c r="C1031" s="2163"/>
      <c r="D1031" s="2163"/>
      <c r="E1031" s="2163"/>
      <c r="F1031" s="2163"/>
      <c r="G1031" s="2163"/>
      <c r="H1031" s="2163"/>
      <c r="I1031" s="2163"/>
      <c r="J1031" s="2163"/>
      <c r="K1031" s="2163"/>
      <c r="L1031" s="2163"/>
      <c r="M1031" s="2163"/>
    </row>
    <row r="1032" spans="1:15">
      <c r="A1032" s="2529"/>
      <c r="B1032" s="2529"/>
      <c r="C1032" s="2529"/>
      <c r="D1032" s="2166"/>
      <c r="E1032" s="2166"/>
      <c r="F1032" s="2166"/>
      <c r="G1032" s="2166"/>
      <c r="H1032" s="2525"/>
      <c r="I1032" s="2525"/>
      <c r="J1032" s="2525"/>
      <c r="K1032" s="2166"/>
      <c r="L1032" s="2167"/>
      <c r="M1032" s="2166"/>
    </row>
    <row r="1033" spans="1:15">
      <c r="A1033" s="2164"/>
      <c r="B1033" s="2164"/>
      <c r="C1033" s="2164"/>
      <c r="D1033" s="2164"/>
      <c r="E1033" s="2522" t="s">
        <v>2639</v>
      </c>
      <c r="F1033" s="2522"/>
      <c r="G1033" s="2164"/>
      <c r="H1033" s="2523">
        <v>0</v>
      </c>
      <c r="I1033" s="2523"/>
      <c r="J1033" s="2523"/>
      <c r="K1033" s="2163"/>
      <c r="L1033" s="2530"/>
      <c r="M1033" s="2163"/>
    </row>
    <row r="1034" spans="1:15">
      <c r="A1034" s="2164"/>
      <c r="B1034" s="2164"/>
      <c r="C1034" s="2164"/>
      <c r="D1034" s="2164"/>
      <c r="E1034" s="2164"/>
      <c r="F1034" s="2164"/>
      <c r="G1034" s="2164"/>
      <c r="H1034" s="2523"/>
      <c r="I1034" s="2523"/>
      <c r="J1034" s="2523"/>
      <c r="K1034" s="2163"/>
      <c r="L1034" s="2530"/>
      <c r="M1034" s="2163"/>
    </row>
    <row r="1035" spans="1:15" s="2171" customFormat="1">
      <c r="A1035" s="2169" t="s">
        <v>2699</v>
      </c>
      <c r="B1035" s="2170"/>
      <c r="C1035" s="2169" t="s">
        <v>1069</v>
      </c>
      <c r="D1035" s="2170"/>
      <c r="E1035" s="2169" t="s">
        <v>2640</v>
      </c>
      <c r="F1035" s="2170"/>
    </row>
    <row r="1036" spans="1:15" s="2171" customFormat="1">
      <c r="A1036" s="2172"/>
      <c r="B1036" s="2172"/>
      <c r="C1036" s="2172"/>
      <c r="D1036" s="2172"/>
      <c r="E1036" s="2172"/>
      <c r="F1036" s="2172"/>
      <c r="G1036" s="2172"/>
      <c r="H1036" s="2172"/>
      <c r="I1036" s="2172"/>
      <c r="J1036" s="2172"/>
      <c r="K1036" s="2172"/>
      <c r="L1036" s="2172"/>
      <c r="M1036" s="2172"/>
    </row>
    <row r="1037" spans="1:15" s="2171" customFormat="1">
      <c r="A1037" s="2170"/>
      <c r="H1037" s="2531" t="s">
        <v>2637</v>
      </c>
      <c r="I1037" s="2531"/>
      <c r="J1037" s="2172"/>
      <c r="K1037" s="2537">
        <v>0</v>
      </c>
      <c r="L1037" s="2537"/>
      <c r="M1037" s="2172"/>
      <c r="N1037" s="2533"/>
      <c r="O1037" s="2172"/>
    </row>
    <row r="1038" spans="1:15" s="2171" customFormat="1">
      <c r="H1038" s="2172"/>
      <c r="I1038" s="2172"/>
      <c r="J1038" s="2172"/>
      <c r="K1038" s="2537"/>
      <c r="L1038" s="2537"/>
      <c r="N1038" s="2533"/>
    </row>
    <row r="1039" spans="1:15" s="2171" customFormat="1">
      <c r="A1039" s="2169">
        <v>336</v>
      </c>
      <c r="B1039" s="2172"/>
      <c r="C1039" s="2534" t="s">
        <v>2655</v>
      </c>
      <c r="D1039" s="2534"/>
      <c r="E1039" s="2534"/>
      <c r="F1039" s="2534"/>
      <c r="G1039" s="2534"/>
      <c r="H1039" s="2534"/>
      <c r="I1039" s="2534"/>
      <c r="J1039" s="2172"/>
      <c r="K1039" s="2172"/>
      <c r="L1039" s="2172"/>
      <c r="M1039" s="2172"/>
    </row>
    <row r="1040" spans="1:15" s="2171" customFormat="1">
      <c r="A1040" s="2172"/>
      <c r="B1040" s="2172"/>
      <c r="C1040" s="2172"/>
      <c r="D1040" s="2172"/>
      <c r="E1040" s="2172"/>
      <c r="F1040" s="2172"/>
      <c r="G1040" s="2172"/>
      <c r="H1040" s="2172"/>
      <c r="I1040" s="2172"/>
      <c r="J1040" s="2172"/>
      <c r="K1040" s="2172"/>
      <c r="L1040" s="2172"/>
      <c r="M1040" s="2172"/>
    </row>
    <row r="1041" spans="1:15" s="2171" customFormat="1">
      <c r="A1041" s="2538"/>
      <c r="B1041" s="2538"/>
      <c r="C1041" s="2538"/>
      <c r="D1041" s="2173"/>
      <c r="E1041" s="2173"/>
      <c r="F1041" s="2173"/>
      <c r="G1041" s="2173"/>
      <c r="H1041" s="2539"/>
      <c r="I1041" s="2539"/>
      <c r="J1041" s="2539"/>
      <c r="K1041" s="2173"/>
      <c r="L1041" s="2174"/>
      <c r="M1041" s="2173"/>
    </row>
    <row r="1042" spans="1:15" s="2171" customFormat="1">
      <c r="A1042" s="2170"/>
      <c r="B1042" s="2170"/>
      <c r="C1042" s="2170"/>
      <c r="D1042" s="2170"/>
      <c r="E1042" s="2531" t="s">
        <v>2639</v>
      </c>
      <c r="F1042" s="2531"/>
      <c r="G1042" s="2170"/>
      <c r="H1042" s="2537">
        <v>0</v>
      </c>
      <c r="I1042" s="2537"/>
      <c r="J1042" s="2537"/>
      <c r="K1042" s="2172"/>
      <c r="L1042" s="2537">
        <v>0</v>
      </c>
      <c r="M1042" s="2172"/>
    </row>
    <row r="1043" spans="1:15" s="2171" customFormat="1">
      <c r="A1043" s="2170"/>
      <c r="B1043" s="2170"/>
      <c r="C1043" s="2170"/>
      <c r="D1043" s="2170"/>
      <c r="E1043" s="2170"/>
      <c r="F1043" s="2170"/>
      <c r="G1043" s="2170"/>
      <c r="H1043" s="2537"/>
      <c r="I1043" s="2537"/>
      <c r="J1043" s="2537"/>
      <c r="K1043" s="2172"/>
      <c r="L1043" s="2537"/>
      <c r="M1043" s="2172"/>
    </row>
    <row r="1044" spans="1:15" s="2171" customFormat="1">
      <c r="A1044" s="2169" t="s">
        <v>2699</v>
      </c>
      <c r="B1044" s="2170"/>
      <c r="C1044" s="2169" t="s">
        <v>1069</v>
      </c>
      <c r="D1044" s="2170"/>
      <c r="E1044" s="2169" t="s">
        <v>2640</v>
      </c>
      <c r="F1044" s="2170"/>
    </row>
    <row r="1045" spans="1:15" s="2171" customFormat="1">
      <c r="A1045" s="2172"/>
      <c r="B1045" s="2172"/>
      <c r="C1045" s="2172"/>
      <c r="D1045" s="2172"/>
      <c r="E1045" s="2172"/>
      <c r="F1045" s="2172"/>
      <c r="G1045" s="2172"/>
      <c r="H1045" s="2172"/>
      <c r="I1045" s="2172"/>
      <c r="J1045" s="2172"/>
      <c r="K1045" s="2172"/>
      <c r="L1045" s="2172"/>
      <c r="M1045" s="2172"/>
    </row>
    <row r="1046" spans="1:15" s="2171" customFormat="1">
      <c r="A1046" s="2170"/>
      <c r="H1046" s="2531" t="s">
        <v>2637</v>
      </c>
      <c r="I1046" s="2531"/>
      <c r="J1046" s="2172"/>
      <c r="K1046" s="2537">
        <v>0</v>
      </c>
      <c r="L1046" s="2537"/>
      <c r="M1046" s="2172"/>
      <c r="N1046" s="2533"/>
      <c r="O1046" s="2172"/>
    </row>
    <row r="1047" spans="1:15" s="2171" customFormat="1">
      <c r="H1047" s="2172"/>
      <c r="I1047" s="2172"/>
      <c r="J1047" s="2172"/>
      <c r="K1047" s="2537"/>
      <c r="L1047" s="2537"/>
      <c r="N1047" s="2533"/>
    </row>
    <row r="1048" spans="1:15" s="2171" customFormat="1">
      <c r="A1048" s="2169">
        <v>23</v>
      </c>
      <c r="B1048" s="2172"/>
      <c r="C1048" s="2534" t="s">
        <v>2655</v>
      </c>
      <c r="D1048" s="2534"/>
      <c r="E1048" s="2534"/>
      <c r="F1048" s="2534"/>
      <c r="G1048" s="2534"/>
      <c r="H1048" s="2534"/>
      <c r="I1048" s="2534"/>
      <c r="J1048" s="2172"/>
      <c r="K1048" s="2172"/>
      <c r="L1048" s="2172"/>
      <c r="M1048" s="2172"/>
    </row>
    <row r="1049" spans="1:15" s="2171" customFormat="1">
      <c r="A1049" s="2172"/>
      <c r="B1049" s="2172"/>
      <c r="C1049" s="2172"/>
      <c r="D1049" s="2172"/>
      <c r="E1049" s="2172"/>
      <c r="F1049" s="2172"/>
      <c r="G1049" s="2172"/>
      <c r="H1049" s="2172"/>
      <c r="I1049" s="2172"/>
      <c r="J1049" s="2172"/>
      <c r="K1049" s="2172"/>
      <c r="L1049" s="2172"/>
      <c r="M1049" s="2172"/>
    </row>
    <row r="1050" spans="1:15" s="2171" customFormat="1">
      <c r="A1050" s="2538"/>
      <c r="B1050" s="2538"/>
      <c r="C1050" s="2538"/>
      <c r="D1050" s="2173"/>
      <c r="E1050" s="2173"/>
      <c r="F1050" s="2173"/>
      <c r="G1050" s="2173"/>
      <c r="H1050" s="2539"/>
      <c r="I1050" s="2539"/>
      <c r="J1050" s="2539"/>
      <c r="K1050" s="2173"/>
      <c r="L1050" s="2174"/>
      <c r="M1050" s="2173"/>
    </row>
    <row r="1051" spans="1:15" s="2171" customFormat="1">
      <c r="A1051" s="2170"/>
      <c r="B1051" s="2170"/>
      <c r="C1051" s="2170"/>
      <c r="D1051" s="2170"/>
      <c r="E1051" s="2531" t="s">
        <v>2639</v>
      </c>
      <c r="F1051" s="2531"/>
      <c r="G1051" s="2170"/>
      <c r="H1051" s="2537">
        <v>0</v>
      </c>
      <c r="I1051" s="2537"/>
      <c r="J1051" s="2537"/>
      <c r="K1051" s="2172"/>
      <c r="L1051" s="2537">
        <v>0</v>
      </c>
      <c r="M1051" s="2172"/>
    </row>
    <row r="1052" spans="1:15" s="2171" customFormat="1">
      <c r="A1052" s="2170"/>
      <c r="B1052" s="2170"/>
      <c r="C1052" s="2170"/>
      <c r="D1052" s="2170"/>
      <c r="E1052" s="2170"/>
      <c r="F1052" s="2170"/>
      <c r="G1052" s="2170"/>
      <c r="H1052" s="2537"/>
      <c r="I1052" s="2537"/>
      <c r="J1052" s="2537"/>
      <c r="K1052" s="2172"/>
      <c r="L1052" s="2537"/>
      <c r="M1052" s="2172"/>
    </row>
    <row r="1053" spans="1:15" s="2171" customFormat="1">
      <c r="A1053" s="2169" t="s">
        <v>2699</v>
      </c>
      <c r="B1053" s="2170"/>
      <c r="C1053" s="2169" t="s">
        <v>1069</v>
      </c>
      <c r="D1053" s="2170"/>
      <c r="E1053" s="2169" t="s">
        <v>2640</v>
      </c>
      <c r="F1053" s="2170"/>
    </row>
    <row r="1054" spans="1:15" s="2171" customFormat="1">
      <c r="A1054" s="2172"/>
      <c r="B1054" s="2172"/>
      <c r="C1054" s="2172"/>
      <c r="D1054" s="2172"/>
      <c r="E1054" s="2172"/>
      <c r="F1054" s="2172"/>
      <c r="G1054" s="2172"/>
      <c r="H1054" s="2172"/>
      <c r="I1054" s="2172"/>
      <c r="J1054" s="2172"/>
      <c r="K1054" s="2172"/>
      <c r="L1054" s="2172"/>
      <c r="M1054" s="2172"/>
    </row>
    <row r="1055" spans="1:15" s="2171" customFormat="1">
      <c r="A1055" s="2170"/>
      <c r="H1055" s="2531" t="s">
        <v>2637</v>
      </c>
      <c r="I1055" s="2531"/>
      <c r="J1055" s="2172"/>
      <c r="K1055" s="2537">
        <v>1.5599999999999999E-2</v>
      </c>
      <c r="L1055" s="2537"/>
      <c r="M1055" s="2172"/>
      <c r="N1055" s="2533">
        <v>1</v>
      </c>
      <c r="O1055" s="2172"/>
    </row>
    <row r="1056" spans="1:15" s="2171" customFormat="1">
      <c r="H1056" s="2172"/>
      <c r="I1056" s="2172"/>
      <c r="J1056" s="2172"/>
      <c r="K1056" s="2537"/>
      <c r="L1056" s="2537"/>
      <c r="N1056" s="2533"/>
    </row>
    <row r="1057" spans="1:15" s="2171" customFormat="1">
      <c r="A1057" s="2169">
        <v>26</v>
      </c>
      <c r="B1057" s="2172"/>
      <c r="C1057" s="2534" t="s">
        <v>2845</v>
      </c>
      <c r="D1057" s="2534"/>
      <c r="E1057" s="2534"/>
      <c r="F1057" s="2534"/>
      <c r="G1057" s="2534"/>
      <c r="H1057" s="2534"/>
      <c r="I1057" s="2534"/>
      <c r="J1057" s="2172"/>
      <c r="K1057" s="2172"/>
      <c r="L1057" s="2172"/>
      <c r="M1057" s="2172"/>
    </row>
    <row r="1058" spans="1:15" s="2171" customFormat="1">
      <c r="A1058" s="2172"/>
      <c r="B1058" s="2172"/>
      <c r="C1058" s="2172"/>
      <c r="D1058" s="2172"/>
      <c r="E1058" s="2172"/>
      <c r="F1058" s="2172"/>
      <c r="G1058" s="2172"/>
      <c r="H1058" s="2172"/>
      <c r="I1058" s="2172"/>
      <c r="J1058" s="2172"/>
      <c r="K1058" s="2172"/>
      <c r="L1058" s="2172"/>
      <c r="M1058" s="2172"/>
    </row>
    <row r="1059" spans="1:15" s="2171" customFormat="1">
      <c r="A1059" s="2535" t="s">
        <v>2649</v>
      </c>
      <c r="B1059" s="2535"/>
      <c r="C1059" s="2535"/>
      <c r="D1059" s="2173"/>
      <c r="E1059" s="2173"/>
      <c r="F1059" s="2173"/>
      <c r="G1059" s="2173"/>
      <c r="H1059" s="2536">
        <v>11795.374</v>
      </c>
      <c r="I1059" s="2536"/>
      <c r="J1059" s="2536"/>
      <c r="K1059" s="2173"/>
      <c r="L1059" s="2175">
        <v>1002398.6</v>
      </c>
      <c r="M1059" s="2173"/>
    </row>
    <row r="1060" spans="1:15" s="2171" customFormat="1">
      <c r="A1060" s="2170"/>
      <c r="B1060" s="2170"/>
      <c r="C1060" s="2170"/>
      <c r="D1060" s="2170"/>
      <c r="E1060" s="2531" t="s">
        <v>2639</v>
      </c>
      <c r="F1060" s="2531"/>
      <c r="G1060" s="2170"/>
      <c r="H1060" s="2532">
        <v>11795.3894</v>
      </c>
      <c r="I1060" s="2532"/>
      <c r="J1060" s="2532"/>
      <c r="K1060" s="2172"/>
      <c r="L1060" s="2532">
        <v>1072554.76</v>
      </c>
      <c r="M1060" s="2172"/>
    </row>
    <row r="1061" spans="1:15" s="2171" customFormat="1">
      <c r="A1061" s="2170"/>
      <c r="B1061" s="2170"/>
      <c r="C1061" s="2170"/>
      <c r="D1061" s="2170"/>
      <c r="E1061" s="2170"/>
      <c r="F1061" s="2170"/>
      <c r="G1061" s="2170"/>
      <c r="H1061" s="2532"/>
      <c r="I1061" s="2532"/>
      <c r="J1061" s="2532"/>
      <c r="K1061" s="2172"/>
      <c r="L1061" s="2532"/>
      <c r="M1061" s="2172"/>
    </row>
    <row r="1062" spans="1:15" s="2171" customFormat="1">
      <c r="A1062" s="2169" t="s">
        <v>2699</v>
      </c>
      <c r="B1062" s="2170"/>
      <c r="C1062" s="2169" t="s">
        <v>1069</v>
      </c>
      <c r="D1062" s="2170"/>
      <c r="E1062" s="2169" t="s">
        <v>2640</v>
      </c>
      <c r="F1062" s="2170"/>
    </row>
    <row r="1063" spans="1:15" s="2171" customFormat="1">
      <c r="A1063" s="2172"/>
      <c r="B1063" s="2172"/>
      <c r="C1063" s="2172"/>
      <c r="D1063" s="2172"/>
      <c r="E1063" s="2172"/>
      <c r="F1063" s="2172"/>
      <c r="G1063" s="2172"/>
      <c r="H1063" s="2172"/>
      <c r="I1063" s="2172"/>
      <c r="J1063" s="2172"/>
      <c r="K1063" s="2172"/>
      <c r="L1063" s="2172"/>
      <c r="M1063" s="2172"/>
    </row>
    <row r="1064" spans="1:15" s="2171" customFormat="1">
      <c r="A1064" s="2170"/>
      <c r="H1064" s="2531" t="s">
        <v>2637</v>
      </c>
      <c r="I1064" s="2531"/>
      <c r="J1064" s="2172"/>
      <c r="K1064" s="2537">
        <v>6.6400000000000001E-2</v>
      </c>
      <c r="L1064" s="2537"/>
      <c r="M1064" s="2172"/>
      <c r="N1064" s="2533">
        <v>6</v>
      </c>
      <c r="O1064" s="2172"/>
    </row>
    <row r="1065" spans="1:15" s="2171" customFormat="1">
      <c r="H1065" s="2172"/>
      <c r="I1065" s="2172"/>
      <c r="J1065" s="2172"/>
      <c r="K1065" s="2537"/>
      <c r="L1065" s="2537"/>
      <c r="N1065" s="2533"/>
    </row>
    <row r="1066" spans="1:15" s="2171" customFormat="1">
      <c r="A1066" s="2169">
        <v>425</v>
      </c>
      <c r="B1066" s="2172"/>
      <c r="C1066" s="2534" t="s">
        <v>2641</v>
      </c>
      <c r="D1066" s="2534"/>
      <c r="E1066" s="2534"/>
      <c r="F1066" s="2534"/>
      <c r="G1066" s="2534"/>
      <c r="H1066" s="2534"/>
      <c r="I1066" s="2534"/>
      <c r="J1066" s="2172"/>
      <c r="K1066" s="2172"/>
      <c r="L1066" s="2172"/>
      <c r="M1066" s="2172"/>
    </row>
    <row r="1067" spans="1:15" s="2171" customFormat="1">
      <c r="A1067" s="2172"/>
      <c r="B1067" s="2172"/>
      <c r="C1067" s="2172"/>
      <c r="D1067" s="2172"/>
      <c r="E1067" s="2172"/>
      <c r="F1067" s="2172"/>
      <c r="G1067" s="2172"/>
      <c r="H1067" s="2172"/>
      <c r="I1067" s="2172"/>
      <c r="J1067" s="2172"/>
      <c r="K1067" s="2172"/>
      <c r="L1067" s="2172"/>
      <c r="M1067" s="2172"/>
    </row>
    <row r="1068" spans="1:15" s="2171" customFormat="1">
      <c r="A1068" s="2538"/>
      <c r="B1068" s="2538"/>
      <c r="C1068" s="2538"/>
      <c r="D1068" s="2173"/>
      <c r="E1068" s="2173"/>
      <c r="F1068" s="2173"/>
      <c r="G1068" s="2173"/>
      <c r="H1068" s="2539"/>
      <c r="I1068" s="2539"/>
      <c r="J1068" s="2539"/>
      <c r="K1068" s="2173"/>
      <c r="L1068" s="2174"/>
      <c r="M1068" s="2173"/>
    </row>
    <row r="1069" spans="1:15" s="2171" customFormat="1">
      <c r="A1069" s="2170"/>
      <c r="B1069" s="2170"/>
      <c r="C1069" s="2170"/>
      <c r="D1069" s="2170"/>
      <c r="E1069" s="2531" t="s">
        <v>2639</v>
      </c>
      <c r="F1069" s="2531"/>
      <c r="G1069" s="2170"/>
      <c r="H1069" s="2537">
        <v>6.6400000000000001E-2</v>
      </c>
      <c r="I1069" s="2537"/>
      <c r="J1069" s="2537"/>
      <c r="K1069" s="2172"/>
      <c r="L1069" s="2537">
        <v>6.04</v>
      </c>
      <c r="M1069" s="2172"/>
    </row>
    <row r="1070" spans="1:15" s="2171" customFormat="1">
      <c r="A1070" s="2170"/>
      <c r="B1070" s="2170"/>
      <c r="C1070" s="2170"/>
      <c r="D1070" s="2170"/>
      <c r="E1070" s="2170"/>
      <c r="F1070" s="2170"/>
      <c r="G1070" s="2170"/>
      <c r="H1070" s="2537"/>
      <c r="I1070" s="2537"/>
      <c r="J1070" s="2537"/>
      <c r="K1070" s="2172"/>
      <c r="L1070" s="2537"/>
      <c r="M1070" s="2172"/>
    </row>
    <row r="1071" spans="1:15" s="2171" customFormat="1">
      <c r="A1071" s="2169" t="s">
        <v>2699</v>
      </c>
      <c r="B1071" s="2170"/>
      <c r="C1071" s="2169" t="s">
        <v>1069</v>
      </c>
      <c r="D1071" s="2170"/>
      <c r="E1071" s="2169" t="s">
        <v>2640</v>
      </c>
      <c r="F1071" s="2170"/>
    </row>
    <row r="1072" spans="1:15" s="2171" customFormat="1">
      <c r="A1072" s="2172"/>
      <c r="B1072" s="2172"/>
      <c r="C1072" s="2172"/>
      <c r="D1072" s="2172"/>
      <c r="E1072" s="2172"/>
      <c r="F1072" s="2172"/>
      <c r="G1072" s="2172"/>
      <c r="H1072" s="2172"/>
      <c r="I1072" s="2172"/>
      <c r="J1072" s="2172"/>
      <c r="K1072" s="2172"/>
      <c r="L1072" s="2172"/>
      <c r="M1072" s="2172"/>
    </row>
    <row r="1073" spans="1:15" s="2171" customFormat="1">
      <c r="A1073" s="2170"/>
      <c r="H1073" s="2531" t="s">
        <v>2637</v>
      </c>
      <c r="I1073" s="2531"/>
      <c r="J1073" s="2172"/>
      <c r="K1073" s="2537">
        <v>0</v>
      </c>
      <c r="L1073" s="2537"/>
      <c r="M1073" s="2172"/>
      <c r="N1073" s="2533"/>
      <c r="O1073" s="2172"/>
    </row>
    <row r="1074" spans="1:15" s="2171" customFormat="1">
      <c r="H1074" s="2172"/>
      <c r="I1074" s="2172"/>
      <c r="J1074" s="2172"/>
      <c r="K1074" s="2537"/>
      <c r="L1074" s="2537"/>
      <c r="N1074" s="2533"/>
    </row>
    <row r="1075" spans="1:15" s="2171" customFormat="1">
      <c r="A1075" s="2169">
        <v>125</v>
      </c>
      <c r="B1075" s="2172"/>
      <c r="C1075" s="2534" t="s">
        <v>2700</v>
      </c>
      <c r="D1075" s="2534"/>
      <c r="E1075" s="2534"/>
      <c r="F1075" s="2534"/>
      <c r="G1075" s="2534"/>
      <c r="H1075" s="2534"/>
      <c r="I1075" s="2534"/>
      <c r="J1075" s="2172"/>
      <c r="K1075" s="2172"/>
      <c r="L1075" s="2172"/>
      <c r="M1075" s="2172"/>
    </row>
    <row r="1076" spans="1:15" s="2171" customFormat="1">
      <c r="A1076" s="2172"/>
      <c r="B1076" s="2172"/>
      <c r="C1076" s="2172"/>
      <c r="D1076" s="2172"/>
      <c r="E1076" s="2172"/>
      <c r="F1076" s="2172"/>
      <c r="G1076" s="2172"/>
      <c r="H1076" s="2172"/>
      <c r="I1076" s="2172"/>
      <c r="J1076" s="2172"/>
      <c r="K1076" s="2172"/>
      <c r="L1076" s="2172"/>
      <c r="M1076" s="2172"/>
    </row>
    <row r="1077" spans="1:15" s="2171" customFormat="1">
      <c r="A1077" s="2538"/>
      <c r="B1077" s="2538"/>
      <c r="C1077" s="2538"/>
      <c r="D1077" s="2173"/>
      <c r="E1077" s="2173"/>
      <c r="F1077" s="2173"/>
      <c r="G1077" s="2173"/>
      <c r="H1077" s="2539"/>
      <c r="I1077" s="2539"/>
      <c r="J1077" s="2539"/>
      <c r="K1077" s="2173"/>
      <c r="L1077" s="2174"/>
      <c r="M1077" s="2173"/>
    </row>
    <row r="1078" spans="1:15" s="2171" customFormat="1">
      <c r="A1078" s="2170"/>
      <c r="B1078" s="2170"/>
      <c r="C1078" s="2170"/>
      <c r="D1078" s="2170"/>
      <c r="E1078" s="2531" t="s">
        <v>2639</v>
      </c>
      <c r="F1078" s="2531"/>
      <c r="G1078" s="2170"/>
      <c r="H1078" s="2537">
        <v>0</v>
      </c>
      <c r="I1078" s="2537"/>
      <c r="J1078" s="2537"/>
      <c r="K1078" s="2172"/>
      <c r="L1078" s="2537">
        <v>0</v>
      </c>
      <c r="M1078" s="2172"/>
    </row>
    <row r="1079" spans="1:15" s="2171" customFormat="1">
      <c r="A1079" s="2170"/>
      <c r="B1079" s="2170"/>
      <c r="C1079" s="2170"/>
      <c r="D1079" s="2170"/>
      <c r="E1079" s="2170"/>
      <c r="F1079" s="2170"/>
      <c r="G1079" s="2170"/>
      <c r="H1079" s="2537"/>
      <c r="I1079" s="2537"/>
      <c r="J1079" s="2537"/>
      <c r="K1079" s="2172"/>
      <c r="L1079" s="2537"/>
      <c r="M1079" s="2172"/>
    </row>
    <row r="1080" spans="1:15" s="2171" customFormat="1">
      <c r="A1080" s="2169" t="s">
        <v>2699</v>
      </c>
      <c r="B1080" s="2170"/>
      <c r="C1080" s="2169" t="s">
        <v>1069</v>
      </c>
      <c r="D1080" s="2170"/>
      <c r="E1080" s="2169" t="s">
        <v>2640</v>
      </c>
      <c r="F1080" s="2170"/>
    </row>
    <row r="1081" spans="1:15" s="2171" customFormat="1">
      <c r="A1081" s="2172"/>
      <c r="B1081" s="2172"/>
      <c r="C1081" s="2172"/>
      <c r="D1081" s="2172"/>
      <c r="E1081" s="2172"/>
      <c r="F1081" s="2172"/>
      <c r="G1081" s="2172"/>
      <c r="H1081" s="2172"/>
      <c r="I1081" s="2172"/>
      <c r="J1081" s="2172"/>
      <c r="K1081" s="2172"/>
      <c r="L1081" s="2172"/>
      <c r="M1081" s="2172"/>
    </row>
    <row r="1082" spans="1:15" s="2171" customFormat="1">
      <c r="A1082" s="2170"/>
      <c r="H1082" s="2531" t="s">
        <v>2637</v>
      </c>
      <c r="I1082" s="2531"/>
      <c r="J1082" s="2172"/>
      <c r="K1082" s="2537">
        <v>0</v>
      </c>
      <c r="L1082" s="2537"/>
      <c r="M1082" s="2172"/>
      <c r="N1082" s="2533"/>
      <c r="O1082" s="2172"/>
    </row>
    <row r="1083" spans="1:15" s="2171" customFormat="1">
      <c r="H1083" s="2172"/>
      <c r="I1083" s="2172"/>
      <c r="J1083" s="2172"/>
      <c r="K1083" s="2537"/>
      <c r="L1083" s="2537"/>
      <c r="N1083" s="2533"/>
    </row>
    <row r="1084" spans="1:15" s="2171" customFormat="1">
      <c r="A1084" s="2169">
        <v>125</v>
      </c>
      <c r="B1084" s="2172"/>
      <c r="C1084" s="2534" t="s">
        <v>2700</v>
      </c>
      <c r="D1084" s="2534"/>
      <c r="E1084" s="2534"/>
      <c r="F1084" s="2534"/>
      <c r="G1084" s="2534"/>
      <c r="H1084" s="2534"/>
      <c r="I1084" s="2534"/>
      <c r="J1084" s="2172"/>
      <c r="K1084" s="2172"/>
      <c r="L1084" s="2172"/>
      <c r="M1084" s="2172"/>
    </row>
    <row r="1085" spans="1:15" s="2171" customFormat="1">
      <c r="A1085" s="2172"/>
      <c r="B1085" s="2172"/>
      <c r="C1085" s="2172"/>
      <c r="D1085" s="2172"/>
      <c r="E1085" s="2172"/>
      <c r="F1085" s="2172"/>
      <c r="G1085" s="2172"/>
      <c r="H1085" s="2172"/>
      <c r="I1085" s="2172"/>
      <c r="J1085" s="2172"/>
      <c r="K1085" s="2172"/>
      <c r="L1085" s="2172"/>
      <c r="M1085" s="2172"/>
    </row>
    <row r="1086" spans="1:15" s="2171" customFormat="1">
      <c r="A1086" s="2538"/>
      <c r="B1086" s="2538"/>
      <c r="C1086" s="2538"/>
      <c r="D1086" s="2173"/>
      <c r="E1086" s="2173"/>
      <c r="F1086" s="2173"/>
      <c r="G1086" s="2173"/>
      <c r="H1086" s="2539"/>
      <c r="I1086" s="2539"/>
      <c r="J1086" s="2539"/>
      <c r="K1086" s="2173"/>
      <c r="L1086" s="2174"/>
      <c r="M1086" s="2173"/>
    </row>
    <row r="1087" spans="1:15" s="2171" customFormat="1">
      <c r="A1087" s="2170"/>
      <c r="B1087" s="2170"/>
      <c r="C1087" s="2170"/>
      <c r="D1087" s="2170"/>
      <c r="E1087" s="2531" t="s">
        <v>2639</v>
      </c>
      <c r="F1087" s="2531"/>
      <c r="G1087" s="2170"/>
      <c r="H1087" s="2537">
        <v>0</v>
      </c>
      <c r="I1087" s="2537"/>
      <c r="J1087" s="2537"/>
      <c r="K1087" s="2172"/>
      <c r="L1087" s="2537">
        <v>0</v>
      </c>
      <c r="M1087" s="2172"/>
    </row>
    <row r="1088" spans="1:15" s="2171" customFormat="1">
      <c r="A1088" s="2170"/>
      <c r="B1088" s="2170"/>
      <c r="C1088" s="2170"/>
      <c r="D1088" s="2170"/>
      <c r="E1088" s="2170"/>
      <c r="F1088" s="2170"/>
      <c r="G1088" s="2170"/>
      <c r="H1088" s="2537"/>
      <c r="I1088" s="2537"/>
      <c r="J1088" s="2537"/>
      <c r="K1088" s="2172"/>
      <c r="L1088" s="2537"/>
      <c r="M1088" s="2172"/>
    </row>
    <row r="1089" spans="1:15" s="2171" customFormat="1">
      <c r="A1089" s="2169" t="s">
        <v>2699</v>
      </c>
      <c r="B1089" s="2170"/>
      <c r="C1089" s="2169" t="s">
        <v>1069</v>
      </c>
      <c r="D1089" s="2170"/>
      <c r="E1089" s="2169" t="s">
        <v>2640</v>
      </c>
      <c r="F1089" s="2170"/>
    </row>
    <row r="1090" spans="1:15" s="2171" customFormat="1">
      <c r="A1090" s="2172"/>
      <c r="B1090" s="2172"/>
      <c r="C1090" s="2172"/>
      <c r="D1090" s="2172"/>
      <c r="E1090" s="2172"/>
      <c r="F1090" s="2172"/>
      <c r="G1090" s="2172"/>
      <c r="H1090" s="2172"/>
      <c r="I1090" s="2172"/>
      <c r="J1090" s="2172"/>
      <c r="K1090" s="2172"/>
      <c r="L1090" s="2172"/>
      <c r="M1090" s="2172"/>
    </row>
    <row r="1091" spans="1:15" s="2171" customFormat="1">
      <c r="A1091" s="2170"/>
      <c r="H1091" s="2531" t="s">
        <v>2637</v>
      </c>
      <c r="I1091" s="2531"/>
      <c r="J1091" s="2172"/>
      <c r="K1091" s="2537">
        <v>0</v>
      </c>
      <c r="L1091" s="2537"/>
      <c r="M1091" s="2172"/>
      <c r="N1091" s="2533"/>
      <c r="O1091" s="2172"/>
    </row>
    <row r="1092" spans="1:15" s="2171" customFormat="1">
      <c r="H1092" s="2172"/>
      <c r="I1092" s="2172"/>
      <c r="J1092" s="2172"/>
      <c r="K1092" s="2537"/>
      <c r="L1092" s="2537"/>
      <c r="N1092" s="2533"/>
    </row>
    <row r="1093" spans="1:15" s="2171" customFormat="1">
      <c r="A1093" s="2169">
        <v>446</v>
      </c>
      <c r="B1093" s="2172"/>
      <c r="C1093" s="2534" t="s">
        <v>2845</v>
      </c>
      <c r="D1093" s="2534"/>
      <c r="E1093" s="2534"/>
      <c r="F1093" s="2534"/>
      <c r="G1093" s="2534"/>
      <c r="H1093" s="2534"/>
      <c r="I1093" s="2534"/>
      <c r="J1093" s="2172"/>
      <c r="K1093" s="2172"/>
      <c r="L1093" s="2172"/>
      <c r="M1093" s="2172"/>
    </row>
    <row r="1094" spans="1:15" s="2171" customFormat="1">
      <c r="A1094" s="2172"/>
      <c r="B1094" s="2172"/>
      <c r="C1094" s="2172"/>
      <c r="D1094" s="2172"/>
      <c r="E1094" s="2172"/>
      <c r="F1094" s="2172"/>
      <c r="G1094" s="2172"/>
      <c r="H1094" s="2172"/>
      <c r="I1094" s="2172"/>
      <c r="J1094" s="2172"/>
      <c r="K1094" s="2172"/>
      <c r="L1094" s="2172"/>
      <c r="M1094" s="2172"/>
    </row>
    <row r="1095" spans="1:15" s="2171" customFormat="1">
      <c r="A1095" s="2538"/>
      <c r="B1095" s="2538"/>
      <c r="C1095" s="2538"/>
      <c r="D1095" s="2173"/>
      <c r="E1095" s="2173"/>
      <c r="F1095" s="2173"/>
      <c r="G1095" s="2173"/>
      <c r="H1095" s="2539"/>
      <c r="I1095" s="2539"/>
      <c r="J1095" s="2539"/>
      <c r="K1095" s="2173"/>
      <c r="L1095" s="2174"/>
      <c r="M1095" s="2173"/>
    </row>
    <row r="1096" spans="1:15" s="2171" customFormat="1">
      <c r="A1096" s="2170"/>
      <c r="B1096" s="2170"/>
      <c r="C1096" s="2170"/>
      <c r="D1096" s="2170"/>
      <c r="E1096" s="2531" t="s">
        <v>2639</v>
      </c>
      <c r="F1096" s="2531"/>
      <c r="G1096" s="2170"/>
      <c r="H1096" s="2537">
        <v>0</v>
      </c>
      <c r="I1096" s="2537"/>
      <c r="J1096" s="2537"/>
      <c r="K1096" s="2172"/>
      <c r="L1096" s="2537">
        <v>0</v>
      </c>
      <c r="M1096" s="2172"/>
    </row>
    <row r="1097" spans="1:15" s="2171" customFormat="1">
      <c r="A1097" s="2170"/>
      <c r="B1097" s="2170"/>
      <c r="C1097" s="2170"/>
      <c r="D1097" s="2170"/>
      <c r="E1097" s="2170"/>
      <c r="F1097" s="2170"/>
      <c r="G1097" s="2170"/>
      <c r="H1097" s="2537"/>
      <c r="I1097" s="2537"/>
      <c r="J1097" s="2537"/>
      <c r="K1097" s="2172"/>
      <c r="L1097" s="2537"/>
      <c r="M1097" s="2172"/>
    </row>
    <row r="1098" spans="1:15" s="2171" customFormat="1">
      <c r="A1098" s="2169" t="s">
        <v>2699</v>
      </c>
      <c r="B1098" s="2170"/>
      <c r="C1098" s="2169" t="s">
        <v>1069</v>
      </c>
      <c r="D1098" s="2170"/>
      <c r="E1098" s="2169" t="s">
        <v>2640</v>
      </c>
      <c r="F1098" s="2170"/>
    </row>
    <row r="1099" spans="1:15" s="2171" customFormat="1">
      <c r="A1099" s="2172"/>
      <c r="B1099" s="2172"/>
      <c r="C1099" s="2172"/>
      <c r="D1099" s="2172"/>
      <c r="E1099" s="2172"/>
      <c r="F1099" s="2172"/>
      <c r="G1099" s="2172"/>
      <c r="H1099" s="2172"/>
      <c r="I1099" s="2172"/>
      <c r="J1099" s="2172"/>
      <c r="K1099" s="2172"/>
      <c r="L1099" s="2172"/>
      <c r="M1099" s="2172"/>
    </row>
    <row r="1100" spans="1:15" s="2171" customFormat="1">
      <c r="A1100" s="2170"/>
      <c r="H1100" s="2531" t="s">
        <v>2637</v>
      </c>
      <c r="I1100" s="2531"/>
      <c r="J1100" s="2172"/>
      <c r="K1100" s="2537">
        <v>0</v>
      </c>
      <c r="L1100" s="2537"/>
      <c r="M1100" s="2172"/>
      <c r="N1100" s="2533"/>
      <c r="O1100" s="2172"/>
    </row>
    <row r="1101" spans="1:15" s="2171" customFormat="1">
      <c r="H1101" s="2172"/>
      <c r="I1101" s="2172"/>
      <c r="J1101" s="2172"/>
      <c r="K1101" s="2537"/>
      <c r="L1101" s="2537"/>
      <c r="N1101" s="2533"/>
    </row>
    <row r="1102" spans="1:15" s="2171" customFormat="1">
      <c r="A1102" s="2169">
        <v>446</v>
      </c>
      <c r="B1102" s="2172"/>
      <c r="C1102" s="2534" t="s">
        <v>2845</v>
      </c>
      <c r="D1102" s="2534"/>
      <c r="E1102" s="2534"/>
      <c r="F1102" s="2534"/>
      <c r="G1102" s="2534"/>
      <c r="H1102" s="2534"/>
      <c r="I1102" s="2534"/>
      <c r="J1102" s="2172"/>
      <c r="K1102" s="2172"/>
      <c r="L1102" s="2172"/>
      <c r="M1102" s="2172"/>
    </row>
    <row r="1103" spans="1:15" s="2171" customFormat="1">
      <c r="A1103" s="2172"/>
      <c r="B1103" s="2172"/>
      <c r="C1103" s="2172"/>
      <c r="D1103" s="2172"/>
      <c r="E1103" s="2172"/>
      <c r="F1103" s="2172"/>
      <c r="G1103" s="2172"/>
      <c r="H1103" s="2172"/>
      <c r="I1103" s="2172"/>
      <c r="J1103" s="2172"/>
      <c r="K1103" s="2172"/>
      <c r="L1103" s="2172"/>
      <c r="M1103" s="2172"/>
    </row>
    <row r="1104" spans="1:15" s="2171" customFormat="1">
      <c r="A1104" s="2538"/>
      <c r="B1104" s="2538"/>
      <c r="C1104" s="2538"/>
      <c r="D1104" s="2173"/>
      <c r="E1104" s="2173"/>
      <c r="F1104" s="2173"/>
      <c r="G1104" s="2173"/>
      <c r="H1104" s="2539"/>
      <c r="I1104" s="2539"/>
      <c r="J1104" s="2539"/>
      <c r="K1104" s="2173"/>
      <c r="L1104" s="2174"/>
      <c r="M1104" s="2173"/>
    </row>
    <row r="1105" spans="1:15" s="2171" customFormat="1">
      <c r="A1105" s="2170"/>
      <c r="B1105" s="2170"/>
      <c r="C1105" s="2170"/>
      <c r="D1105" s="2170"/>
      <c r="E1105" s="2531" t="s">
        <v>2639</v>
      </c>
      <c r="F1105" s="2531"/>
      <c r="G1105" s="2170"/>
      <c r="H1105" s="2537">
        <v>0</v>
      </c>
      <c r="I1105" s="2537"/>
      <c r="J1105" s="2537"/>
      <c r="K1105" s="2172"/>
      <c r="L1105" s="2537">
        <v>0</v>
      </c>
      <c r="M1105" s="2172"/>
    </row>
    <row r="1106" spans="1:15" s="2171" customFormat="1">
      <c r="A1106" s="2170"/>
      <c r="B1106" s="2170"/>
      <c r="C1106" s="2170"/>
      <c r="D1106" s="2170"/>
      <c r="E1106" s="2170"/>
      <c r="F1106" s="2170"/>
      <c r="G1106" s="2170"/>
      <c r="H1106" s="2537"/>
      <c r="I1106" s="2537"/>
      <c r="J1106" s="2537"/>
      <c r="K1106" s="2172"/>
      <c r="L1106" s="2537"/>
      <c r="M1106" s="2172"/>
    </row>
    <row r="1107" spans="1:15" s="2171" customFormat="1">
      <c r="A1107" s="2169" t="s">
        <v>2699</v>
      </c>
      <c r="B1107" s="2170"/>
      <c r="C1107" s="2169" t="s">
        <v>1069</v>
      </c>
      <c r="D1107" s="2170"/>
      <c r="E1107" s="2169" t="s">
        <v>2640</v>
      </c>
      <c r="F1107" s="2170"/>
    </row>
    <row r="1108" spans="1:15" s="2171" customFormat="1">
      <c r="A1108" s="2172"/>
      <c r="B1108" s="2172"/>
      <c r="C1108" s="2172"/>
      <c r="D1108" s="2172"/>
      <c r="E1108" s="2172"/>
      <c r="F1108" s="2172"/>
      <c r="G1108" s="2172"/>
      <c r="H1108" s="2172"/>
      <c r="I1108" s="2172"/>
      <c r="J1108" s="2172"/>
      <c r="K1108" s="2172"/>
      <c r="L1108" s="2172"/>
      <c r="M1108" s="2172"/>
    </row>
    <row r="1109" spans="1:15" s="2171" customFormat="1">
      <c r="A1109" s="2170"/>
      <c r="H1109" s="2531" t="s">
        <v>2637</v>
      </c>
      <c r="I1109" s="2531"/>
      <c r="J1109" s="2172"/>
      <c r="K1109" s="2537">
        <v>0</v>
      </c>
      <c r="L1109" s="2537"/>
      <c r="M1109" s="2172"/>
      <c r="N1109" s="2533"/>
      <c r="O1109" s="2172"/>
    </row>
    <row r="1110" spans="1:15" s="2171" customFormat="1">
      <c r="H1110" s="2172"/>
      <c r="I1110" s="2172"/>
      <c r="J1110" s="2172"/>
      <c r="K1110" s="2537"/>
      <c r="L1110" s="2537"/>
      <c r="N1110" s="2533"/>
    </row>
    <row r="1111" spans="1:15" s="2171" customFormat="1">
      <c r="A1111" s="2169">
        <v>447</v>
      </c>
      <c r="B1111" s="2172"/>
      <c r="C1111" s="2534" t="s">
        <v>2845</v>
      </c>
      <c r="D1111" s="2534"/>
      <c r="E1111" s="2534"/>
      <c r="F1111" s="2534"/>
      <c r="G1111" s="2534"/>
      <c r="H1111" s="2534"/>
      <c r="I1111" s="2534"/>
      <c r="J1111" s="2172"/>
      <c r="K1111" s="2172"/>
      <c r="L1111" s="2172"/>
      <c r="M1111" s="2172"/>
    </row>
    <row r="1112" spans="1:15" s="2171" customFormat="1">
      <c r="A1112" s="2172"/>
      <c r="B1112" s="2172"/>
      <c r="C1112" s="2172"/>
      <c r="D1112" s="2172"/>
      <c r="E1112" s="2172"/>
      <c r="F1112" s="2172"/>
      <c r="G1112" s="2172"/>
      <c r="H1112" s="2172"/>
      <c r="I1112" s="2172"/>
      <c r="J1112" s="2172"/>
      <c r="K1112" s="2172"/>
      <c r="L1112" s="2172"/>
      <c r="M1112" s="2172"/>
    </row>
    <row r="1113" spans="1:15" s="2171" customFormat="1">
      <c r="A1113" s="2538"/>
      <c r="B1113" s="2538"/>
      <c r="C1113" s="2538"/>
      <c r="D1113" s="2173"/>
      <c r="E1113" s="2173"/>
      <c r="F1113" s="2173"/>
      <c r="G1113" s="2173"/>
      <c r="H1113" s="2539"/>
      <c r="I1113" s="2539"/>
      <c r="J1113" s="2539"/>
      <c r="K1113" s="2173"/>
      <c r="L1113" s="2174"/>
      <c r="M1113" s="2173"/>
    </row>
    <row r="1114" spans="1:15" s="2171" customFormat="1">
      <c r="A1114" s="2170"/>
      <c r="B1114" s="2170"/>
      <c r="C1114" s="2170"/>
      <c r="D1114" s="2170"/>
      <c r="E1114" s="2531" t="s">
        <v>2639</v>
      </c>
      <c r="F1114" s="2531"/>
      <c r="G1114" s="2170"/>
      <c r="H1114" s="2537">
        <v>0</v>
      </c>
      <c r="I1114" s="2537"/>
      <c r="J1114" s="2537"/>
      <c r="K1114" s="2172"/>
      <c r="L1114" s="2537">
        <v>0</v>
      </c>
      <c r="M1114" s="2172"/>
    </row>
    <row r="1115" spans="1:15" s="2171" customFormat="1">
      <c r="A1115" s="2170"/>
      <c r="B1115" s="2170"/>
      <c r="C1115" s="2170"/>
      <c r="D1115" s="2170"/>
      <c r="E1115" s="2170"/>
      <c r="F1115" s="2170"/>
      <c r="G1115" s="2170"/>
      <c r="H1115" s="2537"/>
      <c r="I1115" s="2537"/>
      <c r="J1115" s="2537"/>
      <c r="K1115" s="2172"/>
      <c r="L1115" s="2537"/>
      <c r="M1115" s="2172"/>
    </row>
    <row r="1116" spans="1:15" s="2171" customFormat="1">
      <c r="A1116" s="2169" t="s">
        <v>2699</v>
      </c>
      <c r="B1116" s="2170"/>
      <c r="C1116" s="2169" t="s">
        <v>1069</v>
      </c>
      <c r="D1116" s="2170"/>
      <c r="E1116" s="2169" t="s">
        <v>2640</v>
      </c>
      <c r="F1116" s="2170"/>
    </row>
    <row r="1117" spans="1:15" s="2171" customFormat="1">
      <c r="A1117" s="2172"/>
      <c r="B1117" s="2172"/>
      <c r="C1117" s="2172"/>
      <c r="D1117" s="2172"/>
      <c r="E1117" s="2172"/>
      <c r="F1117" s="2172"/>
      <c r="G1117" s="2172"/>
      <c r="H1117" s="2172"/>
      <c r="I1117" s="2172"/>
      <c r="J1117" s="2172"/>
      <c r="K1117" s="2172"/>
      <c r="L1117" s="2172"/>
      <c r="M1117" s="2172"/>
    </row>
    <row r="1118" spans="1:15" s="2171" customFormat="1">
      <c r="A1118" s="2170"/>
      <c r="H1118" s="2531" t="s">
        <v>2637</v>
      </c>
      <c r="I1118" s="2531"/>
      <c r="J1118" s="2172"/>
      <c r="K1118" s="2537">
        <v>0</v>
      </c>
      <c r="L1118" s="2537"/>
      <c r="M1118" s="2172"/>
      <c r="N1118" s="2533"/>
      <c r="O1118" s="2172"/>
    </row>
    <row r="1119" spans="1:15" s="2171" customFormat="1">
      <c r="H1119" s="2172"/>
      <c r="I1119" s="2172"/>
      <c r="J1119" s="2172"/>
      <c r="K1119" s="2537"/>
      <c r="L1119" s="2537"/>
      <c r="N1119" s="2533"/>
    </row>
    <row r="1120" spans="1:15" s="2171" customFormat="1">
      <c r="A1120" s="2169">
        <v>447</v>
      </c>
      <c r="B1120" s="2172"/>
      <c r="C1120" s="2534" t="s">
        <v>2845</v>
      </c>
      <c r="D1120" s="2534"/>
      <c r="E1120" s="2534"/>
      <c r="F1120" s="2534"/>
      <c r="G1120" s="2534"/>
      <c r="H1120" s="2534"/>
      <c r="I1120" s="2534"/>
      <c r="J1120" s="2172"/>
      <c r="K1120" s="2172"/>
      <c r="L1120" s="2172"/>
      <c r="M1120" s="2172"/>
    </row>
    <row r="1121" spans="1:15" s="2171" customFormat="1">
      <c r="A1121" s="2172"/>
      <c r="B1121" s="2172"/>
      <c r="C1121" s="2172"/>
      <c r="D1121" s="2172"/>
      <c r="E1121" s="2172"/>
      <c r="F1121" s="2172"/>
      <c r="G1121" s="2172"/>
      <c r="H1121" s="2172"/>
      <c r="I1121" s="2172"/>
      <c r="J1121" s="2172"/>
      <c r="K1121" s="2172"/>
      <c r="L1121" s="2172"/>
      <c r="M1121" s="2172"/>
    </row>
    <row r="1122" spans="1:15" s="2171" customFormat="1">
      <c r="A1122" s="2538"/>
      <c r="B1122" s="2538"/>
      <c r="C1122" s="2538"/>
      <c r="D1122" s="2173"/>
      <c r="E1122" s="2173"/>
      <c r="F1122" s="2173"/>
      <c r="G1122" s="2173"/>
      <c r="H1122" s="2539"/>
      <c r="I1122" s="2539"/>
      <c r="J1122" s="2539"/>
      <c r="K1122" s="2173"/>
      <c r="L1122" s="2174"/>
      <c r="M1122" s="2173"/>
    </row>
    <row r="1123" spans="1:15" s="2171" customFormat="1">
      <c r="A1123" s="2170"/>
      <c r="B1123" s="2170"/>
      <c r="C1123" s="2170"/>
      <c r="D1123" s="2170"/>
      <c r="E1123" s="2531" t="s">
        <v>2639</v>
      </c>
      <c r="F1123" s="2531"/>
      <c r="G1123" s="2170"/>
      <c r="H1123" s="2537">
        <v>0</v>
      </c>
      <c r="I1123" s="2537"/>
      <c r="J1123" s="2537"/>
      <c r="K1123" s="2172"/>
      <c r="L1123" s="2537">
        <v>0</v>
      </c>
      <c r="M1123" s="2172"/>
    </row>
    <row r="1124" spans="1:15" s="2171" customFormat="1">
      <c r="A1124" s="2170"/>
      <c r="B1124" s="2170"/>
      <c r="C1124" s="2170"/>
      <c r="D1124" s="2170"/>
      <c r="E1124" s="2170"/>
      <c r="F1124" s="2170"/>
      <c r="G1124" s="2170"/>
      <c r="H1124" s="2537"/>
      <c r="I1124" s="2537"/>
      <c r="J1124" s="2537"/>
      <c r="K1124" s="2172"/>
      <c r="L1124" s="2537"/>
      <c r="M1124" s="2172"/>
    </row>
    <row r="1125" spans="1:15" s="2171" customFormat="1">
      <c r="A1125" s="2169" t="s">
        <v>2699</v>
      </c>
      <c r="B1125" s="2170"/>
      <c r="C1125" s="2169" t="s">
        <v>1069</v>
      </c>
      <c r="D1125" s="2170"/>
      <c r="E1125" s="2169" t="s">
        <v>2640</v>
      </c>
      <c r="F1125" s="2170"/>
    </row>
    <row r="1126" spans="1:15" s="2171" customFormat="1">
      <c r="A1126" s="2172"/>
      <c r="B1126" s="2172"/>
      <c r="C1126" s="2172"/>
      <c r="D1126" s="2172"/>
      <c r="E1126" s="2172"/>
      <c r="F1126" s="2172"/>
      <c r="G1126" s="2172"/>
      <c r="H1126" s="2172"/>
      <c r="I1126" s="2172"/>
      <c r="J1126" s="2172"/>
      <c r="K1126" s="2172"/>
      <c r="L1126" s="2172"/>
      <c r="M1126" s="2172"/>
    </row>
    <row r="1127" spans="1:15" s="2171" customFormat="1">
      <c r="A1127" s="2170"/>
      <c r="H1127" s="2531" t="s">
        <v>2637</v>
      </c>
      <c r="I1127" s="2531"/>
      <c r="J1127" s="2172"/>
      <c r="K1127" s="2537">
        <v>0</v>
      </c>
      <c r="L1127" s="2537"/>
      <c r="M1127" s="2172"/>
      <c r="N1127" s="2533"/>
      <c r="O1127" s="2172"/>
    </row>
    <row r="1128" spans="1:15" s="2171" customFormat="1">
      <c r="H1128" s="2172"/>
      <c r="I1128" s="2172"/>
      <c r="J1128" s="2172"/>
      <c r="K1128" s="2537"/>
      <c r="L1128" s="2537"/>
      <c r="N1128" s="2533"/>
    </row>
    <row r="1129" spans="1:15" s="2171" customFormat="1">
      <c r="A1129" s="2169">
        <v>1720</v>
      </c>
      <c r="B1129" s="2172"/>
      <c r="C1129" s="2534" t="s">
        <v>2701</v>
      </c>
      <c r="D1129" s="2534"/>
      <c r="E1129" s="2534"/>
      <c r="F1129" s="2534"/>
      <c r="G1129" s="2534"/>
      <c r="H1129" s="2534"/>
      <c r="I1129" s="2534"/>
      <c r="J1129" s="2172"/>
      <c r="K1129" s="2172"/>
      <c r="L1129" s="2172"/>
      <c r="M1129" s="2172"/>
    </row>
    <row r="1130" spans="1:15" s="2171" customFormat="1">
      <c r="A1130" s="2172"/>
      <c r="B1130" s="2172"/>
      <c r="C1130" s="2172"/>
      <c r="D1130" s="2172"/>
      <c r="E1130" s="2172"/>
      <c r="F1130" s="2172"/>
      <c r="G1130" s="2172"/>
      <c r="H1130" s="2172"/>
      <c r="I1130" s="2172"/>
      <c r="J1130" s="2172"/>
      <c r="K1130" s="2172"/>
      <c r="L1130" s="2172"/>
      <c r="M1130" s="2172"/>
    </row>
    <row r="1131" spans="1:15" s="2171" customFormat="1">
      <c r="A1131" s="2538"/>
      <c r="B1131" s="2538"/>
      <c r="C1131" s="2538"/>
      <c r="D1131" s="2173"/>
      <c r="E1131" s="2173"/>
      <c r="F1131" s="2173"/>
      <c r="G1131" s="2173"/>
      <c r="H1131" s="2539"/>
      <c r="I1131" s="2539"/>
      <c r="J1131" s="2539"/>
      <c r="K1131" s="2173"/>
      <c r="L1131" s="2174"/>
      <c r="M1131" s="2173"/>
    </row>
    <row r="1132" spans="1:15" s="2171" customFormat="1">
      <c r="A1132" s="2170"/>
      <c r="B1132" s="2170"/>
      <c r="C1132" s="2170"/>
      <c r="D1132" s="2170"/>
      <c r="E1132" s="2531" t="s">
        <v>2639</v>
      </c>
      <c r="F1132" s="2531"/>
      <c r="G1132" s="2170"/>
      <c r="H1132" s="2537">
        <v>0</v>
      </c>
      <c r="I1132" s="2537"/>
      <c r="J1132" s="2537"/>
      <c r="K1132" s="2172"/>
      <c r="L1132" s="2537">
        <v>0</v>
      </c>
      <c r="M1132" s="2172"/>
    </row>
    <row r="1133" spans="1:15" s="2171" customFormat="1">
      <c r="A1133" s="2170"/>
      <c r="B1133" s="2170"/>
      <c r="C1133" s="2170"/>
      <c r="D1133" s="2170"/>
      <c r="E1133" s="2170"/>
      <c r="F1133" s="2170"/>
      <c r="G1133" s="2170"/>
      <c r="H1133" s="2537"/>
      <c r="I1133" s="2537"/>
      <c r="J1133" s="2537"/>
      <c r="K1133" s="2172"/>
      <c r="L1133" s="2537"/>
      <c r="M1133" s="2172"/>
    </row>
    <row r="1134" spans="1:15" s="2171" customFormat="1">
      <c r="A1134" s="2169" t="s">
        <v>2699</v>
      </c>
      <c r="B1134" s="2170"/>
      <c r="C1134" s="2169" t="s">
        <v>1069</v>
      </c>
      <c r="D1134" s="2170"/>
      <c r="E1134" s="2169" t="s">
        <v>2640</v>
      </c>
      <c r="F1134" s="2170"/>
    </row>
    <row r="1135" spans="1:15" s="2171" customFormat="1">
      <c r="A1135" s="2172"/>
      <c r="B1135" s="2172"/>
      <c r="C1135" s="2172"/>
      <c r="D1135" s="2172"/>
      <c r="E1135" s="2172"/>
      <c r="F1135" s="2172"/>
      <c r="G1135" s="2172"/>
      <c r="H1135" s="2172"/>
      <c r="I1135" s="2172"/>
      <c r="J1135" s="2172"/>
      <c r="K1135" s="2172"/>
      <c r="L1135" s="2172"/>
      <c r="M1135" s="2172"/>
    </row>
    <row r="1136" spans="1:15" s="2171" customFormat="1">
      <c r="A1136" s="2170"/>
      <c r="H1136" s="2531" t="s">
        <v>2637</v>
      </c>
      <c r="I1136" s="2531"/>
      <c r="J1136" s="2172"/>
      <c r="K1136" s="2537">
        <v>0</v>
      </c>
      <c r="L1136" s="2537"/>
      <c r="M1136" s="2172"/>
      <c r="N1136" s="2533"/>
      <c r="O1136" s="2172"/>
    </row>
    <row r="1137" spans="1:15" s="2171" customFormat="1">
      <c r="H1137" s="2172"/>
      <c r="I1137" s="2172"/>
      <c r="J1137" s="2172"/>
      <c r="K1137" s="2537"/>
      <c r="L1137" s="2537"/>
      <c r="N1137" s="2533"/>
    </row>
    <row r="1138" spans="1:15" s="2171" customFormat="1">
      <c r="A1138" s="2169">
        <v>2315</v>
      </c>
      <c r="B1138" s="2172"/>
      <c r="C1138" s="2534" t="s">
        <v>2702</v>
      </c>
      <c r="D1138" s="2534"/>
      <c r="E1138" s="2534"/>
      <c r="F1138" s="2534"/>
      <c r="G1138" s="2534"/>
      <c r="H1138" s="2534"/>
      <c r="I1138" s="2534"/>
      <c r="J1138" s="2172"/>
      <c r="K1138" s="2172"/>
      <c r="L1138" s="2172"/>
      <c r="M1138" s="2172"/>
    </row>
    <row r="1139" spans="1:15" s="2171" customFormat="1">
      <c r="A1139" s="2172"/>
      <c r="B1139" s="2172"/>
      <c r="C1139" s="2172"/>
      <c r="D1139" s="2172"/>
      <c r="E1139" s="2172"/>
      <c r="F1139" s="2172"/>
      <c r="G1139" s="2172"/>
      <c r="H1139" s="2172"/>
      <c r="I1139" s="2172"/>
      <c r="J1139" s="2172"/>
      <c r="K1139" s="2172"/>
      <c r="L1139" s="2172"/>
      <c r="M1139" s="2172"/>
    </row>
    <row r="1140" spans="1:15" s="2171" customFormat="1">
      <c r="A1140" s="2538"/>
      <c r="B1140" s="2538"/>
      <c r="C1140" s="2538"/>
      <c r="D1140" s="2173"/>
      <c r="E1140" s="2173"/>
      <c r="F1140" s="2173"/>
      <c r="G1140" s="2173"/>
      <c r="H1140" s="2539"/>
      <c r="I1140" s="2539"/>
      <c r="J1140" s="2539"/>
      <c r="K1140" s="2173"/>
      <c r="L1140" s="2174"/>
      <c r="M1140" s="2173"/>
    </row>
    <row r="1141" spans="1:15" s="2171" customFormat="1">
      <c r="A1141" s="2170"/>
      <c r="B1141" s="2170"/>
      <c r="C1141" s="2170"/>
      <c r="D1141" s="2170"/>
      <c r="E1141" s="2531" t="s">
        <v>2639</v>
      </c>
      <c r="F1141" s="2531"/>
      <c r="G1141" s="2170"/>
      <c r="H1141" s="2537">
        <v>0</v>
      </c>
      <c r="I1141" s="2537"/>
      <c r="J1141" s="2537"/>
      <c r="K1141" s="2172"/>
      <c r="L1141" s="2537">
        <v>0</v>
      </c>
      <c r="M1141" s="2172"/>
    </row>
    <row r="1142" spans="1:15" s="2171" customFormat="1">
      <c r="A1142" s="2170"/>
      <c r="B1142" s="2170"/>
      <c r="C1142" s="2170"/>
      <c r="D1142" s="2170"/>
      <c r="E1142" s="2170"/>
      <c r="F1142" s="2170"/>
      <c r="G1142" s="2170"/>
      <c r="H1142" s="2537"/>
      <c r="I1142" s="2537"/>
      <c r="J1142" s="2537"/>
      <c r="K1142" s="2172"/>
      <c r="L1142" s="2537"/>
      <c r="M1142" s="2172"/>
    </row>
    <row r="1143" spans="1:15" s="2171" customFormat="1">
      <c r="A1143" s="2169" t="s">
        <v>2699</v>
      </c>
      <c r="B1143" s="2170"/>
      <c r="C1143" s="2169" t="s">
        <v>1069</v>
      </c>
      <c r="D1143" s="2170"/>
      <c r="E1143" s="2169" t="s">
        <v>2640</v>
      </c>
      <c r="F1143" s="2170"/>
    </row>
    <row r="1144" spans="1:15" s="2171" customFormat="1">
      <c r="A1144" s="2172"/>
      <c r="B1144" s="2172"/>
      <c r="C1144" s="2172"/>
      <c r="D1144" s="2172"/>
      <c r="E1144" s="2172"/>
      <c r="F1144" s="2172"/>
      <c r="G1144" s="2172"/>
      <c r="H1144" s="2172"/>
      <c r="I1144" s="2172"/>
      <c r="J1144" s="2172"/>
      <c r="K1144" s="2172"/>
      <c r="L1144" s="2172"/>
      <c r="M1144" s="2172"/>
    </row>
    <row r="1145" spans="1:15" s="2171" customFormat="1">
      <c r="A1145" s="2170"/>
      <c r="H1145" s="2531" t="s">
        <v>2637</v>
      </c>
      <c r="I1145" s="2531"/>
      <c r="J1145" s="2172"/>
      <c r="K1145" s="2532">
        <v>95660.716799999995</v>
      </c>
      <c r="L1145" s="2532"/>
      <c r="M1145" s="2172"/>
      <c r="N1145" s="2533" t="s">
        <v>3007</v>
      </c>
      <c r="O1145" s="2172"/>
    </row>
    <row r="1146" spans="1:15" s="2171" customFormat="1">
      <c r="H1146" s="2172"/>
      <c r="I1146" s="2172"/>
      <c r="J1146" s="2172"/>
      <c r="K1146" s="2532"/>
      <c r="L1146" s="2532"/>
      <c r="N1146" s="2533"/>
    </row>
    <row r="1147" spans="1:15" s="2171" customFormat="1">
      <c r="A1147" s="2169">
        <v>5327</v>
      </c>
      <c r="B1147" s="2172"/>
      <c r="C1147" s="2534" t="s">
        <v>2846</v>
      </c>
      <c r="D1147" s="2534"/>
      <c r="E1147" s="2534"/>
      <c r="F1147" s="2534"/>
      <c r="G1147" s="2534"/>
      <c r="H1147" s="2534"/>
      <c r="I1147" s="2534"/>
      <c r="J1147" s="2172"/>
      <c r="K1147" s="2172"/>
      <c r="L1147" s="2172"/>
      <c r="M1147" s="2172"/>
    </row>
    <row r="1148" spans="1:15" s="2171" customFormat="1">
      <c r="A1148" s="2172"/>
      <c r="B1148" s="2172"/>
      <c r="C1148" s="2172"/>
      <c r="D1148" s="2172"/>
      <c r="E1148" s="2172"/>
      <c r="F1148" s="2172"/>
      <c r="G1148" s="2172"/>
      <c r="H1148" s="2172"/>
      <c r="I1148" s="2172"/>
      <c r="J1148" s="2172"/>
      <c r="K1148" s="2172"/>
      <c r="L1148" s="2172"/>
      <c r="M1148" s="2172"/>
    </row>
    <row r="1149" spans="1:15" s="2171" customFormat="1">
      <c r="A1149" s="2535" t="s">
        <v>2647</v>
      </c>
      <c r="B1149" s="2535"/>
      <c r="C1149" s="2535"/>
      <c r="D1149" s="2173"/>
      <c r="E1149" s="2173"/>
      <c r="F1149" s="2173"/>
      <c r="G1149" s="2173"/>
      <c r="H1149" s="2536">
        <v>1801.722</v>
      </c>
      <c r="I1149" s="2536"/>
      <c r="J1149" s="2536"/>
      <c r="K1149" s="2173"/>
      <c r="L1149" s="2175">
        <v>171821.21</v>
      </c>
      <c r="M1149" s="2173"/>
    </row>
    <row r="1150" spans="1:15" s="2171" customFormat="1">
      <c r="A1150" s="2170"/>
      <c r="B1150" s="2170"/>
      <c r="C1150" s="2170"/>
      <c r="D1150" s="2170"/>
      <c r="E1150" s="2531" t="s">
        <v>2639</v>
      </c>
      <c r="F1150" s="2531"/>
      <c r="G1150" s="2170"/>
      <c r="H1150" s="2532">
        <v>97462.438699999999</v>
      </c>
      <c r="I1150" s="2532"/>
      <c r="J1150" s="2532"/>
      <c r="K1150" s="2172"/>
      <c r="L1150" s="2532">
        <v>8862259.5500000007</v>
      </c>
      <c r="M1150" s="2172"/>
    </row>
    <row r="1151" spans="1:15" s="2171" customFormat="1">
      <c r="A1151" s="2170"/>
      <c r="B1151" s="2170"/>
      <c r="C1151" s="2170"/>
      <c r="D1151" s="2170"/>
      <c r="E1151" s="2170"/>
      <c r="F1151" s="2170"/>
      <c r="G1151" s="2170"/>
      <c r="H1151" s="2532"/>
      <c r="I1151" s="2532"/>
      <c r="J1151" s="2532"/>
      <c r="K1151" s="2172"/>
      <c r="L1151" s="2532"/>
      <c r="M1151" s="2172"/>
    </row>
    <row r="1152" spans="1:15" s="2171" customFormat="1">
      <c r="A1152" s="2169" t="s">
        <v>2699</v>
      </c>
      <c r="B1152" s="2170"/>
      <c r="C1152" s="2169" t="s">
        <v>1069</v>
      </c>
      <c r="D1152" s="2170"/>
      <c r="E1152" s="2169" t="s">
        <v>2640</v>
      </c>
      <c r="F1152" s="2170"/>
    </row>
    <row r="1153" spans="1:15" s="2171" customFormat="1">
      <c r="A1153" s="2172"/>
      <c r="B1153" s="2172"/>
      <c r="C1153" s="2172"/>
      <c r="D1153" s="2172"/>
      <c r="E1153" s="2172"/>
      <c r="F1153" s="2172"/>
      <c r="G1153" s="2172"/>
      <c r="H1153" s="2172"/>
      <c r="I1153" s="2172"/>
      <c r="J1153" s="2172"/>
      <c r="K1153" s="2172"/>
      <c r="L1153" s="2172"/>
      <c r="M1153" s="2172"/>
    </row>
    <row r="1154" spans="1:15" s="2171" customFormat="1">
      <c r="A1154" s="2170"/>
      <c r="H1154" s="2531" t="s">
        <v>2637</v>
      </c>
      <c r="I1154" s="2531"/>
      <c r="J1154" s="2172"/>
      <c r="K1154" s="2532">
        <v>1281.5993000000001</v>
      </c>
      <c r="L1154" s="2532"/>
      <c r="M1154" s="2172"/>
      <c r="N1154" s="2533" t="s">
        <v>3008</v>
      </c>
      <c r="O1154" s="2172"/>
    </row>
    <row r="1155" spans="1:15" s="2171" customFormat="1">
      <c r="H1155" s="2172"/>
      <c r="I1155" s="2172"/>
      <c r="J1155" s="2172"/>
      <c r="K1155" s="2532"/>
      <c r="L1155" s="2532"/>
      <c r="N1155" s="2533"/>
    </row>
    <row r="1156" spans="1:15" s="2171" customFormat="1">
      <c r="A1156" s="2169">
        <v>5327</v>
      </c>
      <c r="B1156" s="2172"/>
      <c r="C1156" s="2534" t="s">
        <v>2846</v>
      </c>
      <c r="D1156" s="2534"/>
      <c r="E1156" s="2534"/>
      <c r="F1156" s="2534"/>
      <c r="G1156" s="2534"/>
      <c r="H1156" s="2534"/>
      <c r="I1156" s="2534"/>
      <c r="J1156" s="2172"/>
      <c r="K1156" s="2172"/>
      <c r="L1156" s="2172"/>
      <c r="M1156" s="2172"/>
    </row>
    <row r="1157" spans="1:15" s="2171" customFormat="1">
      <c r="A1157" s="2172"/>
      <c r="B1157" s="2172"/>
      <c r="C1157" s="2172"/>
      <c r="D1157" s="2172"/>
      <c r="E1157" s="2172"/>
      <c r="F1157" s="2172"/>
      <c r="G1157" s="2172"/>
      <c r="H1157" s="2172"/>
      <c r="I1157" s="2172"/>
      <c r="J1157" s="2172"/>
      <c r="K1157" s="2172"/>
      <c r="L1157" s="2172"/>
      <c r="M1157" s="2172"/>
    </row>
    <row r="1158" spans="1:15" s="2171" customFormat="1">
      <c r="A1158" s="2535" t="s">
        <v>2648</v>
      </c>
      <c r="B1158" s="2535"/>
      <c r="C1158" s="2535"/>
      <c r="D1158" s="2173"/>
      <c r="E1158" s="2173"/>
      <c r="F1158" s="2173"/>
      <c r="G1158" s="2173"/>
      <c r="H1158" s="2536">
        <v>-1281.5989999999999</v>
      </c>
      <c r="I1158" s="2536"/>
      <c r="J1158" s="2536"/>
      <c r="K1158" s="2173"/>
      <c r="L1158" s="2175">
        <v>-122219.72</v>
      </c>
      <c r="M1158" s="2173"/>
    </row>
    <row r="1159" spans="1:15" s="2171" customFormat="1">
      <c r="A1159" s="2170"/>
      <c r="B1159" s="2170"/>
      <c r="C1159" s="2170"/>
      <c r="D1159" s="2170"/>
      <c r="E1159" s="2531" t="s">
        <v>2639</v>
      </c>
      <c r="F1159" s="2531"/>
      <c r="G1159" s="2170"/>
      <c r="H1159" s="2537">
        <v>0</v>
      </c>
      <c r="I1159" s="2537"/>
      <c r="J1159" s="2537"/>
      <c r="K1159" s="2172"/>
      <c r="L1159" s="2537">
        <v>0</v>
      </c>
      <c r="M1159" s="2172"/>
    </row>
    <row r="1160" spans="1:15" s="2171" customFormat="1">
      <c r="A1160" s="2170"/>
      <c r="B1160" s="2170"/>
      <c r="C1160" s="2170"/>
      <c r="D1160" s="2170"/>
      <c r="E1160" s="2170"/>
      <c r="F1160" s="2170"/>
      <c r="G1160" s="2170"/>
      <c r="H1160" s="2537"/>
      <c r="I1160" s="2537"/>
      <c r="J1160" s="2537"/>
      <c r="K1160" s="2172"/>
      <c r="L1160" s="2537"/>
      <c r="M1160" s="2172"/>
    </row>
    <row r="1161" spans="1:15" s="2171" customFormat="1">
      <c r="A1161" s="2169" t="s">
        <v>2699</v>
      </c>
      <c r="B1161" s="2170"/>
      <c r="C1161" s="2169" t="s">
        <v>1069</v>
      </c>
      <c r="D1161" s="2170"/>
      <c r="E1161" s="2169" t="s">
        <v>2640</v>
      </c>
      <c r="F1161" s="2170"/>
    </row>
    <row r="1162" spans="1:15" s="2171" customFormat="1">
      <c r="A1162" s="2172"/>
      <c r="B1162" s="2172"/>
      <c r="C1162" s="2172"/>
      <c r="D1162" s="2172"/>
      <c r="E1162" s="2172"/>
      <c r="F1162" s="2172"/>
      <c r="G1162" s="2172"/>
      <c r="H1162" s="2172"/>
      <c r="I1162" s="2172"/>
      <c r="J1162" s="2172"/>
      <c r="K1162" s="2172"/>
      <c r="L1162" s="2172"/>
      <c r="M1162" s="2172"/>
    </row>
    <row r="1163" spans="1:15" s="2171" customFormat="1">
      <c r="A1163" s="2170"/>
      <c r="H1163" s="2531" t="s">
        <v>2637</v>
      </c>
      <c r="I1163" s="2531"/>
      <c r="J1163" s="2172"/>
      <c r="K1163" s="2537">
        <v>0</v>
      </c>
      <c r="L1163" s="2537"/>
      <c r="M1163" s="2172"/>
      <c r="N1163" s="2533"/>
      <c r="O1163" s="2172"/>
    </row>
    <row r="1164" spans="1:15" s="2171" customFormat="1">
      <c r="H1164" s="2172"/>
      <c r="I1164" s="2172"/>
      <c r="J1164" s="2172"/>
      <c r="K1164" s="2537"/>
      <c r="L1164" s="2537"/>
      <c r="N1164" s="2533"/>
    </row>
    <row r="1165" spans="1:15" s="2171" customFormat="1">
      <c r="A1165" s="2169">
        <v>17791</v>
      </c>
      <c r="B1165" s="2172"/>
      <c r="C1165" s="2534" t="s">
        <v>2845</v>
      </c>
      <c r="D1165" s="2534"/>
      <c r="E1165" s="2534"/>
      <c r="F1165" s="2534"/>
      <c r="G1165" s="2534"/>
      <c r="H1165" s="2534"/>
      <c r="I1165" s="2534"/>
      <c r="J1165" s="2172"/>
      <c r="K1165" s="2172"/>
      <c r="L1165" s="2172"/>
      <c r="M1165" s="2172"/>
    </row>
    <row r="1166" spans="1:15" s="2171" customFormat="1">
      <c r="A1166" s="2172"/>
      <c r="B1166" s="2172"/>
      <c r="C1166" s="2172"/>
      <c r="D1166" s="2172"/>
      <c r="E1166" s="2172"/>
      <c r="F1166" s="2172"/>
      <c r="G1166" s="2172"/>
      <c r="H1166" s="2172"/>
      <c r="I1166" s="2172"/>
      <c r="J1166" s="2172"/>
      <c r="K1166" s="2172"/>
      <c r="L1166" s="2172"/>
      <c r="M1166" s="2172"/>
    </row>
    <row r="1167" spans="1:15" s="2171" customFormat="1">
      <c r="A1167" s="2538"/>
      <c r="B1167" s="2538"/>
      <c r="C1167" s="2538"/>
      <c r="D1167" s="2173"/>
      <c r="E1167" s="2173"/>
      <c r="F1167" s="2173"/>
      <c r="G1167" s="2173"/>
      <c r="H1167" s="2539"/>
      <c r="I1167" s="2539"/>
      <c r="J1167" s="2539"/>
      <c r="K1167" s="2173"/>
      <c r="L1167" s="2174"/>
      <c r="M1167" s="2173"/>
    </row>
    <row r="1168" spans="1:15" s="2171" customFormat="1">
      <c r="A1168" s="2170"/>
      <c r="B1168" s="2170"/>
      <c r="C1168" s="2170"/>
      <c r="D1168" s="2170"/>
      <c r="E1168" s="2531" t="s">
        <v>2639</v>
      </c>
      <c r="F1168" s="2531"/>
      <c r="G1168" s="2170"/>
      <c r="H1168" s="2537">
        <v>0</v>
      </c>
      <c r="I1168" s="2537"/>
      <c r="J1168" s="2537"/>
      <c r="K1168" s="2172"/>
      <c r="L1168" s="2537">
        <v>0</v>
      </c>
      <c r="M1168" s="2172"/>
    </row>
    <row r="1169" spans="1:15" s="2171" customFormat="1">
      <c r="A1169" s="2170"/>
      <c r="B1169" s="2170"/>
      <c r="C1169" s="2170"/>
      <c r="D1169" s="2170"/>
      <c r="E1169" s="2170"/>
      <c r="F1169" s="2170"/>
      <c r="G1169" s="2170"/>
      <c r="H1169" s="2537"/>
      <c r="I1169" s="2537"/>
      <c r="J1169" s="2537"/>
      <c r="K1169" s="2172"/>
      <c r="L1169" s="2537"/>
      <c r="M1169" s="2172"/>
    </row>
    <row r="1170" spans="1:15" s="2171" customFormat="1">
      <c r="A1170" s="2169" t="s">
        <v>2699</v>
      </c>
      <c r="B1170" s="2170"/>
      <c r="C1170" s="2169" t="s">
        <v>1069</v>
      </c>
      <c r="D1170" s="2170"/>
      <c r="E1170" s="2169" t="s">
        <v>2640</v>
      </c>
      <c r="F1170" s="2170"/>
    </row>
    <row r="1171" spans="1:15" s="2171" customFormat="1">
      <c r="A1171" s="2172"/>
      <c r="B1171" s="2172"/>
      <c r="C1171" s="2172"/>
      <c r="D1171" s="2172"/>
      <c r="E1171" s="2172"/>
      <c r="F1171" s="2172"/>
      <c r="G1171" s="2172"/>
      <c r="H1171" s="2172"/>
      <c r="I1171" s="2172"/>
      <c r="J1171" s="2172"/>
      <c r="K1171" s="2172"/>
      <c r="L1171" s="2172"/>
      <c r="M1171" s="2172"/>
    </row>
    <row r="1172" spans="1:15" s="2171" customFormat="1">
      <c r="A1172" s="2170"/>
      <c r="H1172" s="2531" t="s">
        <v>2637</v>
      </c>
      <c r="I1172" s="2531"/>
      <c r="J1172" s="2172"/>
      <c r="K1172" s="2537">
        <v>0</v>
      </c>
      <c r="L1172" s="2537"/>
      <c r="M1172" s="2172"/>
      <c r="N1172" s="2533"/>
      <c r="O1172" s="2172"/>
    </row>
    <row r="1173" spans="1:15" s="2171" customFormat="1">
      <c r="H1173" s="2172"/>
      <c r="I1173" s="2172"/>
      <c r="J1173" s="2172"/>
      <c r="K1173" s="2537"/>
      <c r="L1173" s="2537"/>
      <c r="N1173" s="2533"/>
    </row>
    <row r="1174" spans="1:15" s="2171" customFormat="1">
      <c r="A1174" s="2169">
        <v>20413</v>
      </c>
      <c r="B1174" s="2172"/>
      <c r="C1174" s="2534" t="s">
        <v>2703</v>
      </c>
      <c r="D1174" s="2534"/>
      <c r="E1174" s="2534"/>
      <c r="F1174" s="2534"/>
      <c r="G1174" s="2534"/>
      <c r="H1174" s="2534"/>
      <c r="I1174" s="2534"/>
      <c r="J1174" s="2172"/>
      <c r="K1174" s="2172"/>
      <c r="L1174" s="2172"/>
      <c r="M1174" s="2172"/>
    </row>
    <row r="1175" spans="1:15" s="2171" customFormat="1">
      <c r="A1175" s="2172"/>
      <c r="B1175" s="2172"/>
      <c r="C1175" s="2172"/>
      <c r="D1175" s="2172"/>
      <c r="E1175" s="2172"/>
      <c r="F1175" s="2172"/>
      <c r="G1175" s="2172"/>
      <c r="H1175" s="2172"/>
      <c r="I1175" s="2172"/>
      <c r="J1175" s="2172"/>
      <c r="K1175" s="2172"/>
      <c r="L1175" s="2172"/>
      <c r="M1175" s="2172"/>
    </row>
    <row r="1176" spans="1:15" s="2171" customFormat="1">
      <c r="A1176" s="2538"/>
      <c r="B1176" s="2538"/>
      <c r="C1176" s="2538"/>
      <c r="D1176" s="2173"/>
      <c r="E1176" s="2173"/>
      <c r="F1176" s="2173"/>
      <c r="G1176" s="2173"/>
      <c r="H1176" s="2539"/>
      <c r="I1176" s="2539"/>
      <c r="J1176" s="2539"/>
      <c r="K1176" s="2173"/>
      <c r="L1176" s="2174"/>
      <c r="M1176" s="2173"/>
    </row>
    <row r="1177" spans="1:15" s="2171" customFormat="1">
      <c r="A1177" s="2170"/>
      <c r="B1177" s="2170"/>
      <c r="C1177" s="2170"/>
      <c r="D1177" s="2170"/>
      <c r="E1177" s="2531" t="s">
        <v>2639</v>
      </c>
      <c r="F1177" s="2531"/>
      <c r="G1177" s="2170"/>
      <c r="H1177" s="2537">
        <v>0</v>
      </c>
      <c r="I1177" s="2537"/>
      <c r="J1177" s="2537"/>
      <c r="K1177" s="2172"/>
      <c r="L1177" s="2537">
        <v>0</v>
      </c>
      <c r="M1177" s="2172"/>
    </row>
    <row r="1178" spans="1:15" s="2171" customFormat="1">
      <c r="A1178" s="2170"/>
      <c r="B1178" s="2170"/>
      <c r="C1178" s="2170"/>
      <c r="D1178" s="2170"/>
      <c r="E1178" s="2170"/>
      <c r="F1178" s="2170"/>
      <c r="G1178" s="2170"/>
      <c r="H1178" s="2537"/>
      <c r="I1178" s="2537"/>
      <c r="J1178" s="2537"/>
      <c r="K1178" s="2172"/>
      <c r="L1178" s="2537"/>
      <c r="M1178" s="2172"/>
    </row>
    <row r="1179" spans="1:15" s="2171" customFormat="1">
      <c r="A1179" s="2169" t="s">
        <v>2699</v>
      </c>
      <c r="B1179" s="2170"/>
      <c r="C1179" s="2169" t="s">
        <v>1069</v>
      </c>
      <c r="D1179" s="2170"/>
      <c r="E1179" s="2169" t="s">
        <v>2640</v>
      </c>
      <c r="F1179" s="2170"/>
    </row>
    <row r="1180" spans="1:15" s="2171" customFormat="1">
      <c r="A1180" s="2172"/>
      <c r="B1180" s="2172"/>
      <c r="C1180" s="2172"/>
      <c r="D1180" s="2172"/>
      <c r="E1180" s="2172"/>
      <c r="F1180" s="2172"/>
      <c r="G1180" s="2172"/>
      <c r="H1180" s="2172"/>
      <c r="I1180" s="2172"/>
      <c r="J1180" s="2172"/>
      <c r="K1180" s="2172"/>
      <c r="L1180" s="2172"/>
      <c r="M1180" s="2172"/>
    </row>
    <row r="1181" spans="1:15" s="2171" customFormat="1">
      <c r="A1181" s="2170"/>
      <c r="H1181" s="2531" t="s">
        <v>2637</v>
      </c>
      <c r="I1181" s="2531"/>
      <c r="J1181" s="2172"/>
      <c r="K1181" s="2532">
        <v>26330.327600000001</v>
      </c>
      <c r="L1181" s="2532"/>
      <c r="M1181" s="2172"/>
      <c r="N1181" s="2533" t="s">
        <v>3009</v>
      </c>
      <c r="O1181" s="2172"/>
    </row>
    <row r="1182" spans="1:15" s="2171" customFormat="1">
      <c r="H1182" s="2172"/>
      <c r="I1182" s="2172"/>
      <c r="J1182" s="2172"/>
      <c r="K1182" s="2532"/>
      <c r="L1182" s="2532"/>
      <c r="N1182" s="2533"/>
    </row>
    <row r="1183" spans="1:15" s="2171" customFormat="1">
      <c r="A1183" s="2169">
        <v>24543</v>
      </c>
      <c r="B1183" s="2172"/>
      <c r="C1183" s="2534" t="s">
        <v>2642</v>
      </c>
      <c r="D1183" s="2534"/>
      <c r="E1183" s="2534"/>
      <c r="F1183" s="2534"/>
      <c r="G1183" s="2534"/>
      <c r="H1183" s="2534"/>
      <c r="I1183" s="2534"/>
      <c r="J1183" s="2172"/>
      <c r="K1183" s="2172"/>
      <c r="L1183" s="2172"/>
      <c r="M1183" s="2172"/>
    </row>
    <row r="1184" spans="1:15" s="2171" customFormat="1">
      <c r="A1184" s="2172"/>
      <c r="B1184" s="2172"/>
      <c r="C1184" s="2172"/>
      <c r="D1184" s="2172"/>
      <c r="E1184" s="2172"/>
      <c r="F1184" s="2172"/>
      <c r="G1184" s="2172"/>
      <c r="H1184" s="2172"/>
      <c r="I1184" s="2172"/>
      <c r="J1184" s="2172"/>
      <c r="K1184" s="2172"/>
      <c r="L1184" s="2172"/>
      <c r="M1184" s="2172"/>
    </row>
    <row r="1185" spans="1:20" s="2171" customFormat="1">
      <c r="A1185" s="2535" t="s">
        <v>2679</v>
      </c>
      <c r="B1185" s="2535"/>
      <c r="C1185" s="2535"/>
      <c r="D1185" s="2173"/>
      <c r="E1185" s="2173"/>
      <c r="F1185" s="2173"/>
      <c r="G1185" s="2173"/>
      <c r="H1185" s="2536">
        <v>-1087.2909999999999</v>
      </c>
      <c r="I1185" s="2536"/>
      <c r="J1185" s="2536"/>
      <c r="K1185" s="2173"/>
      <c r="L1185" s="2175">
        <v>-100000</v>
      </c>
      <c r="M1185" s="2173"/>
      <c r="O1185" s="2176">
        <f>K1181+K1190+K1226</f>
        <v>41813.397599999997</v>
      </c>
    </row>
    <row r="1186" spans="1:20" s="2171" customFormat="1">
      <c r="A1186" s="2170"/>
      <c r="B1186" s="2170"/>
      <c r="C1186" s="2170"/>
      <c r="D1186" s="2170"/>
      <c r="E1186" s="2531" t="s">
        <v>2639</v>
      </c>
      <c r="F1186" s="2531"/>
      <c r="G1186" s="2170"/>
      <c r="H1186" s="2532">
        <v>25243.036599999999</v>
      </c>
      <c r="I1186" s="2532"/>
      <c r="J1186" s="2532"/>
      <c r="K1186" s="2172"/>
      <c r="L1186" s="2532">
        <v>2295349.3199999998</v>
      </c>
      <c r="M1186" s="2172"/>
      <c r="O1186" s="2176">
        <f>H1186+H1195+H1231</f>
        <v>40726.106599999999</v>
      </c>
      <c r="S1186" s="2176">
        <f>L1186+L1195+L1231</f>
        <v>3703224.87</v>
      </c>
      <c r="T1186" s="2176"/>
    </row>
    <row r="1187" spans="1:20" s="2171" customFormat="1">
      <c r="A1187" s="2170"/>
      <c r="B1187" s="2170"/>
      <c r="C1187" s="2170"/>
      <c r="D1187" s="2170"/>
      <c r="E1187" s="2170"/>
      <c r="F1187" s="2170"/>
      <c r="G1187" s="2170"/>
      <c r="H1187" s="2532"/>
      <c r="I1187" s="2532"/>
      <c r="J1187" s="2532"/>
      <c r="K1187" s="2172"/>
      <c r="L1187" s="2532"/>
      <c r="M1187" s="2172"/>
    </row>
    <row r="1188" spans="1:20" s="2171" customFormat="1">
      <c r="A1188" s="2169" t="s">
        <v>2699</v>
      </c>
      <c r="B1188" s="2170"/>
      <c r="C1188" s="2169" t="s">
        <v>1069</v>
      </c>
      <c r="D1188" s="2170"/>
      <c r="E1188" s="2169" t="s">
        <v>2640</v>
      </c>
      <c r="F1188" s="2170"/>
    </row>
    <row r="1189" spans="1:20" s="2171" customFormat="1">
      <c r="A1189" s="2172"/>
      <c r="B1189" s="2172"/>
      <c r="C1189" s="2172"/>
      <c r="D1189" s="2172"/>
      <c r="E1189" s="2172"/>
      <c r="F1189" s="2172"/>
      <c r="G1189" s="2172"/>
      <c r="H1189" s="2172"/>
      <c r="I1189" s="2172"/>
      <c r="J1189" s="2172"/>
      <c r="K1189" s="2172"/>
      <c r="L1189" s="2172"/>
      <c r="M1189" s="2172"/>
    </row>
    <row r="1190" spans="1:20" s="2171" customFormat="1">
      <c r="A1190" s="2170"/>
      <c r="H1190" s="2531" t="s">
        <v>2637</v>
      </c>
      <c r="I1190" s="2531"/>
      <c r="J1190" s="2172"/>
      <c r="K1190" s="2532">
        <v>7347.3227999999999</v>
      </c>
      <c r="L1190" s="2532"/>
      <c r="M1190" s="2172"/>
      <c r="N1190" s="2533" t="s">
        <v>3010</v>
      </c>
      <c r="O1190" s="2172"/>
    </row>
    <row r="1191" spans="1:20" s="2171" customFormat="1">
      <c r="H1191" s="2172"/>
      <c r="I1191" s="2172"/>
      <c r="J1191" s="2172"/>
      <c r="K1191" s="2532"/>
      <c r="L1191" s="2532"/>
      <c r="N1191" s="2533"/>
    </row>
    <row r="1192" spans="1:20" s="2171" customFormat="1">
      <c r="A1192" s="2169">
        <v>24543</v>
      </c>
      <c r="B1192" s="2172"/>
      <c r="C1192" s="2534" t="s">
        <v>2642</v>
      </c>
      <c r="D1192" s="2534"/>
      <c r="E1192" s="2534"/>
      <c r="F1192" s="2534"/>
      <c r="G1192" s="2534"/>
      <c r="H1192" s="2534"/>
      <c r="I1192" s="2534"/>
      <c r="J1192" s="2172"/>
      <c r="K1192" s="2172"/>
      <c r="L1192" s="2172"/>
      <c r="M1192" s="2172"/>
    </row>
    <row r="1193" spans="1:20" s="2171" customFormat="1">
      <c r="A1193" s="2172"/>
      <c r="B1193" s="2172"/>
      <c r="C1193" s="2172"/>
      <c r="D1193" s="2172"/>
      <c r="E1193" s="2172"/>
      <c r="F1193" s="2172"/>
      <c r="G1193" s="2172"/>
      <c r="H1193" s="2172"/>
      <c r="I1193" s="2172"/>
      <c r="J1193" s="2172"/>
      <c r="K1193" s="2172"/>
      <c r="L1193" s="2172"/>
      <c r="M1193" s="2172"/>
    </row>
    <row r="1194" spans="1:20" s="2171" customFormat="1">
      <c r="A1194" s="2538"/>
      <c r="B1194" s="2538"/>
      <c r="C1194" s="2538"/>
      <c r="D1194" s="2173"/>
      <c r="E1194" s="2173"/>
      <c r="F1194" s="2173"/>
      <c r="G1194" s="2173"/>
      <c r="H1194" s="2539"/>
      <c r="I1194" s="2539"/>
      <c r="J1194" s="2539"/>
      <c r="K1194" s="2173"/>
      <c r="L1194" s="2174"/>
      <c r="M1194" s="2173"/>
    </row>
    <row r="1195" spans="1:20" s="2171" customFormat="1">
      <c r="A1195" s="2170"/>
      <c r="B1195" s="2170"/>
      <c r="C1195" s="2170"/>
      <c r="D1195" s="2170"/>
      <c r="E1195" s="2531" t="s">
        <v>2639</v>
      </c>
      <c r="F1195" s="2531"/>
      <c r="G1195" s="2170"/>
      <c r="H1195" s="2532">
        <v>7347.3227999999999</v>
      </c>
      <c r="I1195" s="2532"/>
      <c r="J1195" s="2532"/>
      <c r="K1195" s="2172"/>
      <c r="L1195" s="2532">
        <v>668092.06000000006</v>
      </c>
      <c r="M1195" s="2172"/>
    </row>
    <row r="1196" spans="1:20" s="2171" customFormat="1">
      <c r="A1196" s="2170"/>
      <c r="B1196" s="2170"/>
      <c r="C1196" s="2170"/>
      <c r="D1196" s="2170"/>
      <c r="E1196" s="2170"/>
      <c r="F1196" s="2170"/>
      <c r="G1196" s="2170"/>
      <c r="H1196" s="2532"/>
      <c r="I1196" s="2532"/>
      <c r="J1196" s="2532"/>
      <c r="K1196" s="2172"/>
      <c r="L1196" s="2532"/>
      <c r="M1196" s="2172"/>
    </row>
    <row r="1197" spans="1:20" s="2171" customFormat="1">
      <c r="A1197" s="2169" t="s">
        <v>2699</v>
      </c>
      <c r="B1197" s="2170"/>
      <c r="C1197" s="2169" t="s">
        <v>1069</v>
      </c>
      <c r="D1197" s="2170"/>
      <c r="E1197" s="2169" t="s">
        <v>2640</v>
      </c>
      <c r="F1197" s="2170"/>
    </row>
    <row r="1198" spans="1:20" s="2171" customFormat="1">
      <c r="A1198" s="2172"/>
      <c r="B1198" s="2172"/>
      <c r="C1198" s="2172"/>
      <c r="D1198" s="2172"/>
      <c r="E1198" s="2172"/>
      <c r="F1198" s="2172"/>
      <c r="G1198" s="2172"/>
      <c r="H1198" s="2172"/>
      <c r="I1198" s="2172"/>
      <c r="J1198" s="2172"/>
      <c r="K1198" s="2172"/>
      <c r="L1198" s="2172"/>
      <c r="M1198" s="2172"/>
    </row>
    <row r="1199" spans="1:20" s="2171" customFormat="1">
      <c r="A1199" s="2170"/>
      <c r="H1199" s="2531" t="s">
        <v>2637</v>
      </c>
      <c r="I1199" s="2531"/>
      <c r="J1199" s="2172"/>
      <c r="K1199" s="2537">
        <v>0</v>
      </c>
      <c r="L1199" s="2537"/>
      <c r="M1199" s="2172"/>
      <c r="N1199" s="2533"/>
      <c r="O1199" s="2172"/>
    </row>
    <row r="1200" spans="1:20" s="2171" customFormat="1">
      <c r="H1200" s="2172"/>
      <c r="I1200" s="2172"/>
      <c r="J1200" s="2172"/>
      <c r="K1200" s="2537"/>
      <c r="L1200" s="2537"/>
      <c r="N1200" s="2533"/>
    </row>
    <row r="1201" spans="1:15" s="2171" customFormat="1">
      <c r="A1201" s="2169">
        <v>24543</v>
      </c>
      <c r="B1201" s="2172"/>
      <c r="C1201" s="2534" t="s">
        <v>2642</v>
      </c>
      <c r="D1201" s="2534"/>
      <c r="E1201" s="2534"/>
      <c r="F1201" s="2534"/>
      <c r="G1201" s="2534"/>
      <c r="H1201" s="2534"/>
      <c r="I1201" s="2534"/>
      <c r="J1201" s="2172"/>
      <c r="K1201" s="2172"/>
      <c r="L1201" s="2172"/>
      <c r="M1201" s="2172"/>
    </row>
    <row r="1202" spans="1:15" s="2171" customFormat="1">
      <c r="A1202" s="2172"/>
      <c r="B1202" s="2172"/>
      <c r="C1202" s="2172"/>
      <c r="D1202" s="2172"/>
      <c r="E1202" s="2172"/>
      <c r="F1202" s="2172"/>
      <c r="G1202" s="2172"/>
      <c r="H1202" s="2172"/>
      <c r="I1202" s="2172"/>
      <c r="J1202" s="2172"/>
      <c r="K1202" s="2172"/>
      <c r="L1202" s="2172"/>
      <c r="M1202" s="2172"/>
    </row>
    <row r="1203" spans="1:15" s="2171" customFormat="1">
      <c r="A1203" s="2538"/>
      <c r="B1203" s="2538"/>
      <c r="C1203" s="2538"/>
      <c r="D1203" s="2173"/>
      <c r="E1203" s="2173"/>
      <c r="F1203" s="2173"/>
      <c r="G1203" s="2173"/>
      <c r="H1203" s="2539"/>
      <c r="I1203" s="2539"/>
      <c r="J1203" s="2539"/>
      <c r="K1203" s="2173"/>
      <c r="L1203" s="2174"/>
      <c r="M1203" s="2173"/>
    </row>
    <row r="1204" spans="1:15" s="2171" customFormat="1">
      <c r="A1204" s="2170"/>
      <c r="B1204" s="2170"/>
      <c r="C1204" s="2170"/>
      <c r="D1204" s="2170"/>
      <c r="E1204" s="2531" t="s">
        <v>2639</v>
      </c>
      <c r="F1204" s="2531"/>
      <c r="G1204" s="2170"/>
      <c r="H1204" s="2537">
        <v>0</v>
      </c>
      <c r="I1204" s="2537"/>
      <c r="J1204" s="2537"/>
      <c r="K1204" s="2172"/>
      <c r="L1204" s="2537">
        <v>0</v>
      </c>
      <c r="M1204" s="2172"/>
    </row>
    <row r="1205" spans="1:15" s="2171" customFormat="1">
      <c r="A1205" s="2170"/>
      <c r="B1205" s="2170"/>
      <c r="C1205" s="2170"/>
      <c r="D1205" s="2170"/>
      <c r="E1205" s="2170"/>
      <c r="F1205" s="2170"/>
      <c r="G1205" s="2170"/>
      <c r="H1205" s="2537"/>
      <c r="I1205" s="2537"/>
      <c r="J1205" s="2537"/>
      <c r="K1205" s="2172"/>
      <c r="L1205" s="2537"/>
      <c r="M1205" s="2172"/>
    </row>
    <row r="1206" spans="1:15" s="2171" customFormat="1">
      <c r="A1206" s="2169" t="s">
        <v>2699</v>
      </c>
      <c r="B1206" s="2170"/>
      <c r="C1206" s="2169" t="s">
        <v>1069</v>
      </c>
      <c r="D1206" s="2170"/>
      <c r="E1206" s="2169" t="s">
        <v>2640</v>
      </c>
      <c r="F1206" s="2170"/>
    </row>
    <row r="1207" spans="1:15" s="2171" customFormat="1">
      <c r="A1207" s="2172"/>
      <c r="B1207" s="2172"/>
      <c r="C1207" s="2172"/>
      <c r="D1207" s="2172"/>
      <c r="E1207" s="2172"/>
      <c r="F1207" s="2172"/>
      <c r="G1207" s="2172"/>
      <c r="H1207" s="2172"/>
      <c r="I1207" s="2172"/>
      <c r="J1207" s="2172"/>
      <c r="K1207" s="2172"/>
      <c r="L1207" s="2172"/>
      <c r="M1207" s="2172"/>
    </row>
    <row r="1208" spans="1:15" s="2171" customFormat="1">
      <c r="A1208" s="2170"/>
      <c r="H1208" s="2531" t="s">
        <v>2637</v>
      </c>
      <c r="I1208" s="2531"/>
      <c r="J1208" s="2172"/>
      <c r="K1208" s="2537">
        <v>0</v>
      </c>
      <c r="L1208" s="2537"/>
      <c r="M1208" s="2172"/>
      <c r="N1208" s="2533"/>
      <c r="O1208" s="2172"/>
    </row>
    <row r="1209" spans="1:15" s="2171" customFormat="1">
      <c r="H1209" s="2172"/>
      <c r="I1209" s="2172"/>
      <c r="J1209" s="2172"/>
      <c r="K1209" s="2537"/>
      <c r="L1209" s="2537"/>
      <c r="N1209" s="2533"/>
    </row>
    <row r="1210" spans="1:15" s="2171" customFormat="1">
      <c r="A1210" s="2169">
        <v>27401</v>
      </c>
      <c r="B1210" s="2172"/>
      <c r="C1210" s="2534" t="s">
        <v>2704</v>
      </c>
      <c r="D1210" s="2534"/>
      <c r="E1210" s="2534"/>
      <c r="F1210" s="2534"/>
      <c r="G1210" s="2534"/>
      <c r="H1210" s="2534"/>
      <c r="I1210" s="2534"/>
      <c r="J1210" s="2172"/>
      <c r="K1210" s="2172"/>
      <c r="L1210" s="2172"/>
      <c r="M1210" s="2172"/>
    </row>
    <row r="1211" spans="1:15" s="2171" customFormat="1">
      <c r="A1211" s="2172"/>
      <c r="B1211" s="2172"/>
      <c r="C1211" s="2172"/>
      <c r="D1211" s="2172"/>
      <c r="E1211" s="2172"/>
      <c r="F1211" s="2172"/>
      <c r="G1211" s="2172"/>
      <c r="H1211" s="2172"/>
      <c r="I1211" s="2172"/>
      <c r="J1211" s="2172"/>
      <c r="K1211" s="2172"/>
      <c r="L1211" s="2172"/>
      <c r="M1211" s="2172"/>
    </row>
    <row r="1212" spans="1:15" s="2171" customFormat="1">
      <c r="A1212" s="2538"/>
      <c r="B1212" s="2538"/>
      <c r="C1212" s="2538"/>
      <c r="D1212" s="2173"/>
      <c r="E1212" s="2173"/>
      <c r="F1212" s="2173"/>
      <c r="G1212" s="2173"/>
      <c r="H1212" s="2539"/>
      <c r="I1212" s="2539"/>
      <c r="J1212" s="2539"/>
      <c r="K1212" s="2173"/>
      <c r="L1212" s="2174"/>
      <c r="M1212" s="2173"/>
    </row>
    <row r="1213" spans="1:15" s="2171" customFormat="1">
      <c r="A1213" s="2170"/>
      <c r="B1213" s="2170"/>
      <c r="C1213" s="2170"/>
      <c r="D1213" s="2170"/>
      <c r="E1213" s="2531" t="s">
        <v>2639</v>
      </c>
      <c r="F1213" s="2531"/>
      <c r="G1213" s="2170"/>
      <c r="H1213" s="2537">
        <v>0</v>
      </c>
      <c r="I1213" s="2537"/>
      <c r="J1213" s="2537"/>
      <c r="K1213" s="2172"/>
      <c r="L1213" s="2537">
        <v>0</v>
      </c>
      <c r="M1213" s="2172"/>
    </row>
    <row r="1214" spans="1:15" s="2171" customFormat="1">
      <c r="A1214" s="2170"/>
      <c r="B1214" s="2170"/>
      <c r="C1214" s="2170"/>
      <c r="D1214" s="2170"/>
      <c r="E1214" s="2170"/>
      <c r="F1214" s="2170"/>
      <c r="G1214" s="2170"/>
      <c r="H1214" s="2537"/>
      <c r="I1214" s="2537"/>
      <c r="J1214" s="2537"/>
      <c r="K1214" s="2172"/>
      <c r="L1214" s="2537"/>
      <c r="M1214" s="2172"/>
    </row>
    <row r="1215" spans="1:15" s="2171" customFormat="1">
      <c r="A1215" s="2169" t="s">
        <v>2699</v>
      </c>
      <c r="B1215" s="2170"/>
      <c r="C1215" s="2169" t="s">
        <v>1069</v>
      </c>
      <c r="D1215" s="2170"/>
      <c r="E1215" s="2169" t="s">
        <v>2640</v>
      </c>
      <c r="F1215" s="2170"/>
    </row>
    <row r="1216" spans="1:15" s="2171" customFormat="1">
      <c r="A1216" s="2172"/>
      <c r="B1216" s="2172"/>
      <c r="C1216" s="2172"/>
      <c r="D1216" s="2172"/>
      <c r="E1216" s="2172"/>
      <c r="F1216" s="2172"/>
      <c r="G1216" s="2172"/>
      <c r="H1216" s="2172"/>
      <c r="I1216" s="2172"/>
      <c r="J1216" s="2172"/>
      <c r="K1216" s="2172"/>
      <c r="L1216" s="2172"/>
      <c r="M1216" s="2172"/>
    </row>
    <row r="1217" spans="1:15" s="2171" customFormat="1">
      <c r="A1217" s="2170"/>
      <c r="H1217" s="2531" t="s">
        <v>2637</v>
      </c>
      <c r="I1217" s="2531"/>
      <c r="J1217" s="2172"/>
      <c r="K1217" s="2537">
        <v>0</v>
      </c>
      <c r="L1217" s="2537"/>
      <c r="M1217" s="2172"/>
      <c r="N1217" s="2533"/>
      <c r="O1217" s="2172"/>
    </row>
    <row r="1218" spans="1:15" s="2171" customFormat="1">
      <c r="H1218" s="2172"/>
      <c r="I1218" s="2172"/>
      <c r="J1218" s="2172"/>
      <c r="K1218" s="2537"/>
      <c r="L1218" s="2537"/>
      <c r="N1218" s="2533"/>
    </row>
    <row r="1219" spans="1:15" s="2171" customFormat="1">
      <c r="A1219" s="2169">
        <v>29545</v>
      </c>
      <c r="B1219" s="2172"/>
      <c r="C1219" s="2534" t="s">
        <v>2705</v>
      </c>
      <c r="D1219" s="2534"/>
      <c r="E1219" s="2534"/>
      <c r="F1219" s="2534"/>
      <c r="G1219" s="2534"/>
      <c r="H1219" s="2534"/>
      <c r="I1219" s="2534"/>
      <c r="J1219" s="2172"/>
      <c r="K1219" s="2172"/>
      <c r="L1219" s="2172"/>
      <c r="M1219" s="2172"/>
    </row>
    <row r="1220" spans="1:15" s="2171" customFormat="1">
      <c r="A1220" s="2172"/>
      <c r="B1220" s="2172"/>
      <c r="C1220" s="2172"/>
      <c r="D1220" s="2172"/>
      <c r="E1220" s="2172"/>
      <c r="F1220" s="2172"/>
      <c r="G1220" s="2172"/>
      <c r="H1220" s="2172"/>
      <c r="I1220" s="2172"/>
      <c r="J1220" s="2172"/>
      <c r="K1220" s="2172"/>
      <c r="L1220" s="2172"/>
      <c r="M1220" s="2172"/>
    </row>
    <row r="1221" spans="1:15" s="2171" customFormat="1">
      <c r="A1221" s="2538"/>
      <c r="B1221" s="2538"/>
      <c r="C1221" s="2538"/>
      <c r="D1221" s="2173"/>
      <c r="E1221" s="2173"/>
      <c r="F1221" s="2173"/>
      <c r="G1221" s="2173"/>
      <c r="H1221" s="2539"/>
      <c r="I1221" s="2539"/>
      <c r="J1221" s="2539"/>
      <c r="K1221" s="2173"/>
      <c r="L1221" s="2174"/>
      <c r="M1221" s="2173"/>
    </row>
    <row r="1222" spans="1:15" s="2171" customFormat="1">
      <c r="A1222" s="2170"/>
      <c r="B1222" s="2170"/>
      <c r="C1222" s="2170"/>
      <c r="D1222" s="2170"/>
      <c r="E1222" s="2531" t="s">
        <v>2639</v>
      </c>
      <c r="F1222" s="2531"/>
      <c r="G1222" s="2170"/>
      <c r="H1222" s="2537">
        <v>0</v>
      </c>
      <c r="I1222" s="2537"/>
      <c r="J1222" s="2537"/>
      <c r="K1222" s="2172"/>
      <c r="L1222" s="2537">
        <v>0</v>
      </c>
      <c r="M1222" s="2172"/>
    </row>
    <row r="1223" spans="1:15" s="2171" customFormat="1">
      <c r="A1223" s="2170"/>
      <c r="B1223" s="2170"/>
      <c r="C1223" s="2170"/>
      <c r="D1223" s="2170"/>
      <c r="E1223" s="2170"/>
      <c r="F1223" s="2170"/>
      <c r="G1223" s="2170"/>
      <c r="H1223" s="2537"/>
      <c r="I1223" s="2537"/>
      <c r="J1223" s="2537"/>
      <c r="K1223" s="2172"/>
      <c r="L1223" s="2537"/>
      <c r="M1223" s="2172"/>
    </row>
    <row r="1224" spans="1:15" s="2171" customFormat="1">
      <c r="A1224" s="2169" t="s">
        <v>2699</v>
      </c>
      <c r="B1224" s="2170"/>
      <c r="C1224" s="2169" t="s">
        <v>1069</v>
      </c>
      <c r="D1224" s="2170"/>
      <c r="E1224" s="2169" t="s">
        <v>2640</v>
      </c>
      <c r="F1224" s="2170"/>
    </row>
    <row r="1225" spans="1:15" s="2171" customFormat="1">
      <c r="A1225" s="2172"/>
      <c r="B1225" s="2172"/>
      <c r="C1225" s="2172"/>
      <c r="D1225" s="2172"/>
      <c r="E1225" s="2172"/>
      <c r="F1225" s="2172"/>
      <c r="G1225" s="2172"/>
      <c r="H1225" s="2172"/>
      <c r="I1225" s="2172"/>
      <c r="J1225" s="2172"/>
      <c r="K1225" s="2172"/>
      <c r="L1225" s="2172"/>
      <c r="M1225" s="2172"/>
    </row>
    <row r="1226" spans="1:15" s="2171" customFormat="1">
      <c r="A1226" s="2170"/>
      <c r="H1226" s="2531" t="s">
        <v>2637</v>
      </c>
      <c r="I1226" s="2531"/>
      <c r="J1226" s="2172"/>
      <c r="K1226" s="2532">
        <v>8135.7471999999998</v>
      </c>
      <c r="L1226" s="2532"/>
      <c r="M1226" s="2172"/>
      <c r="N1226" s="2533" t="s">
        <v>3011</v>
      </c>
      <c r="O1226" s="2172"/>
    </row>
    <row r="1227" spans="1:15" s="2171" customFormat="1">
      <c r="H1227" s="2172"/>
      <c r="I1227" s="2172"/>
      <c r="J1227" s="2172"/>
      <c r="K1227" s="2532"/>
      <c r="L1227" s="2532"/>
      <c r="N1227" s="2533"/>
    </row>
    <row r="1228" spans="1:15" s="2171" customFormat="1">
      <c r="A1228" s="2169">
        <v>30823</v>
      </c>
      <c r="B1228" s="2172"/>
      <c r="C1228" s="2534" t="s">
        <v>2642</v>
      </c>
      <c r="D1228" s="2534"/>
      <c r="E1228" s="2534"/>
      <c r="F1228" s="2534"/>
      <c r="G1228" s="2534"/>
      <c r="H1228" s="2534"/>
      <c r="I1228" s="2534"/>
      <c r="J1228" s="2172"/>
      <c r="K1228" s="2172"/>
      <c r="L1228" s="2172"/>
      <c r="M1228" s="2172"/>
    </row>
    <row r="1229" spans="1:15" s="2171" customFormat="1">
      <c r="A1229" s="2172"/>
      <c r="B1229" s="2172"/>
      <c r="C1229" s="2172"/>
      <c r="D1229" s="2172"/>
      <c r="E1229" s="2172"/>
      <c r="F1229" s="2172"/>
      <c r="G1229" s="2172"/>
      <c r="H1229" s="2172"/>
      <c r="I1229" s="2172"/>
      <c r="J1229" s="2172"/>
      <c r="K1229" s="2172"/>
      <c r="L1229" s="2172"/>
      <c r="M1229" s="2172"/>
    </row>
    <row r="1230" spans="1:15" s="2171" customFormat="1">
      <c r="A1230" s="2538"/>
      <c r="B1230" s="2538"/>
      <c r="C1230" s="2538"/>
      <c r="D1230" s="2173"/>
      <c r="E1230" s="2173"/>
      <c r="F1230" s="2173"/>
      <c r="G1230" s="2173"/>
      <c r="H1230" s="2539"/>
      <c r="I1230" s="2539"/>
      <c r="J1230" s="2539"/>
      <c r="K1230" s="2173"/>
      <c r="L1230" s="2174"/>
      <c r="M1230" s="2173"/>
    </row>
    <row r="1231" spans="1:15" s="2171" customFormat="1">
      <c r="A1231" s="2170"/>
      <c r="B1231" s="2170"/>
      <c r="C1231" s="2170"/>
      <c r="D1231" s="2170"/>
      <c r="E1231" s="2531" t="s">
        <v>2639</v>
      </c>
      <c r="F1231" s="2531"/>
      <c r="G1231" s="2170"/>
      <c r="H1231" s="2532">
        <v>8135.7471999999998</v>
      </c>
      <c r="I1231" s="2532"/>
      <c r="J1231" s="2532"/>
      <c r="K1231" s="2172"/>
      <c r="L1231" s="2532">
        <v>739783.49</v>
      </c>
      <c r="M1231" s="2172"/>
    </row>
    <row r="1232" spans="1:15" s="2171" customFormat="1">
      <c r="A1232" s="2170"/>
      <c r="B1232" s="2170"/>
      <c r="C1232" s="2170"/>
      <c r="D1232" s="2170"/>
      <c r="E1232" s="2170"/>
      <c r="F1232" s="2170"/>
      <c r="G1232" s="2170"/>
      <c r="H1232" s="2532"/>
      <c r="I1232" s="2532"/>
      <c r="J1232" s="2532"/>
      <c r="K1232" s="2172"/>
      <c r="L1232" s="2532"/>
      <c r="M1232" s="2172"/>
    </row>
    <row r="1233" spans="1:15" s="2171" customFormat="1">
      <c r="A1233" s="2169" t="s">
        <v>2699</v>
      </c>
      <c r="B1233" s="2170"/>
      <c r="C1233" s="2169" t="s">
        <v>1069</v>
      </c>
      <c r="D1233" s="2170"/>
      <c r="E1233" s="2169" t="s">
        <v>2640</v>
      </c>
      <c r="F1233" s="2170"/>
    </row>
    <row r="1234" spans="1:15" s="2171" customFormat="1">
      <c r="A1234" s="2172"/>
      <c r="B1234" s="2172"/>
      <c r="C1234" s="2172"/>
      <c r="D1234" s="2172"/>
      <c r="E1234" s="2172"/>
      <c r="F1234" s="2172"/>
      <c r="G1234" s="2172"/>
      <c r="H1234" s="2172"/>
      <c r="I1234" s="2172"/>
      <c r="J1234" s="2172"/>
      <c r="K1234" s="2172"/>
      <c r="L1234" s="2172"/>
      <c r="M1234" s="2172"/>
    </row>
    <row r="1235" spans="1:15" s="2171" customFormat="1">
      <c r="A1235" s="2170"/>
      <c r="H1235" s="2531" t="s">
        <v>2637</v>
      </c>
      <c r="I1235" s="2531"/>
      <c r="J1235" s="2172"/>
      <c r="K1235" s="2537">
        <v>0</v>
      </c>
      <c r="L1235" s="2537"/>
      <c r="M1235" s="2172"/>
      <c r="N1235" s="2533"/>
      <c r="O1235" s="2172"/>
    </row>
    <row r="1236" spans="1:15" s="2171" customFormat="1">
      <c r="H1236" s="2172"/>
      <c r="I1236" s="2172"/>
      <c r="J1236" s="2172"/>
      <c r="K1236" s="2537"/>
      <c r="L1236" s="2537"/>
      <c r="N1236" s="2533"/>
    </row>
    <row r="1237" spans="1:15" s="2171" customFormat="1">
      <c r="A1237" s="2169">
        <v>32148</v>
      </c>
      <c r="B1237" s="2172"/>
      <c r="C1237" s="2534" t="s">
        <v>2644</v>
      </c>
      <c r="D1237" s="2534"/>
      <c r="E1237" s="2534"/>
      <c r="F1237" s="2534"/>
      <c r="G1237" s="2534"/>
      <c r="H1237" s="2534"/>
      <c r="I1237" s="2534"/>
      <c r="J1237" s="2172"/>
      <c r="K1237" s="2172"/>
      <c r="L1237" s="2172"/>
      <c r="M1237" s="2172"/>
    </row>
    <row r="1238" spans="1:15" s="2171" customFormat="1">
      <c r="A1238" s="2172"/>
      <c r="B1238" s="2172"/>
      <c r="C1238" s="2172"/>
      <c r="D1238" s="2172"/>
      <c r="E1238" s="2172"/>
      <c r="F1238" s="2172"/>
      <c r="G1238" s="2172"/>
      <c r="H1238" s="2172"/>
      <c r="I1238" s="2172"/>
      <c r="J1238" s="2172"/>
      <c r="K1238" s="2172"/>
      <c r="L1238" s="2172"/>
      <c r="M1238" s="2172"/>
    </row>
    <row r="1239" spans="1:15" s="2171" customFormat="1">
      <c r="A1239" s="2538"/>
      <c r="B1239" s="2538"/>
      <c r="C1239" s="2538"/>
      <c r="D1239" s="2173"/>
      <c r="E1239" s="2173"/>
      <c r="F1239" s="2173"/>
      <c r="G1239" s="2173"/>
      <c r="H1239" s="2539"/>
      <c r="I1239" s="2539"/>
      <c r="J1239" s="2539"/>
      <c r="K1239" s="2173"/>
      <c r="L1239" s="2174"/>
      <c r="M1239" s="2173"/>
    </row>
    <row r="1240" spans="1:15" s="2171" customFormat="1">
      <c r="A1240" s="2170"/>
      <c r="B1240" s="2170"/>
      <c r="C1240" s="2170"/>
      <c r="D1240" s="2170"/>
      <c r="E1240" s="2531" t="s">
        <v>2639</v>
      </c>
      <c r="F1240" s="2531"/>
      <c r="G1240" s="2170"/>
      <c r="H1240" s="2537">
        <v>0</v>
      </c>
      <c r="I1240" s="2537"/>
      <c r="J1240" s="2537"/>
      <c r="K1240" s="2172"/>
      <c r="L1240" s="2537">
        <v>0</v>
      </c>
      <c r="M1240" s="2172"/>
    </row>
    <row r="1241" spans="1:15" s="2171" customFormat="1">
      <c r="A1241" s="2170"/>
      <c r="B1241" s="2170"/>
      <c r="C1241" s="2170"/>
      <c r="D1241" s="2170"/>
      <c r="E1241" s="2170"/>
      <c r="F1241" s="2170"/>
      <c r="G1241" s="2170"/>
      <c r="H1241" s="2537"/>
      <c r="I1241" s="2537"/>
      <c r="J1241" s="2537"/>
      <c r="K1241" s="2172"/>
      <c r="L1241" s="2537"/>
      <c r="M1241" s="2172"/>
    </row>
    <row r="1242" spans="1:15" s="2171" customFormat="1">
      <c r="A1242" s="2169" t="s">
        <v>2699</v>
      </c>
      <c r="B1242" s="2170"/>
      <c r="C1242" s="2169" t="s">
        <v>1069</v>
      </c>
      <c r="D1242" s="2170"/>
      <c r="E1242" s="2169" t="s">
        <v>2640</v>
      </c>
      <c r="F1242" s="2170"/>
    </row>
    <row r="1243" spans="1:15" s="2171" customFormat="1">
      <c r="A1243" s="2172"/>
      <c r="B1243" s="2172"/>
      <c r="C1243" s="2172"/>
      <c r="D1243" s="2172"/>
      <c r="E1243" s="2172"/>
      <c r="F1243" s="2172"/>
      <c r="G1243" s="2172"/>
      <c r="H1243" s="2172"/>
      <c r="I1243" s="2172"/>
      <c r="J1243" s="2172"/>
      <c r="K1243" s="2172"/>
      <c r="L1243" s="2172"/>
      <c r="M1243" s="2172"/>
    </row>
    <row r="1244" spans="1:15" s="2171" customFormat="1">
      <c r="A1244" s="2170"/>
      <c r="H1244" s="2531" t="s">
        <v>2637</v>
      </c>
      <c r="I1244" s="2531"/>
      <c r="J1244" s="2172"/>
      <c r="K1244" s="2537">
        <v>0</v>
      </c>
      <c r="L1244" s="2537"/>
      <c r="M1244" s="2172"/>
      <c r="N1244" s="2533"/>
      <c r="O1244" s="2172"/>
    </row>
    <row r="1245" spans="1:15" s="2171" customFormat="1">
      <c r="H1245" s="2172"/>
      <c r="I1245" s="2172"/>
      <c r="J1245" s="2172"/>
      <c r="K1245" s="2537"/>
      <c r="L1245" s="2537"/>
      <c r="N1245" s="2533"/>
    </row>
    <row r="1246" spans="1:15" s="2171" customFormat="1">
      <c r="A1246" s="2169">
        <v>32149</v>
      </c>
      <c r="B1246" s="2172"/>
      <c r="C1246" s="2534" t="s">
        <v>2646</v>
      </c>
      <c r="D1246" s="2534"/>
      <c r="E1246" s="2534"/>
      <c r="F1246" s="2534"/>
      <c r="G1246" s="2534"/>
      <c r="H1246" s="2534"/>
      <c r="I1246" s="2534"/>
      <c r="J1246" s="2172"/>
      <c r="K1246" s="2172"/>
      <c r="L1246" s="2172"/>
      <c r="M1246" s="2172"/>
    </row>
    <row r="1247" spans="1:15" s="2171" customFormat="1">
      <c r="A1247" s="2172"/>
      <c r="B1247" s="2172"/>
      <c r="C1247" s="2172"/>
      <c r="D1247" s="2172"/>
      <c r="E1247" s="2172"/>
      <c r="F1247" s="2172"/>
      <c r="G1247" s="2172"/>
      <c r="H1247" s="2172"/>
      <c r="I1247" s="2172"/>
      <c r="J1247" s="2172"/>
      <c r="K1247" s="2172"/>
      <c r="L1247" s="2172"/>
      <c r="M1247" s="2172"/>
    </row>
    <row r="1248" spans="1:15" s="2171" customFormat="1">
      <c r="A1248" s="2538"/>
      <c r="B1248" s="2538"/>
      <c r="C1248" s="2538"/>
      <c r="D1248" s="2173"/>
      <c r="E1248" s="2173"/>
      <c r="F1248" s="2173"/>
      <c r="G1248" s="2173"/>
      <c r="H1248" s="2539"/>
      <c r="I1248" s="2539"/>
      <c r="J1248" s="2539"/>
      <c r="K1248" s="2173"/>
      <c r="L1248" s="2174"/>
      <c r="M1248" s="2173"/>
    </row>
    <row r="1249" spans="1:18" s="2171" customFormat="1">
      <c r="A1249" s="2170"/>
      <c r="B1249" s="2170"/>
      <c r="C1249" s="2170"/>
      <c r="D1249" s="2170"/>
      <c r="E1249" s="2531" t="s">
        <v>2639</v>
      </c>
      <c r="F1249" s="2531"/>
      <c r="G1249" s="2170"/>
      <c r="H1249" s="2537">
        <v>0</v>
      </c>
      <c r="I1249" s="2537"/>
      <c r="J1249" s="2537"/>
      <c r="K1249" s="2172"/>
      <c r="L1249" s="2537">
        <v>0</v>
      </c>
      <c r="M1249" s="2172"/>
    </row>
    <row r="1250" spans="1:18" s="2171" customFormat="1">
      <c r="A1250" s="2170"/>
      <c r="B1250" s="2170"/>
      <c r="C1250" s="2170"/>
      <c r="D1250" s="2170"/>
      <c r="E1250" s="2170"/>
      <c r="F1250" s="2170"/>
      <c r="G1250" s="2170"/>
      <c r="H1250" s="2537"/>
      <c r="I1250" s="2537"/>
      <c r="J1250" s="2537"/>
      <c r="K1250" s="2172"/>
      <c r="L1250" s="2537"/>
      <c r="M1250" s="2172"/>
    </row>
    <row r="1251" spans="1:18" s="2171" customFormat="1">
      <c r="A1251" s="2169" t="s">
        <v>2699</v>
      </c>
      <c r="B1251" s="2170"/>
      <c r="C1251" s="2169" t="s">
        <v>1069</v>
      </c>
      <c r="D1251" s="2170"/>
      <c r="E1251" s="2169" t="s">
        <v>2640</v>
      </c>
      <c r="F1251" s="2170"/>
    </row>
    <row r="1252" spans="1:18" s="2171" customFormat="1">
      <c r="A1252" s="2172"/>
      <c r="B1252" s="2172"/>
      <c r="C1252" s="2172"/>
      <c r="D1252" s="2172"/>
      <c r="E1252" s="2172"/>
      <c r="F1252" s="2172"/>
      <c r="G1252" s="2172"/>
      <c r="H1252" s="2172"/>
      <c r="I1252" s="2172"/>
      <c r="J1252" s="2172"/>
      <c r="K1252" s="2172"/>
      <c r="L1252" s="2172"/>
      <c r="M1252" s="2172"/>
    </row>
    <row r="1253" spans="1:18" s="2171" customFormat="1">
      <c r="A1253" s="2170"/>
      <c r="H1253" s="2531" t="s">
        <v>2637</v>
      </c>
      <c r="I1253" s="2531"/>
      <c r="J1253" s="2172"/>
      <c r="K1253" s="2532">
        <v>1422539.1061</v>
      </c>
      <c r="L1253" s="2532"/>
      <c r="M1253" s="2172"/>
      <c r="N1253" s="2533" t="s">
        <v>3012</v>
      </c>
      <c r="O1253" s="2172"/>
    </row>
    <row r="1254" spans="1:18" s="2171" customFormat="1">
      <c r="H1254" s="2172"/>
      <c r="I1254" s="2172"/>
      <c r="J1254" s="2172"/>
      <c r="K1254" s="2532"/>
      <c r="L1254" s="2532"/>
      <c r="N1254" s="2533"/>
    </row>
    <row r="1255" spans="1:18" s="2171" customFormat="1">
      <c r="A1255" s="2169">
        <v>32636</v>
      </c>
      <c r="B1255" s="2172"/>
      <c r="C1255" s="2534" t="s">
        <v>2641</v>
      </c>
      <c r="D1255" s="2534"/>
      <c r="E1255" s="2534"/>
      <c r="F1255" s="2534"/>
      <c r="G1255" s="2534"/>
      <c r="H1255" s="2534"/>
      <c r="I1255" s="2534"/>
      <c r="J1255" s="2172"/>
      <c r="K1255" s="2172"/>
      <c r="L1255" s="2172"/>
      <c r="M1255" s="2172"/>
    </row>
    <row r="1256" spans="1:18" s="2171" customFormat="1">
      <c r="A1256" s="2172"/>
      <c r="B1256" s="2172"/>
      <c r="C1256" s="2172"/>
      <c r="D1256" s="2172"/>
      <c r="E1256" s="2172"/>
      <c r="F1256" s="2172"/>
      <c r="G1256" s="2172"/>
      <c r="H1256" s="2172"/>
      <c r="I1256" s="2172"/>
      <c r="J1256" s="2172"/>
      <c r="K1256" s="2172"/>
      <c r="L1256" s="2172"/>
      <c r="M1256" s="2172"/>
    </row>
    <row r="1257" spans="1:18" s="2171" customFormat="1">
      <c r="A1257" s="2535" t="s">
        <v>2647</v>
      </c>
      <c r="B1257" s="2535"/>
      <c r="C1257" s="2535"/>
      <c r="D1257" s="2173"/>
      <c r="E1257" s="2173"/>
      <c r="F1257" s="2173"/>
      <c r="G1257" s="2173"/>
      <c r="H1257" s="2536">
        <v>1838733.47</v>
      </c>
      <c r="I1257" s="2536"/>
      <c r="J1257" s="2536"/>
      <c r="K1257" s="2173"/>
      <c r="L1257" s="2175">
        <v>170000000</v>
      </c>
      <c r="M1257" s="2173"/>
      <c r="N1257" s="2176">
        <f>H1257+H1259</f>
        <v>1864417.5189999999</v>
      </c>
      <c r="R1257" s="2176">
        <f>L1257+L1259</f>
        <v>172420886</v>
      </c>
    </row>
    <row r="1258" spans="1:18" s="2171" customFormat="1">
      <c r="A1258" s="2535" t="s">
        <v>2648</v>
      </c>
      <c r="B1258" s="2535"/>
      <c r="C1258" s="2535"/>
      <c r="D1258" s="2173"/>
      <c r="E1258" s="2173"/>
      <c r="F1258" s="2173"/>
      <c r="G1258" s="2173"/>
      <c r="H1258" s="2536">
        <v>-391021.39</v>
      </c>
      <c r="I1258" s="2536"/>
      <c r="J1258" s="2536"/>
      <c r="K1258" s="2173"/>
      <c r="L1258" s="2175">
        <v>-35000000</v>
      </c>
      <c r="M1258" s="2173"/>
    </row>
    <row r="1259" spans="1:18" s="2171" customFormat="1">
      <c r="A1259" s="2535" t="s">
        <v>2649</v>
      </c>
      <c r="B1259" s="2535"/>
      <c r="C1259" s="2535"/>
      <c r="D1259" s="2173"/>
      <c r="E1259" s="2173"/>
      <c r="F1259" s="2173"/>
      <c r="G1259" s="2173"/>
      <c r="H1259" s="2536">
        <v>25684.048999999999</v>
      </c>
      <c r="I1259" s="2536"/>
      <c r="J1259" s="2536"/>
      <c r="K1259" s="2173"/>
      <c r="L1259" s="2175">
        <v>2420886</v>
      </c>
      <c r="M1259" s="2173"/>
    </row>
    <row r="1260" spans="1:18" s="2171" customFormat="1">
      <c r="A1260" s="2170"/>
      <c r="B1260" s="2170"/>
      <c r="C1260" s="2170"/>
      <c r="D1260" s="2170"/>
      <c r="E1260" s="2531" t="s">
        <v>2639</v>
      </c>
      <c r="F1260" s="2531"/>
      <c r="G1260" s="2170"/>
      <c r="H1260" s="2532">
        <v>2895935.2355</v>
      </c>
      <c r="I1260" s="2532"/>
      <c r="J1260" s="2532"/>
      <c r="K1260" s="2172"/>
      <c r="L1260" s="2532">
        <v>263327390.97</v>
      </c>
      <c r="M1260" s="2172"/>
    </row>
    <row r="1261" spans="1:18" s="2171" customFormat="1">
      <c r="A1261" s="2170"/>
      <c r="B1261" s="2170"/>
      <c r="C1261" s="2170"/>
      <c r="D1261" s="2170"/>
      <c r="E1261" s="2170"/>
      <c r="F1261" s="2170"/>
      <c r="G1261" s="2170"/>
      <c r="H1261" s="2532"/>
      <c r="I1261" s="2532"/>
      <c r="J1261" s="2532"/>
      <c r="K1261" s="2172"/>
      <c r="L1261" s="2532"/>
      <c r="M1261" s="2172"/>
    </row>
    <row r="1262" spans="1:18" s="2171" customFormat="1">
      <c r="A1262" s="2169" t="s">
        <v>2699</v>
      </c>
      <c r="B1262" s="2170"/>
      <c r="C1262" s="2169" t="s">
        <v>1069</v>
      </c>
      <c r="D1262" s="2170"/>
      <c r="E1262" s="2169" t="s">
        <v>2640</v>
      </c>
      <c r="F1262" s="2170"/>
    </row>
    <row r="1263" spans="1:18" s="2171" customFormat="1">
      <c r="A1263" s="2172"/>
      <c r="B1263" s="2172"/>
      <c r="C1263" s="2172"/>
      <c r="D1263" s="2172"/>
      <c r="E1263" s="2172"/>
      <c r="F1263" s="2172"/>
      <c r="G1263" s="2172"/>
      <c r="H1263" s="2172"/>
      <c r="I1263" s="2172"/>
      <c r="J1263" s="2172"/>
      <c r="K1263" s="2172"/>
      <c r="L1263" s="2172"/>
      <c r="M1263" s="2172"/>
    </row>
    <row r="1264" spans="1:18" s="2171" customFormat="1">
      <c r="A1264" s="2170"/>
      <c r="H1264" s="2531" t="s">
        <v>2637</v>
      </c>
      <c r="I1264" s="2531"/>
      <c r="J1264" s="2172"/>
      <c r="K1264" s="2537">
        <v>0</v>
      </c>
      <c r="L1264" s="2537"/>
      <c r="M1264" s="2172"/>
      <c r="N1264" s="2533"/>
      <c r="O1264" s="2172"/>
    </row>
    <row r="1265" spans="1:15" s="2171" customFormat="1">
      <c r="H1265" s="2172"/>
      <c r="I1265" s="2172"/>
      <c r="J1265" s="2172"/>
      <c r="K1265" s="2537"/>
      <c r="L1265" s="2537"/>
      <c r="N1265" s="2533"/>
    </row>
    <row r="1266" spans="1:15" s="2171" customFormat="1">
      <c r="A1266" s="2169">
        <v>32358</v>
      </c>
      <c r="B1266" s="2172"/>
      <c r="C1266" s="2534" t="s">
        <v>2675</v>
      </c>
      <c r="D1266" s="2534"/>
      <c r="E1266" s="2534"/>
      <c r="F1266" s="2534"/>
      <c r="G1266" s="2534"/>
      <c r="H1266" s="2534"/>
      <c r="I1266" s="2534"/>
      <c r="J1266" s="2172"/>
      <c r="K1266" s="2172"/>
      <c r="L1266" s="2172"/>
      <c r="M1266" s="2172"/>
    </row>
    <row r="1267" spans="1:15" s="2171" customFormat="1">
      <c r="A1267" s="2172"/>
      <c r="B1267" s="2172"/>
      <c r="C1267" s="2172"/>
      <c r="D1267" s="2172"/>
      <c r="E1267" s="2172"/>
      <c r="F1267" s="2172"/>
      <c r="G1267" s="2172"/>
      <c r="H1267" s="2172"/>
      <c r="I1267" s="2172"/>
      <c r="J1267" s="2172"/>
      <c r="K1267" s="2172"/>
      <c r="L1267" s="2172"/>
      <c r="M1267" s="2172"/>
    </row>
    <row r="1268" spans="1:15" s="2171" customFormat="1">
      <c r="A1268" s="2538"/>
      <c r="B1268" s="2538"/>
      <c r="C1268" s="2538"/>
      <c r="D1268" s="2173"/>
      <c r="E1268" s="2173"/>
      <c r="F1268" s="2173"/>
      <c r="G1268" s="2173"/>
      <c r="H1268" s="2539"/>
      <c r="I1268" s="2539"/>
      <c r="J1268" s="2539"/>
      <c r="K1268" s="2173"/>
      <c r="L1268" s="2174"/>
      <c r="M1268" s="2173"/>
    </row>
    <row r="1269" spans="1:15" s="2171" customFormat="1">
      <c r="A1269" s="2170"/>
      <c r="B1269" s="2170"/>
      <c r="C1269" s="2170"/>
      <c r="D1269" s="2170"/>
      <c r="E1269" s="2531" t="s">
        <v>2639</v>
      </c>
      <c r="F1269" s="2531"/>
      <c r="G1269" s="2170"/>
      <c r="H1269" s="2537">
        <v>0</v>
      </c>
      <c r="I1269" s="2537"/>
      <c r="J1269" s="2537"/>
      <c r="K1269" s="2172"/>
      <c r="L1269" s="2537">
        <v>0</v>
      </c>
      <c r="M1269" s="2172"/>
    </row>
    <row r="1270" spans="1:15" s="2171" customFormat="1">
      <c r="A1270" s="2170"/>
      <c r="B1270" s="2170"/>
      <c r="C1270" s="2170"/>
      <c r="D1270" s="2170"/>
      <c r="E1270" s="2170"/>
      <c r="F1270" s="2170"/>
      <c r="G1270" s="2170"/>
      <c r="H1270" s="2537"/>
      <c r="I1270" s="2537"/>
      <c r="J1270" s="2537"/>
      <c r="K1270" s="2172"/>
      <c r="L1270" s="2537"/>
      <c r="M1270" s="2172"/>
    </row>
    <row r="1271" spans="1:15" s="2171" customFormat="1">
      <c r="A1271" s="2169" t="s">
        <v>2699</v>
      </c>
      <c r="B1271" s="2170"/>
      <c r="C1271" s="2169" t="s">
        <v>1069</v>
      </c>
      <c r="D1271" s="2170"/>
      <c r="E1271" s="2169" t="s">
        <v>2640</v>
      </c>
      <c r="F1271" s="2170"/>
    </row>
    <row r="1272" spans="1:15" s="2171" customFormat="1">
      <c r="A1272" s="2172"/>
      <c r="B1272" s="2172"/>
      <c r="C1272" s="2172"/>
      <c r="D1272" s="2172"/>
      <c r="E1272" s="2172"/>
      <c r="F1272" s="2172"/>
      <c r="G1272" s="2172"/>
      <c r="H1272" s="2172"/>
      <c r="I1272" s="2172"/>
      <c r="J1272" s="2172"/>
      <c r="K1272" s="2172"/>
      <c r="L1272" s="2172"/>
      <c r="M1272" s="2172"/>
    </row>
    <row r="1273" spans="1:15" s="2171" customFormat="1">
      <c r="A1273" s="2170"/>
      <c r="H1273" s="2531" t="s">
        <v>2637</v>
      </c>
      <c r="I1273" s="2531"/>
      <c r="J1273" s="2172"/>
      <c r="K1273" s="2532">
        <v>199264.73240000001</v>
      </c>
      <c r="L1273" s="2532"/>
      <c r="M1273" s="2172"/>
      <c r="N1273" s="2533" t="s">
        <v>3013</v>
      </c>
      <c r="O1273" s="2172"/>
    </row>
    <row r="1274" spans="1:15" s="2171" customFormat="1">
      <c r="H1274" s="2172"/>
      <c r="I1274" s="2172"/>
      <c r="J1274" s="2172"/>
      <c r="K1274" s="2532"/>
      <c r="L1274" s="2532"/>
      <c r="N1274" s="2533"/>
    </row>
    <row r="1275" spans="1:15" s="2171" customFormat="1">
      <c r="A1275" s="2169">
        <v>32346</v>
      </c>
      <c r="B1275" s="2172"/>
      <c r="C1275" s="2534" t="s">
        <v>2656</v>
      </c>
      <c r="D1275" s="2534"/>
      <c r="E1275" s="2534"/>
      <c r="F1275" s="2534"/>
      <c r="G1275" s="2534"/>
      <c r="H1275" s="2534"/>
      <c r="I1275" s="2534"/>
      <c r="J1275" s="2172"/>
      <c r="K1275" s="2172"/>
      <c r="L1275" s="2172"/>
      <c r="M1275" s="2172"/>
    </row>
    <row r="1276" spans="1:15" s="2171" customFormat="1">
      <c r="A1276" s="2172"/>
      <c r="B1276" s="2172"/>
      <c r="C1276" s="2172"/>
      <c r="D1276" s="2172"/>
      <c r="E1276" s="2172"/>
      <c r="F1276" s="2172"/>
      <c r="G1276" s="2172"/>
      <c r="H1276" s="2172"/>
      <c r="I1276" s="2172"/>
      <c r="J1276" s="2172"/>
      <c r="K1276" s="2172"/>
      <c r="L1276" s="2172"/>
      <c r="M1276" s="2172"/>
    </row>
    <row r="1277" spans="1:15" s="2171" customFormat="1">
      <c r="A1277" s="2538"/>
      <c r="B1277" s="2538"/>
      <c r="C1277" s="2538"/>
      <c r="D1277" s="2173"/>
      <c r="E1277" s="2173"/>
      <c r="F1277" s="2173"/>
      <c r="G1277" s="2173"/>
      <c r="H1277" s="2539"/>
      <c r="I1277" s="2539"/>
      <c r="J1277" s="2539"/>
      <c r="K1277" s="2173"/>
      <c r="L1277" s="2174"/>
      <c r="M1277" s="2173"/>
    </row>
    <row r="1278" spans="1:15" s="2171" customFormat="1">
      <c r="A1278" s="2170"/>
      <c r="B1278" s="2170"/>
      <c r="C1278" s="2170"/>
      <c r="D1278" s="2170"/>
      <c r="E1278" s="2531" t="s">
        <v>2639</v>
      </c>
      <c r="F1278" s="2531"/>
      <c r="G1278" s="2170"/>
      <c r="H1278" s="2532">
        <v>199264.73240000001</v>
      </c>
      <c r="I1278" s="2532"/>
      <c r="J1278" s="2532"/>
      <c r="K1278" s="2172"/>
      <c r="L1278" s="2532">
        <v>18119142.120000001</v>
      </c>
      <c r="M1278" s="2172"/>
    </row>
    <row r="1279" spans="1:15" s="2171" customFormat="1">
      <c r="A1279" s="2170"/>
      <c r="B1279" s="2170"/>
      <c r="C1279" s="2170"/>
      <c r="D1279" s="2170"/>
      <c r="E1279" s="2170"/>
      <c r="F1279" s="2170"/>
      <c r="G1279" s="2170"/>
      <c r="H1279" s="2532"/>
      <c r="I1279" s="2532"/>
      <c r="J1279" s="2532"/>
      <c r="K1279" s="2172"/>
      <c r="L1279" s="2532"/>
      <c r="M1279" s="2172"/>
    </row>
    <row r="1280" spans="1:15" s="2171" customFormat="1">
      <c r="A1280" s="2169" t="s">
        <v>2699</v>
      </c>
      <c r="B1280" s="2170"/>
      <c r="C1280" s="2169" t="s">
        <v>1069</v>
      </c>
      <c r="D1280" s="2170"/>
      <c r="E1280" s="2169" t="s">
        <v>2640</v>
      </c>
      <c r="F1280" s="2170"/>
    </row>
    <row r="1281" spans="1:18" s="2171" customFormat="1">
      <c r="A1281" s="2172"/>
      <c r="B1281" s="2172"/>
      <c r="C1281" s="2172"/>
      <c r="D1281" s="2172"/>
      <c r="E1281" s="2172"/>
      <c r="F1281" s="2172"/>
      <c r="G1281" s="2172"/>
      <c r="H1281" s="2172"/>
      <c r="I1281" s="2172"/>
      <c r="J1281" s="2172"/>
      <c r="K1281" s="2172"/>
      <c r="L1281" s="2172"/>
      <c r="M1281" s="2172"/>
    </row>
    <row r="1282" spans="1:18" s="2171" customFormat="1">
      <c r="A1282" s="2170"/>
      <c r="H1282" s="2531" t="s">
        <v>2637</v>
      </c>
      <c r="I1282" s="2531"/>
      <c r="J1282" s="2172"/>
      <c r="K1282" s="2532">
        <v>3502317.2928999998</v>
      </c>
      <c r="L1282" s="2532"/>
      <c r="M1282" s="2172"/>
      <c r="N1282" s="2533" t="s">
        <v>3014</v>
      </c>
      <c r="O1282" s="2172"/>
    </row>
    <row r="1283" spans="1:18" s="2171" customFormat="1">
      <c r="H1283" s="2172"/>
      <c r="I1283" s="2172"/>
      <c r="J1283" s="2172"/>
      <c r="K1283" s="2532"/>
      <c r="L1283" s="2532"/>
      <c r="N1283" s="2533"/>
    </row>
    <row r="1284" spans="1:18" s="2171" customFormat="1">
      <c r="A1284" s="2169">
        <v>44234</v>
      </c>
      <c r="B1284" s="2172"/>
      <c r="C1284" s="2534" t="s">
        <v>2658</v>
      </c>
      <c r="D1284" s="2534"/>
      <c r="E1284" s="2534"/>
      <c r="F1284" s="2534"/>
      <c r="G1284" s="2534"/>
      <c r="H1284" s="2534"/>
      <c r="I1284" s="2534"/>
      <c r="J1284" s="2172"/>
      <c r="K1284" s="2172"/>
      <c r="L1284" s="2172"/>
      <c r="M1284" s="2172"/>
    </row>
    <row r="1285" spans="1:18" s="2171" customFormat="1">
      <c r="A1285" s="2172"/>
      <c r="B1285" s="2172"/>
      <c r="C1285" s="2172"/>
      <c r="D1285" s="2172"/>
      <c r="E1285" s="2172"/>
      <c r="F1285" s="2172"/>
      <c r="G1285" s="2172"/>
      <c r="H1285" s="2172"/>
      <c r="I1285" s="2172"/>
      <c r="J1285" s="2172"/>
      <c r="K1285" s="2172"/>
      <c r="L1285" s="2172"/>
      <c r="M1285" s="2172"/>
    </row>
    <row r="1286" spans="1:18" s="2171" customFormat="1">
      <c r="A1286" s="2535" t="s">
        <v>2648</v>
      </c>
      <c r="B1286" s="2535"/>
      <c r="C1286" s="2535"/>
      <c r="D1286" s="2173"/>
      <c r="E1286" s="2173"/>
      <c r="F1286" s="2173"/>
      <c r="G1286" s="2173"/>
      <c r="H1286" s="2536">
        <v>-151598.66200000001</v>
      </c>
      <c r="I1286" s="2536"/>
      <c r="J1286" s="2536"/>
      <c r="K1286" s="2173"/>
      <c r="L1286" s="2175">
        <v>-14000000</v>
      </c>
      <c r="M1286" s="2173"/>
      <c r="N1286" s="2176">
        <f>H1286+H1287</f>
        <v>-566402.83900000004</v>
      </c>
      <c r="R1286" s="2176">
        <f>L1286+L1287</f>
        <v>-50500000</v>
      </c>
    </row>
    <row r="1287" spans="1:18" s="2171" customFormat="1">
      <c r="A1287" s="2535" t="s">
        <v>2679</v>
      </c>
      <c r="B1287" s="2535"/>
      <c r="C1287" s="2535"/>
      <c r="D1287" s="2173"/>
      <c r="E1287" s="2173"/>
      <c r="F1287" s="2173"/>
      <c r="G1287" s="2173"/>
      <c r="H1287" s="2536">
        <v>-414804.17700000003</v>
      </c>
      <c r="I1287" s="2536"/>
      <c r="J1287" s="2536"/>
      <c r="K1287" s="2173"/>
      <c r="L1287" s="2175">
        <v>-36500000</v>
      </c>
      <c r="M1287" s="2173"/>
    </row>
    <row r="1288" spans="1:18" s="2171" customFormat="1">
      <c r="A1288" s="2170"/>
      <c r="B1288" s="2170"/>
      <c r="C1288" s="2170"/>
      <c r="D1288" s="2170"/>
      <c r="E1288" s="2531" t="s">
        <v>2639</v>
      </c>
      <c r="F1288" s="2531"/>
      <c r="G1288" s="2170"/>
      <c r="H1288" s="2532">
        <v>2935914.4534999998</v>
      </c>
      <c r="I1288" s="2532"/>
      <c r="J1288" s="2532"/>
      <c r="K1288" s="2172"/>
      <c r="L1288" s="2532">
        <v>266962701.25999999</v>
      </c>
      <c r="M1288" s="2172"/>
    </row>
    <row r="1289" spans="1:18" s="2171" customFormat="1">
      <c r="A1289" s="2170"/>
      <c r="B1289" s="2170"/>
      <c r="C1289" s="2170"/>
      <c r="D1289" s="2170"/>
      <c r="E1289" s="2170"/>
      <c r="F1289" s="2170"/>
      <c r="G1289" s="2170"/>
      <c r="H1289" s="2532"/>
      <c r="I1289" s="2532"/>
      <c r="J1289" s="2532"/>
      <c r="K1289" s="2172"/>
      <c r="L1289" s="2532"/>
      <c r="M1289" s="2172"/>
    </row>
    <row r="1290" spans="1:18" s="2171" customFormat="1">
      <c r="A1290" s="2169" t="s">
        <v>2699</v>
      </c>
      <c r="B1290" s="2170"/>
      <c r="C1290" s="2169" t="s">
        <v>1069</v>
      </c>
      <c r="D1290" s="2170"/>
      <c r="E1290" s="2169" t="s">
        <v>2640</v>
      </c>
      <c r="F1290" s="2170"/>
    </row>
    <row r="1291" spans="1:18" s="2171" customFormat="1">
      <c r="A1291" s="2172"/>
      <c r="B1291" s="2172"/>
      <c r="C1291" s="2172"/>
      <c r="D1291" s="2172"/>
      <c r="E1291" s="2172"/>
      <c r="F1291" s="2172"/>
      <c r="G1291" s="2172"/>
      <c r="H1291" s="2172"/>
      <c r="I1291" s="2172"/>
      <c r="J1291" s="2172"/>
      <c r="K1291" s="2172"/>
      <c r="L1291" s="2172"/>
      <c r="M1291" s="2172"/>
    </row>
    <row r="1292" spans="1:18" s="2171" customFormat="1">
      <c r="A1292" s="2170"/>
      <c r="H1292" s="2531" t="s">
        <v>2637</v>
      </c>
      <c r="I1292" s="2531"/>
      <c r="J1292" s="2172"/>
      <c r="K1292" s="2532">
        <v>34698987.839599997</v>
      </c>
      <c r="L1292" s="2532"/>
      <c r="M1292" s="2172"/>
      <c r="N1292" s="2533" t="s">
        <v>3015</v>
      </c>
      <c r="O1292" s="2172"/>
    </row>
    <row r="1293" spans="1:18" s="2171" customFormat="1">
      <c r="H1293" s="2172"/>
      <c r="I1293" s="2172"/>
      <c r="J1293" s="2172"/>
      <c r="K1293" s="2532"/>
      <c r="L1293" s="2532"/>
      <c r="N1293" s="2533"/>
    </row>
    <row r="1294" spans="1:18" s="2171" customFormat="1">
      <c r="A1294" s="2169">
        <v>46553</v>
      </c>
      <c r="B1294" s="2172"/>
      <c r="C1294" s="2534" t="s">
        <v>2662</v>
      </c>
      <c r="D1294" s="2534"/>
      <c r="E1294" s="2534"/>
      <c r="F1294" s="2534"/>
      <c r="G1294" s="2534"/>
      <c r="H1294" s="2534"/>
      <c r="I1294" s="2534"/>
      <c r="J1294" s="2172"/>
      <c r="K1294" s="2172"/>
      <c r="L1294" s="2172"/>
      <c r="M1294" s="2172"/>
    </row>
    <row r="1295" spans="1:18" s="2171" customFormat="1">
      <c r="A1295" s="2172"/>
      <c r="B1295" s="2172"/>
      <c r="C1295" s="2172"/>
      <c r="D1295" s="2172"/>
      <c r="E1295" s="2172"/>
      <c r="F1295" s="2172"/>
      <c r="G1295" s="2172"/>
      <c r="H1295" s="2172"/>
      <c r="I1295" s="2172"/>
      <c r="J1295" s="2172"/>
      <c r="K1295" s="2172"/>
      <c r="L1295" s="2172"/>
      <c r="M1295" s="2172"/>
    </row>
    <row r="1296" spans="1:18" s="2171" customFormat="1">
      <c r="A1296" s="2538"/>
      <c r="B1296" s="2538"/>
      <c r="C1296" s="2538"/>
      <c r="D1296" s="2173"/>
      <c r="E1296" s="2173"/>
      <c r="F1296" s="2173"/>
      <c r="G1296" s="2173"/>
      <c r="H1296" s="2539"/>
      <c r="I1296" s="2539"/>
      <c r="J1296" s="2539"/>
      <c r="K1296" s="2173"/>
      <c r="L1296" s="2174"/>
      <c r="M1296" s="2173"/>
    </row>
    <row r="1297" spans="1:15" s="2171" customFormat="1">
      <c r="A1297" s="2170"/>
      <c r="B1297" s="2170"/>
      <c r="C1297" s="2170"/>
      <c r="D1297" s="2170"/>
      <c r="E1297" s="2531" t="s">
        <v>2639</v>
      </c>
      <c r="F1297" s="2531"/>
      <c r="G1297" s="2170"/>
      <c r="H1297" s="2532">
        <v>34698987.839599997</v>
      </c>
      <c r="I1297" s="2532"/>
      <c r="J1297" s="2532"/>
      <c r="K1297" s="2172"/>
      <c r="L1297" s="2532">
        <v>3155178964.25</v>
      </c>
      <c r="M1297" s="2172"/>
    </row>
    <row r="1298" spans="1:15" s="2171" customFormat="1">
      <c r="A1298" s="2170"/>
      <c r="B1298" s="2170"/>
      <c r="C1298" s="2170"/>
      <c r="D1298" s="2170"/>
      <c r="E1298" s="2170"/>
      <c r="F1298" s="2170"/>
      <c r="G1298" s="2170"/>
      <c r="H1298" s="2532"/>
      <c r="I1298" s="2532"/>
      <c r="J1298" s="2532"/>
      <c r="K1298" s="2172"/>
      <c r="L1298" s="2532"/>
      <c r="M1298" s="2172"/>
    </row>
    <row r="1299" spans="1:15" s="2171" customFormat="1">
      <c r="A1299" s="2169" t="s">
        <v>2699</v>
      </c>
      <c r="B1299" s="2170"/>
      <c r="C1299" s="2169" t="s">
        <v>1069</v>
      </c>
      <c r="D1299" s="2170"/>
      <c r="E1299" s="2169" t="s">
        <v>2640</v>
      </c>
      <c r="F1299" s="2170"/>
    </row>
    <row r="1300" spans="1:15" s="2171" customFormat="1">
      <c r="A1300" s="2172"/>
      <c r="B1300" s="2172"/>
      <c r="C1300" s="2172"/>
      <c r="D1300" s="2172"/>
      <c r="E1300" s="2172"/>
      <c r="F1300" s="2172"/>
      <c r="G1300" s="2172"/>
      <c r="H1300" s="2172"/>
      <c r="I1300" s="2172"/>
      <c r="J1300" s="2172"/>
      <c r="K1300" s="2172"/>
      <c r="L1300" s="2172"/>
      <c r="M1300" s="2172"/>
    </row>
    <row r="1301" spans="1:15" s="2171" customFormat="1">
      <c r="A1301" s="2170"/>
      <c r="H1301" s="2531" t="s">
        <v>2637</v>
      </c>
      <c r="I1301" s="2531"/>
      <c r="J1301" s="2172"/>
      <c r="K1301" s="2537">
        <v>0</v>
      </c>
      <c r="L1301" s="2537"/>
      <c r="M1301" s="2172"/>
      <c r="N1301" s="2533"/>
      <c r="O1301" s="2172"/>
    </row>
    <row r="1302" spans="1:15" s="2171" customFormat="1">
      <c r="H1302" s="2172"/>
      <c r="I1302" s="2172"/>
      <c r="J1302" s="2172"/>
      <c r="K1302" s="2537"/>
      <c r="L1302" s="2537"/>
      <c r="N1302" s="2533"/>
    </row>
    <row r="1303" spans="1:15" s="2171" customFormat="1">
      <c r="A1303" s="2169">
        <v>48483</v>
      </c>
      <c r="B1303" s="2172"/>
      <c r="C1303" s="2534" t="s">
        <v>2664</v>
      </c>
      <c r="D1303" s="2534"/>
      <c r="E1303" s="2534"/>
      <c r="F1303" s="2534"/>
      <c r="G1303" s="2534"/>
      <c r="H1303" s="2534"/>
      <c r="I1303" s="2534"/>
      <c r="J1303" s="2172"/>
      <c r="K1303" s="2172"/>
      <c r="L1303" s="2172"/>
      <c r="M1303" s="2172"/>
    </row>
    <row r="1304" spans="1:15" s="2171" customFormat="1">
      <c r="A1304" s="2172"/>
      <c r="B1304" s="2172"/>
      <c r="C1304" s="2172"/>
      <c r="D1304" s="2172"/>
      <c r="E1304" s="2172"/>
      <c r="F1304" s="2172"/>
      <c r="G1304" s="2172"/>
      <c r="H1304" s="2172"/>
      <c r="I1304" s="2172"/>
      <c r="J1304" s="2172"/>
      <c r="K1304" s="2172"/>
      <c r="L1304" s="2172"/>
      <c r="M1304" s="2172"/>
    </row>
    <row r="1305" spans="1:15" s="2171" customFormat="1">
      <c r="A1305" s="2538"/>
      <c r="B1305" s="2538"/>
      <c r="C1305" s="2538"/>
      <c r="D1305" s="2173"/>
      <c r="E1305" s="2173"/>
      <c r="F1305" s="2173"/>
      <c r="G1305" s="2173"/>
      <c r="H1305" s="2539"/>
      <c r="I1305" s="2539"/>
      <c r="J1305" s="2539"/>
      <c r="K1305" s="2173"/>
      <c r="L1305" s="2174"/>
      <c r="M1305" s="2173"/>
    </row>
    <row r="1306" spans="1:15" s="2171" customFormat="1">
      <c r="A1306" s="2170"/>
      <c r="B1306" s="2170"/>
      <c r="C1306" s="2170"/>
      <c r="D1306" s="2170"/>
      <c r="E1306" s="2531" t="s">
        <v>2639</v>
      </c>
      <c r="F1306" s="2531"/>
      <c r="G1306" s="2170"/>
      <c r="H1306" s="2537">
        <v>0</v>
      </c>
      <c r="I1306" s="2537"/>
      <c r="J1306" s="2537"/>
      <c r="K1306" s="2172"/>
      <c r="L1306" s="2537">
        <v>0</v>
      </c>
      <c r="M1306" s="2172"/>
    </row>
    <row r="1307" spans="1:15" s="2171" customFormat="1">
      <c r="A1307" s="2170"/>
      <c r="B1307" s="2170"/>
      <c r="C1307" s="2170"/>
      <c r="D1307" s="2170"/>
      <c r="E1307" s="2170"/>
      <c r="F1307" s="2170"/>
      <c r="G1307" s="2170"/>
      <c r="H1307" s="2537"/>
      <c r="I1307" s="2537"/>
      <c r="J1307" s="2537"/>
      <c r="K1307" s="2172"/>
      <c r="L1307" s="2537"/>
      <c r="M1307" s="2172"/>
    </row>
    <row r="1308" spans="1:15" s="2171" customFormat="1">
      <c r="A1308" s="2169" t="s">
        <v>2699</v>
      </c>
      <c r="B1308" s="2170"/>
      <c r="C1308" s="2169" t="s">
        <v>1069</v>
      </c>
      <c r="D1308" s="2170"/>
      <c r="E1308" s="2169" t="s">
        <v>2640</v>
      </c>
      <c r="F1308" s="2170"/>
    </row>
    <row r="1309" spans="1:15" s="2171" customFormat="1">
      <c r="A1309" s="2172"/>
      <c r="B1309" s="2172"/>
      <c r="C1309" s="2172"/>
      <c r="D1309" s="2172"/>
      <c r="E1309" s="2172"/>
      <c r="F1309" s="2172"/>
      <c r="G1309" s="2172"/>
      <c r="H1309" s="2172"/>
      <c r="I1309" s="2172"/>
      <c r="J1309" s="2172"/>
      <c r="K1309" s="2172"/>
      <c r="L1309" s="2172"/>
      <c r="M1309" s="2172"/>
    </row>
    <row r="1310" spans="1:15" s="2171" customFormat="1">
      <c r="A1310" s="2170"/>
      <c r="H1310" s="2531" t="s">
        <v>2637</v>
      </c>
      <c r="I1310" s="2531"/>
      <c r="J1310" s="2172"/>
      <c r="K1310" s="2537">
        <v>0</v>
      </c>
      <c r="L1310" s="2537"/>
      <c r="M1310" s="2172"/>
      <c r="N1310" s="2533"/>
      <c r="O1310" s="2172"/>
    </row>
    <row r="1311" spans="1:15" s="2171" customFormat="1">
      <c r="H1311" s="2172"/>
      <c r="I1311" s="2172"/>
      <c r="J1311" s="2172"/>
      <c r="K1311" s="2537"/>
      <c r="L1311" s="2537"/>
      <c r="N1311" s="2533"/>
    </row>
    <row r="1312" spans="1:15" s="2171" customFormat="1">
      <c r="A1312" s="2169">
        <v>48589</v>
      </c>
      <c r="B1312" s="2172"/>
      <c r="C1312" s="2534" t="s">
        <v>2978</v>
      </c>
      <c r="D1312" s="2534"/>
      <c r="E1312" s="2534"/>
      <c r="F1312" s="2534"/>
      <c r="G1312" s="2534"/>
      <c r="H1312" s="2534"/>
      <c r="I1312" s="2534"/>
      <c r="J1312" s="2172"/>
      <c r="K1312" s="2172"/>
      <c r="L1312" s="2172"/>
      <c r="M1312" s="2172"/>
    </row>
    <row r="1313" spans="1:15" s="2171" customFormat="1">
      <c r="A1313" s="2172"/>
      <c r="B1313" s="2172"/>
      <c r="C1313" s="2172"/>
      <c r="D1313" s="2172"/>
      <c r="E1313" s="2172"/>
      <c r="F1313" s="2172"/>
      <c r="G1313" s="2172"/>
      <c r="H1313" s="2172"/>
      <c r="I1313" s="2172"/>
      <c r="J1313" s="2172"/>
      <c r="K1313" s="2172"/>
      <c r="L1313" s="2172"/>
      <c r="M1313" s="2172"/>
    </row>
    <row r="1314" spans="1:15" s="2171" customFormat="1">
      <c r="A1314" s="2538"/>
      <c r="B1314" s="2538"/>
      <c r="C1314" s="2538"/>
      <c r="D1314" s="2173"/>
      <c r="E1314" s="2173"/>
      <c r="F1314" s="2173"/>
      <c r="G1314" s="2173"/>
      <c r="H1314" s="2539"/>
      <c r="I1314" s="2539"/>
      <c r="J1314" s="2539"/>
      <c r="K1314" s="2173"/>
      <c r="L1314" s="2174"/>
      <c r="M1314" s="2173"/>
    </row>
    <row r="1315" spans="1:15" s="2171" customFormat="1">
      <c r="A1315" s="2170"/>
      <c r="B1315" s="2170"/>
      <c r="C1315" s="2170"/>
      <c r="D1315" s="2170"/>
      <c r="E1315" s="2531" t="s">
        <v>2639</v>
      </c>
      <c r="F1315" s="2531"/>
      <c r="G1315" s="2170"/>
      <c r="H1315" s="2537">
        <v>0</v>
      </c>
      <c r="I1315" s="2537"/>
      <c r="J1315" s="2537"/>
      <c r="K1315" s="2172"/>
      <c r="L1315" s="2537">
        <v>0</v>
      </c>
      <c r="M1315" s="2172"/>
    </row>
    <row r="1316" spans="1:15" s="2171" customFormat="1">
      <c r="A1316" s="2170"/>
      <c r="B1316" s="2170"/>
      <c r="C1316" s="2170"/>
      <c r="D1316" s="2170"/>
      <c r="E1316" s="2170"/>
      <c r="F1316" s="2170"/>
      <c r="G1316" s="2170"/>
      <c r="H1316" s="2537"/>
      <c r="I1316" s="2537"/>
      <c r="J1316" s="2537"/>
      <c r="K1316" s="2172"/>
      <c r="L1316" s="2537"/>
      <c r="M1316" s="2172"/>
    </row>
    <row r="1317" spans="1:15" s="2171" customFormat="1">
      <c r="A1317" s="2169" t="s">
        <v>2699</v>
      </c>
      <c r="B1317" s="2170"/>
      <c r="C1317" s="2169" t="s">
        <v>1069</v>
      </c>
      <c r="D1317" s="2170"/>
      <c r="E1317" s="2169" t="s">
        <v>2640</v>
      </c>
      <c r="F1317" s="2170"/>
    </row>
    <row r="1318" spans="1:15" s="2171" customFormat="1">
      <c r="A1318" s="2172"/>
      <c r="B1318" s="2172"/>
      <c r="C1318" s="2172"/>
      <c r="D1318" s="2172"/>
      <c r="E1318" s="2172"/>
      <c r="F1318" s="2172"/>
      <c r="G1318" s="2172"/>
      <c r="H1318" s="2172"/>
      <c r="I1318" s="2172"/>
      <c r="J1318" s="2172"/>
      <c r="K1318" s="2172"/>
      <c r="L1318" s="2172"/>
      <c r="M1318" s="2172"/>
    </row>
    <row r="1319" spans="1:15" s="2171" customFormat="1">
      <c r="A1319" s="2170"/>
      <c r="H1319" s="2531" t="s">
        <v>2637</v>
      </c>
      <c r="I1319" s="2531"/>
      <c r="J1319" s="2172"/>
      <c r="K1319" s="2537">
        <v>0</v>
      </c>
      <c r="L1319" s="2537"/>
      <c r="M1319" s="2172"/>
      <c r="N1319" s="2533"/>
      <c r="O1319" s="2172"/>
    </row>
    <row r="1320" spans="1:15" s="2171" customFormat="1">
      <c r="H1320" s="2172"/>
      <c r="I1320" s="2172"/>
      <c r="J1320" s="2172"/>
      <c r="K1320" s="2537"/>
      <c r="L1320" s="2537"/>
      <c r="N1320" s="2533"/>
    </row>
    <row r="1321" spans="1:15" s="2171" customFormat="1">
      <c r="A1321" s="2169">
        <v>56386</v>
      </c>
      <c r="B1321" s="2172"/>
      <c r="C1321" s="2534" t="s">
        <v>2667</v>
      </c>
      <c r="D1321" s="2534"/>
      <c r="E1321" s="2534"/>
      <c r="F1321" s="2534"/>
      <c r="G1321" s="2534"/>
      <c r="H1321" s="2534"/>
      <c r="I1321" s="2534"/>
      <c r="J1321" s="2172"/>
      <c r="K1321" s="2172"/>
      <c r="L1321" s="2172"/>
      <c r="M1321" s="2172"/>
    </row>
    <row r="1322" spans="1:15" s="2171" customFormat="1">
      <c r="A1322" s="2172"/>
      <c r="B1322" s="2172"/>
      <c r="C1322" s="2172"/>
      <c r="D1322" s="2172"/>
      <c r="E1322" s="2172"/>
      <c r="F1322" s="2172"/>
      <c r="G1322" s="2172"/>
      <c r="H1322" s="2172"/>
      <c r="I1322" s="2172"/>
      <c r="J1322" s="2172"/>
      <c r="K1322" s="2172"/>
      <c r="L1322" s="2172"/>
      <c r="M1322" s="2172"/>
    </row>
    <row r="1323" spans="1:15" s="2171" customFormat="1">
      <c r="A1323" s="2538"/>
      <c r="B1323" s="2538"/>
      <c r="C1323" s="2538"/>
      <c r="D1323" s="2173"/>
      <c r="E1323" s="2173"/>
      <c r="F1323" s="2173"/>
      <c r="G1323" s="2173"/>
      <c r="H1323" s="2539"/>
      <c r="I1323" s="2539"/>
      <c r="J1323" s="2539"/>
      <c r="K1323" s="2173"/>
      <c r="L1323" s="2174"/>
      <c r="M1323" s="2173"/>
    </row>
    <row r="1324" spans="1:15" s="2171" customFormat="1">
      <c r="A1324" s="2170"/>
      <c r="B1324" s="2170"/>
      <c r="C1324" s="2170"/>
      <c r="D1324" s="2170"/>
      <c r="E1324" s="2531" t="s">
        <v>2639</v>
      </c>
      <c r="F1324" s="2531"/>
      <c r="G1324" s="2170"/>
      <c r="H1324" s="2537">
        <v>0</v>
      </c>
      <c r="I1324" s="2537"/>
      <c r="J1324" s="2537"/>
      <c r="K1324" s="2172"/>
      <c r="L1324" s="2537">
        <v>0</v>
      </c>
      <c r="M1324" s="2172"/>
    </row>
    <row r="1325" spans="1:15" s="2171" customFormat="1">
      <c r="A1325" s="2170"/>
      <c r="B1325" s="2170"/>
      <c r="C1325" s="2170"/>
      <c r="D1325" s="2170"/>
      <c r="E1325" s="2170"/>
      <c r="F1325" s="2170"/>
      <c r="G1325" s="2170"/>
      <c r="H1325" s="2537"/>
      <c r="I1325" s="2537"/>
      <c r="J1325" s="2537"/>
      <c r="K1325" s="2172"/>
      <c r="L1325" s="2537"/>
      <c r="M1325" s="2172"/>
    </row>
    <row r="1326" spans="1:15" s="2171" customFormat="1">
      <c r="A1326" s="2169" t="s">
        <v>2699</v>
      </c>
      <c r="B1326" s="2170"/>
      <c r="C1326" s="2169" t="s">
        <v>1069</v>
      </c>
      <c r="D1326" s="2170"/>
      <c r="E1326" s="2169" t="s">
        <v>2640</v>
      </c>
      <c r="F1326" s="2170"/>
    </row>
    <row r="1327" spans="1:15" s="2171" customFormat="1">
      <c r="A1327" s="2172"/>
      <c r="B1327" s="2172"/>
      <c r="C1327" s="2172"/>
      <c r="D1327" s="2172"/>
      <c r="E1327" s="2172"/>
      <c r="F1327" s="2172"/>
      <c r="G1327" s="2172"/>
      <c r="H1327" s="2172"/>
      <c r="I1327" s="2172"/>
      <c r="J1327" s="2172"/>
      <c r="K1327" s="2172"/>
      <c r="L1327" s="2172"/>
      <c r="M1327" s="2172"/>
    </row>
    <row r="1328" spans="1:15" s="2171" customFormat="1">
      <c r="A1328" s="2170"/>
      <c r="H1328" s="2531" t="s">
        <v>2637</v>
      </c>
      <c r="I1328" s="2531"/>
      <c r="J1328" s="2172"/>
      <c r="K1328" s="2532">
        <v>24724.9074</v>
      </c>
      <c r="L1328" s="2532"/>
      <c r="M1328" s="2172"/>
      <c r="N1328" s="2533" t="s">
        <v>3016</v>
      </c>
      <c r="O1328" s="2172"/>
    </row>
    <row r="1329" spans="1:15" s="2171" customFormat="1">
      <c r="H1329" s="2172"/>
      <c r="I1329" s="2172"/>
      <c r="J1329" s="2172"/>
      <c r="K1329" s="2532"/>
      <c r="L1329" s="2532"/>
      <c r="N1329" s="2533"/>
    </row>
    <row r="1330" spans="1:15" s="2171" customFormat="1">
      <c r="A1330" s="2169">
        <v>66113</v>
      </c>
      <c r="B1330" s="2172"/>
      <c r="C1330" s="2534" t="s">
        <v>2669</v>
      </c>
      <c r="D1330" s="2534"/>
      <c r="E1330" s="2534"/>
      <c r="F1330" s="2534"/>
      <c r="G1330" s="2534"/>
      <c r="H1330" s="2534"/>
      <c r="I1330" s="2534"/>
      <c r="J1330" s="2172"/>
      <c r="K1330" s="2172"/>
      <c r="L1330" s="2172"/>
      <c r="M1330" s="2172"/>
    </row>
    <row r="1331" spans="1:15" s="2171" customFormat="1">
      <c r="A1331" s="2172"/>
      <c r="B1331" s="2172"/>
      <c r="C1331" s="2172"/>
      <c r="D1331" s="2172"/>
      <c r="E1331" s="2172"/>
      <c r="F1331" s="2172"/>
      <c r="G1331" s="2172"/>
      <c r="H1331" s="2172"/>
      <c r="I1331" s="2172"/>
      <c r="J1331" s="2172"/>
      <c r="K1331" s="2172"/>
      <c r="L1331" s="2172"/>
      <c r="M1331" s="2172"/>
    </row>
    <row r="1332" spans="1:15" s="2171" customFormat="1">
      <c r="A1332" s="2535" t="s">
        <v>2647</v>
      </c>
      <c r="B1332" s="2535"/>
      <c r="C1332" s="2535"/>
      <c r="D1332" s="2173"/>
      <c r="E1332" s="2173"/>
      <c r="F1332" s="2173"/>
      <c r="G1332" s="2173"/>
      <c r="H1332" s="2536">
        <v>86517.815000000002</v>
      </c>
      <c r="I1332" s="2536"/>
      <c r="J1332" s="2536"/>
      <c r="K1332" s="2173"/>
      <c r="L1332" s="2175">
        <v>7827958.2400000002</v>
      </c>
      <c r="M1332" s="2173"/>
    </row>
    <row r="1333" spans="1:15" s="2171" customFormat="1">
      <c r="A1333" s="2170"/>
      <c r="B1333" s="2170"/>
      <c r="C1333" s="2170"/>
      <c r="D1333" s="2170"/>
      <c r="E1333" s="2531" t="s">
        <v>2639</v>
      </c>
      <c r="F1333" s="2531"/>
      <c r="G1333" s="2170"/>
      <c r="H1333" s="2532">
        <v>111242.7224</v>
      </c>
      <c r="I1333" s="2532"/>
      <c r="J1333" s="2532"/>
      <c r="K1333" s="2172"/>
      <c r="L1333" s="2532">
        <v>10115300.75</v>
      </c>
      <c r="M1333" s="2172"/>
    </row>
    <row r="1334" spans="1:15" s="2171" customFormat="1">
      <c r="A1334" s="2170"/>
      <c r="B1334" s="2170"/>
      <c r="C1334" s="2170"/>
      <c r="D1334" s="2170"/>
      <c r="E1334" s="2170"/>
      <c r="F1334" s="2170"/>
      <c r="G1334" s="2170"/>
      <c r="H1334" s="2532"/>
      <c r="I1334" s="2532"/>
      <c r="J1334" s="2532"/>
      <c r="K1334" s="2172"/>
      <c r="L1334" s="2532"/>
      <c r="M1334" s="2172"/>
    </row>
    <row r="1335" spans="1:15" s="2171" customFormat="1">
      <c r="A1335" s="2169" t="s">
        <v>2699</v>
      </c>
      <c r="B1335" s="2170"/>
      <c r="C1335" s="2169" t="s">
        <v>1069</v>
      </c>
      <c r="D1335" s="2170"/>
      <c r="E1335" s="2169" t="s">
        <v>2640</v>
      </c>
      <c r="F1335" s="2170"/>
    </row>
    <row r="1336" spans="1:15" s="2171" customFormat="1">
      <c r="A1336" s="2172"/>
      <c r="B1336" s="2172"/>
      <c r="C1336" s="2172"/>
      <c r="D1336" s="2172"/>
      <c r="E1336" s="2172"/>
      <c r="F1336" s="2172"/>
      <c r="G1336" s="2172"/>
      <c r="H1336" s="2172"/>
      <c r="I1336" s="2172"/>
      <c r="J1336" s="2172"/>
      <c r="K1336" s="2172"/>
      <c r="L1336" s="2172"/>
      <c r="M1336" s="2172"/>
    </row>
    <row r="1337" spans="1:15" s="2171" customFormat="1">
      <c r="A1337" s="2170"/>
      <c r="H1337" s="2531" t="s">
        <v>2637</v>
      </c>
      <c r="I1337" s="2531"/>
      <c r="J1337" s="2172"/>
      <c r="K1337" s="2532">
        <v>48977.904600000002</v>
      </c>
      <c r="L1337" s="2532"/>
      <c r="M1337" s="2172"/>
      <c r="N1337" s="2533" t="s">
        <v>3017</v>
      </c>
      <c r="O1337" s="2172"/>
    </row>
    <row r="1338" spans="1:15" s="2171" customFormat="1">
      <c r="H1338" s="2172"/>
      <c r="I1338" s="2172"/>
      <c r="J1338" s="2172"/>
      <c r="K1338" s="2532"/>
      <c r="L1338" s="2532"/>
      <c r="N1338" s="2533"/>
    </row>
    <row r="1339" spans="1:15" s="2171" customFormat="1">
      <c r="A1339" s="2169">
        <v>66112</v>
      </c>
      <c r="B1339" s="2172"/>
      <c r="C1339" s="2534" t="s">
        <v>2670</v>
      </c>
      <c r="D1339" s="2534"/>
      <c r="E1339" s="2534"/>
      <c r="F1339" s="2534"/>
      <c r="G1339" s="2534"/>
      <c r="H1339" s="2534"/>
      <c r="I1339" s="2534"/>
      <c r="J1339" s="2172"/>
      <c r="K1339" s="2172"/>
      <c r="L1339" s="2172"/>
      <c r="M1339" s="2172"/>
    </row>
    <row r="1340" spans="1:15" s="2171" customFormat="1">
      <c r="A1340" s="2172"/>
      <c r="B1340" s="2172"/>
      <c r="C1340" s="2172"/>
      <c r="D1340" s="2172"/>
      <c r="E1340" s="2172"/>
      <c r="F1340" s="2172"/>
      <c r="G1340" s="2172"/>
      <c r="H1340" s="2172"/>
      <c r="I1340" s="2172"/>
      <c r="J1340" s="2172"/>
      <c r="K1340" s="2172"/>
      <c r="L1340" s="2172"/>
      <c r="M1340" s="2172"/>
    </row>
    <row r="1341" spans="1:15" s="2171" customFormat="1">
      <c r="A1341" s="2535" t="s">
        <v>2647</v>
      </c>
      <c r="B1341" s="2535"/>
      <c r="C1341" s="2535"/>
      <c r="D1341" s="2173"/>
      <c r="E1341" s="2173"/>
      <c r="F1341" s="2173"/>
      <c r="G1341" s="2173"/>
      <c r="H1341" s="2536">
        <v>173321.74400000001</v>
      </c>
      <c r="I1341" s="2536"/>
      <c r="J1341" s="2536"/>
      <c r="K1341" s="2173"/>
      <c r="L1341" s="2175">
        <v>15679464.560000001</v>
      </c>
      <c r="M1341" s="2173"/>
    </row>
    <row r="1342" spans="1:15" s="2171" customFormat="1">
      <c r="A1342" s="2170"/>
      <c r="B1342" s="2170"/>
      <c r="C1342" s="2170"/>
      <c r="D1342" s="2170"/>
      <c r="E1342" s="2531" t="s">
        <v>2639</v>
      </c>
      <c r="F1342" s="2531"/>
      <c r="G1342" s="2170"/>
      <c r="H1342" s="2532">
        <v>222299.6482</v>
      </c>
      <c r="I1342" s="2532"/>
      <c r="J1342" s="2532"/>
      <c r="K1342" s="2172"/>
      <c r="L1342" s="2532">
        <v>20213707.010000002</v>
      </c>
      <c r="M1342" s="2172"/>
    </row>
    <row r="1343" spans="1:15" s="2171" customFormat="1">
      <c r="A1343" s="2170"/>
      <c r="B1343" s="2170"/>
      <c r="C1343" s="2170"/>
      <c r="D1343" s="2170"/>
      <c r="E1343" s="2170"/>
      <c r="F1343" s="2170"/>
      <c r="G1343" s="2170"/>
      <c r="H1343" s="2532"/>
      <c r="I1343" s="2532"/>
      <c r="J1343" s="2532"/>
      <c r="K1343" s="2172"/>
      <c r="L1343" s="2532"/>
      <c r="M1343" s="2172"/>
    </row>
    <row r="1344" spans="1:15">
      <c r="A1344" s="2160" t="s">
        <v>1195</v>
      </c>
      <c r="B1344" s="2161"/>
      <c r="C1344" s="2160" t="s">
        <v>2706</v>
      </c>
      <c r="D1344" s="2161"/>
      <c r="E1344" s="2160" t="s">
        <v>2640</v>
      </c>
      <c r="F1344" s="2161"/>
    </row>
    <row r="1345" spans="1:15">
      <c r="A1345" s="2163"/>
      <c r="B1345" s="2163"/>
      <c r="C1345" s="2163"/>
      <c r="D1345" s="2163"/>
      <c r="E1345" s="2163"/>
      <c r="F1345" s="2163"/>
      <c r="G1345" s="2163"/>
      <c r="H1345" s="2163"/>
      <c r="I1345" s="2163"/>
      <c r="J1345" s="2163"/>
      <c r="K1345" s="2163"/>
      <c r="L1345" s="2163"/>
      <c r="M1345" s="2163"/>
    </row>
    <row r="1346" spans="1:15">
      <c r="A1346" s="2164"/>
      <c r="H1346" s="2522" t="s">
        <v>2637</v>
      </c>
      <c r="I1346" s="2522"/>
      <c r="J1346" s="2163"/>
      <c r="K1346" s="2523">
        <v>0</v>
      </c>
      <c r="L1346" s="2523"/>
      <c r="M1346" s="2163"/>
      <c r="N1346" s="2527"/>
      <c r="O1346" s="2163"/>
    </row>
    <row r="1347" spans="1:15">
      <c r="H1347" s="2163"/>
      <c r="I1347" s="2163"/>
      <c r="J1347" s="2163"/>
      <c r="K1347" s="2523"/>
      <c r="L1347" s="2523"/>
      <c r="N1347" s="2527"/>
    </row>
    <row r="1348" spans="1:15">
      <c r="A1348" s="2165">
        <v>336</v>
      </c>
      <c r="B1348" s="2163"/>
      <c r="C1348" s="2524" t="s">
        <v>2655</v>
      </c>
      <c r="D1348" s="2524"/>
      <c r="E1348" s="2524"/>
      <c r="F1348" s="2524"/>
      <c r="G1348" s="2524"/>
      <c r="H1348" s="2524"/>
      <c r="I1348" s="2524"/>
      <c r="J1348" s="2163"/>
      <c r="K1348" s="2163"/>
      <c r="L1348" s="2163"/>
      <c r="M1348" s="2163"/>
    </row>
    <row r="1349" spans="1:15">
      <c r="A1349" s="2163"/>
      <c r="B1349" s="2163"/>
      <c r="C1349" s="2163"/>
      <c r="D1349" s="2163"/>
      <c r="E1349" s="2163"/>
      <c r="F1349" s="2163"/>
      <c r="G1349" s="2163"/>
      <c r="H1349" s="2163"/>
      <c r="I1349" s="2163"/>
      <c r="J1349" s="2163"/>
      <c r="K1349" s="2163"/>
      <c r="L1349" s="2163"/>
      <c r="M1349" s="2163"/>
    </row>
    <row r="1350" spans="1:15">
      <c r="A1350" s="2529"/>
      <c r="B1350" s="2529"/>
      <c r="C1350" s="2529"/>
      <c r="D1350" s="2166"/>
      <c r="E1350" s="2166"/>
      <c r="F1350" s="2166"/>
      <c r="G1350" s="2166"/>
      <c r="H1350" s="2525"/>
      <c r="I1350" s="2525"/>
      <c r="J1350" s="2525"/>
      <c r="K1350" s="2166"/>
      <c r="L1350" s="2167"/>
      <c r="M1350" s="2166"/>
    </row>
    <row r="1351" spans="1:15">
      <c r="A1351" s="2164"/>
      <c r="B1351" s="2164"/>
      <c r="C1351" s="2164"/>
      <c r="D1351" s="2164"/>
      <c r="E1351" s="2522" t="s">
        <v>2639</v>
      </c>
      <c r="F1351" s="2522"/>
      <c r="G1351" s="2164"/>
      <c r="H1351" s="2523">
        <v>0</v>
      </c>
      <c r="I1351" s="2523"/>
      <c r="J1351" s="2523"/>
      <c r="K1351" s="2163"/>
      <c r="L1351" s="2523">
        <v>0</v>
      </c>
      <c r="M1351" s="2163"/>
    </row>
    <row r="1352" spans="1:15">
      <c r="A1352" s="2164"/>
      <c r="B1352" s="2164"/>
      <c r="C1352" s="2164"/>
      <c r="D1352" s="2164"/>
      <c r="E1352" s="2164"/>
      <c r="F1352" s="2164"/>
      <c r="G1352" s="2164"/>
      <c r="H1352" s="2523"/>
      <c r="I1352" s="2523"/>
      <c r="J1352" s="2523"/>
      <c r="K1352" s="2163"/>
      <c r="L1352" s="2523"/>
      <c r="M1352" s="2163"/>
    </row>
    <row r="1353" spans="1:15">
      <c r="A1353" s="2160" t="s">
        <v>1195</v>
      </c>
      <c r="B1353" s="2161"/>
      <c r="C1353" s="2160" t="s">
        <v>2706</v>
      </c>
      <c r="D1353" s="2161"/>
      <c r="E1353" s="2160" t="s">
        <v>2640</v>
      </c>
      <c r="F1353" s="2161"/>
    </row>
    <row r="1354" spans="1:15">
      <c r="A1354" s="2163"/>
      <c r="B1354" s="2163"/>
      <c r="C1354" s="2163"/>
      <c r="D1354" s="2163"/>
      <c r="E1354" s="2163"/>
      <c r="F1354" s="2163"/>
      <c r="G1354" s="2163"/>
      <c r="H1354" s="2163"/>
      <c r="I1354" s="2163"/>
      <c r="J1354" s="2163"/>
      <c r="K1354" s="2163"/>
      <c r="L1354" s="2163"/>
      <c r="M1354" s="2163"/>
    </row>
    <row r="1355" spans="1:15">
      <c r="A1355" s="2164"/>
      <c r="H1355" s="2522" t="s">
        <v>2637</v>
      </c>
      <c r="I1355" s="2522"/>
      <c r="J1355" s="2163"/>
      <c r="K1355" s="2523">
        <v>0</v>
      </c>
      <c r="L1355" s="2523"/>
      <c r="M1355" s="2163"/>
      <c r="N1355" s="2527"/>
      <c r="O1355" s="2163"/>
    </row>
    <row r="1356" spans="1:15">
      <c r="H1356" s="2163"/>
      <c r="I1356" s="2163"/>
      <c r="J1356" s="2163"/>
      <c r="K1356" s="2523"/>
      <c r="L1356" s="2523"/>
      <c r="N1356" s="2527"/>
    </row>
    <row r="1357" spans="1:15">
      <c r="A1357" s="2165">
        <v>23</v>
      </c>
      <c r="B1357" s="2163"/>
      <c r="C1357" s="2524" t="s">
        <v>2655</v>
      </c>
      <c r="D1357" s="2524"/>
      <c r="E1357" s="2524"/>
      <c r="F1357" s="2524"/>
      <c r="G1357" s="2524"/>
      <c r="H1357" s="2524"/>
      <c r="I1357" s="2524"/>
      <c r="J1357" s="2163"/>
      <c r="K1357" s="2163"/>
      <c r="L1357" s="2163"/>
      <c r="M1357" s="2163"/>
    </row>
    <row r="1358" spans="1:15">
      <c r="A1358" s="2163"/>
      <c r="B1358" s="2163"/>
      <c r="C1358" s="2163"/>
      <c r="D1358" s="2163"/>
      <c r="E1358" s="2163"/>
      <c r="F1358" s="2163"/>
      <c r="G1358" s="2163"/>
      <c r="H1358" s="2163"/>
      <c r="I1358" s="2163"/>
      <c r="J1358" s="2163"/>
      <c r="K1358" s="2163"/>
      <c r="L1358" s="2163"/>
      <c r="M1358" s="2163"/>
    </row>
    <row r="1359" spans="1:15">
      <c r="A1359" s="2529"/>
      <c r="B1359" s="2529"/>
      <c r="C1359" s="2529"/>
      <c r="D1359" s="2166"/>
      <c r="E1359" s="2166"/>
      <c r="F1359" s="2166"/>
      <c r="G1359" s="2166"/>
      <c r="H1359" s="2525"/>
      <c r="I1359" s="2525"/>
      <c r="J1359" s="2525"/>
      <c r="K1359" s="2166"/>
      <c r="L1359" s="2167"/>
      <c r="M1359" s="2166"/>
    </row>
    <row r="1360" spans="1:15">
      <c r="A1360" s="2164"/>
      <c r="B1360" s="2164"/>
      <c r="C1360" s="2164"/>
      <c r="D1360" s="2164"/>
      <c r="E1360" s="2522" t="s">
        <v>2639</v>
      </c>
      <c r="F1360" s="2522"/>
      <c r="G1360" s="2164"/>
      <c r="H1360" s="2523">
        <v>0</v>
      </c>
      <c r="I1360" s="2523"/>
      <c r="J1360" s="2523"/>
      <c r="K1360" s="2163"/>
      <c r="L1360" s="2523">
        <v>0</v>
      </c>
      <c r="M1360" s="2163"/>
    </row>
    <row r="1361" spans="1:15">
      <c r="A1361" s="2164"/>
      <c r="B1361" s="2164"/>
      <c r="C1361" s="2164"/>
      <c r="D1361" s="2164"/>
      <c r="E1361" s="2164"/>
      <c r="F1361" s="2164"/>
      <c r="G1361" s="2164"/>
      <c r="H1361" s="2523"/>
      <c r="I1361" s="2523"/>
      <c r="J1361" s="2523"/>
      <c r="K1361" s="2163"/>
      <c r="L1361" s="2523"/>
      <c r="M1361" s="2163"/>
    </row>
    <row r="1362" spans="1:15">
      <c r="A1362" s="2160" t="s">
        <v>1195</v>
      </c>
      <c r="B1362" s="2161"/>
      <c r="C1362" s="2160" t="s">
        <v>2706</v>
      </c>
      <c r="D1362" s="2161"/>
      <c r="E1362" s="2160" t="s">
        <v>2640</v>
      </c>
      <c r="F1362" s="2161"/>
    </row>
    <row r="1363" spans="1:15">
      <c r="A1363" s="2163"/>
      <c r="B1363" s="2163"/>
      <c r="C1363" s="2163"/>
      <c r="D1363" s="2163"/>
      <c r="E1363" s="2163"/>
      <c r="F1363" s="2163"/>
      <c r="G1363" s="2163"/>
      <c r="H1363" s="2163"/>
      <c r="I1363" s="2163"/>
      <c r="J1363" s="2163"/>
      <c r="K1363" s="2163"/>
      <c r="L1363" s="2163"/>
      <c r="M1363" s="2163"/>
    </row>
    <row r="1364" spans="1:15">
      <c r="A1364" s="2164"/>
      <c r="H1364" s="2522" t="s">
        <v>2637</v>
      </c>
      <c r="I1364" s="2522"/>
      <c r="J1364" s="2163"/>
      <c r="K1364" s="2523">
        <v>1E-4</v>
      </c>
      <c r="L1364" s="2523"/>
      <c r="M1364" s="2163"/>
      <c r="N1364" s="2527"/>
      <c r="O1364" s="2163"/>
    </row>
    <row r="1365" spans="1:15">
      <c r="H1365" s="2163"/>
      <c r="I1365" s="2163"/>
      <c r="J1365" s="2163"/>
      <c r="K1365" s="2523"/>
      <c r="L1365" s="2523"/>
      <c r="N1365" s="2527"/>
    </row>
    <row r="1366" spans="1:15">
      <c r="A1366" s="2165">
        <v>26</v>
      </c>
      <c r="B1366" s="2163"/>
      <c r="C1366" s="2524" t="s">
        <v>2845</v>
      </c>
      <c r="D1366" s="2524"/>
      <c r="E1366" s="2524"/>
      <c r="F1366" s="2524"/>
      <c r="G1366" s="2524"/>
      <c r="H1366" s="2524"/>
      <c r="I1366" s="2524"/>
      <c r="J1366" s="2163"/>
      <c r="K1366" s="2163"/>
      <c r="L1366" s="2163"/>
      <c r="M1366" s="2163"/>
    </row>
    <row r="1367" spans="1:15">
      <c r="A1367" s="2163"/>
      <c r="B1367" s="2163"/>
      <c r="C1367" s="2163"/>
      <c r="D1367" s="2163"/>
      <c r="E1367" s="2163"/>
      <c r="F1367" s="2163"/>
      <c r="G1367" s="2163"/>
      <c r="H1367" s="2163"/>
      <c r="I1367" s="2163"/>
      <c r="J1367" s="2163"/>
      <c r="K1367" s="2163"/>
      <c r="L1367" s="2163"/>
      <c r="M1367" s="2163"/>
    </row>
    <row r="1368" spans="1:15">
      <c r="A1368" s="2529"/>
      <c r="B1368" s="2529"/>
      <c r="C1368" s="2529"/>
      <c r="D1368" s="2166"/>
      <c r="E1368" s="2166"/>
      <c r="F1368" s="2166"/>
      <c r="G1368" s="2166"/>
      <c r="H1368" s="2525"/>
      <c r="I1368" s="2525"/>
      <c r="J1368" s="2525"/>
      <c r="K1368" s="2166"/>
      <c r="L1368" s="2167"/>
      <c r="M1368" s="2166"/>
    </row>
    <row r="1369" spans="1:15">
      <c r="A1369" s="2164"/>
      <c r="B1369" s="2164"/>
      <c r="C1369" s="2164"/>
      <c r="D1369" s="2164"/>
      <c r="E1369" s="2522" t="s">
        <v>2639</v>
      </c>
      <c r="F1369" s="2522"/>
      <c r="G1369" s="2164"/>
      <c r="H1369" s="2523">
        <v>1E-4</v>
      </c>
      <c r="I1369" s="2523"/>
      <c r="J1369" s="2523"/>
      <c r="K1369" s="2163"/>
      <c r="L1369" s="2523">
        <v>0.01</v>
      </c>
      <c r="M1369" s="2163"/>
    </row>
    <row r="1370" spans="1:15">
      <c r="A1370" s="2164"/>
      <c r="B1370" s="2164"/>
      <c r="C1370" s="2164"/>
      <c r="D1370" s="2164"/>
      <c r="E1370" s="2164"/>
      <c r="F1370" s="2164"/>
      <c r="G1370" s="2164"/>
      <c r="H1370" s="2523"/>
      <c r="I1370" s="2523"/>
      <c r="J1370" s="2523"/>
      <c r="K1370" s="2163"/>
      <c r="L1370" s="2523"/>
      <c r="M1370" s="2163"/>
    </row>
    <row r="1371" spans="1:15">
      <c r="A1371" s="2160" t="s">
        <v>1195</v>
      </c>
      <c r="B1371" s="2161"/>
      <c r="C1371" s="2160" t="s">
        <v>2706</v>
      </c>
      <c r="D1371" s="2161"/>
      <c r="E1371" s="2160" t="s">
        <v>2640</v>
      </c>
      <c r="F1371" s="2161"/>
    </row>
    <row r="1372" spans="1:15">
      <c r="A1372" s="2163"/>
      <c r="B1372" s="2163"/>
      <c r="C1372" s="2163"/>
      <c r="D1372" s="2163"/>
      <c r="E1372" s="2163"/>
      <c r="F1372" s="2163"/>
      <c r="G1372" s="2163"/>
      <c r="H1372" s="2163"/>
      <c r="I1372" s="2163"/>
      <c r="J1372" s="2163"/>
      <c r="K1372" s="2163"/>
      <c r="L1372" s="2163"/>
      <c r="M1372" s="2163"/>
    </row>
    <row r="1373" spans="1:15">
      <c r="A1373" s="2164"/>
      <c r="H1373" s="2522" t="s">
        <v>2637</v>
      </c>
      <c r="I1373" s="2522"/>
      <c r="J1373" s="2163"/>
      <c r="K1373" s="2523">
        <v>0</v>
      </c>
      <c r="L1373" s="2523"/>
      <c r="M1373" s="2163"/>
      <c r="N1373" s="2527"/>
      <c r="O1373" s="2163"/>
    </row>
    <row r="1374" spans="1:15">
      <c r="H1374" s="2163"/>
      <c r="I1374" s="2163"/>
      <c r="J1374" s="2163"/>
      <c r="K1374" s="2523"/>
      <c r="L1374" s="2523"/>
      <c r="N1374" s="2527"/>
    </row>
    <row r="1375" spans="1:15">
      <c r="A1375" s="2165">
        <v>425</v>
      </c>
      <c r="B1375" s="2163"/>
      <c r="C1375" s="2524" t="s">
        <v>2641</v>
      </c>
      <c r="D1375" s="2524"/>
      <c r="E1375" s="2524"/>
      <c r="F1375" s="2524"/>
      <c r="G1375" s="2524"/>
      <c r="H1375" s="2524"/>
      <c r="I1375" s="2524"/>
      <c r="J1375" s="2163"/>
      <c r="K1375" s="2163"/>
      <c r="L1375" s="2163"/>
      <c r="M1375" s="2163"/>
    </row>
    <row r="1376" spans="1:15">
      <c r="A1376" s="2163"/>
      <c r="B1376" s="2163"/>
      <c r="C1376" s="2163"/>
      <c r="D1376" s="2163"/>
      <c r="E1376" s="2163"/>
      <c r="F1376" s="2163"/>
      <c r="G1376" s="2163"/>
      <c r="H1376" s="2163"/>
      <c r="I1376" s="2163"/>
      <c r="J1376" s="2163"/>
      <c r="K1376" s="2163"/>
      <c r="L1376" s="2163"/>
      <c r="M1376" s="2163"/>
    </row>
    <row r="1377" spans="1:15">
      <c r="A1377" s="2529"/>
      <c r="B1377" s="2529"/>
      <c r="C1377" s="2529"/>
      <c r="D1377" s="2166"/>
      <c r="E1377" s="2166"/>
      <c r="F1377" s="2166"/>
      <c r="G1377" s="2166"/>
      <c r="H1377" s="2525"/>
      <c r="I1377" s="2525"/>
      <c r="J1377" s="2525"/>
      <c r="K1377" s="2166"/>
      <c r="L1377" s="2167"/>
      <c r="M1377" s="2166"/>
    </row>
    <row r="1378" spans="1:15">
      <c r="A1378" s="2164"/>
      <c r="B1378" s="2164"/>
      <c r="C1378" s="2164"/>
      <c r="D1378" s="2164"/>
      <c r="E1378" s="2522" t="s">
        <v>2639</v>
      </c>
      <c r="F1378" s="2522"/>
      <c r="G1378" s="2164"/>
      <c r="H1378" s="2523">
        <v>0</v>
      </c>
      <c r="I1378" s="2523"/>
      <c r="J1378" s="2523"/>
      <c r="K1378" s="2163"/>
      <c r="L1378" s="2523">
        <v>0</v>
      </c>
      <c r="M1378" s="2163"/>
    </row>
    <row r="1379" spans="1:15">
      <c r="A1379" s="2164"/>
      <c r="B1379" s="2164"/>
      <c r="C1379" s="2164"/>
      <c r="D1379" s="2164"/>
      <c r="E1379" s="2164"/>
      <c r="F1379" s="2164"/>
      <c r="G1379" s="2164"/>
      <c r="H1379" s="2523"/>
      <c r="I1379" s="2523"/>
      <c r="J1379" s="2523"/>
      <c r="K1379" s="2163"/>
      <c r="L1379" s="2523"/>
      <c r="M1379" s="2163"/>
    </row>
    <row r="1380" spans="1:15">
      <c r="A1380" s="2160" t="s">
        <v>1195</v>
      </c>
      <c r="B1380" s="2161"/>
      <c r="C1380" s="2160" t="s">
        <v>2706</v>
      </c>
      <c r="D1380" s="2161"/>
      <c r="E1380" s="2160" t="s">
        <v>2640</v>
      </c>
      <c r="F1380" s="2161"/>
    </row>
    <row r="1381" spans="1:15">
      <c r="A1381" s="2163"/>
      <c r="B1381" s="2163"/>
      <c r="C1381" s="2163"/>
      <c r="D1381" s="2163"/>
      <c r="E1381" s="2163"/>
      <c r="F1381" s="2163"/>
      <c r="G1381" s="2163"/>
      <c r="H1381" s="2163"/>
      <c r="I1381" s="2163"/>
      <c r="J1381" s="2163"/>
      <c r="K1381" s="2163"/>
      <c r="L1381" s="2163"/>
      <c r="M1381" s="2163"/>
    </row>
    <row r="1382" spans="1:15">
      <c r="A1382" s="2164"/>
      <c r="H1382" s="2522" t="s">
        <v>2637</v>
      </c>
      <c r="I1382" s="2522"/>
      <c r="J1382" s="2163"/>
      <c r="K1382" s="2523">
        <v>1E-4</v>
      </c>
      <c r="L1382" s="2523"/>
      <c r="M1382" s="2163"/>
      <c r="N1382" s="2527"/>
      <c r="O1382" s="2163"/>
    </row>
    <row r="1383" spans="1:15">
      <c r="H1383" s="2163"/>
      <c r="I1383" s="2163"/>
      <c r="J1383" s="2163"/>
      <c r="K1383" s="2523"/>
      <c r="L1383" s="2523"/>
      <c r="N1383" s="2527"/>
    </row>
    <row r="1384" spans="1:15">
      <c r="A1384" s="2165">
        <v>125</v>
      </c>
      <c r="B1384" s="2163"/>
      <c r="C1384" s="2524" t="s">
        <v>2700</v>
      </c>
      <c r="D1384" s="2524"/>
      <c r="E1384" s="2524"/>
      <c r="F1384" s="2524"/>
      <c r="G1384" s="2524"/>
      <c r="H1384" s="2524"/>
      <c r="I1384" s="2524"/>
      <c r="J1384" s="2163"/>
      <c r="K1384" s="2163"/>
      <c r="L1384" s="2163"/>
      <c r="M1384" s="2163"/>
    </row>
    <row r="1385" spans="1:15">
      <c r="A1385" s="2163"/>
      <c r="B1385" s="2163"/>
      <c r="C1385" s="2163"/>
      <c r="D1385" s="2163"/>
      <c r="E1385" s="2163"/>
      <c r="F1385" s="2163"/>
      <c r="G1385" s="2163"/>
      <c r="H1385" s="2163"/>
      <c r="I1385" s="2163"/>
      <c r="J1385" s="2163"/>
      <c r="K1385" s="2163"/>
      <c r="L1385" s="2163"/>
      <c r="M1385" s="2163"/>
    </row>
    <row r="1386" spans="1:15">
      <c r="A1386" s="2529"/>
      <c r="B1386" s="2529"/>
      <c r="C1386" s="2529"/>
      <c r="D1386" s="2166"/>
      <c r="E1386" s="2166"/>
      <c r="F1386" s="2166"/>
      <c r="G1386" s="2166"/>
      <c r="H1386" s="2525"/>
      <c r="I1386" s="2525"/>
      <c r="J1386" s="2525"/>
      <c r="K1386" s="2166"/>
      <c r="L1386" s="2167"/>
      <c r="M1386" s="2166"/>
    </row>
    <row r="1387" spans="1:15">
      <c r="A1387" s="2164"/>
      <c r="B1387" s="2164"/>
      <c r="C1387" s="2164"/>
      <c r="D1387" s="2164"/>
      <c r="E1387" s="2522" t="s">
        <v>2639</v>
      </c>
      <c r="F1387" s="2522"/>
      <c r="G1387" s="2164"/>
      <c r="H1387" s="2523">
        <v>1E-4</v>
      </c>
      <c r="I1387" s="2523"/>
      <c r="J1387" s="2523"/>
      <c r="K1387" s="2163"/>
      <c r="L1387" s="2523">
        <v>0.01</v>
      </c>
      <c r="M1387" s="2163"/>
    </row>
    <row r="1388" spans="1:15">
      <c r="A1388" s="2164"/>
      <c r="B1388" s="2164"/>
      <c r="C1388" s="2164"/>
      <c r="D1388" s="2164"/>
      <c r="E1388" s="2164"/>
      <c r="F1388" s="2164"/>
      <c r="G1388" s="2164"/>
      <c r="H1388" s="2523"/>
      <c r="I1388" s="2523"/>
      <c r="J1388" s="2523"/>
      <c r="K1388" s="2163"/>
      <c r="L1388" s="2523"/>
      <c r="M1388" s="2163"/>
    </row>
    <row r="1389" spans="1:15">
      <c r="A1389" s="2160" t="s">
        <v>1195</v>
      </c>
      <c r="B1389" s="2161"/>
      <c r="C1389" s="2160" t="s">
        <v>2706</v>
      </c>
      <c r="D1389" s="2161"/>
      <c r="E1389" s="2160" t="s">
        <v>2640</v>
      </c>
      <c r="F1389" s="2161"/>
    </row>
    <row r="1390" spans="1:15">
      <c r="A1390" s="2163"/>
      <c r="B1390" s="2163"/>
      <c r="C1390" s="2163"/>
      <c r="D1390" s="2163"/>
      <c r="E1390" s="2163"/>
      <c r="F1390" s="2163"/>
      <c r="G1390" s="2163"/>
      <c r="H1390" s="2163"/>
      <c r="I1390" s="2163"/>
      <c r="J1390" s="2163"/>
      <c r="K1390" s="2163"/>
      <c r="L1390" s="2163"/>
      <c r="M1390" s="2163"/>
    </row>
    <row r="1391" spans="1:15">
      <c r="A1391" s="2164"/>
      <c r="H1391" s="2522" t="s">
        <v>2637</v>
      </c>
      <c r="I1391" s="2522"/>
      <c r="J1391" s="2163"/>
      <c r="K1391" s="2523">
        <v>0</v>
      </c>
      <c r="L1391" s="2523"/>
      <c r="M1391" s="2163"/>
      <c r="N1391" s="2527"/>
      <c r="O1391" s="2163"/>
    </row>
    <row r="1392" spans="1:15">
      <c r="H1392" s="2163"/>
      <c r="I1392" s="2163"/>
      <c r="J1392" s="2163"/>
      <c r="K1392" s="2523"/>
      <c r="L1392" s="2523"/>
      <c r="N1392" s="2527"/>
    </row>
    <row r="1393" spans="1:15">
      <c r="A1393" s="2165">
        <v>434</v>
      </c>
      <c r="B1393" s="2163"/>
      <c r="C1393" s="2524" t="s">
        <v>2655</v>
      </c>
      <c r="D1393" s="2524"/>
      <c r="E1393" s="2524"/>
      <c r="F1393" s="2524"/>
      <c r="G1393" s="2524"/>
      <c r="H1393" s="2524"/>
      <c r="I1393" s="2524"/>
      <c r="J1393" s="2163"/>
      <c r="K1393" s="2163"/>
      <c r="L1393" s="2163"/>
      <c r="M1393" s="2163"/>
    </row>
    <row r="1394" spans="1:15">
      <c r="A1394" s="2163"/>
      <c r="B1394" s="2163"/>
      <c r="C1394" s="2163"/>
      <c r="D1394" s="2163"/>
      <c r="E1394" s="2163"/>
      <c r="F1394" s="2163"/>
      <c r="G1394" s="2163"/>
      <c r="H1394" s="2163"/>
      <c r="I1394" s="2163"/>
      <c r="J1394" s="2163"/>
      <c r="K1394" s="2163"/>
      <c r="L1394" s="2163"/>
      <c r="M1394" s="2163"/>
    </row>
    <row r="1395" spans="1:15">
      <c r="A1395" s="2529"/>
      <c r="B1395" s="2529"/>
      <c r="C1395" s="2529"/>
      <c r="D1395" s="2166"/>
      <c r="E1395" s="2166"/>
      <c r="F1395" s="2166"/>
      <c r="G1395" s="2166"/>
      <c r="H1395" s="2525"/>
      <c r="I1395" s="2525"/>
      <c r="J1395" s="2525"/>
      <c r="K1395" s="2166"/>
      <c r="L1395" s="2167"/>
      <c r="M1395" s="2166"/>
    </row>
    <row r="1396" spans="1:15">
      <c r="A1396" s="2164"/>
      <c r="B1396" s="2164"/>
      <c r="C1396" s="2164"/>
      <c r="D1396" s="2164"/>
      <c r="E1396" s="2522" t="s">
        <v>2639</v>
      </c>
      <c r="F1396" s="2522"/>
      <c r="G1396" s="2164"/>
      <c r="H1396" s="2523">
        <v>0</v>
      </c>
      <c r="I1396" s="2523"/>
      <c r="J1396" s="2523"/>
      <c r="K1396" s="2163"/>
      <c r="L1396" s="2523">
        <v>0</v>
      </c>
      <c r="M1396" s="2163"/>
    </row>
    <row r="1397" spans="1:15">
      <c r="A1397" s="2164"/>
      <c r="B1397" s="2164"/>
      <c r="C1397" s="2164"/>
      <c r="D1397" s="2164"/>
      <c r="E1397" s="2164"/>
      <c r="F1397" s="2164"/>
      <c r="G1397" s="2164"/>
      <c r="H1397" s="2523"/>
      <c r="I1397" s="2523"/>
      <c r="J1397" s="2523"/>
      <c r="K1397" s="2163"/>
      <c r="L1397" s="2523"/>
      <c r="M1397" s="2163"/>
    </row>
    <row r="1398" spans="1:15">
      <c r="A1398" s="2160" t="s">
        <v>1195</v>
      </c>
      <c r="B1398" s="2161"/>
      <c r="C1398" s="2160" t="s">
        <v>2706</v>
      </c>
      <c r="D1398" s="2161"/>
      <c r="E1398" s="2160" t="s">
        <v>2640</v>
      </c>
      <c r="F1398" s="2161"/>
    </row>
    <row r="1399" spans="1:15">
      <c r="A1399" s="2163"/>
      <c r="B1399" s="2163"/>
      <c r="C1399" s="2163"/>
      <c r="D1399" s="2163"/>
      <c r="E1399" s="2163"/>
      <c r="F1399" s="2163"/>
      <c r="G1399" s="2163"/>
      <c r="H1399" s="2163"/>
      <c r="I1399" s="2163"/>
      <c r="J1399" s="2163"/>
      <c r="K1399" s="2163"/>
      <c r="L1399" s="2163"/>
      <c r="M1399" s="2163"/>
    </row>
    <row r="1400" spans="1:15">
      <c r="A1400" s="2164"/>
      <c r="H1400" s="2522" t="s">
        <v>2637</v>
      </c>
      <c r="I1400" s="2522"/>
      <c r="J1400" s="2163"/>
      <c r="K1400" s="2523">
        <v>0</v>
      </c>
      <c r="L1400" s="2523"/>
      <c r="M1400" s="2163"/>
      <c r="N1400" s="2527"/>
      <c r="O1400" s="2163"/>
    </row>
    <row r="1401" spans="1:15">
      <c r="H1401" s="2163"/>
      <c r="I1401" s="2163"/>
      <c r="J1401" s="2163"/>
      <c r="K1401" s="2523"/>
      <c r="L1401" s="2523"/>
      <c r="N1401" s="2527"/>
    </row>
    <row r="1402" spans="1:15">
      <c r="A1402" s="2165">
        <v>446</v>
      </c>
      <c r="B1402" s="2163"/>
      <c r="C1402" s="2524" t="s">
        <v>2845</v>
      </c>
      <c r="D1402" s="2524"/>
      <c r="E1402" s="2524"/>
      <c r="F1402" s="2524"/>
      <c r="G1402" s="2524"/>
      <c r="H1402" s="2524"/>
      <c r="I1402" s="2524"/>
      <c r="J1402" s="2163"/>
      <c r="K1402" s="2163"/>
      <c r="L1402" s="2163"/>
      <c r="M1402" s="2163"/>
    </row>
    <row r="1403" spans="1:15">
      <c r="A1403" s="2163"/>
      <c r="B1403" s="2163"/>
      <c r="C1403" s="2163"/>
      <c r="D1403" s="2163"/>
      <c r="E1403" s="2163"/>
      <c r="F1403" s="2163"/>
      <c r="G1403" s="2163"/>
      <c r="H1403" s="2163"/>
      <c r="I1403" s="2163"/>
      <c r="J1403" s="2163"/>
      <c r="K1403" s="2163"/>
      <c r="L1403" s="2163"/>
      <c r="M1403" s="2163"/>
    </row>
    <row r="1404" spans="1:15">
      <c r="A1404" s="2529"/>
      <c r="B1404" s="2529"/>
      <c r="C1404" s="2529"/>
      <c r="D1404" s="2166"/>
      <c r="E1404" s="2166"/>
      <c r="F1404" s="2166"/>
      <c r="G1404" s="2166"/>
      <c r="H1404" s="2525"/>
      <c r="I1404" s="2525"/>
      <c r="J1404" s="2525"/>
      <c r="K1404" s="2166"/>
      <c r="L1404" s="2167"/>
      <c r="M1404" s="2166"/>
    </row>
    <row r="1405" spans="1:15">
      <c r="A1405" s="2164"/>
      <c r="B1405" s="2164"/>
      <c r="C1405" s="2164"/>
      <c r="D1405" s="2164"/>
      <c r="E1405" s="2522" t="s">
        <v>2639</v>
      </c>
      <c r="F1405" s="2522"/>
      <c r="G1405" s="2164"/>
      <c r="H1405" s="2523">
        <v>0</v>
      </c>
      <c r="I1405" s="2523"/>
      <c r="J1405" s="2523"/>
      <c r="K1405" s="2163"/>
      <c r="L1405" s="2523">
        <v>0</v>
      </c>
      <c r="M1405" s="2163"/>
    </row>
    <row r="1406" spans="1:15">
      <c r="A1406" s="2164"/>
      <c r="B1406" s="2164"/>
      <c r="C1406" s="2164"/>
      <c r="D1406" s="2164"/>
      <c r="E1406" s="2164"/>
      <c r="F1406" s="2164"/>
      <c r="G1406" s="2164"/>
      <c r="H1406" s="2523"/>
      <c r="I1406" s="2523"/>
      <c r="J1406" s="2523"/>
      <c r="K1406" s="2163"/>
      <c r="L1406" s="2523"/>
      <c r="M1406" s="2163"/>
    </row>
    <row r="1407" spans="1:15">
      <c r="A1407" s="2160" t="s">
        <v>1195</v>
      </c>
      <c r="B1407" s="2161"/>
      <c r="C1407" s="2160" t="s">
        <v>2706</v>
      </c>
      <c r="D1407" s="2161"/>
      <c r="E1407" s="2160" t="s">
        <v>2640</v>
      </c>
      <c r="F1407" s="2161"/>
    </row>
    <row r="1408" spans="1:15">
      <c r="A1408" s="2163"/>
      <c r="B1408" s="2163"/>
      <c r="C1408" s="2163"/>
      <c r="D1408" s="2163"/>
      <c r="E1408" s="2163"/>
      <c r="F1408" s="2163"/>
      <c r="G1408" s="2163"/>
      <c r="H1408" s="2163"/>
      <c r="I1408" s="2163"/>
      <c r="J1408" s="2163"/>
      <c r="K1408" s="2163"/>
      <c r="L1408" s="2163"/>
      <c r="M1408" s="2163"/>
    </row>
    <row r="1409" spans="1:15">
      <c r="A1409" s="2164"/>
      <c r="H1409" s="2522" t="s">
        <v>2637</v>
      </c>
      <c r="I1409" s="2522"/>
      <c r="J1409" s="2163"/>
      <c r="K1409" s="2523">
        <v>0</v>
      </c>
      <c r="L1409" s="2523"/>
      <c r="M1409" s="2163"/>
      <c r="N1409" s="2527"/>
      <c r="O1409" s="2163"/>
    </row>
    <row r="1410" spans="1:15">
      <c r="H1410" s="2163"/>
      <c r="I1410" s="2163"/>
      <c r="J1410" s="2163"/>
      <c r="K1410" s="2523"/>
      <c r="L1410" s="2523"/>
      <c r="N1410" s="2527"/>
    </row>
    <row r="1411" spans="1:15">
      <c r="A1411" s="2165">
        <v>447</v>
      </c>
      <c r="B1411" s="2163"/>
      <c r="C1411" s="2524" t="s">
        <v>2845</v>
      </c>
      <c r="D1411" s="2524"/>
      <c r="E1411" s="2524"/>
      <c r="F1411" s="2524"/>
      <c r="G1411" s="2524"/>
      <c r="H1411" s="2524"/>
      <c r="I1411" s="2524"/>
      <c r="J1411" s="2163"/>
      <c r="K1411" s="2163"/>
      <c r="L1411" s="2163"/>
      <c r="M1411" s="2163"/>
    </row>
    <row r="1412" spans="1:15">
      <c r="A1412" s="2163"/>
      <c r="B1412" s="2163"/>
      <c r="C1412" s="2163"/>
      <c r="D1412" s="2163"/>
      <c r="E1412" s="2163"/>
      <c r="F1412" s="2163"/>
      <c r="G1412" s="2163"/>
      <c r="H1412" s="2163"/>
      <c r="I1412" s="2163"/>
      <c r="J1412" s="2163"/>
      <c r="K1412" s="2163"/>
      <c r="L1412" s="2163"/>
      <c r="M1412" s="2163"/>
    </row>
    <row r="1413" spans="1:15">
      <c r="A1413" s="2529"/>
      <c r="B1413" s="2529"/>
      <c r="C1413" s="2529"/>
      <c r="D1413" s="2166"/>
      <c r="E1413" s="2166"/>
      <c r="F1413" s="2166"/>
      <c r="G1413" s="2166"/>
      <c r="H1413" s="2525"/>
      <c r="I1413" s="2525"/>
      <c r="J1413" s="2525"/>
      <c r="K1413" s="2166"/>
      <c r="L1413" s="2167"/>
      <c r="M1413" s="2166"/>
    </row>
    <row r="1414" spans="1:15">
      <c r="A1414" s="2164"/>
      <c r="B1414" s="2164"/>
      <c r="C1414" s="2164"/>
      <c r="D1414" s="2164"/>
      <c r="E1414" s="2522" t="s">
        <v>2639</v>
      </c>
      <c r="F1414" s="2522"/>
      <c r="G1414" s="2164"/>
      <c r="H1414" s="2523">
        <v>0</v>
      </c>
      <c r="I1414" s="2523"/>
      <c r="J1414" s="2523"/>
      <c r="K1414" s="2163"/>
      <c r="L1414" s="2523">
        <v>0</v>
      </c>
      <c r="M1414" s="2163"/>
    </row>
    <row r="1415" spans="1:15">
      <c r="A1415" s="2164"/>
      <c r="B1415" s="2164"/>
      <c r="C1415" s="2164"/>
      <c r="D1415" s="2164"/>
      <c r="E1415" s="2164"/>
      <c r="F1415" s="2164"/>
      <c r="G1415" s="2164"/>
      <c r="H1415" s="2523"/>
      <c r="I1415" s="2523"/>
      <c r="J1415" s="2523"/>
      <c r="K1415" s="2163"/>
      <c r="L1415" s="2523"/>
      <c r="M1415" s="2163"/>
    </row>
    <row r="1416" spans="1:15">
      <c r="A1416" s="2160" t="s">
        <v>1195</v>
      </c>
      <c r="B1416" s="2161"/>
      <c r="C1416" s="2160" t="s">
        <v>2706</v>
      </c>
      <c r="D1416" s="2161"/>
      <c r="E1416" s="2160" t="s">
        <v>2640</v>
      </c>
      <c r="F1416" s="2161"/>
    </row>
    <row r="1417" spans="1:15">
      <c r="A1417" s="2163"/>
      <c r="B1417" s="2163"/>
      <c r="C1417" s="2163"/>
      <c r="D1417" s="2163"/>
      <c r="E1417" s="2163"/>
      <c r="F1417" s="2163"/>
      <c r="G1417" s="2163"/>
      <c r="H1417" s="2163"/>
      <c r="I1417" s="2163"/>
      <c r="J1417" s="2163"/>
      <c r="K1417" s="2163"/>
      <c r="L1417" s="2163"/>
      <c r="M1417" s="2163"/>
    </row>
    <row r="1418" spans="1:15">
      <c r="A1418" s="2164"/>
      <c r="H1418" s="2522" t="s">
        <v>2637</v>
      </c>
      <c r="I1418" s="2522"/>
      <c r="J1418" s="2163"/>
      <c r="K1418" s="2523">
        <v>0</v>
      </c>
      <c r="L1418" s="2523"/>
      <c r="M1418" s="2163"/>
      <c r="N1418" s="2527"/>
      <c r="O1418" s="2163"/>
    </row>
    <row r="1419" spans="1:15">
      <c r="H1419" s="2163"/>
      <c r="I1419" s="2163"/>
      <c r="J1419" s="2163"/>
      <c r="K1419" s="2523"/>
      <c r="L1419" s="2523"/>
      <c r="N1419" s="2527"/>
    </row>
    <row r="1420" spans="1:15">
      <c r="A1420" s="2165">
        <v>631</v>
      </c>
      <c r="B1420" s="2163"/>
      <c r="C1420" s="2524" t="s">
        <v>2707</v>
      </c>
      <c r="D1420" s="2524"/>
      <c r="E1420" s="2524"/>
      <c r="F1420" s="2524"/>
      <c r="G1420" s="2524"/>
      <c r="H1420" s="2524"/>
      <c r="I1420" s="2524"/>
      <c r="J1420" s="2163"/>
      <c r="K1420" s="2163"/>
      <c r="L1420" s="2163"/>
      <c r="M1420" s="2163"/>
    </row>
    <row r="1421" spans="1:15">
      <c r="A1421" s="2163"/>
      <c r="B1421" s="2163"/>
      <c r="C1421" s="2163"/>
      <c r="D1421" s="2163"/>
      <c r="E1421" s="2163"/>
      <c r="F1421" s="2163"/>
      <c r="G1421" s="2163"/>
      <c r="H1421" s="2163"/>
      <c r="I1421" s="2163"/>
      <c r="J1421" s="2163"/>
      <c r="K1421" s="2163"/>
      <c r="L1421" s="2163"/>
      <c r="M1421" s="2163"/>
    </row>
    <row r="1422" spans="1:15">
      <c r="A1422" s="2529"/>
      <c r="B1422" s="2529"/>
      <c r="C1422" s="2529"/>
      <c r="D1422" s="2166"/>
      <c r="E1422" s="2166"/>
      <c r="F1422" s="2166"/>
      <c r="G1422" s="2166"/>
      <c r="H1422" s="2525"/>
      <c r="I1422" s="2525"/>
      <c r="J1422" s="2525"/>
      <c r="K1422" s="2166"/>
      <c r="L1422" s="2167"/>
      <c r="M1422" s="2166"/>
    </row>
    <row r="1423" spans="1:15">
      <c r="A1423" s="2164"/>
      <c r="B1423" s="2164"/>
      <c r="C1423" s="2164"/>
      <c r="D1423" s="2164"/>
      <c r="E1423" s="2522" t="s">
        <v>2639</v>
      </c>
      <c r="F1423" s="2522"/>
      <c r="G1423" s="2164"/>
      <c r="H1423" s="2523">
        <v>0</v>
      </c>
      <c r="I1423" s="2523"/>
      <c r="J1423" s="2523"/>
      <c r="K1423" s="2163"/>
      <c r="L1423" s="2523">
        <v>0</v>
      </c>
      <c r="M1423" s="2163"/>
    </row>
    <row r="1424" spans="1:15">
      <c r="A1424" s="2164"/>
      <c r="B1424" s="2164"/>
      <c r="C1424" s="2164"/>
      <c r="D1424" s="2164"/>
      <c r="E1424" s="2164"/>
      <c r="F1424" s="2164"/>
      <c r="G1424" s="2164"/>
      <c r="H1424" s="2523"/>
      <c r="I1424" s="2523"/>
      <c r="J1424" s="2523"/>
      <c r="K1424" s="2163"/>
      <c r="L1424" s="2523"/>
      <c r="M1424" s="2163"/>
    </row>
    <row r="1425" spans="1:15">
      <c r="A1425" s="2160" t="s">
        <v>1195</v>
      </c>
      <c r="B1425" s="2161"/>
      <c r="C1425" s="2160" t="s">
        <v>2706</v>
      </c>
      <c r="D1425" s="2161"/>
      <c r="E1425" s="2160" t="s">
        <v>2640</v>
      </c>
      <c r="F1425" s="2161"/>
    </row>
    <row r="1426" spans="1:15">
      <c r="A1426" s="2163"/>
      <c r="B1426" s="2163"/>
      <c r="C1426" s="2163"/>
      <c r="D1426" s="2163"/>
      <c r="E1426" s="2163"/>
      <c r="F1426" s="2163"/>
      <c r="G1426" s="2163"/>
      <c r="H1426" s="2163"/>
      <c r="I1426" s="2163"/>
      <c r="J1426" s="2163"/>
      <c r="K1426" s="2163"/>
      <c r="L1426" s="2163"/>
      <c r="M1426" s="2163"/>
    </row>
    <row r="1427" spans="1:15">
      <c r="A1427" s="2164"/>
      <c r="H1427" s="2522" t="s">
        <v>2637</v>
      </c>
      <c r="I1427" s="2522"/>
      <c r="J1427" s="2163"/>
      <c r="K1427" s="2523">
        <v>0</v>
      </c>
      <c r="L1427" s="2523"/>
      <c r="M1427" s="2163"/>
      <c r="N1427" s="2527"/>
      <c r="O1427" s="2163"/>
    </row>
    <row r="1428" spans="1:15">
      <c r="H1428" s="2163"/>
      <c r="I1428" s="2163"/>
      <c r="J1428" s="2163"/>
      <c r="K1428" s="2523"/>
      <c r="L1428" s="2523"/>
      <c r="N1428" s="2527"/>
    </row>
    <row r="1429" spans="1:15">
      <c r="A1429" s="2165">
        <v>985</v>
      </c>
      <c r="B1429" s="2163"/>
      <c r="C1429" s="2524" t="s">
        <v>2707</v>
      </c>
      <c r="D1429" s="2524"/>
      <c r="E1429" s="2524"/>
      <c r="F1429" s="2524"/>
      <c r="G1429" s="2524"/>
      <c r="H1429" s="2524"/>
      <c r="I1429" s="2524"/>
      <c r="J1429" s="2163"/>
      <c r="K1429" s="2163"/>
      <c r="L1429" s="2163"/>
      <c r="M1429" s="2163"/>
    </row>
    <row r="1430" spans="1:15">
      <c r="A1430" s="2163"/>
      <c r="B1430" s="2163"/>
      <c r="C1430" s="2163"/>
      <c r="D1430" s="2163"/>
      <c r="E1430" s="2163"/>
      <c r="F1430" s="2163"/>
      <c r="G1430" s="2163"/>
      <c r="H1430" s="2163"/>
      <c r="I1430" s="2163"/>
      <c r="J1430" s="2163"/>
      <c r="K1430" s="2163"/>
      <c r="L1430" s="2163"/>
      <c r="M1430" s="2163"/>
    </row>
    <row r="1431" spans="1:15">
      <c r="A1431" s="2529"/>
      <c r="B1431" s="2529"/>
      <c r="C1431" s="2529"/>
      <c r="D1431" s="2166"/>
      <c r="E1431" s="2166"/>
      <c r="F1431" s="2166"/>
      <c r="G1431" s="2166"/>
      <c r="H1431" s="2525"/>
      <c r="I1431" s="2525"/>
      <c r="J1431" s="2525"/>
      <c r="K1431" s="2166"/>
      <c r="L1431" s="2167"/>
      <c r="M1431" s="2166"/>
    </row>
    <row r="1432" spans="1:15">
      <c r="A1432" s="2164"/>
      <c r="B1432" s="2164"/>
      <c r="C1432" s="2164"/>
      <c r="D1432" s="2164"/>
      <c r="E1432" s="2522" t="s">
        <v>2639</v>
      </c>
      <c r="F1432" s="2522"/>
      <c r="G1432" s="2164"/>
      <c r="H1432" s="2523">
        <v>0</v>
      </c>
      <c r="I1432" s="2523"/>
      <c r="J1432" s="2523"/>
      <c r="K1432" s="2163"/>
      <c r="L1432" s="2523">
        <v>0</v>
      </c>
      <c r="M1432" s="2163"/>
    </row>
    <row r="1433" spans="1:15">
      <c r="A1433" s="2164"/>
      <c r="B1433" s="2164"/>
      <c r="C1433" s="2164"/>
      <c r="D1433" s="2164"/>
      <c r="E1433" s="2164"/>
      <c r="F1433" s="2164"/>
      <c r="G1433" s="2164"/>
      <c r="H1433" s="2523"/>
      <c r="I1433" s="2523"/>
      <c r="J1433" s="2523"/>
      <c r="K1433" s="2163"/>
      <c r="L1433" s="2523"/>
      <c r="M1433" s="2163"/>
    </row>
    <row r="1434" spans="1:15">
      <c r="A1434" s="2160" t="s">
        <v>1195</v>
      </c>
      <c r="B1434" s="2161"/>
      <c r="C1434" s="2160" t="s">
        <v>2706</v>
      </c>
      <c r="D1434" s="2161"/>
      <c r="E1434" s="2160" t="s">
        <v>2640</v>
      </c>
      <c r="F1434" s="2161"/>
    </row>
    <row r="1435" spans="1:15">
      <c r="A1435" s="2163"/>
      <c r="B1435" s="2163"/>
      <c r="C1435" s="2163"/>
      <c r="D1435" s="2163"/>
      <c r="E1435" s="2163"/>
      <c r="F1435" s="2163"/>
      <c r="G1435" s="2163"/>
      <c r="H1435" s="2163"/>
      <c r="I1435" s="2163"/>
      <c r="J1435" s="2163"/>
      <c r="K1435" s="2163"/>
      <c r="L1435" s="2163"/>
      <c r="M1435" s="2163"/>
    </row>
    <row r="1436" spans="1:15">
      <c r="A1436" s="2164"/>
      <c r="H1436" s="2522" t="s">
        <v>2637</v>
      </c>
      <c r="I1436" s="2522"/>
      <c r="J1436" s="2163"/>
      <c r="K1436" s="2523">
        <v>-1E-4</v>
      </c>
      <c r="L1436" s="2523"/>
      <c r="M1436" s="2163"/>
      <c r="N1436" s="2527"/>
      <c r="O1436" s="2163"/>
    </row>
    <row r="1437" spans="1:15">
      <c r="H1437" s="2163"/>
      <c r="I1437" s="2163"/>
      <c r="J1437" s="2163"/>
      <c r="K1437" s="2523"/>
      <c r="L1437" s="2523"/>
      <c r="N1437" s="2527"/>
    </row>
    <row r="1438" spans="1:15">
      <c r="A1438" s="2165">
        <v>2315</v>
      </c>
      <c r="B1438" s="2163"/>
      <c r="C1438" s="2524" t="s">
        <v>2702</v>
      </c>
      <c r="D1438" s="2524"/>
      <c r="E1438" s="2524"/>
      <c r="F1438" s="2524"/>
      <c r="G1438" s="2524"/>
      <c r="H1438" s="2524"/>
      <c r="I1438" s="2524"/>
      <c r="J1438" s="2163"/>
      <c r="K1438" s="2163"/>
      <c r="L1438" s="2163"/>
      <c r="M1438" s="2163"/>
    </row>
    <row r="1439" spans="1:15">
      <c r="A1439" s="2163"/>
      <c r="B1439" s="2163"/>
      <c r="C1439" s="2163"/>
      <c r="D1439" s="2163"/>
      <c r="E1439" s="2163"/>
      <c r="F1439" s="2163"/>
      <c r="G1439" s="2163"/>
      <c r="H1439" s="2163"/>
      <c r="I1439" s="2163"/>
      <c r="J1439" s="2163"/>
      <c r="K1439" s="2163"/>
      <c r="L1439" s="2163"/>
      <c r="M1439" s="2163"/>
    </row>
    <row r="1440" spans="1:15">
      <c r="A1440" s="2529"/>
      <c r="B1440" s="2529"/>
      <c r="C1440" s="2529"/>
      <c r="D1440" s="2166"/>
      <c r="E1440" s="2166"/>
      <c r="F1440" s="2166"/>
      <c r="G1440" s="2166"/>
      <c r="H1440" s="2525"/>
      <c r="I1440" s="2525"/>
      <c r="J1440" s="2525"/>
      <c r="K1440" s="2166"/>
      <c r="L1440" s="2167"/>
      <c r="M1440" s="2166"/>
    </row>
    <row r="1441" spans="1:15">
      <c r="A1441" s="2164"/>
      <c r="B1441" s="2164"/>
      <c r="C1441" s="2164"/>
      <c r="D1441" s="2164"/>
      <c r="E1441" s="2522" t="s">
        <v>2639</v>
      </c>
      <c r="F1441" s="2522"/>
      <c r="G1441" s="2164"/>
      <c r="H1441" s="2523">
        <v>-1E-4</v>
      </c>
      <c r="I1441" s="2523"/>
      <c r="J1441" s="2523"/>
      <c r="K1441" s="2163"/>
      <c r="L1441" s="2523">
        <v>-0.01</v>
      </c>
      <c r="M1441" s="2163"/>
    </row>
    <row r="1442" spans="1:15">
      <c r="A1442" s="2164"/>
      <c r="B1442" s="2164"/>
      <c r="C1442" s="2164"/>
      <c r="D1442" s="2164"/>
      <c r="E1442" s="2164"/>
      <c r="F1442" s="2164"/>
      <c r="G1442" s="2164"/>
      <c r="H1442" s="2523"/>
      <c r="I1442" s="2523"/>
      <c r="J1442" s="2523"/>
      <c r="K1442" s="2163"/>
      <c r="L1442" s="2523"/>
      <c r="M1442" s="2163"/>
    </row>
    <row r="1443" spans="1:15">
      <c r="A1443" s="2160" t="s">
        <v>1195</v>
      </c>
      <c r="B1443" s="2161"/>
      <c r="C1443" s="2160" t="s">
        <v>2706</v>
      </c>
      <c r="D1443" s="2161"/>
      <c r="E1443" s="2160" t="s">
        <v>2640</v>
      </c>
      <c r="F1443" s="2161"/>
    </row>
    <row r="1444" spans="1:15">
      <c r="A1444" s="2163"/>
      <c r="B1444" s="2163"/>
      <c r="C1444" s="2163"/>
      <c r="D1444" s="2163"/>
      <c r="E1444" s="2163"/>
      <c r="F1444" s="2163"/>
      <c r="G1444" s="2163"/>
      <c r="H1444" s="2163"/>
      <c r="I1444" s="2163"/>
      <c r="J1444" s="2163"/>
      <c r="K1444" s="2163"/>
      <c r="L1444" s="2163"/>
      <c r="M1444" s="2163"/>
    </row>
    <row r="1445" spans="1:15">
      <c r="A1445" s="2164"/>
      <c r="H1445" s="2522" t="s">
        <v>2637</v>
      </c>
      <c r="I1445" s="2522"/>
      <c r="J1445" s="2163"/>
      <c r="K1445" s="2523">
        <v>0</v>
      </c>
      <c r="L1445" s="2523"/>
      <c r="M1445" s="2163"/>
      <c r="N1445" s="2527"/>
      <c r="O1445" s="2163"/>
    </row>
    <row r="1446" spans="1:15">
      <c r="H1446" s="2163"/>
      <c r="I1446" s="2163"/>
      <c r="J1446" s="2163"/>
      <c r="K1446" s="2523"/>
      <c r="L1446" s="2523"/>
      <c r="N1446" s="2527"/>
    </row>
    <row r="1447" spans="1:15">
      <c r="A1447" s="2165">
        <v>6408</v>
      </c>
      <c r="B1447" s="2163"/>
      <c r="C1447" s="2524" t="s">
        <v>2655</v>
      </c>
      <c r="D1447" s="2524"/>
      <c r="E1447" s="2524"/>
      <c r="F1447" s="2524"/>
      <c r="G1447" s="2524"/>
      <c r="H1447" s="2524"/>
      <c r="I1447" s="2524"/>
      <c r="J1447" s="2163"/>
      <c r="K1447" s="2163"/>
      <c r="L1447" s="2163"/>
      <c r="M1447" s="2163"/>
    </row>
    <row r="1448" spans="1:15">
      <c r="A1448" s="2163"/>
      <c r="B1448" s="2163"/>
      <c r="C1448" s="2163"/>
      <c r="D1448" s="2163"/>
      <c r="E1448" s="2163"/>
      <c r="F1448" s="2163"/>
      <c r="G1448" s="2163"/>
      <c r="H1448" s="2163"/>
      <c r="I1448" s="2163"/>
      <c r="J1448" s="2163"/>
      <c r="K1448" s="2163"/>
      <c r="L1448" s="2163"/>
      <c r="M1448" s="2163"/>
    </row>
    <row r="1449" spans="1:15">
      <c r="A1449" s="2529"/>
      <c r="B1449" s="2529"/>
      <c r="C1449" s="2529"/>
      <c r="D1449" s="2166"/>
      <c r="E1449" s="2166"/>
      <c r="F1449" s="2166"/>
      <c r="G1449" s="2166"/>
      <c r="H1449" s="2525"/>
      <c r="I1449" s="2525"/>
      <c r="J1449" s="2525"/>
      <c r="K1449" s="2166"/>
      <c r="L1449" s="2167"/>
      <c r="M1449" s="2166"/>
    </row>
    <row r="1450" spans="1:15">
      <c r="A1450" s="2164"/>
      <c r="B1450" s="2164"/>
      <c r="C1450" s="2164"/>
      <c r="D1450" s="2164"/>
      <c r="E1450" s="2522" t="s">
        <v>2639</v>
      </c>
      <c r="F1450" s="2522"/>
      <c r="G1450" s="2164"/>
      <c r="H1450" s="2523">
        <v>0</v>
      </c>
      <c r="I1450" s="2523"/>
      <c r="J1450" s="2523"/>
      <c r="K1450" s="2163"/>
      <c r="L1450" s="2523">
        <v>0</v>
      </c>
      <c r="M1450" s="2163"/>
    </row>
    <row r="1451" spans="1:15">
      <c r="A1451" s="2164"/>
      <c r="B1451" s="2164"/>
      <c r="C1451" s="2164"/>
      <c r="D1451" s="2164"/>
      <c r="E1451" s="2164"/>
      <c r="F1451" s="2164"/>
      <c r="G1451" s="2164"/>
      <c r="H1451" s="2523"/>
      <c r="I1451" s="2523"/>
      <c r="J1451" s="2523"/>
      <c r="K1451" s="2163"/>
      <c r="L1451" s="2523"/>
      <c r="M1451" s="2163"/>
    </row>
    <row r="1452" spans="1:15">
      <c r="A1452" s="2160" t="s">
        <v>1195</v>
      </c>
      <c r="B1452" s="2161"/>
      <c r="C1452" s="2160" t="s">
        <v>2706</v>
      </c>
      <c r="D1452" s="2161"/>
      <c r="E1452" s="2160" t="s">
        <v>2640</v>
      </c>
      <c r="F1452" s="2161"/>
    </row>
    <row r="1453" spans="1:15">
      <c r="A1453" s="2163"/>
      <c r="B1453" s="2163"/>
      <c r="C1453" s="2163"/>
      <c r="D1453" s="2163"/>
      <c r="E1453" s="2163"/>
      <c r="F1453" s="2163"/>
      <c r="G1453" s="2163"/>
      <c r="H1453" s="2163"/>
      <c r="I1453" s="2163"/>
      <c r="J1453" s="2163"/>
      <c r="K1453" s="2163"/>
      <c r="L1453" s="2163"/>
      <c r="M1453" s="2163"/>
    </row>
    <row r="1454" spans="1:15">
      <c r="A1454" s="2164"/>
      <c r="H1454" s="2522" t="s">
        <v>2637</v>
      </c>
      <c r="I1454" s="2522"/>
      <c r="J1454" s="2163"/>
      <c r="K1454" s="2523">
        <v>0</v>
      </c>
      <c r="L1454" s="2523"/>
      <c r="M1454" s="2163"/>
      <c r="N1454" s="2527"/>
      <c r="O1454" s="2163"/>
    </row>
    <row r="1455" spans="1:15">
      <c r="H1455" s="2163"/>
      <c r="I1455" s="2163"/>
      <c r="J1455" s="2163"/>
      <c r="K1455" s="2523"/>
      <c r="L1455" s="2523"/>
      <c r="N1455" s="2527"/>
    </row>
    <row r="1456" spans="1:15">
      <c r="A1456" s="2165">
        <v>18706</v>
      </c>
      <c r="B1456" s="2163"/>
      <c r="C1456" s="2524" t="s">
        <v>2708</v>
      </c>
      <c r="D1456" s="2524"/>
      <c r="E1456" s="2524"/>
      <c r="F1456" s="2524"/>
      <c r="G1456" s="2524"/>
      <c r="H1456" s="2524"/>
      <c r="I1456" s="2524"/>
      <c r="J1456" s="2163"/>
      <c r="K1456" s="2163"/>
      <c r="L1456" s="2163"/>
      <c r="M1456" s="2163"/>
    </row>
    <row r="1457" spans="1:15">
      <c r="A1457" s="2163"/>
      <c r="B1457" s="2163"/>
      <c r="C1457" s="2163"/>
      <c r="D1457" s="2163"/>
      <c r="E1457" s="2163"/>
      <c r="F1457" s="2163"/>
      <c r="G1457" s="2163"/>
      <c r="H1457" s="2163"/>
      <c r="I1457" s="2163"/>
      <c r="J1457" s="2163"/>
      <c r="K1457" s="2163"/>
      <c r="L1457" s="2163"/>
      <c r="M1457" s="2163"/>
    </row>
    <row r="1458" spans="1:15">
      <c r="A1458" s="2529"/>
      <c r="B1458" s="2529"/>
      <c r="C1458" s="2529"/>
      <c r="D1458" s="2166"/>
      <c r="E1458" s="2166"/>
      <c r="F1458" s="2166"/>
      <c r="G1458" s="2166"/>
      <c r="H1458" s="2525"/>
      <c r="I1458" s="2525"/>
      <c r="J1458" s="2525"/>
      <c r="K1458" s="2166"/>
      <c r="L1458" s="2167"/>
      <c r="M1458" s="2166"/>
    </row>
    <row r="1459" spans="1:15">
      <c r="A1459" s="2164"/>
      <c r="B1459" s="2164"/>
      <c r="C1459" s="2164"/>
      <c r="D1459" s="2164"/>
      <c r="E1459" s="2522" t="s">
        <v>2639</v>
      </c>
      <c r="F1459" s="2522"/>
      <c r="G1459" s="2164"/>
      <c r="H1459" s="2523">
        <v>0</v>
      </c>
      <c r="I1459" s="2523"/>
      <c r="J1459" s="2523"/>
      <c r="K1459" s="2163"/>
      <c r="L1459" s="2523">
        <v>0</v>
      </c>
      <c r="M1459" s="2163"/>
    </row>
    <row r="1460" spans="1:15">
      <c r="A1460" s="2164"/>
      <c r="B1460" s="2164"/>
      <c r="C1460" s="2164"/>
      <c r="D1460" s="2164"/>
      <c r="E1460" s="2164"/>
      <c r="F1460" s="2164"/>
      <c r="G1460" s="2164"/>
      <c r="H1460" s="2523"/>
      <c r="I1460" s="2523"/>
      <c r="J1460" s="2523"/>
      <c r="K1460" s="2163"/>
      <c r="L1460" s="2523"/>
      <c r="M1460" s="2163"/>
    </row>
    <row r="1461" spans="1:15">
      <c r="A1461" s="2160" t="s">
        <v>1195</v>
      </c>
      <c r="B1461" s="2161"/>
      <c r="C1461" s="2160" t="s">
        <v>2706</v>
      </c>
      <c r="D1461" s="2161"/>
      <c r="E1461" s="2160" t="s">
        <v>2640</v>
      </c>
      <c r="F1461" s="2161"/>
    </row>
    <row r="1462" spans="1:15">
      <c r="A1462" s="2163"/>
      <c r="B1462" s="2163"/>
      <c r="C1462" s="2163"/>
      <c r="D1462" s="2163"/>
      <c r="E1462" s="2163"/>
      <c r="F1462" s="2163"/>
      <c r="G1462" s="2163"/>
      <c r="H1462" s="2163"/>
      <c r="I1462" s="2163"/>
      <c r="J1462" s="2163"/>
      <c r="K1462" s="2163"/>
      <c r="L1462" s="2163"/>
      <c r="M1462" s="2163"/>
    </row>
    <row r="1463" spans="1:15">
      <c r="A1463" s="2164"/>
      <c r="H1463" s="2522" t="s">
        <v>2637</v>
      </c>
      <c r="I1463" s="2522"/>
      <c r="J1463" s="2163"/>
      <c r="K1463" s="2523">
        <v>0</v>
      </c>
      <c r="L1463" s="2523"/>
      <c r="M1463" s="2163"/>
      <c r="N1463" s="2527"/>
      <c r="O1463" s="2163"/>
    </row>
    <row r="1464" spans="1:15">
      <c r="H1464" s="2163"/>
      <c r="I1464" s="2163"/>
      <c r="J1464" s="2163"/>
      <c r="K1464" s="2523"/>
      <c r="L1464" s="2523"/>
      <c r="N1464" s="2527"/>
    </row>
    <row r="1465" spans="1:15">
      <c r="A1465" s="2165">
        <v>20334</v>
      </c>
      <c r="B1465" s="2163"/>
      <c r="C1465" s="2524" t="s">
        <v>3018</v>
      </c>
      <c r="D1465" s="2524"/>
      <c r="E1465" s="2524"/>
      <c r="F1465" s="2524"/>
      <c r="G1465" s="2524"/>
      <c r="H1465" s="2524"/>
      <c r="I1465" s="2524"/>
      <c r="J1465" s="2163"/>
      <c r="K1465" s="2163"/>
      <c r="L1465" s="2163"/>
      <c r="M1465" s="2163"/>
    </row>
    <row r="1466" spans="1:15">
      <c r="A1466" s="2163"/>
      <c r="B1466" s="2163"/>
      <c r="C1466" s="2163"/>
      <c r="D1466" s="2163"/>
      <c r="E1466" s="2163"/>
      <c r="F1466" s="2163"/>
      <c r="G1466" s="2163"/>
      <c r="H1466" s="2163"/>
      <c r="I1466" s="2163"/>
      <c r="J1466" s="2163"/>
      <c r="K1466" s="2163"/>
      <c r="L1466" s="2163"/>
      <c r="M1466" s="2163"/>
    </row>
    <row r="1467" spans="1:15">
      <c r="A1467" s="2529"/>
      <c r="B1467" s="2529"/>
      <c r="C1467" s="2529"/>
      <c r="D1467" s="2166"/>
      <c r="E1467" s="2166"/>
      <c r="F1467" s="2166"/>
      <c r="G1467" s="2166"/>
      <c r="H1467" s="2525"/>
      <c r="I1467" s="2525"/>
      <c r="J1467" s="2525"/>
      <c r="K1467" s="2166"/>
      <c r="L1467" s="2167"/>
      <c r="M1467" s="2166"/>
    </row>
    <row r="1468" spans="1:15">
      <c r="A1468" s="2164"/>
      <c r="B1468" s="2164"/>
      <c r="C1468" s="2164"/>
      <c r="D1468" s="2164"/>
      <c r="E1468" s="2522" t="s">
        <v>2639</v>
      </c>
      <c r="F1468" s="2522"/>
      <c r="G1468" s="2164"/>
      <c r="H1468" s="2523">
        <v>0</v>
      </c>
      <c r="I1468" s="2523"/>
      <c r="J1468" s="2523"/>
      <c r="K1468" s="2163"/>
      <c r="L1468" s="2523">
        <v>0</v>
      </c>
      <c r="M1468" s="2163"/>
    </row>
    <row r="1469" spans="1:15">
      <c r="A1469" s="2164"/>
      <c r="B1469" s="2164"/>
      <c r="C1469" s="2164"/>
      <c r="D1469" s="2164"/>
      <c r="E1469" s="2164"/>
      <c r="F1469" s="2164"/>
      <c r="G1469" s="2164"/>
      <c r="H1469" s="2523"/>
      <c r="I1469" s="2523"/>
      <c r="J1469" s="2523"/>
      <c r="K1469" s="2163"/>
      <c r="L1469" s="2523"/>
      <c r="M1469" s="2163"/>
    </row>
    <row r="1470" spans="1:15">
      <c r="A1470" s="2160" t="s">
        <v>1195</v>
      </c>
      <c r="B1470" s="2161"/>
      <c r="C1470" s="2160" t="s">
        <v>2706</v>
      </c>
      <c r="D1470" s="2161"/>
      <c r="E1470" s="2160" t="s">
        <v>2640</v>
      </c>
      <c r="F1470" s="2161"/>
    </row>
    <row r="1471" spans="1:15">
      <c r="A1471" s="2163"/>
      <c r="B1471" s="2163"/>
      <c r="C1471" s="2163"/>
      <c r="D1471" s="2163"/>
      <c r="E1471" s="2163"/>
      <c r="F1471" s="2163"/>
      <c r="G1471" s="2163"/>
      <c r="H1471" s="2163"/>
      <c r="I1471" s="2163"/>
      <c r="J1471" s="2163"/>
      <c r="K1471" s="2163"/>
      <c r="L1471" s="2163"/>
      <c r="M1471" s="2163"/>
    </row>
    <row r="1472" spans="1:15">
      <c r="A1472" s="2164"/>
      <c r="H1472" s="2522" t="s">
        <v>2637</v>
      </c>
      <c r="I1472" s="2522"/>
      <c r="J1472" s="2163"/>
      <c r="K1472" s="2523">
        <v>0</v>
      </c>
      <c r="L1472" s="2523"/>
      <c r="M1472" s="2163"/>
      <c r="N1472" s="2527"/>
      <c r="O1472" s="2163"/>
    </row>
    <row r="1473" spans="1:15">
      <c r="H1473" s="2163"/>
      <c r="I1473" s="2163"/>
      <c r="J1473" s="2163"/>
      <c r="K1473" s="2523"/>
      <c r="L1473" s="2523"/>
      <c r="N1473" s="2527"/>
    </row>
    <row r="1474" spans="1:15">
      <c r="A1474" s="2165">
        <v>20413</v>
      </c>
      <c r="B1474" s="2163"/>
      <c r="C1474" s="2524" t="s">
        <v>2703</v>
      </c>
      <c r="D1474" s="2524"/>
      <c r="E1474" s="2524"/>
      <c r="F1474" s="2524"/>
      <c r="G1474" s="2524"/>
      <c r="H1474" s="2524"/>
      <c r="I1474" s="2524"/>
      <c r="J1474" s="2163"/>
      <c r="K1474" s="2163"/>
      <c r="L1474" s="2163"/>
      <c r="M1474" s="2163"/>
    </row>
    <row r="1475" spans="1:15">
      <c r="A1475" s="2163"/>
      <c r="B1475" s="2163"/>
      <c r="C1475" s="2163"/>
      <c r="D1475" s="2163"/>
      <c r="E1475" s="2163"/>
      <c r="F1475" s="2163"/>
      <c r="G1475" s="2163"/>
      <c r="H1475" s="2163"/>
      <c r="I1475" s="2163"/>
      <c r="J1475" s="2163"/>
      <c r="K1475" s="2163"/>
      <c r="L1475" s="2163"/>
      <c r="M1475" s="2163"/>
    </row>
    <row r="1476" spans="1:15">
      <c r="A1476" s="2529"/>
      <c r="B1476" s="2529"/>
      <c r="C1476" s="2529"/>
      <c r="D1476" s="2166"/>
      <c r="E1476" s="2166"/>
      <c r="F1476" s="2166"/>
      <c r="G1476" s="2166"/>
      <c r="H1476" s="2525"/>
      <c r="I1476" s="2525"/>
      <c r="J1476" s="2525"/>
      <c r="K1476" s="2166"/>
      <c r="L1476" s="2167"/>
      <c r="M1476" s="2166"/>
    </row>
    <row r="1477" spans="1:15">
      <c r="A1477" s="2164"/>
      <c r="B1477" s="2164"/>
      <c r="C1477" s="2164"/>
      <c r="D1477" s="2164"/>
      <c r="E1477" s="2522" t="s">
        <v>2639</v>
      </c>
      <c r="F1477" s="2522"/>
      <c r="G1477" s="2164"/>
      <c r="H1477" s="2523">
        <v>0</v>
      </c>
      <c r="I1477" s="2523"/>
      <c r="J1477" s="2523"/>
      <c r="K1477" s="2163"/>
      <c r="L1477" s="2523">
        <v>0</v>
      </c>
      <c r="M1477" s="2163"/>
    </row>
    <row r="1478" spans="1:15">
      <c r="A1478" s="2164"/>
      <c r="B1478" s="2164"/>
      <c r="C1478" s="2164"/>
      <c r="D1478" s="2164"/>
      <c r="E1478" s="2164"/>
      <c r="F1478" s="2164"/>
      <c r="G1478" s="2164"/>
      <c r="H1478" s="2523"/>
      <c r="I1478" s="2523"/>
      <c r="J1478" s="2523"/>
      <c r="K1478" s="2163"/>
      <c r="L1478" s="2523"/>
      <c r="M1478" s="2163"/>
    </row>
    <row r="1479" spans="1:15">
      <c r="A1479" s="2160" t="s">
        <v>1195</v>
      </c>
      <c r="B1479" s="2161"/>
      <c r="C1479" s="2160" t="s">
        <v>2706</v>
      </c>
      <c r="D1479" s="2161"/>
      <c r="E1479" s="2160" t="s">
        <v>2640</v>
      </c>
      <c r="F1479" s="2161"/>
    </row>
    <row r="1480" spans="1:15">
      <c r="A1480" s="2163"/>
      <c r="B1480" s="2163"/>
      <c r="C1480" s="2163"/>
      <c r="D1480" s="2163"/>
      <c r="E1480" s="2163"/>
      <c r="F1480" s="2163"/>
      <c r="G1480" s="2163"/>
      <c r="H1480" s="2163"/>
      <c r="I1480" s="2163"/>
      <c r="J1480" s="2163"/>
      <c r="K1480" s="2163"/>
      <c r="L1480" s="2163"/>
      <c r="M1480" s="2163"/>
    </row>
    <row r="1481" spans="1:15">
      <c r="A1481" s="2164"/>
      <c r="H1481" s="2522" t="s">
        <v>2637</v>
      </c>
      <c r="I1481" s="2522"/>
      <c r="J1481" s="2163"/>
      <c r="K1481" s="2523">
        <v>0</v>
      </c>
      <c r="L1481" s="2523"/>
      <c r="M1481" s="2163"/>
      <c r="N1481" s="2527"/>
      <c r="O1481" s="2163"/>
    </row>
    <row r="1482" spans="1:15">
      <c r="H1482" s="2163"/>
      <c r="I1482" s="2163"/>
      <c r="J1482" s="2163"/>
      <c r="K1482" s="2523"/>
      <c r="L1482" s="2523"/>
      <c r="N1482" s="2527"/>
    </row>
    <row r="1483" spans="1:15">
      <c r="A1483" s="2165">
        <v>20797</v>
      </c>
      <c r="B1483" s="2163"/>
      <c r="C1483" s="2524" t="s">
        <v>2709</v>
      </c>
      <c r="D1483" s="2524"/>
      <c r="E1483" s="2524"/>
      <c r="F1483" s="2524"/>
      <c r="G1483" s="2524"/>
      <c r="H1483" s="2524"/>
      <c r="I1483" s="2524"/>
      <c r="J1483" s="2163"/>
      <c r="K1483" s="2163"/>
      <c r="L1483" s="2163"/>
      <c r="M1483" s="2163"/>
    </row>
    <row r="1484" spans="1:15">
      <c r="A1484" s="2163"/>
      <c r="B1484" s="2163"/>
      <c r="C1484" s="2163"/>
      <c r="D1484" s="2163"/>
      <c r="E1484" s="2163"/>
      <c r="F1484" s="2163"/>
      <c r="G1484" s="2163"/>
      <c r="H1484" s="2163"/>
      <c r="I1484" s="2163"/>
      <c r="J1484" s="2163"/>
      <c r="K1484" s="2163"/>
      <c r="L1484" s="2163"/>
      <c r="M1484" s="2163"/>
    </row>
    <row r="1485" spans="1:15">
      <c r="A1485" s="2529"/>
      <c r="B1485" s="2529"/>
      <c r="C1485" s="2529"/>
      <c r="D1485" s="2166"/>
      <c r="E1485" s="2166"/>
      <c r="F1485" s="2166"/>
      <c r="G1485" s="2166"/>
      <c r="H1485" s="2525"/>
      <c r="I1485" s="2525"/>
      <c r="J1485" s="2525"/>
      <c r="K1485" s="2166"/>
      <c r="L1485" s="2167"/>
      <c r="M1485" s="2166"/>
    </row>
    <row r="1486" spans="1:15">
      <c r="A1486" s="2164"/>
      <c r="B1486" s="2164"/>
      <c r="C1486" s="2164"/>
      <c r="D1486" s="2164"/>
      <c r="E1486" s="2522" t="s">
        <v>2639</v>
      </c>
      <c r="F1486" s="2522"/>
      <c r="G1486" s="2164"/>
      <c r="H1486" s="2523">
        <v>0</v>
      </c>
      <c r="I1486" s="2523"/>
      <c r="J1486" s="2523"/>
      <c r="K1486" s="2163"/>
      <c r="L1486" s="2523">
        <v>0</v>
      </c>
      <c r="M1486" s="2163"/>
    </row>
    <row r="1487" spans="1:15">
      <c r="A1487" s="2164"/>
      <c r="B1487" s="2164"/>
      <c r="C1487" s="2164"/>
      <c r="D1487" s="2164"/>
      <c r="E1487" s="2164"/>
      <c r="F1487" s="2164"/>
      <c r="G1487" s="2164"/>
      <c r="H1487" s="2523"/>
      <c r="I1487" s="2523"/>
      <c r="J1487" s="2523"/>
      <c r="K1487" s="2163"/>
      <c r="L1487" s="2523"/>
      <c r="M1487" s="2163"/>
    </row>
    <row r="1488" spans="1:15">
      <c r="A1488" s="2160" t="s">
        <v>1195</v>
      </c>
      <c r="B1488" s="2161"/>
      <c r="C1488" s="2160" t="s">
        <v>2706</v>
      </c>
      <c r="D1488" s="2161"/>
      <c r="E1488" s="2160" t="s">
        <v>2640</v>
      </c>
      <c r="F1488" s="2161"/>
    </row>
    <row r="1489" spans="1:15">
      <c r="A1489" s="2163"/>
      <c r="B1489" s="2163"/>
      <c r="C1489" s="2163"/>
      <c r="D1489" s="2163"/>
      <c r="E1489" s="2163"/>
      <c r="F1489" s="2163"/>
      <c r="G1489" s="2163"/>
      <c r="H1489" s="2163"/>
      <c r="I1489" s="2163"/>
      <c r="J1489" s="2163"/>
      <c r="K1489" s="2163"/>
      <c r="L1489" s="2163"/>
      <c r="M1489" s="2163"/>
    </row>
    <row r="1490" spans="1:15">
      <c r="A1490" s="2164"/>
      <c r="H1490" s="2522" t="s">
        <v>2637</v>
      </c>
      <c r="I1490" s="2522"/>
      <c r="J1490" s="2163"/>
      <c r="K1490" s="2523">
        <v>0</v>
      </c>
      <c r="L1490" s="2523"/>
      <c r="M1490" s="2163"/>
      <c r="N1490" s="2527"/>
      <c r="O1490" s="2163"/>
    </row>
    <row r="1491" spans="1:15">
      <c r="H1491" s="2163"/>
      <c r="I1491" s="2163"/>
      <c r="J1491" s="2163"/>
      <c r="K1491" s="2523"/>
      <c r="L1491" s="2523"/>
      <c r="N1491" s="2527"/>
    </row>
    <row r="1492" spans="1:15">
      <c r="A1492" s="2165">
        <v>21866</v>
      </c>
      <c r="B1492" s="2163"/>
      <c r="C1492" s="2524" t="s">
        <v>2710</v>
      </c>
      <c r="D1492" s="2524"/>
      <c r="E1492" s="2524"/>
      <c r="F1492" s="2524"/>
      <c r="G1492" s="2524"/>
      <c r="H1492" s="2524"/>
      <c r="I1492" s="2524"/>
      <c r="J1492" s="2163"/>
      <c r="K1492" s="2163"/>
      <c r="L1492" s="2163"/>
      <c r="M1492" s="2163"/>
    </row>
    <row r="1493" spans="1:15">
      <c r="A1493" s="2163"/>
      <c r="B1493" s="2163"/>
      <c r="C1493" s="2163"/>
      <c r="D1493" s="2163"/>
      <c r="E1493" s="2163"/>
      <c r="F1493" s="2163"/>
      <c r="G1493" s="2163"/>
      <c r="H1493" s="2163"/>
      <c r="I1493" s="2163"/>
      <c r="J1493" s="2163"/>
      <c r="K1493" s="2163"/>
      <c r="L1493" s="2163"/>
      <c r="M1493" s="2163"/>
    </row>
    <row r="1494" spans="1:15">
      <c r="A1494" s="2529"/>
      <c r="B1494" s="2529"/>
      <c r="C1494" s="2529"/>
      <c r="D1494" s="2166"/>
      <c r="E1494" s="2166"/>
      <c r="F1494" s="2166"/>
      <c r="G1494" s="2166"/>
      <c r="H1494" s="2525"/>
      <c r="I1494" s="2525"/>
      <c r="J1494" s="2525"/>
      <c r="K1494" s="2166"/>
      <c r="L1494" s="2167"/>
      <c r="M1494" s="2166"/>
    </row>
    <row r="1495" spans="1:15">
      <c r="A1495" s="2164"/>
      <c r="B1495" s="2164"/>
      <c r="C1495" s="2164"/>
      <c r="D1495" s="2164"/>
      <c r="E1495" s="2522" t="s">
        <v>2639</v>
      </c>
      <c r="F1495" s="2522"/>
      <c r="G1495" s="2164"/>
      <c r="H1495" s="2523">
        <v>0</v>
      </c>
      <c r="I1495" s="2523"/>
      <c r="J1495" s="2523"/>
      <c r="K1495" s="2163"/>
      <c r="L1495" s="2523">
        <v>0</v>
      </c>
      <c r="M1495" s="2163"/>
    </row>
    <row r="1496" spans="1:15">
      <c r="A1496" s="2164"/>
      <c r="B1496" s="2164"/>
      <c r="C1496" s="2164"/>
      <c r="D1496" s="2164"/>
      <c r="E1496" s="2164"/>
      <c r="F1496" s="2164"/>
      <c r="G1496" s="2164"/>
      <c r="H1496" s="2523"/>
      <c r="I1496" s="2523"/>
      <c r="J1496" s="2523"/>
      <c r="K1496" s="2163"/>
      <c r="L1496" s="2523"/>
      <c r="M1496" s="2163"/>
    </row>
    <row r="1497" spans="1:15">
      <c r="A1497" s="2160" t="s">
        <v>1195</v>
      </c>
      <c r="B1497" s="2161"/>
      <c r="C1497" s="2160" t="s">
        <v>2706</v>
      </c>
      <c r="D1497" s="2161"/>
      <c r="E1497" s="2160" t="s">
        <v>2640</v>
      </c>
      <c r="F1497" s="2161"/>
    </row>
    <row r="1498" spans="1:15">
      <c r="A1498" s="2163"/>
      <c r="B1498" s="2163"/>
      <c r="C1498" s="2163"/>
      <c r="D1498" s="2163"/>
      <c r="E1498" s="2163"/>
      <c r="F1498" s="2163"/>
      <c r="G1498" s="2163"/>
      <c r="H1498" s="2163"/>
      <c r="I1498" s="2163"/>
      <c r="J1498" s="2163"/>
      <c r="K1498" s="2163"/>
      <c r="L1498" s="2163"/>
      <c r="M1498" s="2163"/>
    </row>
    <row r="1499" spans="1:15">
      <c r="A1499" s="2164"/>
      <c r="H1499" s="2522" t="s">
        <v>2637</v>
      </c>
      <c r="I1499" s="2522"/>
      <c r="J1499" s="2163"/>
      <c r="K1499" s="2523">
        <v>0</v>
      </c>
      <c r="L1499" s="2523"/>
      <c r="M1499" s="2163"/>
      <c r="N1499" s="2527"/>
      <c r="O1499" s="2163"/>
    </row>
    <row r="1500" spans="1:15">
      <c r="H1500" s="2163"/>
      <c r="I1500" s="2163"/>
      <c r="J1500" s="2163"/>
      <c r="K1500" s="2523"/>
      <c r="L1500" s="2523"/>
      <c r="N1500" s="2527"/>
    </row>
    <row r="1501" spans="1:15">
      <c r="A1501" s="2165">
        <v>23774</v>
      </c>
      <c r="B1501" s="2163"/>
      <c r="C1501" s="2524" t="s">
        <v>2711</v>
      </c>
      <c r="D1501" s="2524"/>
      <c r="E1501" s="2524"/>
      <c r="F1501" s="2524"/>
      <c r="G1501" s="2524"/>
      <c r="H1501" s="2524"/>
      <c r="I1501" s="2524"/>
      <c r="J1501" s="2163"/>
      <c r="K1501" s="2163"/>
      <c r="L1501" s="2163"/>
      <c r="M1501" s="2163"/>
    </row>
    <row r="1502" spans="1:15">
      <c r="A1502" s="2163"/>
      <c r="B1502" s="2163"/>
      <c r="C1502" s="2163"/>
      <c r="D1502" s="2163"/>
      <c r="E1502" s="2163"/>
      <c r="F1502" s="2163"/>
      <c r="G1502" s="2163"/>
      <c r="H1502" s="2163"/>
      <c r="I1502" s="2163"/>
      <c r="J1502" s="2163"/>
      <c r="K1502" s="2163"/>
      <c r="L1502" s="2163"/>
      <c r="M1502" s="2163"/>
    </row>
    <row r="1503" spans="1:15">
      <c r="A1503" s="2529"/>
      <c r="B1503" s="2529"/>
      <c r="C1503" s="2529"/>
      <c r="D1503" s="2166"/>
      <c r="E1503" s="2166"/>
      <c r="F1503" s="2166"/>
      <c r="G1503" s="2166"/>
      <c r="H1503" s="2525"/>
      <c r="I1503" s="2525"/>
      <c r="J1503" s="2525"/>
      <c r="K1503" s="2166"/>
      <c r="L1503" s="2167"/>
      <c r="M1503" s="2166"/>
    </row>
    <row r="1504" spans="1:15">
      <c r="A1504" s="2164"/>
      <c r="B1504" s="2164"/>
      <c r="C1504" s="2164"/>
      <c r="D1504" s="2164"/>
      <c r="E1504" s="2522" t="s">
        <v>2639</v>
      </c>
      <c r="F1504" s="2522"/>
      <c r="G1504" s="2164"/>
      <c r="H1504" s="2523">
        <v>0</v>
      </c>
      <c r="I1504" s="2523"/>
      <c r="J1504" s="2523"/>
      <c r="K1504" s="2163"/>
      <c r="L1504" s="2523">
        <v>0</v>
      </c>
      <c r="M1504" s="2163"/>
    </row>
    <row r="1505" spans="1:15">
      <c r="A1505" s="2164"/>
      <c r="B1505" s="2164"/>
      <c r="C1505" s="2164"/>
      <c r="D1505" s="2164"/>
      <c r="E1505" s="2164"/>
      <c r="F1505" s="2164"/>
      <c r="G1505" s="2164"/>
      <c r="H1505" s="2523"/>
      <c r="I1505" s="2523"/>
      <c r="J1505" s="2523"/>
      <c r="K1505" s="2163"/>
      <c r="L1505" s="2523"/>
      <c r="M1505" s="2163"/>
    </row>
    <row r="1506" spans="1:15">
      <c r="A1506" s="2160" t="s">
        <v>1195</v>
      </c>
      <c r="B1506" s="2161"/>
      <c r="C1506" s="2160" t="s">
        <v>2706</v>
      </c>
      <c r="D1506" s="2161"/>
      <c r="E1506" s="2160" t="s">
        <v>2640</v>
      </c>
      <c r="F1506" s="2161"/>
    </row>
    <row r="1507" spans="1:15">
      <c r="A1507" s="2163"/>
      <c r="B1507" s="2163"/>
      <c r="C1507" s="2163"/>
      <c r="D1507" s="2163"/>
      <c r="E1507" s="2163"/>
      <c r="F1507" s="2163"/>
      <c r="G1507" s="2163"/>
      <c r="H1507" s="2163"/>
      <c r="I1507" s="2163"/>
      <c r="J1507" s="2163"/>
      <c r="K1507" s="2163"/>
      <c r="L1507" s="2163"/>
      <c r="M1507" s="2163"/>
    </row>
    <row r="1508" spans="1:15">
      <c r="A1508" s="2164"/>
      <c r="H1508" s="2522" t="s">
        <v>2637</v>
      </c>
      <c r="I1508" s="2522"/>
      <c r="J1508" s="2163"/>
      <c r="K1508" s="2523">
        <v>0</v>
      </c>
      <c r="L1508" s="2523"/>
      <c r="M1508" s="2163"/>
      <c r="N1508" s="2527"/>
      <c r="O1508" s="2163"/>
    </row>
    <row r="1509" spans="1:15">
      <c r="H1509" s="2163"/>
      <c r="I1509" s="2163"/>
      <c r="J1509" s="2163"/>
      <c r="K1509" s="2523"/>
      <c r="L1509" s="2523"/>
      <c r="N1509" s="2527"/>
    </row>
    <row r="1510" spans="1:15">
      <c r="A1510" s="2165">
        <v>24543</v>
      </c>
      <c r="B1510" s="2163"/>
      <c r="C1510" s="2524" t="s">
        <v>2642</v>
      </c>
      <c r="D1510" s="2524"/>
      <c r="E1510" s="2524"/>
      <c r="F1510" s="2524"/>
      <c r="G1510" s="2524"/>
      <c r="H1510" s="2524"/>
      <c r="I1510" s="2524"/>
      <c r="J1510" s="2163"/>
      <c r="K1510" s="2163"/>
      <c r="L1510" s="2163"/>
      <c r="M1510" s="2163"/>
    </row>
    <row r="1511" spans="1:15">
      <c r="A1511" s="2163"/>
      <c r="B1511" s="2163"/>
      <c r="C1511" s="2163"/>
      <c r="D1511" s="2163"/>
      <c r="E1511" s="2163"/>
      <c r="F1511" s="2163"/>
      <c r="G1511" s="2163"/>
      <c r="H1511" s="2163"/>
      <c r="I1511" s="2163"/>
      <c r="J1511" s="2163"/>
      <c r="K1511" s="2163"/>
      <c r="L1511" s="2163"/>
      <c r="M1511" s="2163"/>
    </row>
    <row r="1512" spans="1:15">
      <c r="A1512" s="2529"/>
      <c r="B1512" s="2529"/>
      <c r="C1512" s="2529"/>
      <c r="D1512" s="2166"/>
      <c r="E1512" s="2166"/>
      <c r="F1512" s="2166"/>
      <c r="G1512" s="2166"/>
      <c r="H1512" s="2525"/>
      <c r="I1512" s="2525"/>
      <c r="J1512" s="2525"/>
      <c r="K1512" s="2166"/>
      <c r="L1512" s="2167"/>
      <c r="M1512" s="2166"/>
    </row>
    <row r="1513" spans="1:15">
      <c r="A1513" s="2164"/>
      <c r="B1513" s="2164"/>
      <c r="C1513" s="2164"/>
      <c r="D1513" s="2164"/>
      <c r="E1513" s="2522" t="s">
        <v>2639</v>
      </c>
      <c r="F1513" s="2522"/>
      <c r="G1513" s="2164"/>
      <c r="H1513" s="2523">
        <v>0</v>
      </c>
      <c r="I1513" s="2523"/>
      <c r="J1513" s="2523"/>
      <c r="K1513" s="2163"/>
      <c r="L1513" s="2523">
        <v>0</v>
      </c>
      <c r="M1513" s="2163"/>
    </row>
    <row r="1514" spans="1:15">
      <c r="A1514" s="2164"/>
      <c r="B1514" s="2164"/>
      <c r="C1514" s="2164"/>
      <c r="D1514" s="2164"/>
      <c r="E1514" s="2164"/>
      <c r="F1514" s="2164"/>
      <c r="G1514" s="2164"/>
      <c r="H1514" s="2523"/>
      <c r="I1514" s="2523"/>
      <c r="J1514" s="2523"/>
      <c r="K1514" s="2163"/>
      <c r="L1514" s="2523"/>
      <c r="M1514" s="2163"/>
    </row>
    <row r="1515" spans="1:15">
      <c r="A1515" s="2160" t="s">
        <v>1195</v>
      </c>
      <c r="B1515" s="2161"/>
      <c r="C1515" s="2160" t="s">
        <v>2706</v>
      </c>
      <c r="D1515" s="2161"/>
      <c r="E1515" s="2160" t="s">
        <v>2640</v>
      </c>
      <c r="F1515" s="2161"/>
    </row>
    <row r="1516" spans="1:15">
      <c r="A1516" s="2163"/>
      <c r="B1516" s="2163"/>
      <c r="C1516" s="2163"/>
      <c r="D1516" s="2163"/>
      <c r="E1516" s="2163"/>
      <c r="F1516" s="2163"/>
      <c r="G1516" s="2163"/>
      <c r="H1516" s="2163"/>
      <c r="I1516" s="2163"/>
      <c r="J1516" s="2163"/>
      <c r="K1516" s="2163"/>
      <c r="L1516" s="2163"/>
      <c r="M1516" s="2163"/>
    </row>
    <row r="1517" spans="1:15">
      <c r="A1517" s="2164"/>
      <c r="H1517" s="2522" t="s">
        <v>2637</v>
      </c>
      <c r="I1517" s="2522"/>
      <c r="J1517" s="2163"/>
      <c r="K1517" s="2523">
        <v>0</v>
      </c>
      <c r="L1517" s="2523"/>
      <c r="M1517" s="2163"/>
      <c r="N1517" s="2527"/>
      <c r="O1517" s="2163"/>
    </row>
    <row r="1518" spans="1:15">
      <c r="H1518" s="2163"/>
      <c r="I1518" s="2163"/>
      <c r="J1518" s="2163"/>
      <c r="K1518" s="2523"/>
      <c r="L1518" s="2523"/>
      <c r="N1518" s="2527"/>
    </row>
    <row r="1519" spans="1:15">
      <c r="A1519" s="2165">
        <v>24543</v>
      </c>
      <c r="B1519" s="2163"/>
      <c r="C1519" s="2524" t="s">
        <v>2642</v>
      </c>
      <c r="D1519" s="2524"/>
      <c r="E1519" s="2524"/>
      <c r="F1519" s="2524"/>
      <c r="G1519" s="2524"/>
      <c r="H1519" s="2524"/>
      <c r="I1519" s="2524"/>
      <c r="J1519" s="2163"/>
      <c r="K1519" s="2163"/>
      <c r="L1519" s="2163"/>
      <c r="M1519" s="2163"/>
    </row>
    <row r="1520" spans="1:15">
      <c r="A1520" s="2163"/>
      <c r="B1520" s="2163"/>
      <c r="C1520" s="2163"/>
      <c r="D1520" s="2163"/>
      <c r="E1520" s="2163"/>
      <c r="F1520" s="2163"/>
      <c r="G1520" s="2163"/>
      <c r="H1520" s="2163"/>
      <c r="I1520" s="2163"/>
      <c r="J1520" s="2163"/>
      <c r="K1520" s="2163"/>
      <c r="L1520" s="2163"/>
      <c r="M1520" s="2163"/>
    </row>
    <row r="1521" spans="1:15">
      <c r="A1521" s="2529"/>
      <c r="B1521" s="2529"/>
      <c r="C1521" s="2529"/>
      <c r="D1521" s="2166"/>
      <c r="E1521" s="2166"/>
      <c r="F1521" s="2166"/>
      <c r="G1521" s="2166"/>
      <c r="H1521" s="2525"/>
      <c r="I1521" s="2525"/>
      <c r="J1521" s="2525"/>
      <c r="K1521" s="2166"/>
      <c r="L1521" s="2167"/>
      <c r="M1521" s="2166"/>
    </row>
    <row r="1522" spans="1:15">
      <c r="A1522" s="2164"/>
      <c r="B1522" s="2164"/>
      <c r="C1522" s="2164"/>
      <c r="D1522" s="2164"/>
      <c r="E1522" s="2522" t="s">
        <v>2639</v>
      </c>
      <c r="F1522" s="2522"/>
      <c r="G1522" s="2164"/>
      <c r="H1522" s="2523">
        <v>0</v>
      </c>
      <c r="I1522" s="2523"/>
      <c r="J1522" s="2523"/>
      <c r="K1522" s="2163"/>
      <c r="L1522" s="2523">
        <v>0</v>
      </c>
      <c r="M1522" s="2163"/>
    </row>
    <row r="1523" spans="1:15">
      <c r="A1523" s="2164"/>
      <c r="B1523" s="2164"/>
      <c r="C1523" s="2164"/>
      <c r="D1523" s="2164"/>
      <c r="E1523" s="2164"/>
      <c r="F1523" s="2164"/>
      <c r="G1523" s="2164"/>
      <c r="H1523" s="2523"/>
      <c r="I1523" s="2523"/>
      <c r="J1523" s="2523"/>
      <c r="K1523" s="2163"/>
      <c r="L1523" s="2523"/>
      <c r="M1523" s="2163"/>
    </row>
    <row r="1524" spans="1:15">
      <c r="A1524" s="2160" t="s">
        <v>1195</v>
      </c>
      <c r="B1524" s="2161"/>
      <c r="C1524" s="2160" t="s">
        <v>2706</v>
      </c>
      <c r="D1524" s="2161"/>
      <c r="E1524" s="2160" t="s">
        <v>2640</v>
      </c>
      <c r="F1524" s="2161"/>
    </row>
    <row r="1525" spans="1:15">
      <c r="A1525" s="2163"/>
      <c r="B1525" s="2163"/>
      <c r="C1525" s="2163"/>
      <c r="D1525" s="2163"/>
      <c r="E1525" s="2163"/>
      <c r="F1525" s="2163"/>
      <c r="G1525" s="2163"/>
      <c r="H1525" s="2163"/>
      <c r="I1525" s="2163"/>
      <c r="J1525" s="2163"/>
      <c r="K1525" s="2163"/>
      <c r="L1525" s="2163"/>
      <c r="M1525" s="2163"/>
    </row>
    <row r="1526" spans="1:15">
      <c r="A1526" s="2164"/>
      <c r="H1526" s="2522" t="s">
        <v>2637</v>
      </c>
      <c r="I1526" s="2522"/>
      <c r="J1526" s="2163"/>
      <c r="K1526" s="2523">
        <v>0</v>
      </c>
      <c r="L1526" s="2523"/>
      <c r="M1526" s="2163"/>
      <c r="N1526" s="2527"/>
      <c r="O1526" s="2163"/>
    </row>
    <row r="1527" spans="1:15">
      <c r="H1527" s="2163"/>
      <c r="I1527" s="2163"/>
      <c r="J1527" s="2163"/>
      <c r="K1527" s="2523"/>
      <c r="L1527" s="2523"/>
      <c r="N1527" s="2527"/>
    </row>
    <row r="1528" spans="1:15">
      <c r="A1528" s="2165">
        <v>32636</v>
      </c>
      <c r="B1528" s="2163"/>
      <c r="C1528" s="2524" t="s">
        <v>2641</v>
      </c>
      <c r="D1528" s="2524"/>
      <c r="E1528" s="2524"/>
      <c r="F1528" s="2524"/>
      <c r="G1528" s="2524"/>
      <c r="H1528" s="2524"/>
      <c r="I1528" s="2524"/>
      <c r="J1528" s="2163"/>
      <c r="K1528" s="2163"/>
      <c r="L1528" s="2163"/>
      <c r="M1528" s="2163"/>
    </row>
    <row r="1529" spans="1:15">
      <c r="A1529" s="2163"/>
      <c r="B1529" s="2163"/>
      <c r="C1529" s="2163"/>
      <c r="D1529" s="2163"/>
      <c r="E1529" s="2163"/>
      <c r="F1529" s="2163"/>
      <c r="G1529" s="2163"/>
      <c r="H1529" s="2163"/>
      <c r="I1529" s="2163"/>
      <c r="J1529" s="2163"/>
      <c r="K1529" s="2163"/>
      <c r="L1529" s="2163"/>
      <c r="M1529" s="2163"/>
    </row>
    <row r="1530" spans="1:15">
      <c r="A1530" s="2520" t="s">
        <v>2648</v>
      </c>
      <c r="B1530" s="2520"/>
      <c r="C1530" s="2520"/>
      <c r="D1530" s="2166"/>
      <c r="E1530" s="2166"/>
      <c r="F1530" s="2166"/>
      <c r="G1530" s="2166"/>
      <c r="H1530" s="2526">
        <v>-5746.4750000000004</v>
      </c>
      <c r="I1530" s="2526"/>
      <c r="J1530" s="2526"/>
      <c r="K1530" s="2166"/>
      <c r="L1530" s="2168">
        <v>-317732.38</v>
      </c>
      <c r="M1530" s="2166"/>
    </row>
    <row r="1531" spans="1:15">
      <c r="A1531" s="2520" t="s">
        <v>2649</v>
      </c>
      <c r="B1531" s="2520"/>
      <c r="C1531" s="2520"/>
      <c r="D1531" s="2166"/>
      <c r="E1531" s="2166"/>
      <c r="F1531" s="2166"/>
      <c r="G1531" s="2166"/>
      <c r="H1531" s="2526">
        <v>5746.4750000000004</v>
      </c>
      <c r="I1531" s="2526"/>
      <c r="J1531" s="2526"/>
      <c r="K1531" s="2166"/>
      <c r="L1531" s="2168">
        <v>317614</v>
      </c>
      <c r="M1531" s="2166"/>
    </row>
    <row r="1532" spans="1:15">
      <c r="A1532" s="2164"/>
      <c r="B1532" s="2164"/>
      <c r="C1532" s="2164"/>
      <c r="D1532" s="2164"/>
      <c r="E1532" s="2522" t="s">
        <v>2639</v>
      </c>
      <c r="F1532" s="2522"/>
      <c r="G1532" s="2164"/>
      <c r="H1532" s="2523">
        <v>0</v>
      </c>
      <c r="I1532" s="2523"/>
      <c r="J1532" s="2523"/>
      <c r="K1532" s="2163"/>
      <c r="L1532" s="2523">
        <v>0</v>
      </c>
      <c r="M1532" s="2163"/>
    </row>
    <row r="1533" spans="1:15">
      <c r="A1533" s="2164"/>
      <c r="B1533" s="2164"/>
      <c r="C1533" s="2164"/>
      <c r="D1533" s="2164"/>
      <c r="E1533" s="2164"/>
      <c r="F1533" s="2164"/>
      <c r="G1533" s="2164"/>
      <c r="H1533" s="2523"/>
      <c r="I1533" s="2523"/>
      <c r="J1533" s="2523"/>
      <c r="K1533" s="2163"/>
      <c r="L1533" s="2523"/>
      <c r="M1533" s="2163"/>
    </row>
    <row r="1534" spans="1:15">
      <c r="A1534" s="2160" t="s">
        <v>1195</v>
      </c>
      <c r="B1534" s="2161"/>
      <c r="C1534" s="2160" t="s">
        <v>2706</v>
      </c>
      <c r="D1534" s="2161"/>
      <c r="E1534" s="2160" t="s">
        <v>2640</v>
      </c>
      <c r="F1534" s="2161"/>
    </row>
    <row r="1535" spans="1:15">
      <c r="A1535" s="2163"/>
      <c r="B1535" s="2163"/>
      <c r="C1535" s="2163"/>
      <c r="D1535" s="2163"/>
      <c r="E1535" s="2163"/>
      <c r="F1535" s="2163"/>
      <c r="G1535" s="2163"/>
      <c r="H1535" s="2163"/>
      <c r="I1535" s="2163"/>
      <c r="J1535" s="2163"/>
      <c r="K1535" s="2163"/>
      <c r="L1535" s="2163"/>
      <c r="M1535" s="2163"/>
    </row>
    <row r="1536" spans="1:15">
      <c r="A1536" s="2164"/>
      <c r="H1536" s="2522" t="s">
        <v>2637</v>
      </c>
      <c r="I1536" s="2522"/>
      <c r="J1536" s="2163"/>
      <c r="K1536" s="2523">
        <v>0</v>
      </c>
      <c r="L1536" s="2523"/>
      <c r="M1536" s="2163"/>
      <c r="N1536" s="2527"/>
      <c r="O1536" s="2163"/>
    </row>
    <row r="1537" spans="1:15">
      <c r="H1537" s="2163"/>
      <c r="I1537" s="2163"/>
      <c r="J1537" s="2163"/>
      <c r="K1537" s="2523"/>
      <c r="L1537" s="2523"/>
      <c r="N1537" s="2527"/>
    </row>
    <row r="1538" spans="1:15">
      <c r="A1538" s="2165">
        <v>32358</v>
      </c>
      <c r="B1538" s="2163"/>
      <c r="C1538" s="2524" t="s">
        <v>2675</v>
      </c>
      <c r="D1538" s="2524"/>
      <c r="E1538" s="2524"/>
      <c r="F1538" s="2524"/>
      <c r="G1538" s="2524"/>
      <c r="H1538" s="2524"/>
      <c r="I1538" s="2524"/>
      <c r="J1538" s="2163"/>
      <c r="K1538" s="2163"/>
      <c r="L1538" s="2163"/>
      <c r="M1538" s="2163"/>
    </row>
    <row r="1539" spans="1:15">
      <c r="A1539" s="2163"/>
      <c r="B1539" s="2163"/>
      <c r="C1539" s="2163"/>
      <c r="D1539" s="2163"/>
      <c r="E1539" s="2163"/>
      <c r="F1539" s="2163"/>
      <c r="G1539" s="2163"/>
      <c r="H1539" s="2163"/>
      <c r="I1539" s="2163"/>
      <c r="J1539" s="2163"/>
      <c r="K1539" s="2163"/>
      <c r="L1539" s="2163"/>
      <c r="M1539" s="2163"/>
    </row>
    <row r="1540" spans="1:15">
      <c r="A1540" s="2529"/>
      <c r="B1540" s="2529"/>
      <c r="C1540" s="2529"/>
      <c r="D1540" s="2166"/>
      <c r="E1540" s="2166"/>
      <c r="F1540" s="2166"/>
      <c r="G1540" s="2166"/>
      <c r="H1540" s="2525"/>
      <c r="I1540" s="2525"/>
      <c r="J1540" s="2525"/>
      <c r="K1540" s="2166"/>
      <c r="L1540" s="2167"/>
      <c r="M1540" s="2166"/>
    </row>
    <row r="1541" spans="1:15">
      <c r="A1541" s="2164"/>
      <c r="B1541" s="2164"/>
      <c r="C1541" s="2164"/>
      <c r="D1541" s="2164"/>
      <c r="E1541" s="2522" t="s">
        <v>2639</v>
      </c>
      <c r="F1541" s="2522"/>
      <c r="G1541" s="2164"/>
      <c r="H1541" s="2523">
        <v>0</v>
      </c>
      <c r="I1541" s="2523"/>
      <c r="J1541" s="2523"/>
      <c r="K1541" s="2163"/>
      <c r="L1541" s="2523">
        <v>0</v>
      </c>
      <c r="M1541" s="2163"/>
    </row>
    <row r="1542" spans="1:15">
      <c r="A1542" s="2164"/>
      <c r="B1542" s="2164"/>
      <c r="C1542" s="2164"/>
      <c r="D1542" s="2164"/>
      <c r="E1542" s="2164"/>
      <c r="F1542" s="2164"/>
      <c r="G1542" s="2164"/>
      <c r="H1542" s="2523"/>
      <c r="I1542" s="2523"/>
      <c r="J1542" s="2523"/>
      <c r="K1542" s="2163"/>
      <c r="L1542" s="2523"/>
      <c r="M1542" s="2163"/>
    </row>
    <row r="1543" spans="1:15">
      <c r="A1543" s="2160" t="s">
        <v>1195</v>
      </c>
      <c r="B1543" s="2161"/>
      <c r="C1543" s="2160" t="s">
        <v>2706</v>
      </c>
      <c r="D1543" s="2161"/>
      <c r="E1543" s="2160" t="s">
        <v>2640</v>
      </c>
      <c r="F1543" s="2161"/>
    </row>
    <row r="1544" spans="1:15">
      <c r="A1544" s="2163"/>
      <c r="B1544" s="2163"/>
      <c r="C1544" s="2163"/>
      <c r="D1544" s="2163"/>
      <c r="E1544" s="2163"/>
      <c r="F1544" s="2163"/>
      <c r="G1544" s="2163"/>
      <c r="H1544" s="2163"/>
      <c r="I1544" s="2163"/>
      <c r="J1544" s="2163"/>
      <c r="K1544" s="2163"/>
      <c r="L1544" s="2163"/>
      <c r="M1544" s="2163"/>
    </row>
    <row r="1545" spans="1:15">
      <c r="A1545" s="2164"/>
      <c r="H1545" s="2522" t="s">
        <v>2637</v>
      </c>
      <c r="I1545" s="2522"/>
      <c r="J1545" s="2163"/>
      <c r="K1545" s="2523">
        <v>0</v>
      </c>
      <c r="L1545" s="2523"/>
      <c r="M1545" s="2163"/>
      <c r="N1545" s="2527"/>
      <c r="O1545" s="2163"/>
    </row>
    <row r="1546" spans="1:15">
      <c r="H1546" s="2163"/>
      <c r="I1546" s="2163"/>
      <c r="J1546" s="2163"/>
      <c r="K1546" s="2523"/>
      <c r="L1546" s="2523"/>
      <c r="N1546" s="2527"/>
    </row>
    <row r="1547" spans="1:15">
      <c r="A1547" s="2165">
        <v>48483</v>
      </c>
      <c r="B1547" s="2163"/>
      <c r="C1547" s="2524" t="s">
        <v>2664</v>
      </c>
      <c r="D1547" s="2524"/>
      <c r="E1547" s="2524"/>
      <c r="F1547" s="2524"/>
      <c r="G1547" s="2524"/>
      <c r="H1547" s="2524"/>
      <c r="I1547" s="2524"/>
      <c r="J1547" s="2163"/>
      <c r="K1547" s="2163"/>
      <c r="L1547" s="2163"/>
      <c r="M1547" s="2163"/>
    </row>
    <row r="1548" spans="1:15">
      <c r="A1548" s="2163"/>
      <c r="B1548" s="2163"/>
      <c r="C1548" s="2163"/>
      <c r="D1548" s="2163"/>
      <c r="E1548" s="2163"/>
      <c r="F1548" s="2163"/>
      <c r="G1548" s="2163"/>
      <c r="H1548" s="2163"/>
      <c r="I1548" s="2163"/>
      <c r="J1548" s="2163"/>
      <c r="K1548" s="2163"/>
      <c r="L1548" s="2163"/>
      <c r="M1548" s="2163"/>
    </row>
    <row r="1549" spans="1:15">
      <c r="A1549" s="2529"/>
      <c r="B1549" s="2529"/>
      <c r="C1549" s="2529"/>
      <c r="D1549" s="2166"/>
      <c r="E1549" s="2166"/>
      <c r="F1549" s="2166"/>
      <c r="G1549" s="2166"/>
      <c r="H1549" s="2525"/>
      <c r="I1549" s="2525"/>
      <c r="J1549" s="2525"/>
      <c r="K1549" s="2166"/>
      <c r="L1549" s="2167"/>
      <c r="M1549" s="2166"/>
    </row>
    <row r="1550" spans="1:15">
      <c r="A1550" s="2164"/>
      <c r="B1550" s="2164"/>
      <c r="C1550" s="2164"/>
      <c r="D1550" s="2164"/>
      <c r="E1550" s="2522" t="s">
        <v>2639</v>
      </c>
      <c r="F1550" s="2522"/>
      <c r="G1550" s="2164"/>
      <c r="H1550" s="2523">
        <v>0</v>
      </c>
      <c r="I1550" s="2523"/>
      <c r="J1550" s="2523"/>
      <c r="K1550" s="2163"/>
      <c r="L1550" s="2523">
        <v>0</v>
      </c>
      <c r="M1550" s="2163"/>
    </row>
    <row r="1551" spans="1:15">
      <c r="A1551" s="2164"/>
      <c r="B1551" s="2164"/>
      <c r="C1551" s="2164"/>
      <c r="D1551" s="2164"/>
      <c r="E1551" s="2164"/>
      <c r="F1551" s="2164"/>
      <c r="G1551" s="2164"/>
      <c r="H1551" s="2523"/>
      <c r="I1551" s="2523"/>
      <c r="J1551" s="2523"/>
      <c r="K1551" s="2163"/>
      <c r="L1551" s="2523"/>
      <c r="M1551" s="2163"/>
    </row>
    <row r="1552" spans="1:15">
      <c r="A1552" s="2160" t="s">
        <v>1195</v>
      </c>
      <c r="B1552" s="2161"/>
      <c r="C1552" s="2160" t="s">
        <v>2706</v>
      </c>
      <c r="D1552" s="2161"/>
      <c r="E1552" s="2160" t="s">
        <v>2640</v>
      </c>
      <c r="F1552" s="2161"/>
    </row>
    <row r="1553" spans="1:15">
      <c r="A1553" s="2163"/>
      <c r="B1553" s="2163"/>
      <c r="C1553" s="2163"/>
      <c r="D1553" s="2163"/>
      <c r="E1553" s="2163"/>
      <c r="F1553" s="2163"/>
      <c r="G1553" s="2163"/>
      <c r="H1553" s="2163"/>
      <c r="I1553" s="2163"/>
      <c r="J1553" s="2163"/>
      <c r="K1553" s="2163"/>
      <c r="L1553" s="2163"/>
      <c r="M1553" s="2163"/>
    </row>
    <row r="1554" spans="1:15">
      <c r="A1554" s="2164"/>
      <c r="H1554" s="2522" t="s">
        <v>2637</v>
      </c>
      <c r="I1554" s="2522"/>
      <c r="J1554" s="2163"/>
      <c r="K1554" s="2528">
        <v>5540635.8332000002</v>
      </c>
      <c r="L1554" s="2528"/>
      <c r="M1554" s="2163"/>
      <c r="N1554" s="2527" t="s">
        <v>3019</v>
      </c>
      <c r="O1554" s="2163"/>
    </row>
    <row r="1555" spans="1:15">
      <c r="H1555" s="2163"/>
      <c r="I1555" s="2163"/>
      <c r="J1555" s="2163"/>
      <c r="K1555" s="2528"/>
      <c r="L1555" s="2528"/>
      <c r="N1555" s="2527"/>
    </row>
    <row r="1556" spans="1:15">
      <c r="A1556" s="2165">
        <v>56965</v>
      </c>
      <c r="B1556" s="2163"/>
      <c r="C1556" s="2524" t="s">
        <v>2678</v>
      </c>
      <c r="D1556" s="2524"/>
      <c r="E1556" s="2524"/>
      <c r="F1556" s="2524"/>
      <c r="G1556" s="2524"/>
      <c r="H1556" s="2524"/>
      <c r="I1556" s="2524"/>
      <c r="J1556" s="2163"/>
      <c r="K1556" s="2163"/>
      <c r="L1556" s="2163"/>
      <c r="M1556" s="2163"/>
    </row>
    <row r="1557" spans="1:15">
      <c r="A1557" s="2163"/>
      <c r="B1557" s="2163"/>
      <c r="C1557" s="2163"/>
      <c r="D1557" s="2163"/>
      <c r="E1557" s="2163"/>
      <c r="F1557" s="2163"/>
      <c r="G1557" s="2163"/>
      <c r="H1557" s="2163"/>
      <c r="I1557" s="2163"/>
      <c r="J1557" s="2163"/>
      <c r="K1557" s="2163"/>
      <c r="L1557" s="2163"/>
      <c r="M1557" s="2163"/>
    </row>
    <row r="1558" spans="1:15">
      <c r="A1558" s="2520" t="s">
        <v>2679</v>
      </c>
      <c r="B1558" s="2520"/>
      <c r="C1558" s="2520"/>
      <c r="D1558" s="2166"/>
      <c r="E1558" s="2166"/>
      <c r="F1558" s="2166"/>
      <c r="G1558" s="2166"/>
      <c r="H1558" s="2526">
        <v>-4593224.0760000004</v>
      </c>
      <c r="I1558" s="2526"/>
      <c r="J1558" s="2526"/>
      <c r="K1558" s="2166"/>
      <c r="L1558" s="2168">
        <v>-250000000</v>
      </c>
      <c r="M1558" s="2166"/>
    </row>
    <row r="1559" spans="1:15">
      <c r="A1559" s="2164"/>
      <c r="B1559" s="2164"/>
      <c r="C1559" s="2164"/>
      <c r="D1559" s="2164"/>
      <c r="E1559" s="2522" t="s">
        <v>2639</v>
      </c>
      <c r="F1559" s="2522"/>
      <c r="G1559" s="2164"/>
      <c r="H1559" s="2528">
        <v>947411.7574</v>
      </c>
      <c r="I1559" s="2528"/>
      <c r="J1559" s="2528"/>
      <c r="K1559" s="2163"/>
      <c r="L1559" s="2528">
        <v>52403997.049999997</v>
      </c>
      <c r="M1559" s="2163"/>
    </row>
    <row r="1560" spans="1:15">
      <c r="A1560" s="2164"/>
      <c r="B1560" s="2164"/>
      <c r="C1560" s="2164"/>
      <c r="D1560" s="2164"/>
      <c r="E1560" s="2164"/>
      <c r="F1560" s="2164"/>
      <c r="G1560" s="2164"/>
      <c r="H1560" s="2528"/>
      <c r="I1560" s="2528"/>
      <c r="J1560" s="2528"/>
      <c r="K1560" s="2163"/>
      <c r="L1560" s="2528"/>
      <c r="M1560" s="2163"/>
    </row>
    <row r="1561" spans="1:15">
      <c r="A1561" s="2160" t="s">
        <v>1195</v>
      </c>
      <c r="B1561" s="2161"/>
      <c r="C1561" s="2160" t="s">
        <v>2706</v>
      </c>
      <c r="D1561" s="2161"/>
      <c r="E1561" s="2160" t="s">
        <v>2640</v>
      </c>
      <c r="F1561" s="2161"/>
    </row>
    <row r="1562" spans="1:15">
      <c r="A1562" s="2163"/>
      <c r="B1562" s="2163"/>
      <c r="C1562" s="2163"/>
      <c r="D1562" s="2163"/>
      <c r="E1562" s="2163"/>
      <c r="F1562" s="2163"/>
      <c r="G1562" s="2163"/>
      <c r="H1562" s="2163"/>
      <c r="I1562" s="2163"/>
      <c r="J1562" s="2163"/>
      <c r="K1562" s="2163"/>
      <c r="L1562" s="2163"/>
      <c r="M1562" s="2163"/>
    </row>
    <row r="1563" spans="1:15">
      <c r="A1563" s="2164"/>
      <c r="H1563" s="2522" t="s">
        <v>2637</v>
      </c>
      <c r="I1563" s="2522"/>
      <c r="J1563" s="2163"/>
      <c r="K1563" s="2528">
        <v>97032.039799999999</v>
      </c>
      <c r="L1563" s="2528"/>
      <c r="M1563" s="2163"/>
      <c r="N1563" s="2527" t="s">
        <v>3020</v>
      </c>
      <c r="O1563" s="2163"/>
    </row>
    <row r="1564" spans="1:15">
      <c r="H1564" s="2163"/>
      <c r="I1564" s="2163"/>
      <c r="J1564" s="2163"/>
      <c r="K1564" s="2528"/>
      <c r="L1564" s="2528"/>
      <c r="N1564" s="2527"/>
    </row>
    <row r="1565" spans="1:15">
      <c r="A1565" s="2165">
        <v>57179</v>
      </c>
      <c r="B1565" s="2163"/>
      <c r="C1565" s="2524" t="s">
        <v>2668</v>
      </c>
      <c r="D1565" s="2524"/>
      <c r="E1565" s="2524"/>
      <c r="F1565" s="2524"/>
      <c r="G1565" s="2524"/>
      <c r="H1565" s="2524"/>
      <c r="I1565" s="2524"/>
      <c r="J1565" s="2163"/>
      <c r="K1565" s="2163"/>
      <c r="L1565" s="2163"/>
      <c r="M1565" s="2163"/>
    </row>
    <row r="1566" spans="1:15">
      <c r="A1566" s="2163"/>
      <c r="B1566" s="2163"/>
      <c r="C1566" s="2163"/>
      <c r="D1566" s="2163"/>
      <c r="E1566" s="2163"/>
      <c r="F1566" s="2163"/>
      <c r="G1566" s="2163"/>
      <c r="H1566" s="2163"/>
      <c r="I1566" s="2163"/>
      <c r="J1566" s="2163"/>
      <c r="K1566" s="2163"/>
      <c r="L1566" s="2163"/>
      <c r="M1566" s="2163"/>
    </row>
    <row r="1567" spans="1:15">
      <c r="A1567" s="2529"/>
      <c r="B1567" s="2529"/>
      <c r="C1567" s="2529"/>
      <c r="D1567" s="2166"/>
      <c r="E1567" s="2166"/>
      <c r="F1567" s="2166"/>
      <c r="G1567" s="2166"/>
      <c r="H1567" s="2525"/>
      <c r="I1567" s="2525"/>
      <c r="J1567" s="2525"/>
      <c r="K1567" s="2166"/>
      <c r="L1567" s="2167"/>
      <c r="M1567" s="2166"/>
    </row>
    <row r="1568" spans="1:15">
      <c r="A1568" s="2164"/>
      <c r="B1568" s="2164"/>
      <c r="C1568" s="2164"/>
      <c r="D1568" s="2164"/>
      <c r="E1568" s="2522" t="s">
        <v>2639</v>
      </c>
      <c r="F1568" s="2522"/>
      <c r="G1568" s="2164"/>
      <c r="H1568" s="2528">
        <v>97032.039799999999</v>
      </c>
      <c r="I1568" s="2528"/>
      <c r="J1568" s="2528"/>
      <c r="K1568" s="2163"/>
      <c r="L1568" s="2528">
        <v>5367113.8099999996</v>
      </c>
      <c r="M1568" s="2163"/>
    </row>
    <row r="1569" spans="1:15">
      <c r="A1569" s="2164"/>
      <c r="B1569" s="2164"/>
      <c r="C1569" s="2164"/>
      <c r="D1569" s="2164"/>
      <c r="E1569" s="2164"/>
      <c r="F1569" s="2164"/>
      <c r="G1569" s="2164"/>
      <c r="H1569" s="2528"/>
      <c r="I1569" s="2528"/>
      <c r="J1569" s="2528"/>
      <c r="K1569" s="2163"/>
      <c r="L1569" s="2528"/>
      <c r="M1569" s="2163"/>
    </row>
    <row r="1570" spans="1:15">
      <c r="A1570" s="2160" t="s">
        <v>2712</v>
      </c>
      <c r="B1570" s="2161"/>
      <c r="C1570" s="2160" t="s">
        <v>2713</v>
      </c>
      <c r="D1570" s="2161"/>
      <c r="E1570" s="2160" t="s">
        <v>2640</v>
      </c>
      <c r="F1570" s="2161"/>
    </row>
    <row r="1571" spans="1:15">
      <c r="A1571" s="2163"/>
      <c r="B1571" s="2163"/>
      <c r="C1571" s="2163"/>
      <c r="D1571" s="2163"/>
      <c r="E1571" s="2163"/>
      <c r="F1571" s="2163"/>
      <c r="G1571" s="2163"/>
      <c r="H1571" s="2163"/>
      <c r="I1571" s="2163"/>
      <c r="J1571" s="2163"/>
      <c r="K1571" s="2163"/>
      <c r="L1571" s="2163"/>
      <c r="M1571" s="2163"/>
    </row>
    <row r="1572" spans="1:15">
      <c r="A1572" s="2164"/>
      <c r="H1572" s="2522" t="s">
        <v>2637</v>
      </c>
      <c r="I1572" s="2522"/>
      <c r="J1572" s="2163"/>
      <c r="K1572" s="2523">
        <v>2.0000000000000001E-4</v>
      </c>
      <c r="L1572" s="2523"/>
      <c r="M1572" s="2163"/>
      <c r="N1572" s="2527"/>
      <c r="O1572" s="2163"/>
    </row>
    <row r="1573" spans="1:15">
      <c r="H1573" s="2163"/>
      <c r="I1573" s="2163"/>
      <c r="J1573" s="2163"/>
      <c r="K1573" s="2523"/>
      <c r="L1573" s="2523"/>
      <c r="N1573" s="2527"/>
    </row>
    <row r="1574" spans="1:15">
      <c r="A1574" s="2165">
        <v>26</v>
      </c>
      <c r="B1574" s="2163"/>
      <c r="C1574" s="2524" t="s">
        <v>2845</v>
      </c>
      <c r="D1574" s="2524"/>
      <c r="E1574" s="2524"/>
      <c r="F1574" s="2524"/>
      <c r="G1574" s="2524"/>
      <c r="H1574" s="2524"/>
      <c r="I1574" s="2524"/>
      <c r="J1574" s="2163"/>
      <c r="K1574" s="2163"/>
      <c r="L1574" s="2163"/>
      <c r="M1574" s="2163"/>
    </row>
    <row r="1575" spans="1:15">
      <c r="A1575" s="2163"/>
      <c r="B1575" s="2163"/>
      <c r="C1575" s="2163"/>
      <c r="D1575" s="2163"/>
      <c r="E1575" s="2163"/>
      <c r="F1575" s="2163"/>
      <c r="G1575" s="2163"/>
      <c r="H1575" s="2163"/>
      <c r="I1575" s="2163"/>
      <c r="J1575" s="2163"/>
      <c r="K1575" s="2163"/>
      <c r="L1575" s="2163"/>
      <c r="M1575" s="2163"/>
    </row>
    <row r="1576" spans="1:15">
      <c r="A1576" s="2529"/>
      <c r="B1576" s="2529"/>
      <c r="C1576" s="2529"/>
      <c r="D1576" s="2166"/>
      <c r="E1576" s="2166"/>
      <c r="F1576" s="2166"/>
      <c r="G1576" s="2166"/>
      <c r="H1576" s="2525"/>
      <c r="I1576" s="2525"/>
      <c r="J1576" s="2525"/>
      <c r="K1576" s="2166"/>
      <c r="L1576" s="2167"/>
      <c r="M1576" s="2166"/>
    </row>
    <row r="1577" spans="1:15">
      <c r="A1577" s="2164"/>
      <c r="B1577" s="2164"/>
      <c r="C1577" s="2164"/>
      <c r="D1577" s="2164"/>
      <c r="E1577" s="2522" t="s">
        <v>2639</v>
      </c>
      <c r="F1577" s="2522"/>
      <c r="G1577" s="2164"/>
      <c r="H1577" s="2523">
        <v>2.0000000000000001E-4</v>
      </c>
      <c r="I1577" s="2523"/>
      <c r="J1577" s="2523"/>
      <c r="K1577" s="2163"/>
      <c r="L1577" s="2523">
        <v>0</v>
      </c>
      <c r="M1577" s="2163"/>
    </row>
    <row r="1578" spans="1:15">
      <c r="A1578" s="2164"/>
      <c r="B1578" s="2164"/>
      <c r="C1578" s="2164"/>
      <c r="D1578" s="2164"/>
      <c r="E1578" s="2164"/>
      <c r="F1578" s="2164"/>
      <c r="G1578" s="2164"/>
      <c r="H1578" s="2523"/>
      <c r="I1578" s="2523"/>
      <c r="J1578" s="2523"/>
      <c r="K1578" s="2163"/>
      <c r="L1578" s="2523"/>
      <c r="M1578" s="2163"/>
    </row>
    <row r="1579" spans="1:15">
      <c r="A1579" s="2160" t="s">
        <v>2712</v>
      </c>
      <c r="B1579" s="2161"/>
      <c r="C1579" s="2160" t="s">
        <v>2713</v>
      </c>
      <c r="D1579" s="2161"/>
      <c r="E1579" s="2160" t="s">
        <v>2640</v>
      </c>
      <c r="F1579" s="2161"/>
    </row>
    <row r="1580" spans="1:15">
      <c r="A1580" s="2163"/>
      <c r="B1580" s="2163"/>
      <c r="C1580" s="2163"/>
      <c r="D1580" s="2163"/>
      <c r="E1580" s="2163"/>
      <c r="F1580" s="2163"/>
      <c r="G1580" s="2163"/>
      <c r="H1580" s="2163"/>
      <c r="I1580" s="2163"/>
      <c r="J1580" s="2163"/>
      <c r="K1580" s="2163"/>
      <c r="L1580" s="2163"/>
      <c r="M1580" s="2163"/>
    </row>
    <row r="1581" spans="1:15">
      <c r="A1581" s="2164"/>
      <c r="H1581" s="2522" t="s">
        <v>2637</v>
      </c>
      <c r="I1581" s="2522"/>
      <c r="J1581" s="2163"/>
      <c r="K1581" s="2523">
        <v>0.15459999999999999</v>
      </c>
      <c r="L1581" s="2523"/>
      <c r="M1581" s="2163"/>
      <c r="N1581" s="2527">
        <v>2</v>
      </c>
      <c r="O1581" s="2163"/>
    </row>
    <row r="1582" spans="1:15">
      <c r="H1582" s="2163"/>
      <c r="I1582" s="2163"/>
      <c r="J1582" s="2163"/>
      <c r="K1582" s="2523"/>
      <c r="L1582" s="2523"/>
      <c r="N1582" s="2527"/>
    </row>
    <row r="1583" spans="1:15">
      <c r="A1583" s="2165">
        <v>425</v>
      </c>
      <c r="B1583" s="2163"/>
      <c r="C1583" s="2524" t="s">
        <v>2641</v>
      </c>
      <c r="D1583" s="2524"/>
      <c r="E1583" s="2524"/>
      <c r="F1583" s="2524"/>
      <c r="G1583" s="2524"/>
      <c r="H1583" s="2524"/>
      <c r="I1583" s="2524"/>
      <c r="J1583" s="2163"/>
      <c r="K1583" s="2163"/>
      <c r="L1583" s="2163"/>
      <c r="M1583" s="2163"/>
    </row>
    <row r="1584" spans="1:15">
      <c r="A1584" s="2163"/>
      <c r="B1584" s="2163"/>
      <c r="C1584" s="2163"/>
      <c r="D1584" s="2163"/>
      <c r="E1584" s="2163"/>
      <c r="F1584" s="2163"/>
      <c r="G1584" s="2163"/>
      <c r="H1584" s="2163"/>
      <c r="I1584" s="2163"/>
      <c r="J1584" s="2163"/>
      <c r="K1584" s="2163"/>
      <c r="L1584" s="2163"/>
      <c r="M1584" s="2163"/>
    </row>
    <row r="1585" spans="1:15">
      <c r="A1585" s="2529"/>
      <c r="B1585" s="2529"/>
      <c r="C1585" s="2529"/>
      <c r="D1585" s="2166"/>
      <c r="E1585" s="2166"/>
      <c r="F1585" s="2166"/>
      <c r="G1585" s="2166"/>
      <c r="H1585" s="2525"/>
      <c r="I1585" s="2525"/>
      <c r="J1585" s="2525"/>
      <c r="K1585" s="2166"/>
      <c r="L1585" s="2167"/>
      <c r="M1585" s="2166"/>
    </row>
    <row r="1586" spans="1:15">
      <c r="A1586" s="2164"/>
      <c r="B1586" s="2164"/>
      <c r="C1586" s="2164"/>
      <c r="D1586" s="2164"/>
      <c r="E1586" s="2522" t="s">
        <v>2639</v>
      </c>
      <c r="F1586" s="2522"/>
      <c r="G1586" s="2164"/>
      <c r="H1586" s="2523">
        <v>0.15459999999999999</v>
      </c>
      <c r="I1586" s="2523"/>
      <c r="J1586" s="2523"/>
      <c r="K1586" s="2163"/>
      <c r="L1586" s="2523">
        <v>1.75</v>
      </c>
      <c r="M1586" s="2163"/>
    </row>
    <row r="1587" spans="1:15">
      <c r="A1587" s="2164"/>
      <c r="B1587" s="2164"/>
      <c r="C1587" s="2164"/>
      <c r="D1587" s="2164"/>
      <c r="E1587" s="2164"/>
      <c r="F1587" s="2164"/>
      <c r="G1587" s="2164"/>
      <c r="H1587" s="2523"/>
      <c r="I1587" s="2523"/>
      <c r="J1587" s="2523"/>
      <c r="K1587" s="2163"/>
      <c r="L1587" s="2523"/>
      <c r="M1587" s="2163"/>
    </row>
    <row r="1588" spans="1:15">
      <c r="A1588" s="2160" t="s">
        <v>2712</v>
      </c>
      <c r="B1588" s="2161"/>
      <c r="C1588" s="2160" t="s">
        <v>2713</v>
      </c>
      <c r="D1588" s="2161"/>
      <c r="E1588" s="2160" t="s">
        <v>2640</v>
      </c>
      <c r="F1588" s="2161"/>
    </row>
    <row r="1589" spans="1:15">
      <c r="A1589" s="2163"/>
      <c r="B1589" s="2163"/>
      <c r="C1589" s="2163"/>
      <c r="D1589" s="2163"/>
      <c r="E1589" s="2163"/>
      <c r="F1589" s="2163"/>
      <c r="G1589" s="2163"/>
      <c r="H1589" s="2163"/>
      <c r="I1589" s="2163"/>
      <c r="J1589" s="2163"/>
      <c r="K1589" s="2163"/>
      <c r="L1589" s="2163"/>
      <c r="M1589" s="2163"/>
    </row>
    <row r="1590" spans="1:15">
      <c r="A1590" s="2164"/>
      <c r="H1590" s="2522" t="s">
        <v>2637</v>
      </c>
      <c r="I1590" s="2522"/>
      <c r="J1590" s="2163"/>
      <c r="K1590" s="2528">
        <v>4225.1481000000003</v>
      </c>
      <c r="L1590" s="2528"/>
      <c r="M1590" s="2163"/>
      <c r="N1590" s="2527" t="s">
        <v>3021</v>
      </c>
      <c r="O1590" s="2163"/>
    </row>
    <row r="1591" spans="1:15">
      <c r="H1591" s="2163"/>
      <c r="I1591" s="2163"/>
      <c r="J1591" s="2163"/>
      <c r="K1591" s="2528"/>
      <c r="L1591" s="2528"/>
      <c r="N1591" s="2527"/>
    </row>
    <row r="1592" spans="1:15">
      <c r="A1592" s="2165">
        <v>5327</v>
      </c>
      <c r="B1592" s="2163"/>
      <c r="C1592" s="2524" t="s">
        <v>2846</v>
      </c>
      <c r="D1592" s="2524"/>
      <c r="E1592" s="2524"/>
      <c r="F1592" s="2524"/>
      <c r="G1592" s="2524"/>
      <c r="H1592" s="2524"/>
      <c r="I1592" s="2524"/>
      <c r="J1592" s="2163"/>
      <c r="K1592" s="2163"/>
      <c r="L1592" s="2163"/>
      <c r="M1592" s="2163"/>
    </row>
    <row r="1593" spans="1:15">
      <c r="A1593" s="2163"/>
      <c r="B1593" s="2163"/>
      <c r="C1593" s="2163"/>
      <c r="D1593" s="2163"/>
      <c r="E1593" s="2163"/>
      <c r="F1593" s="2163"/>
      <c r="G1593" s="2163"/>
      <c r="H1593" s="2163"/>
      <c r="I1593" s="2163"/>
      <c r="J1593" s="2163"/>
      <c r="K1593" s="2163"/>
      <c r="L1593" s="2163"/>
      <c r="M1593" s="2163"/>
    </row>
    <row r="1594" spans="1:15">
      <c r="A1594" s="2520" t="s">
        <v>2648</v>
      </c>
      <c r="B1594" s="2520"/>
      <c r="C1594" s="2520"/>
      <c r="D1594" s="2166"/>
      <c r="E1594" s="2166"/>
      <c r="F1594" s="2166"/>
      <c r="G1594" s="2166"/>
      <c r="H1594" s="2526">
        <v>-4225.1480000000001</v>
      </c>
      <c r="I1594" s="2526"/>
      <c r="J1594" s="2526"/>
      <c r="K1594" s="2166"/>
      <c r="L1594" s="2168">
        <v>-49645.49</v>
      </c>
      <c r="M1594" s="2166"/>
    </row>
    <row r="1595" spans="1:15">
      <c r="A1595" s="2164"/>
      <c r="B1595" s="2164"/>
      <c r="C1595" s="2164"/>
      <c r="D1595" s="2164"/>
      <c r="E1595" s="2522" t="s">
        <v>2639</v>
      </c>
      <c r="F1595" s="2522"/>
      <c r="G1595" s="2164"/>
      <c r="H1595" s="2523">
        <v>0</v>
      </c>
      <c r="I1595" s="2523"/>
      <c r="J1595" s="2523"/>
      <c r="K1595" s="2163"/>
      <c r="L1595" s="2523">
        <v>0</v>
      </c>
      <c r="M1595" s="2163"/>
    </row>
    <row r="1596" spans="1:15">
      <c r="A1596" s="2164"/>
      <c r="B1596" s="2164"/>
      <c r="C1596" s="2164"/>
      <c r="D1596" s="2164"/>
      <c r="E1596" s="2164"/>
      <c r="F1596" s="2164"/>
      <c r="G1596" s="2164"/>
      <c r="H1596" s="2523"/>
      <c r="I1596" s="2523"/>
      <c r="J1596" s="2523"/>
      <c r="K1596" s="2163"/>
      <c r="L1596" s="2523"/>
      <c r="M1596" s="2163"/>
    </row>
    <row r="1597" spans="1:15">
      <c r="A1597" s="2160" t="s">
        <v>2712</v>
      </c>
      <c r="B1597" s="2161"/>
      <c r="C1597" s="2160" t="s">
        <v>2713</v>
      </c>
      <c r="D1597" s="2161"/>
      <c r="E1597" s="2160" t="s">
        <v>2640</v>
      </c>
      <c r="F1597" s="2161"/>
    </row>
    <row r="1598" spans="1:15">
      <c r="A1598" s="2163"/>
      <c r="B1598" s="2163"/>
      <c r="C1598" s="2163"/>
      <c r="D1598" s="2163"/>
      <c r="E1598" s="2163"/>
      <c r="F1598" s="2163"/>
      <c r="G1598" s="2163"/>
      <c r="H1598" s="2163"/>
      <c r="I1598" s="2163"/>
      <c r="J1598" s="2163"/>
      <c r="K1598" s="2163"/>
      <c r="L1598" s="2163"/>
      <c r="M1598" s="2163"/>
    </row>
    <row r="1599" spans="1:15">
      <c r="A1599" s="2164"/>
      <c r="H1599" s="2522" t="s">
        <v>2637</v>
      </c>
      <c r="I1599" s="2522"/>
      <c r="J1599" s="2163"/>
      <c r="K1599" s="2523">
        <v>0</v>
      </c>
      <c r="L1599" s="2523"/>
      <c r="M1599" s="2163"/>
      <c r="N1599" s="2527"/>
      <c r="O1599" s="2163"/>
    </row>
    <row r="1600" spans="1:15">
      <c r="H1600" s="2163"/>
      <c r="I1600" s="2163"/>
      <c r="J1600" s="2163"/>
      <c r="K1600" s="2523"/>
      <c r="L1600" s="2523"/>
      <c r="N1600" s="2527"/>
    </row>
    <row r="1601" spans="1:15">
      <c r="A1601" s="2165">
        <v>6408</v>
      </c>
      <c r="B1601" s="2163"/>
      <c r="C1601" s="2524" t="s">
        <v>2655</v>
      </c>
      <c r="D1601" s="2524"/>
      <c r="E1601" s="2524"/>
      <c r="F1601" s="2524"/>
      <c r="G1601" s="2524"/>
      <c r="H1601" s="2524"/>
      <c r="I1601" s="2524"/>
      <c r="J1601" s="2163"/>
      <c r="K1601" s="2163"/>
      <c r="L1601" s="2163"/>
      <c r="M1601" s="2163"/>
    </row>
    <row r="1602" spans="1:15">
      <c r="A1602" s="2163"/>
      <c r="B1602" s="2163"/>
      <c r="C1602" s="2163"/>
      <c r="D1602" s="2163"/>
      <c r="E1602" s="2163"/>
      <c r="F1602" s="2163"/>
      <c r="G1602" s="2163"/>
      <c r="H1602" s="2163"/>
      <c r="I1602" s="2163"/>
      <c r="J1602" s="2163"/>
      <c r="K1602" s="2163"/>
      <c r="L1602" s="2163"/>
      <c r="M1602" s="2163"/>
    </row>
    <row r="1603" spans="1:15">
      <c r="A1603" s="2529"/>
      <c r="B1603" s="2529"/>
      <c r="C1603" s="2529"/>
      <c r="D1603" s="2166"/>
      <c r="E1603" s="2166"/>
      <c r="F1603" s="2166"/>
      <c r="G1603" s="2166"/>
      <c r="H1603" s="2525"/>
      <c r="I1603" s="2525"/>
      <c r="J1603" s="2525"/>
      <c r="K1603" s="2166"/>
      <c r="L1603" s="2167"/>
      <c r="M1603" s="2166"/>
    </row>
    <row r="1604" spans="1:15">
      <c r="A1604" s="2164"/>
      <c r="B1604" s="2164"/>
      <c r="C1604" s="2164"/>
      <c r="D1604" s="2164"/>
      <c r="E1604" s="2522" t="s">
        <v>2639</v>
      </c>
      <c r="F1604" s="2522"/>
      <c r="G1604" s="2164"/>
      <c r="H1604" s="2523">
        <v>0</v>
      </c>
      <c r="I1604" s="2523"/>
      <c r="J1604" s="2523"/>
      <c r="K1604" s="2163"/>
      <c r="L1604" s="2523">
        <v>0</v>
      </c>
      <c r="M1604" s="2163"/>
    </row>
    <row r="1605" spans="1:15">
      <c r="A1605" s="2164"/>
      <c r="B1605" s="2164"/>
      <c r="C1605" s="2164"/>
      <c r="D1605" s="2164"/>
      <c r="E1605" s="2164"/>
      <c r="F1605" s="2164"/>
      <c r="G1605" s="2164"/>
      <c r="H1605" s="2523"/>
      <c r="I1605" s="2523"/>
      <c r="J1605" s="2523"/>
      <c r="K1605" s="2163"/>
      <c r="L1605" s="2523"/>
      <c r="M1605" s="2163"/>
    </row>
    <row r="1606" spans="1:15">
      <c r="A1606" s="2160" t="s">
        <v>2712</v>
      </c>
      <c r="B1606" s="2161"/>
      <c r="C1606" s="2160" t="s">
        <v>2713</v>
      </c>
      <c r="D1606" s="2161"/>
      <c r="E1606" s="2160" t="s">
        <v>2640</v>
      </c>
      <c r="F1606" s="2161"/>
    </row>
    <row r="1607" spans="1:15">
      <c r="A1607" s="2163"/>
      <c r="B1607" s="2163"/>
      <c r="C1607" s="2163"/>
      <c r="D1607" s="2163"/>
      <c r="E1607" s="2163"/>
      <c r="F1607" s="2163"/>
      <c r="G1607" s="2163"/>
      <c r="H1607" s="2163"/>
      <c r="I1607" s="2163"/>
      <c r="J1607" s="2163"/>
      <c r="K1607" s="2163"/>
      <c r="L1607" s="2163"/>
      <c r="M1607" s="2163"/>
    </row>
    <row r="1608" spans="1:15">
      <c r="A1608" s="2164"/>
      <c r="H1608" s="2522" t="s">
        <v>2637</v>
      </c>
      <c r="I1608" s="2522"/>
      <c r="J1608" s="2163"/>
      <c r="K1608" s="2523">
        <v>0</v>
      </c>
      <c r="L1608" s="2523"/>
      <c r="M1608" s="2163"/>
      <c r="N1608" s="2527"/>
      <c r="O1608" s="2163"/>
    </row>
    <row r="1609" spans="1:15">
      <c r="H1609" s="2163"/>
      <c r="I1609" s="2163"/>
      <c r="J1609" s="2163"/>
      <c r="K1609" s="2523"/>
      <c r="L1609" s="2523"/>
      <c r="N1609" s="2527"/>
    </row>
    <row r="1610" spans="1:15">
      <c r="A1610" s="2165">
        <v>6457</v>
      </c>
      <c r="B1610" s="2163"/>
      <c r="C1610" s="2524" t="s">
        <v>2850</v>
      </c>
      <c r="D1610" s="2524"/>
      <c r="E1610" s="2524"/>
      <c r="F1610" s="2524"/>
      <c r="G1610" s="2524"/>
      <c r="H1610" s="2524"/>
      <c r="I1610" s="2524"/>
      <c r="J1610" s="2163"/>
      <c r="K1610" s="2163"/>
      <c r="L1610" s="2163"/>
      <c r="M1610" s="2163"/>
    </row>
    <row r="1611" spans="1:15">
      <c r="A1611" s="2163"/>
      <c r="B1611" s="2163"/>
      <c r="C1611" s="2163"/>
      <c r="D1611" s="2163"/>
      <c r="E1611" s="2163"/>
      <c r="F1611" s="2163"/>
      <c r="G1611" s="2163"/>
      <c r="H1611" s="2163"/>
      <c r="I1611" s="2163"/>
      <c r="J1611" s="2163"/>
      <c r="K1611" s="2163"/>
      <c r="L1611" s="2163"/>
      <c r="M1611" s="2163"/>
    </row>
    <row r="1612" spans="1:15">
      <c r="A1612" s="2529"/>
      <c r="B1612" s="2529"/>
      <c r="C1612" s="2529"/>
      <c r="D1612" s="2166"/>
      <c r="E1612" s="2166"/>
      <c r="F1612" s="2166"/>
      <c r="G1612" s="2166"/>
      <c r="H1612" s="2525"/>
      <c r="I1612" s="2525"/>
      <c r="J1612" s="2525"/>
      <c r="K1612" s="2166"/>
      <c r="L1612" s="2167"/>
      <c r="M1612" s="2166"/>
    </row>
    <row r="1613" spans="1:15">
      <c r="A1613" s="2164"/>
      <c r="B1613" s="2164"/>
      <c r="C1613" s="2164"/>
      <c r="D1613" s="2164"/>
      <c r="E1613" s="2522" t="s">
        <v>2639</v>
      </c>
      <c r="F1613" s="2522"/>
      <c r="G1613" s="2164"/>
      <c r="H1613" s="2523">
        <v>0</v>
      </c>
      <c r="I1613" s="2523"/>
      <c r="J1613" s="2523"/>
      <c r="K1613" s="2163"/>
      <c r="L1613" s="2523">
        <v>0</v>
      </c>
      <c r="M1613" s="2163"/>
    </row>
    <row r="1614" spans="1:15">
      <c r="A1614" s="2164"/>
      <c r="B1614" s="2164"/>
      <c r="C1614" s="2164"/>
      <c r="D1614" s="2164"/>
      <c r="E1614" s="2164"/>
      <c r="F1614" s="2164"/>
      <c r="G1614" s="2164"/>
      <c r="H1614" s="2523"/>
      <c r="I1614" s="2523"/>
      <c r="J1614" s="2523"/>
      <c r="K1614" s="2163"/>
      <c r="L1614" s="2523"/>
      <c r="M1614" s="2163"/>
    </row>
    <row r="1615" spans="1:15">
      <c r="A1615" s="2160" t="s">
        <v>2712</v>
      </c>
      <c r="B1615" s="2161"/>
      <c r="C1615" s="2160" t="s">
        <v>2713</v>
      </c>
      <c r="D1615" s="2161"/>
      <c r="E1615" s="2160" t="s">
        <v>2640</v>
      </c>
      <c r="F1615" s="2161"/>
    </row>
    <row r="1616" spans="1:15">
      <c r="A1616" s="2163"/>
      <c r="B1616" s="2163"/>
      <c r="C1616" s="2163"/>
      <c r="D1616" s="2163"/>
      <c r="E1616" s="2163"/>
      <c r="F1616" s="2163"/>
      <c r="G1616" s="2163"/>
      <c r="H1616" s="2163"/>
      <c r="I1616" s="2163"/>
      <c r="J1616" s="2163"/>
      <c r="K1616" s="2163"/>
      <c r="L1616" s="2163"/>
      <c r="M1616" s="2163"/>
    </row>
    <row r="1617" spans="1:15">
      <c r="A1617" s="2164"/>
      <c r="H1617" s="2522" t="s">
        <v>2637</v>
      </c>
      <c r="I1617" s="2522"/>
      <c r="J1617" s="2163"/>
      <c r="K1617" s="2523">
        <v>0</v>
      </c>
      <c r="L1617" s="2523"/>
      <c r="M1617" s="2163"/>
      <c r="N1617" s="2527"/>
      <c r="O1617" s="2163"/>
    </row>
    <row r="1618" spans="1:15">
      <c r="H1618" s="2163"/>
      <c r="I1618" s="2163"/>
      <c r="J1618" s="2163"/>
      <c r="K1618" s="2523"/>
      <c r="L1618" s="2523"/>
      <c r="N1618" s="2527"/>
    </row>
    <row r="1619" spans="1:15">
      <c r="A1619" s="2165">
        <v>7173</v>
      </c>
      <c r="B1619" s="2163"/>
      <c r="C1619" s="2524" t="s">
        <v>2707</v>
      </c>
      <c r="D1619" s="2524"/>
      <c r="E1619" s="2524"/>
      <c r="F1619" s="2524"/>
      <c r="G1619" s="2524"/>
      <c r="H1619" s="2524"/>
      <c r="I1619" s="2524"/>
      <c r="J1619" s="2163"/>
      <c r="K1619" s="2163"/>
      <c r="L1619" s="2163"/>
      <c r="M1619" s="2163"/>
    </row>
    <row r="1620" spans="1:15">
      <c r="A1620" s="2163"/>
      <c r="B1620" s="2163"/>
      <c r="C1620" s="2163"/>
      <c r="D1620" s="2163"/>
      <c r="E1620" s="2163"/>
      <c r="F1620" s="2163"/>
      <c r="G1620" s="2163"/>
      <c r="H1620" s="2163"/>
      <c r="I1620" s="2163"/>
      <c r="J1620" s="2163"/>
      <c r="K1620" s="2163"/>
      <c r="L1620" s="2163"/>
      <c r="M1620" s="2163"/>
    </row>
    <row r="1621" spans="1:15">
      <c r="A1621" s="2529"/>
      <c r="B1621" s="2529"/>
      <c r="C1621" s="2529"/>
      <c r="D1621" s="2166"/>
      <c r="E1621" s="2166"/>
      <c r="F1621" s="2166"/>
      <c r="G1621" s="2166"/>
      <c r="H1621" s="2525"/>
      <c r="I1621" s="2525"/>
      <c r="J1621" s="2525"/>
      <c r="K1621" s="2166"/>
      <c r="L1621" s="2167"/>
      <c r="M1621" s="2166"/>
    </row>
    <row r="1622" spans="1:15">
      <c r="A1622" s="2164"/>
      <c r="B1622" s="2164"/>
      <c r="C1622" s="2164"/>
      <c r="D1622" s="2164"/>
      <c r="E1622" s="2522" t="s">
        <v>2639</v>
      </c>
      <c r="F1622" s="2522"/>
      <c r="G1622" s="2164"/>
      <c r="H1622" s="2523">
        <v>0</v>
      </c>
      <c r="I1622" s="2523"/>
      <c r="J1622" s="2523"/>
      <c r="K1622" s="2163"/>
      <c r="L1622" s="2523">
        <v>0</v>
      </c>
      <c r="M1622" s="2163"/>
    </row>
    <row r="1623" spans="1:15">
      <c r="A1623" s="2164"/>
      <c r="B1623" s="2164"/>
      <c r="C1623" s="2164"/>
      <c r="D1623" s="2164"/>
      <c r="E1623" s="2164"/>
      <c r="F1623" s="2164"/>
      <c r="G1623" s="2164"/>
      <c r="H1623" s="2523"/>
      <c r="I1623" s="2523"/>
      <c r="J1623" s="2523"/>
      <c r="K1623" s="2163"/>
      <c r="L1623" s="2523"/>
      <c r="M1623" s="2163"/>
    </row>
    <row r="1624" spans="1:15">
      <c r="A1624" s="2160" t="s">
        <v>2712</v>
      </c>
      <c r="B1624" s="2161"/>
      <c r="C1624" s="2160" t="s">
        <v>2713</v>
      </c>
      <c r="D1624" s="2161"/>
      <c r="E1624" s="2160" t="s">
        <v>2640</v>
      </c>
      <c r="F1624" s="2161"/>
    </row>
    <row r="1625" spans="1:15">
      <c r="A1625" s="2163"/>
      <c r="B1625" s="2163"/>
      <c r="C1625" s="2163"/>
      <c r="D1625" s="2163"/>
      <c r="E1625" s="2163"/>
      <c r="F1625" s="2163"/>
      <c r="G1625" s="2163"/>
      <c r="H1625" s="2163"/>
      <c r="I1625" s="2163"/>
      <c r="J1625" s="2163"/>
      <c r="K1625" s="2163"/>
      <c r="L1625" s="2163"/>
      <c r="M1625" s="2163"/>
    </row>
    <row r="1626" spans="1:15">
      <c r="A1626" s="2164"/>
      <c r="H1626" s="2522" t="s">
        <v>2637</v>
      </c>
      <c r="I1626" s="2522"/>
      <c r="J1626" s="2163"/>
      <c r="K1626" s="2523">
        <v>-2.9999999999999997E-4</v>
      </c>
      <c r="L1626" s="2523"/>
      <c r="M1626" s="2163"/>
      <c r="N1626" s="2527"/>
      <c r="O1626" s="2163"/>
    </row>
    <row r="1627" spans="1:15">
      <c r="H1627" s="2163"/>
      <c r="I1627" s="2163"/>
      <c r="J1627" s="2163"/>
      <c r="K1627" s="2523"/>
      <c r="L1627" s="2523"/>
      <c r="N1627" s="2527"/>
    </row>
    <row r="1628" spans="1:15">
      <c r="A1628" s="2165">
        <v>7176</v>
      </c>
      <c r="B1628" s="2163"/>
      <c r="C1628" s="2524" t="s">
        <v>2714</v>
      </c>
      <c r="D1628" s="2524"/>
      <c r="E1628" s="2524"/>
      <c r="F1628" s="2524"/>
      <c r="G1628" s="2524"/>
      <c r="H1628" s="2524"/>
      <c r="I1628" s="2524"/>
      <c r="J1628" s="2163"/>
      <c r="K1628" s="2163"/>
      <c r="L1628" s="2163"/>
      <c r="M1628" s="2163"/>
    </row>
    <row r="1629" spans="1:15">
      <c r="A1629" s="2163"/>
      <c r="B1629" s="2163"/>
      <c r="C1629" s="2163"/>
      <c r="D1629" s="2163"/>
      <c r="E1629" s="2163"/>
      <c r="F1629" s="2163"/>
      <c r="G1629" s="2163"/>
      <c r="H1629" s="2163"/>
      <c r="I1629" s="2163"/>
      <c r="J1629" s="2163"/>
      <c r="K1629" s="2163"/>
      <c r="L1629" s="2163"/>
      <c r="M1629" s="2163"/>
    </row>
    <row r="1630" spans="1:15">
      <c r="A1630" s="2529"/>
      <c r="B1630" s="2529"/>
      <c r="C1630" s="2529"/>
      <c r="D1630" s="2166"/>
      <c r="E1630" s="2166"/>
      <c r="F1630" s="2166"/>
      <c r="G1630" s="2166"/>
      <c r="H1630" s="2525"/>
      <c r="I1630" s="2525"/>
      <c r="J1630" s="2525"/>
      <c r="K1630" s="2166"/>
      <c r="L1630" s="2167"/>
      <c r="M1630" s="2166"/>
    </row>
    <row r="1631" spans="1:15">
      <c r="A1631" s="2164"/>
      <c r="B1631" s="2164"/>
      <c r="C1631" s="2164"/>
      <c r="D1631" s="2164"/>
      <c r="E1631" s="2522" t="s">
        <v>2639</v>
      </c>
      <c r="F1631" s="2522"/>
      <c r="G1631" s="2164"/>
      <c r="H1631" s="2523">
        <v>-2.9999999999999997E-4</v>
      </c>
      <c r="I1631" s="2523"/>
      <c r="J1631" s="2523"/>
      <c r="K1631" s="2163"/>
      <c r="L1631" s="2523">
        <v>0</v>
      </c>
      <c r="M1631" s="2163"/>
    </row>
    <row r="1632" spans="1:15">
      <c r="A1632" s="2164"/>
      <c r="B1632" s="2164"/>
      <c r="C1632" s="2164"/>
      <c r="D1632" s="2164"/>
      <c r="E1632" s="2164"/>
      <c r="F1632" s="2164"/>
      <c r="G1632" s="2164"/>
      <c r="H1632" s="2523"/>
      <c r="I1632" s="2523"/>
      <c r="J1632" s="2523"/>
      <c r="K1632" s="2163"/>
      <c r="L1632" s="2523"/>
      <c r="M1632" s="2163"/>
    </row>
    <row r="1633" spans="1:15">
      <c r="A1633" s="2160" t="s">
        <v>2712</v>
      </c>
      <c r="B1633" s="2161"/>
      <c r="C1633" s="2160" t="s">
        <v>2713</v>
      </c>
      <c r="D1633" s="2161"/>
      <c r="E1633" s="2160" t="s">
        <v>2640</v>
      </c>
      <c r="F1633" s="2161"/>
    </row>
    <row r="1634" spans="1:15">
      <c r="A1634" s="2163"/>
      <c r="B1634" s="2163"/>
      <c r="C1634" s="2163"/>
      <c r="D1634" s="2163"/>
      <c r="E1634" s="2163"/>
      <c r="F1634" s="2163"/>
      <c r="G1634" s="2163"/>
      <c r="H1634" s="2163"/>
      <c r="I1634" s="2163"/>
      <c r="J1634" s="2163"/>
      <c r="K1634" s="2163"/>
      <c r="L1634" s="2163"/>
      <c r="M1634" s="2163"/>
    </row>
    <row r="1635" spans="1:15">
      <c r="A1635" s="2164"/>
      <c r="H1635" s="2522" t="s">
        <v>2637</v>
      </c>
      <c r="I1635" s="2522"/>
      <c r="J1635" s="2163"/>
      <c r="K1635" s="2523">
        <v>0</v>
      </c>
      <c r="L1635" s="2523"/>
      <c r="M1635" s="2163"/>
      <c r="N1635" s="2527"/>
      <c r="O1635" s="2163"/>
    </row>
    <row r="1636" spans="1:15">
      <c r="H1636" s="2163"/>
      <c r="I1636" s="2163"/>
      <c r="J1636" s="2163"/>
      <c r="K1636" s="2523"/>
      <c r="L1636" s="2523"/>
      <c r="N1636" s="2527"/>
    </row>
    <row r="1637" spans="1:15">
      <c r="A1637" s="2165">
        <v>17557</v>
      </c>
      <c r="B1637" s="2163"/>
      <c r="C1637" s="2524" t="s">
        <v>2715</v>
      </c>
      <c r="D1637" s="2524"/>
      <c r="E1637" s="2524"/>
      <c r="F1637" s="2524"/>
      <c r="G1637" s="2524"/>
      <c r="H1637" s="2524"/>
      <c r="I1637" s="2524"/>
      <c r="J1637" s="2163"/>
      <c r="K1637" s="2163"/>
      <c r="L1637" s="2163"/>
      <c r="M1637" s="2163"/>
    </row>
    <row r="1638" spans="1:15">
      <c r="A1638" s="2163"/>
      <c r="B1638" s="2163"/>
      <c r="C1638" s="2163"/>
      <c r="D1638" s="2163"/>
      <c r="E1638" s="2163"/>
      <c r="F1638" s="2163"/>
      <c r="G1638" s="2163"/>
      <c r="H1638" s="2163"/>
      <c r="I1638" s="2163"/>
      <c r="J1638" s="2163"/>
      <c r="K1638" s="2163"/>
      <c r="L1638" s="2163"/>
      <c r="M1638" s="2163"/>
    </row>
    <row r="1639" spans="1:15">
      <c r="A1639" s="2529"/>
      <c r="B1639" s="2529"/>
      <c r="C1639" s="2529"/>
      <c r="D1639" s="2166"/>
      <c r="E1639" s="2166"/>
      <c r="F1639" s="2166"/>
      <c r="G1639" s="2166"/>
      <c r="H1639" s="2525"/>
      <c r="I1639" s="2525"/>
      <c r="J1639" s="2525"/>
      <c r="K1639" s="2166"/>
      <c r="L1639" s="2167"/>
      <c r="M1639" s="2166"/>
    </row>
    <row r="1640" spans="1:15">
      <c r="A1640" s="2164"/>
      <c r="B1640" s="2164"/>
      <c r="C1640" s="2164"/>
      <c r="D1640" s="2164"/>
      <c r="E1640" s="2522" t="s">
        <v>2639</v>
      </c>
      <c r="F1640" s="2522"/>
      <c r="G1640" s="2164"/>
      <c r="H1640" s="2523">
        <v>0</v>
      </c>
      <c r="I1640" s="2523"/>
      <c r="J1640" s="2523"/>
      <c r="K1640" s="2163"/>
      <c r="L1640" s="2523">
        <v>0</v>
      </c>
      <c r="M1640" s="2163"/>
    </row>
    <row r="1641" spans="1:15">
      <c r="A1641" s="2164"/>
      <c r="B1641" s="2164"/>
      <c r="C1641" s="2164"/>
      <c r="D1641" s="2164"/>
      <c r="E1641" s="2164"/>
      <c r="F1641" s="2164"/>
      <c r="G1641" s="2164"/>
      <c r="H1641" s="2523"/>
      <c r="I1641" s="2523"/>
      <c r="J1641" s="2523"/>
      <c r="K1641" s="2163"/>
      <c r="L1641" s="2523"/>
      <c r="M1641" s="2163"/>
    </row>
    <row r="1642" spans="1:15">
      <c r="A1642" s="2160" t="s">
        <v>2712</v>
      </c>
      <c r="B1642" s="2161"/>
      <c r="C1642" s="2160" t="s">
        <v>2713</v>
      </c>
      <c r="D1642" s="2161"/>
      <c r="E1642" s="2160" t="s">
        <v>2640</v>
      </c>
      <c r="F1642" s="2161"/>
    </row>
    <row r="1643" spans="1:15">
      <c r="A1643" s="2163"/>
      <c r="B1643" s="2163"/>
      <c r="C1643" s="2163"/>
      <c r="D1643" s="2163"/>
      <c r="E1643" s="2163"/>
      <c r="F1643" s="2163"/>
      <c r="G1643" s="2163"/>
      <c r="H1643" s="2163"/>
      <c r="I1643" s="2163"/>
      <c r="J1643" s="2163"/>
      <c r="K1643" s="2163"/>
      <c r="L1643" s="2163"/>
      <c r="M1643" s="2163"/>
    </row>
    <row r="1644" spans="1:15">
      <c r="A1644" s="2164"/>
      <c r="H1644" s="2522" t="s">
        <v>2637</v>
      </c>
      <c r="I1644" s="2522"/>
      <c r="J1644" s="2163"/>
      <c r="K1644" s="2523">
        <v>0</v>
      </c>
      <c r="L1644" s="2523"/>
      <c r="M1644" s="2163"/>
      <c r="N1644" s="2527"/>
      <c r="O1644" s="2163"/>
    </row>
    <row r="1645" spans="1:15">
      <c r="H1645" s="2163"/>
      <c r="I1645" s="2163"/>
      <c r="J1645" s="2163"/>
      <c r="K1645" s="2523"/>
      <c r="L1645" s="2523"/>
      <c r="N1645" s="2527"/>
    </row>
    <row r="1646" spans="1:15">
      <c r="A1646" s="2165">
        <v>24543</v>
      </c>
      <c r="B1646" s="2163"/>
      <c r="C1646" s="2524" t="s">
        <v>2642</v>
      </c>
      <c r="D1646" s="2524"/>
      <c r="E1646" s="2524"/>
      <c r="F1646" s="2524"/>
      <c r="G1646" s="2524"/>
      <c r="H1646" s="2524"/>
      <c r="I1646" s="2524"/>
      <c r="J1646" s="2163"/>
      <c r="K1646" s="2163"/>
      <c r="L1646" s="2163"/>
      <c r="M1646" s="2163"/>
    </row>
    <row r="1647" spans="1:15">
      <c r="A1647" s="2163"/>
      <c r="B1647" s="2163"/>
      <c r="C1647" s="2163"/>
      <c r="D1647" s="2163"/>
      <c r="E1647" s="2163"/>
      <c r="F1647" s="2163"/>
      <c r="G1647" s="2163"/>
      <c r="H1647" s="2163"/>
      <c r="I1647" s="2163"/>
      <c r="J1647" s="2163"/>
      <c r="K1647" s="2163"/>
      <c r="L1647" s="2163"/>
      <c r="M1647" s="2163"/>
    </row>
    <row r="1648" spans="1:15">
      <c r="A1648" s="2529"/>
      <c r="B1648" s="2529"/>
      <c r="C1648" s="2529"/>
      <c r="D1648" s="2166"/>
      <c r="E1648" s="2166"/>
      <c r="F1648" s="2166"/>
      <c r="G1648" s="2166"/>
      <c r="H1648" s="2525"/>
      <c r="I1648" s="2525"/>
      <c r="J1648" s="2525"/>
      <c r="K1648" s="2166"/>
      <c r="L1648" s="2167"/>
      <c r="M1648" s="2166"/>
    </row>
    <row r="1649" spans="1:15">
      <c r="A1649" s="2164"/>
      <c r="B1649" s="2164"/>
      <c r="C1649" s="2164"/>
      <c r="D1649" s="2164"/>
      <c r="E1649" s="2522" t="s">
        <v>2639</v>
      </c>
      <c r="F1649" s="2522"/>
      <c r="G1649" s="2164"/>
      <c r="H1649" s="2523">
        <v>0</v>
      </c>
      <c r="I1649" s="2523"/>
      <c r="J1649" s="2523"/>
      <c r="K1649" s="2163"/>
      <c r="L1649" s="2523">
        <v>0</v>
      </c>
      <c r="M1649" s="2163"/>
    </row>
    <row r="1650" spans="1:15">
      <c r="A1650" s="2164"/>
      <c r="B1650" s="2164"/>
      <c r="C1650" s="2164"/>
      <c r="D1650" s="2164"/>
      <c r="E1650" s="2164"/>
      <c r="F1650" s="2164"/>
      <c r="G1650" s="2164"/>
      <c r="H1650" s="2523"/>
      <c r="I1650" s="2523"/>
      <c r="J1650" s="2523"/>
      <c r="K1650" s="2163"/>
      <c r="L1650" s="2523"/>
      <c r="M1650" s="2163"/>
    </row>
    <row r="1651" spans="1:15">
      <c r="A1651" s="2160" t="s">
        <v>2712</v>
      </c>
      <c r="B1651" s="2161"/>
      <c r="C1651" s="2160" t="s">
        <v>2713</v>
      </c>
      <c r="D1651" s="2161"/>
      <c r="E1651" s="2160" t="s">
        <v>2640</v>
      </c>
      <c r="F1651" s="2161"/>
    </row>
    <row r="1652" spans="1:15">
      <c r="A1652" s="2163"/>
      <c r="B1652" s="2163"/>
      <c r="C1652" s="2163"/>
      <c r="D1652" s="2163"/>
      <c r="E1652" s="2163"/>
      <c r="F1652" s="2163"/>
      <c r="G1652" s="2163"/>
      <c r="H1652" s="2163"/>
      <c r="I1652" s="2163"/>
      <c r="J1652" s="2163"/>
      <c r="K1652" s="2163"/>
      <c r="L1652" s="2163"/>
      <c r="M1652" s="2163"/>
    </row>
    <row r="1653" spans="1:15">
      <c r="A1653" s="2164"/>
      <c r="H1653" s="2522" t="s">
        <v>2637</v>
      </c>
      <c r="I1653" s="2522"/>
      <c r="J1653" s="2163"/>
      <c r="K1653" s="2523">
        <v>0</v>
      </c>
      <c r="L1653" s="2523"/>
      <c r="M1653" s="2163"/>
      <c r="N1653" s="2527"/>
      <c r="O1653" s="2163"/>
    </row>
    <row r="1654" spans="1:15">
      <c r="H1654" s="2163"/>
      <c r="I1654" s="2163"/>
      <c r="J1654" s="2163"/>
      <c r="K1654" s="2523"/>
      <c r="L1654" s="2523"/>
      <c r="N1654" s="2527"/>
    </row>
    <row r="1655" spans="1:15">
      <c r="A1655" s="2165">
        <v>32358</v>
      </c>
      <c r="B1655" s="2163"/>
      <c r="C1655" s="2524" t="s">
        <v>2675</v>
      </c>
      <c r="D1655" s="2524"/>
      <c r="E1655" s="2524"/>
      <c r="F1655" s="2524"/>
      <c r="G1655" s="2524"/>
      <c r="H1655" s="2524"/>
      <c r="I1655" s="2524"/>
      <c r="J1655" s="2163"/>
      <c r="K1655" s="2163"/>
      <c r="L1655" s="2163"/>
      <c r="M1655" s="2163"/>
    </row>
    <row r="1656" spans="1:15">
      <c r="A1656" s="2163"/>
      <c r="B1656" s="2163"/>
      <c r="C1656" s="2163"/>
      <c r="D1656" s="2163"/>
      <c r="E1656" s="2163"/>
      <c r="F1656" s="2163"/>
      <c r="G1656" s="2163"/>
      <c r="H1656" s="2163"/>
      <c r="I1656" s="2163"/>
      <c r="J1656" s="2163"/>
      <c r="K1656" s="2163"/>
      <c r="L1656" s="2163"/>
      <c r="M1656" s="2163"/>
    </row>
    <row r="1657" spans="1:15">
      <c r="A1657" s="2529"/>
      <c r="B1657" s="2529"/>
      <c r="C1657" s="2529"/>
      <c r="D1657" s="2166"/>
      <c r="E1657" s="2166"/>
      <c r="F1657" s="2166"/>
      <c r="G1657" s="2166"/>
      <c r="H1657" s="2525"/>
      <c r="I1657" s="2525"/>
      <c r="J1657" s="2525"/>
      <c r="K1657" s="2166"/>
      <c r="L1657" s="2167"/>
      <c r="M1657" s="2166"/>
    </row>
    <row r="1658" spans="1:15">
      <c r="A1658" s="2164"/>
      <c r="B1658" s="2164"/>
      <c r="C1658" s="2164"/>
      <c r="D1658" s="2164"/>
      <c r="E1658" s="2522" t="s">
        <v>2639</v>
      </c>
      <c r="F1658" s="2522"/>
      <c r="G1658" s="2164"/>
      <c r="H1658" s="2523">
        <v>0</v>
      </c>
      <c r="I1658" s="2523"/>
      <c r="J1658" s="2523"/>
      <c r="K1658" s="2163"/>
      <c r="L1658" s="2523">
        <v>0</v>
      </c>
      <c r="M1658" s="2163"/>
    </row>
    <row r="1659" spans="1:15">
      <c r="A1659" s="2164"/>
      <c r="B1659" s="2164"/>
      <c r="C1659" s="2164"/>
      <c r="D1659" s="2164"/>
      <c r="E1659" s="2164"/>
      <c r="F1659" s="2164"/>
      <c r="G1659" s="2164"/>
      <c r="H1659" s="2523"/>
      <c r="I1659" s="2523"/>
      <c r="J1659" s="2523"/>
      <c r="K1659" s="2163"/>
      <c r="L1659" s="2523"/>
      <c r="M1659" s="2163"/>
    </row>
    <row r="1660" spans="1:15">
      <c r="A1660" s="2160" t="s">
        <v>2716</v>
      </c>
      <c r="B1660" s="2161"/>
      <c r="C1660" s="2160" t="s">
        <v>2717</v>
      </c>
      <c r="D1660" s="2161"/>
      <c r="E1660" s="2160" t="s">
        <v>2698</v>
      </c>
      <c r="F1660" s="2161"/>
    </row>
    <row r="1661" spans="1:15">
      <c r="A1661" s="2163"/>
      <c r="B1661" s="2163"/>
      <c r="C1661" s="2163"/>
      <c r="D1661" s="2163"/>
      <c r="E1661" s="2163"/>
      <c r="F1661" s="2163"/>
      <c r="G1661" s="2163"/>
      <c r="H1661" s="2163"/>
      <c r="I1661" s="2163"/>
      <c r="J1661" s="2163"/>
      <c r="K1661" s="2163"/>
      <c r="L1661" s="2163"/>
      <c r="M1661" s="2163"/>
    </row>
    <row r="1662" spans="1:15">
      <c r="A1662" s="2164"/>
      <c r="H1662" s="2522" t="s">
        <v>2637</v>
      </c>
      <c r="I1662" s="2522"/>
      <c r="J1662" s="2163"/>
      <c r="K1662" s="2523">
        <v>0</v>
      </c>
      <c r="L1662" s="2523"/>
      <c r="M1662" s="2163"/>
      <c r="N1662" s="2527"/>
      <c r="O1662" s="2163"/>
    </row>
    <row r="1663" spans="1:15">
      <c r="H1663" s="2163"/>
      <c r="I1663" s="2163"/>
      <c r="J1663" s="2163"/>
      <c r="K1663" s="2523"/>
      <c r="L1663" s="2523"/>
      <c r="N1663" s="2527"/>
    </row>
    <row r="1664" spans="1:15">
      <c r="A1664" s="2165">
        <v>26</v>
      </c>
      <c r="B1664" s="2163"/>
      <c r="C1664" s="2524" t="s">
        <v>2845</v>
      </c>
      <c r="D1664" s="2524"/>
      <c r="E1664" s="2524"/>
      <c r="F1664" s="2524"/>
      <c r="G1664" s="2524"/>
      <c r="H1664" s="2524"/>
      <c r="I1664" s="2524"/>
      <c r="J1664" s="2163"/>
      <c r="K1664" s="2163"/>
      <c r="L1664" s="2163"/>
      <c r="M1664" s="2163"/>
    </row>
    <row r="1665" spans="1:15">
      <c r="A1665" s="2163"/>
      <c r="B1665" s="2163"/>
      <c r="C1665" s="2163"/>
      <c r="D1665" s="2163"/>
      <c r="E1665" s="2163"/>
      <c r="F1665" s="2163"/>
      <c r="G1665" s="2163"/>
      <c r="H1665" s="2163"/>
      <c r="I1665" s="2163"/>
      <c r="J1665" s="2163"/>
      <c r="K1665" s="2163"/>
      <c r="L1665" s="2163"/>
      <c r="M1665" s="2163"/>
    </row>
    <row r="1666" spans="1:15">
      <c r="A1666" s="2529"/>
      <c r="B1666" s="2529"/>
      <c r="C1666" s="2529"/>
      <c r="D1666" s="2166"/>
      <c r="E1666" s="2166"/>
      <c r="F1666" s="2166"/>
      <c r="G1666" s="2166"/>
      <c r="H1666" s="2525"/>
      <c r="I1666" s="2525"/>
      <c r="J1666" s="2525"/>
      <c r="K1666" s="2166"/>
      <c r="L1666" s="2167"/>
      <c r="M1666" s="2166"/>
    </row>
    <row r="1667" spans="1:15">
      <c r="A1667" s="2164"/>
      <c r="B1667" s="2164"/>
      <c r="C1667" s="2164"/>
      <c r="D1667" s="2164"/>
      <c r="E1667" s="2522" t="s">
        <v>2639</v>
      </c>
      <c r="F1667" s="2522"/>
      <c r="G1667" s="2164"/>
      <c r="H1667" s="2523">
        <v>0</v>
      </c>
      <c r="I1667" s="2523"/>
      <c r="J1667" s="2523"/>
      <c r="K1667" s="2163"/>
      <c r="L1667" s="2530"/>
      <c r="M1667" s="2163"/>
    </row>
    <row r="1668" spans="1:15">
      <c r="A1668" s="2164"/>
      <c r="B1668" s="2164"/>
      <c r="C1668" s="2164"/>
      <c r="D1668" s="2164"/>
      <c r="E1668" s="2164"/>
      <c r="F1668" s="2164"/>
      <c r="G1668" s="2164"/>
      <c r="H1668" s="2523"/>
      <c r="I1668" s="2523"/>
      <c r="J1668" s="2523"/>
      <c r="K1668" s="2163"/>
      <c r="L1668" s="2530"/>
      <c r="M1668" s="2163"/>
    </row>
    <row r="1669" spans="1:15">
      <c r="A1669" s="2160" t="s">
        <v>2716</v>
      </c>
      <c r="B1669" s="2161"/>
      <c r="C1669" s="2160" t="s">
        <v>2717</v>
      </c>
      <c r="D1669" s="2161"/>
      <c r="E1669" s="2160" t="s">
        <v>2698</v>
      </c>
      <c r="F1669" s="2161"/>
    </row>
    <row r="1670" spans="1:15">
      <c r="A1670" s="2163"/>
      <c r="B1670" s="2163"/>
      <c r="C1670" s="2163"/>
      <c r="D1670" s="2163"/>
      <c r="E1670" s="2163"/>
      <c r="F1670" s="2163"/>
      <c r="G1670" s="2163"/>
      <c r="H1670" s="2163"/>
      <c r="I1670" s="2163"/>
      <c r="J1670" s="2163"/>
      <c r="K1670" s="2163"/>
      <c r="L1670" s="2163"/>
      <c r="M1670" s="2163"/>
    </row>
    <row r="1671" spans="1:15">
      <c r="A1671" s="2164"/>
      <c r="H1671" s="2522" t="s">
        <v>2637</v>
      </c>
      <c r="I1671" s="2522"/>
      <c r="J1671" s="2163"/>
      <c r="K1671" s="2523">
        <v>0</v>
      </c>
      <c r="L1671" s="2523"/>
      <c r="M1671" s="2163"/>
      <c r="N1671" s="2527"/>
      <c r="O1671" s="2163"/>
    </row>
    <row r="1672" spans="1:15">
      <c r="H1672" s="2163"/>
      <c r="I1672" s="2163"/>
      <c r="J1672" s="2163"/>
      <c r="K1672" s="2523"/>
      <c r="L1672" s="2523"/>
      <c r="N1672" s="2527"/>
    </row>
    <row r="1673" spans="1:15">
      <c r="A1673" s="2165">
        <v>27787</v>
      </c>
      <c r="B1673" s="2163"/>
      <c r="C1673" s="2524" t="s">
        <v>2718</v>
      </c>
      <c r="D1673" s="2524"/>
      <c r="E1673" s="2524"/>
      <c r="F1673" s="2524"/>
      <c r="G1673" s="2524"/>
      <c r="H1673" s="2524"/>
      <c r="I1673" s="2524"/>
      <c r="J1673" s="2163"/>
      <c r="K1673" s="2163"/>
      <c r="L1673" s="2163"/>
      <c r="M1673" s="2163"/>
    </row>
    <row r="1674" spans="1:15">
      <c r="A1674" s="2163"/>
      <c r="B1674" s="2163"/>
      <c r="C1674" s="2163"/>
      <c r="D1674" s="2163"/>
      <c r="E1674" s="2163"/>
      <c r="F1674" s="2163"/>
      <c r="G1674" s="2163"/>
      <c r="H1674" s="2163"/>
      <c r="I1674" s="2163"/>
      <c r="J1674" s="2163"/>
      <c r="K1674" s="2163"/>
      <c r="L1674" s="2163"/>
      <c r="M1674" s="2163"/>
    </row>
    <row r="1675" spans="1:15">
      <c r="A1675" s="2529"/>
      <c r="B1675" s="2529"/>
      <c r="C1675" s="2529"/>
      <c r="D1675" s="2166"/>
      <c r="E1675" s="2166"/>
      <c r="F1675" s="2166"/>
      <c r="G1675" s="2166"/>
      <c r="H1675" s="2525"/>
      <c r="I1675" s="2525"/>
      <c r="J1675" s="2525"/>
      <c r="K1675" s="2166"/>
      <c r="L1675" s="2167"/>
      <c r="M1675" s="2166"/>
    </row>
    <row r="1676" spans="1:15">
      <c r="A1676" s="2164"/>
      <c r="B1676" s="2164"/>
      <c r="C1676" s="2164"/>
      <c r="D1676" s="2164"/>
      <c r="E1676" s="2522" t="s">
        <v>2639</v>
      </c>
      <c r="F1676" s="2522"/>
      <c r="G1676" s="2164"/>
      <c r="H1676" s="2523">
        <v>0</v>
      </c>
      <c r="I1676" s="2523"/>
      <c r="J1676" s="2523"/>
      <c r="K1676" s="2163"/>
      <c r="L1676" s="2530"/>
      <c r="M1676" s="2163"/>
    </row>
    <row r="1677" spans="1:15">
      <c r="A1677" s="2164"/>
      <c r="B1677" s="2164"/>
      <c r="C1677" s="2164"/>
      <c r="D1677" s="2164"/>
      <c r="E1677" s="2164"/>
      <c r="F1677" s="2164"/>
      <c r="G1677" s="2164"/>
      <c r="H1677" s="2523"/>
      <c r="I1677" s="2523"/>
      <c r="J1677" s="2523"/>
      <c r="K1677" s="2163"/>
      <c r="L1677" s="2530"/>
      <c r="M1677" s="2163"/>
    </row>
    <row r="1678" spans="1:15">
      <c r="A1678" s="2160" t="s">
        <v>2716</v>
      </c>
      <c r="B1678" s="2161"/>
      <c r="C1678" s="2160" t="s">
        <v>2717</v>
      </c>
      <c r="D1678" s="2161"/>
      <c r="E1678" s="2160" t="s">
        <v>2698</v>
      </c>
      <c r="F1678" s="2161"/>
    </row>
    <row r="1679" spans="1:15">
      <c r="A1679" s="2163"/>
      <c r="B1679" s="2163"/>
      <c r="C1679" s="2163"/>
      <c r="D1679" s="2163"/>
      <c r="E1679" s="2163"/>
      <c r="F1679" s="2163"/>
      <c r="G1679" s="2163"/>
      <c r="H1679" s="2163"/>
      <c r="I1679" s="2163"/>
      <c r="J1679" s="2163"/>
      <c r="K1679" s="2163"/>
      <c r="L1679" s="2163"/>
      <c r="M1679" s="2163"/>
    </row>
    <row r="1680" spans="1:15">
      <c r="A1680" s="2164"/>
      <c r="H1680" s="2522" t="s">
        <v>2637</v>
      </c>
      <c r="I1680" s="2522"/>
      <c r="J1680" s="2163"/>
      <c r="K1680" s="2523">
        <v>0</v>
      </c>
      <c r="L1680" s="2523"/>
      <c r="M1680" s="2163"/>
      <c r="N1680" s="2527"/>
      <c r="O1680" s="2163"/>
    </row>
    <row r="1681" spans="1:15">
      <c r="H1681" s="2163"/>
      <c r="I1681" s="2163"/>
      <c r="J1681" s="2163"/>
      <c r="K1681" s="2523"/>
      <c r="L1681" s="2523"/>
      <c r="N1681" s="2527"/>
    </row>
    <row r="1682" spans="1:15">
      <c r="A1682" s="2165">
        <v>27401</v>
      </c>
      <c r="B1682" s="2163"/>
      <c r="C1682" s="2524" t="s">
        <v>2704</v>
      </c>
      <c r="D1682" s="2524"/>
      <c r="E1682" s="2524"/>
      <c r="F1682" s="2524"/>
      <c r="G1682" s="2524"/>
      <c r="H1682" s="2524"/>
      <c r="I1682" s="2524"/>
      <c r="J1682" s="2163"/>
      <c r="K1682" s="2163"/>
      <c r="L1682" s="2163"/>
      <c r="M1682" s="2163"/>
    </row>
    <row r="1683" spans="1:15">
      <c r="A1683" s="2163"/>
      <c r="B1683" s="2163"/>
      <c r="C1683" s="2163"/>
      <c r="D1683" s="2163"/>
      <c r="E1683" s="2163"/>
      <c r="F1683" s="2163"/>
      <c r="G1683" s="2163"/>
      <c r="H1683" s="2163"/>
      <c r="I1683" s="2163"/>
      <c r="J1683" s="2163"/>
      <c r="K1683" s="2163"/>
      <c r="L1683" s="2163"/>
      <c r="M1683" s="2163"/>
    </row>
    <row r="1684" spans="1:15">
      <c r="A1684" s="2529"/>
      <c r="B1684" s="2529"/>
      <c r="C1684" s="2529"/>
      <c r="D1684" s="2166"/>
      <c r="E1684" s="2166"/>
      <c r="F1684" s="2166"/>
      <c r="G1684" s="2166"/>
      <c r="H1684" s="2525"/>
      <c r="I1684" s="2525"/>
      <c r="J1684" s="2525"/>
      <c r="K1684" s="2166"/>
      <c r="L1684" s="2167"/>
      <c r="M1684" s="2166"/>
    </row>
    <row r="1685" spans="1:15">
      <c r="A1685" s="2164"/>
      <c r="B1685" s="2164"/>
      <c r="C1685" s="2164"/>
      <c r="D1685" s="2164"/>
      <c r="E1685" s="2522" t="s">
        <v>2639</v>
      </c>
      <c r="F1685" s="2522"/>
      <c r="G1685" s="2164"/>
      <c r="H1685" s="2523">
        <v>0</v>
      </c>
      <c r="I1685" s="2523"/>
      <c r="J1685" s="2523"/>
      <c r="K1685" s="2163"/>
      <c r="L1685" s="2530"/>
      <c r="M1685" s="2163"/>
    </row>
    <row r="1686" spans="1:15">
      <c r="A1686" s="2164"/>
      <c r="B1686" s="2164"/>
      <c r="C1686" s="2164"/>
      <c r="D1686" s="2164"/>
      <c r="E1686" s="2164"/>
      <c r="F1686" s="2164"/>
      <c r="G1686" s="2164"/>
      <c r="H1686" s="2523"/>
      <c r="I1686" s="2523"/>
      <c r="J1686" s="2523"/>
      <c r="K1686" s="2163"/>
      <c r="L1686" s="2530"/>
      <c r="M1686" s="2163"/>
    </row>
    <row r="1687" spans="1:15">
      <c r="A1687" s="2160" t="s">
        <v>2716</v>
      </c>
      <c r="B1687" s="2161"/>
      <c r="C1687" s="2160" t="s">
        <v>2717</v>
      </c>
      <c r="D1687" s="2161"/>
      <c r="E1687" s="2160" t="s">
        <v>2698</v>
      </c>
      <c r="F1687" s="2161"/>
    </row>
    <row r="1688" spans="1:15">
      <c r="A1688" s="2163"/>
      <c r="B1688" s="2163"/>
      <c r="C1688" s="2163"/>
      <c r="D1688" s="2163"/>
      <c r="E1688" s="2163"/>
      <c r="F1688" s="2163"/>
      <c r="G1688" s="2163"/>
      <c r="H1688" s="2163"/>
      <c r="I1688" s="2163"/>
      <c r="J1688" s="2163"/>
      <c r="K1688" s="2163"/>
      <c r="L1688" s="2163"/>
      <c r="M1688" s="2163"/>
    </row>
    <row r="1689" spans="1:15">
      <c r="A1689" s="2164"/>
      <c r="H1689" s="2522" t="s">
        <v>2637</v>
      </c>
      <c r="I1689" s="2522"/>
      <c r="J1689" s="2163"/>
      <c r="K1689" s="2523">
        <v>0</v>
      </c>
      <c r="L1689" s="2523"/>
      <c r="M1689" s="2163"/>
      <c r="N1689" s="2527"/>
      <c r="O1689" s="2163"/>
    </row>
    <row r="1690" spans="1:15">
      <c r="H1690" s="2163"/>
      <c r="I1690" s="2163"/>
      <c r="J1690" s="2163"/>
      <c r="K1690" s="2523"/>
      <c r="L1690" s="2523"/>
      <c r="N1690" s="2527"/>
    </row>
    <row r="1691" spans="1:15">
      <c r="A1691" s="2165">
        <v>28606</v>
      </c>
      <c r="B1691" s="2163"/>
      <c r="C1691" s="2524" t="s">
        <v>2719</v>
      </c>
      <c r="D1691" s="2524"/>
      <c r="E1691" s="2524"/>
      <c r="F1691" s="2524"/>
      <c r="G1691" s="2524"/>
      <c r="H1691" s="2524"/>
      <c r="I1691" s="2524"/>
      <c r="J1691" s="2163"/>
      <c r="K1691" s="2163"/>
      <c r="L1691" s="2163"/>
      <c r="M1691" s="2163"/>
    </row>
    <row r="1692" spans="1:15">
      <c r="A1692" s="2163"/>
      <c r="B1692" s="2163"/>
      <c r="C1692" s="2163"/>
      <c r="D1692" s="2163"/>
      <c r="E1692" s="2163"/>
      <c r="F1692" s="2163"/>
      <c r="G1692" s="2163"/>
      <c r="H1692" s="2163"/>
      <c r="I1692" s="2163"/>
      <c r="J1692" s="2163"/>
      <c r="K1692" s="2163"/>
      <c r="L1692" s="2163"/>
      <c r="M1692" s="2163"/>
    </row>
    <row r="1693" spans="1:15">
      <c r="A1693" s="2529"/>
      <c r="B1693" s="2529"/>
      <c r="C1693" s="2529"/>
      <c r="D1693" s="2166"/>
      <c r="E1693" s="2166"/>
      <c r="F1693" s="2166"/>
      <c r="G1693" s="2166"/>
      <c r="H1693" s="2525"/>
      <c r="I1693" s="2525"/>
      <c r="J1693" s="2525"/>
      <c r="K1693" s="2166"/>
      <c r="L1693" s="2167"/>
      <c r="M1693" s="2166"/>
    </row>
    <row r="1694" spans="1:15">
      <c r="A1694" s="2164"/>
      <c r="B1694" s="2164"/>
      <c r="C1694" s="2164"/>
      <c r="D1694" s="2164"/>
      <c r="E1694" s="2522" t="s">
        <v>2639</v>
      </c>
      <c r="F1694" s="2522"/>
      <c r="G1694" s="2164"/>
      <c r="H1694" s="2523">
        <v>0</v>
      </c>
      <c r="I1694" s="2523"/>
      <c r="J1694" s="2523"/>
      <c r="K1694" s="2163"/>
      <c r="L1694" s="2530"/>
      <c r="M1694" s="2163"/>
    </row>
    <row r="1695" spans="1:15">
      <c r="A1695" s="2164"/>
      <c r="B1695" s="2164"/>
      <c r="C1695" s="2164"/>
      <c r="D1695" s="2164"/>
      <c r="E1695" s="2164"/>
      <c r="F1695" s="2164"/>
      <c r="G1695" s="2164"/>
      <c r="H1695" s="2523"/>
      <c r="I1695" s="2523"/>
      <c r="J1695" s="2523"/>
      <c r="K1695" s="2163"/>
      <c r="L1695" s="2530"/>
      <c r="M1695" s="2163"/>
    </row>
    <row r="1696" spans="1:15">
      <c r="A1696" s="2160" t="s">
        <v>2716</v>
      </c>
      <c r="B1696" s="2161"/>
      <c r="C1696" s="2160" t="s">
        <v>2717</v>
      </c>
      <c r="D1696" s="2161"/>
      <c r="E1696" s="2160" t="s">
        <v>2698</v>
      </c>
      <c r="F1696" s="2161"/>
    </row>
    <row r="1697" spans="1:15">
      <c r="A1697" s="2163"/>
      <c r="B1697" s="2163"/>
      <c r="C1697" s="2163"/>
      <c r="D1697" s="2163"/>
      <c r="E1697" s="2163"/>
      <c r="F1697" s="2163"/>
      <c r="G1697" s="2163"/>
      <c r="H1697" s="2163"/>
      <c r="I1697" s="2163"/>
      <c r="J1697" s="2163"/>
      <c r="K1697" s="2163"/>
      <c r="L1697" s="2163"/>
      <c r="M1697" s="2163"/>
    </row>
    <row r="1698" spans="1:15">
      <c r="A1698" s="2164"/>
      <c r="H1698" s="2522" t="s">
        <v>2637</v>
      </c>
      <c r="I1698" s="2522"/>
      <c r="J1698" s="2163"/>
      <c r="K1698" s="2523">
        <v>0</v>
      </c>
      <c r="L1698" s="2523"/>
      <c r="M1698" s="2163"/>
      <c r="N1698" s="2527"/>
      <c r="O1698" s="2163"/>
    </row>
    <row r="1699" spans="1:15">
      <c r="H1699" s="2163"/>
      <c r="I1699" s="2163"/>
      <c r="J1699" s="2163"/>
      <c r="K1699" s="2523"/>
      <c r="L1699" s="2523"/>
      <c r="N1699" s="2527"/>
    </row>
    <row r="1700" spans="1:15">
      <c r="A1700" s="2165">
        <v>29376</v>
      </c>
      <c r="B1700" s="2163"/>
      <c r="C1700" s="2524" t="s">
        <v>2720</v>
      </c>
      <c r="D1700" s="2524"/>
      <c r="E1700" s="2524"/>
      <c r="F1700" s="2524"/>
      <c r="G1700" s="2524"/>
      <c r="H1700" s="2524"/>
      <c r="I1700" s="2524"/>
      <c r="J1700" s="2163"/>
      <c r="K1700" s="2163"/>
      <c r="L1700" s="2163"/>
      <c r="M1700" s="2163"/>
    </row>
    <row r="1701" spans="1:15">
      <c r="A1701" s="2163"/>
      <c r="B1701" s="2163"/>
      <c r="C1701" s="2163"/>
      <c r="D1701" s="2163"/>
      <c r="E1701" s="2163"/>
      <c r="F1701" s="2163"/>
      <c r="G1701" s="2163"/>
      <c r="H1701" s="2163"/>
      <c r="I1701" s="2163"/>
      <c r="J1701" s="2163"/>
      <c r="K1701" s="2163"/>
      <c r="L1701" s="2163"/>
      <c r="M1701" s="2163"/>
    </row>
    <row r="1702" spans="1:15">
      <c r="A1702" s="2529"/>
      <c r="B1702" s="2529"/>
      <c r="C1702" s="2529"/>
      <c r="D1702" s="2166"/>
      <c r="E1702" s="2166"/>
      <c r="F1702" s="2166"/>
      <c r="G1702" s="2166"/>
      <c r="H1702" s="2525"/>
      <c r="I1702" s="2525"/>
      <c r="J1702" s="2525"/>
      <c r="K1702" s="2166"/>
      <c r="L1702" s="2167"/>
      <c r="M1702" s="2166"/>
    </row>
    <row r="1703" spans="1:15">
      <c r="A1703" s="2164"/>
      <c r="B1703" s="2164"/>
      <c r="C1703" s="2164"/>
      <c r="D1703" s="2164"/>
      <c r="E1703" s="2522" t="s">
        <v>2639</v>
      </c>
      <c r="F1703" s="2522"/>
      <c r="G1703" s="2164"/>
      <c r="H1703" s="2523">
        <v>0</v>
      </c>
      <c r="I1703" s="2523"/>
      <c r="J1703" s="2523"/>
      <c r="K1703" s="2163"/>
      <c r="L1703" s="2530"/>
      <c r="M1703" s="2163"/>
    </row>
    <row r="1704" spans="1:15">
      <c r="A1704" s="2164"/>
      <c r="B1704" s="2164"/>
      <c r="C1704" s="2164"/>
      <c r="D1704" s="2164"/>
      <c r="E1704" s="2164"/>
      <c r="F1704" s="2164"/>
      <c r="G1704" s="2164"/>
      <c r="H1704" s="2523"/>
      <c r="I1704" s="2523"/>
      <c r="J1704" s="2523"/>
      <c r="K1704" s="2163"/>
      <c r="L1704" s="2530"/>
      <c r="M1704" s="2163"/>
    </row>
    <row r="1705" spans="1:15">
      <c r="A1705" s="2160" t="s">
        <v>2716</v>
      </c>
      <c r="B1705" s="2161"/>
      <c r="C1705" s="2160" t="s">
        <v>2717</v>
      </c>
      <c r="D1705" s="2161"/>
      <c r="E1705" s="2160" t="s">
        <v>2698</v>
      </c>
      <c r="F1705" s="2161"/>
    </row>
    <row r="1706" spans="1:15">
      <c r="A1706" s="2163"/>
      <c r="B1706" s="2163"/>
      <c r="C1706" s="2163"/>
      <c r="D1706" s="2163"/>
      <c r="E1706" s="2163"/>
      <c r="F1706" s="2163"/>
      <c r="G1706" s="2163"/>
      <c r="H1706" s="2163"/>
      <c r="I1706" s="2163"/>
      <c r="J1706" s="2163"/>
      <c r="K1706" s="2163"/>
      <c r="L1706" s="2163"/>
      <c r="M1706" s="2163"/>
    </row>
    <row r="1707" spans="1:15">
      <c r="A1707" s="2164"/>
      <c r="H1707" s="2522" t="s">
        <v>2637</v>
      </c>
      <c r="I1707" s="2522"/>
      <c r="J1707" s="2163"/>
      <c r="K1707" s="2523">
        <v>0</v>
      </c>
      <c r="L1707" s="2523"/>
      <c r="M1707" s="2163"/>
      <c r="N1707" s="2527"/>
      <c r="O1707" s="2163"/>
    </row>
    <row r="1708" spans="1:15">
      <c r="H1708" s="2163"/>
      <c r="I1708" s="2163"/>
      <c r="J1708" s="2163"/>
      <c r="K1708" s="2523"/>
      <c r="L1708" s="2523"/>
      <c r="N1708" s="2527"/>
    </row>
    <row r="1709" spans="1:15">
      <c r="A1709" s="2165">
        <v>29381</v>
      </c>
      <c r="B1709" s="2163"/>
      <c r="C1709" s="2524" t="s">
        <v>2851</v>
      </c>
      <c r="D1709" s="2524"/>
      <c r="E1709" s="2524"/>
      <c r="F1709" s="2524"/>
      <c r="G1709" s="2524"/>
      <c r="H1709" s="2524"/>
      <c r="I1709" s="2524"/>
      <c r="J1709" s="2163"/>
      <c r="K1709" s="2163"/>
      <c r="L1709" s="2163"/>
      <c r="M1709" s="2163"/>
    </row>
    <row r="1710" spans="1:15">
      <c r="A1710" s="2163"/>
      <c r="B1710" s="2163"/>
      <c r="C1710" s="2163"/>
      <c r="D1710" s="2163"/>
      <c r="E1710" s="2163"/>
      <c r="F1710" s="2163"/>
      <c r="G1710" s="2163"/>
      <c r="H1710" s="2163"/>
      <c r="I1710" s="2163"/>
      <c r="J1710" s="2163"/>
      <c r="K1710" s="2163"/>
      <c r="L1710" s="2163"/>
      <c r="M1710" s="2163"/>
    </row>
    <row r="1711" spans="1:15">
      <c r="A1711" s="2529"/>
      <c r="B1711" s="2529"/>
      <c r="C1711" s="2529"/>
      <c r="D1711" s="2166"/>
      <c r="E1711" s="2166"/>
      <c r="F1711" s="2166"/>
      <c r="G1711" s="2166"/>
      <c r="H1711" s="2525"/>
      <c r="I1711" s="2525"/>
      <c r="J1711" s="2525"/>
      <c r="K1711" s="2166"/>
      <c r="L1711" s="2167"/>
      <c r="M1711" s="2166"/>
    </row>
    <row r="1712" spans="1:15">
      <c r="A1712" s="2164"/>
      <c r="B1712" s="2164"/>
      <c r="C1712" s="2164"/>
      <c r="D1712" s="2164"/>
      <c r="E1712" s="2522" t="s">
        <v>2639</v>
      </c>
      <c r="F1712" s="2522"/>
      <c r="G1712" s="2164"/>
      <c r="H1712" s="2523">
        <v>0</v>
      </c>
      <c r="I1712" s="2523"/>
      <c r="J1712" s="2523"/>
      <c r="K1712" s="2163"/>
      <c r="L1712" s="2530"/>
      <c r="M1712" s="2163"/>
    </row>
    <row r="1713" spans="1:15">
      <c r="A1713" s="2164"/>
      <c r="B1713" s="2164"/>
      <c r="C1713" s="2164"/>
      <c r="D1713" s="2164"/>
      <c r="E1713" s="2164"/>
      <c r="F1713" s="2164"/>
      <c r="G1713" s="2164"/>
      <c r="H1713" s="2523"/>
      <c r="I1713" s="2523"/>
      <c r="J1713" s="2523"/>
      <c r="K1713" s="2163"/>
      <c r="L1713" s="2530"/>
      <c r="M1713" s="2163"/>
    </row>
    <row r="1714" spans="1:15">
      <c r="A1714" s="2160" t="s">
        <v>2716</v>
      </c>
      <c r="B1714" s="2161"/>
      <c r="C1714" s="2160" t="s">
        <v>2717</v>
      </c>
      <c r="D1714" s="2161"/>
      <c r="E1714" s="2160" t="s">
        <v>2698</v>
      </c>
      <c r="F1714" s="2161"/>
    </row>
    <row r="1715" spans="1:15">
      <c r="A1715" s="2163"/>
      <c r="B1715" s="2163"/>
      <c r="C1715" s="2163"/>
      <c r="D1715" s="2163"/>
      <c r="E1715" s="2163"/>
      <c r="F1715" s="2163"/>
      <c r="G1715" s="2163"/>
      <c r="H1715" s="2163"/>
      <c r="I1715" s="2163"/>
      <c r="J1715" s="2163"/>
      <c r="K1715" s="2163"/>
      <c r="L1715" s="2163"/>
      <c r="M1715" s="2163"/>
    </row>
    <row r="1716" spans="1:15">
      <c r="A1716" s="2164"/>
      <c r="H1716" s="2522" t="s">
        <v>2637</v>
      </c>
      <c r="I1716" s="2522"/>
      <c r="J1716" s="2163"/>
      <c r="K1716" s="2523">
        <v>0</v>
      </c>
      <c r="L1716" s="2523"/>
      <c r="M1716" s="2163"/>
      <c r="N1716" s="2527"/>
      <c r="O1716" s="2163"/>
    </row>
    <row r="1717" spans="1:15">
      <c r="H1717" s="2163"/>
      <c r="I1717" s="2163"/>
      <c r="J1717" s="2163"/>
      <c r="K1717" s="2523"/>
      <c r="L1717" s="2523"/>
      <c r="N1717" s="2527"/>
    </row>
    <row r="1718" spans="1:15">
      <c r="A1718" s="2165">
        <v>29371</v>
      </c>
      <c r="B1718" s="2163"/>
      <c r="C1718" s="2524" t="s">
        <v>2721</v>
      </c>
      <c r="D1718" s="2524"/>
      <c r="E1718" s="2524"/>
      <c r="F1718" s="2524"/>
      <c r="G1718" s="2524"/>
      <c r="H1718" s="2524"/>
      <c r="I1718" s="2524"/>
      <c r="J1718" s="2163"/>
      <c r="K1718" s="2163"/>
      <c r="L1718" s="2163"/>
      <c r="M1718" s="2163"/>
    </row>
    <row r="1719" spans="1:15">
      <c r="A1719" s="2163"/>
      <c r="B1719" s="2163"/>
      <c r="C1719" s="2163"/>
      <c r="D1719" s="2163"/>
      <c r="E1719" s="2163"/>
      <c r="F1719" s="2163"/>
      <c r="G1719" s="2163"/>
      <c r="H1719" s="2163"/>
      <c r="I1719" s="2163"/>
      <c r="J1719" s="2163"/>
      <c r="K1719" s="2163"/>
      <c r="L1719" s="2163"/>
      <c r="M1719" s="2163"/>
    </row>
    <row r="1720" spans="1:15">
      <c r="A1720" s="2529"/>
      <c r="B1720" s="2529"/>
      <c r="C1720" s="2529"/>
      <c r="D1720" s="2166"/>
      <c r="E1720" s="2166"/>
      <c r="F1720" s="2166"/>
      <c r="G1720" s="2166"/>
      <c r="H1720" s="2525"/>
      <c r="I1720" s="2525"/>
      <c r="J1720" s="2525"/>
      <c r="K1720" s="2166"/>
      <c r="L1720" s="2167"/>
      <c r="M1720" s="2166"/>
    </row>
    <row r="1721" spans="1:15">
      <c r="A1721" s="2164"/>
      <c r="B1721" s="2164"/>
      <c r="C1721" s="2164"/>
      <c r="D1721" s="2164"/>
      <c r="E1721" s="2522" t="s">
        <v>2639</v>
      </c>
      <c r="F1721" s="2522"/>
      <c r="G1721" s="2164"/>
      <c r="H1721" s="2523">
        <v>0</v>
      </c>
      <c r="I1721" s="2523"/>
      <c r="J1721" s="2523"/>
      <c r="K1721" s="2163"/>
      <c r="L1721" s="2530"/>
      <c r="M1721" s="2163"/>
    </row>
    <row r="1722" spans="1:15">
      <c r="A1722" s="2164"/>
      <c r="B1722" s="2164"/>
      <c r="C1722" s="2164"/>
      <c r="D1722" s="2164"/>
      <c r="E1722" s="2164"/>
      <c r="F1722" s="2164"/>
      <c r="G1722" s="2164"/>
      <c r="H1722" s="2523"/>
      <c r="I1722" s="2523"/>
      <c r="J1722" s="2523"/>
      <c r="K1722" s="2163"/>
      <c r="L1722" s="2530"/>
      <c r="M1722" s="2163"/>
    </row>
    <row r="1723" spans="1:15">
      <c r="A1723" s="2160" t="s">
        <v>2716</v>
      </c>
      <c r="B1723" s="2161"/>
      <c r="C1723" s="2160" t="s">
        <v>2717</v>
      </c>
      <c r="D1723" s="2161"/>
      <c r="E1723" s="2160" t="s">
        <v>2698</v>
      </c>
      <c r="F1723" s="2161"/>
    </row>
    <row r="1724" spans="1:15">
      <c r="A1724" s="2163"/>
      <c r="B1724" s="2163"/>
      <c r="C1724" s="2163"/>
      <c r="D1724" s="2163"/>
      <c r="E1724" s="2163"/>
      <c r="F1724" s="2163"/>
      <c r="G1724" s="2163"/>
      <c r="H1724" s="2163"/>
      <c r="I1724" s="2163"/>
      <c r="J1724" s="2163"/>
      <c r="K1724" s="2163"/>
      <c r="L1724" s="2163"/>
      <c r="M1724" s="2163"/>
    </row>
    <row r="1725" spans="1:15">
      <c r="A1725" s="2164"/>
      <c r="H1725" s="2522" t="s">
        <v>2637</v>
      </c>
      <c r="I1725" s="2522"/>
      <c r="J1725" s="2163"/>
      <c r="K1725" s="2523">
        <v>0</v>
      </c>
      <c r="L1725" s="2523"/>
      <c r="M1725" s="2163"/>
      <c r="N1725" s="2527"/>
      <c r="O1725" s="2163"/>
    </row>
    <row r="1726" spans="1:15">
      <c r="H1726" s="2163"/>
      <c r="I1726" s="2163"/>
      <c r="J1726" s="2163"/>
      <c r="K1726" s="2523"/>
      <c r="L1726" s="2523"/>
      <c r="N1726" s="2527"/>
    </row>
    <row r="1727" spans="1:15">
      <c r="A1727" s="2165">
        <v>29545</v>
      </c>
      <c r="B1727" s="2163"/>
      <c r="C1727" s="2524" t="s">
        <v>2705</v>
      </c>
      <c r="D1727" s="2524"/>
      <c r="E1727" s="2524"/>
      <c r="F1727" s="2524"/>
      <c r="G1727" s="2524"/>
      <c r="H1727" s="2524"/>
      <c r="I1727" s="2524"/>
      <c r="J1727" s="2163"/>
      <c r="K1727" s="2163"/>
      <c r="L1727" s="2163"/>
      <c r="M1727" s="2163"/>
    </row>
    <row r="1728" spans="1:15">
      <c r="A1728" s="2163"/>
      <c r="B1728" s="2163"/>
      <c r="C1728" s="2163"/>
      <c r="D1728" s="2163"/>
      <c r="E1728" s="2163"/>
      <c r="F1728" s="2163"/>
      <c r="G1728" s="2163"/>
      <c r="H1728" s="2163"/>
      <c r="I1728" s="2163"/>
      <c r="J1728" s="2163"/>
      <c r="K1728" s="2163"/>
      <c r="L1728" s="2163"/>
      <c r="M1728" s="2163"/>
    </row>
    <row r="1729" spans="1:15">
      <c r="A1729" s="2529"/>
      <c r="B1729" s="2529"/>
      <c r="C1729" s="2529"/>
      <c r="D1729" s="2166"/>
      <c r="E1729" s="2166"/>
      <c r="F1729" s="2166"/>
      <c r="G1729" s="2166"/>
      <c r="H1729" s="2525"/>
      <c r="I1729" s="2525"/>
      <c r="J1729" s="2525"/>
      <c r="K1729" s="2166"/>
      <c r="L1729" s="2167"/>
      <c r="M1729" s="2166"/>
    </row>
    <row r="1730" spans="1:15">
      <c r="A1730" s="2164"/>
      <c r="B1730" s="2164"/>
      <c r="C1730" s="2164"/>
      <c r="D1730" s="2164"/>
      <c r="E1730" s="2522" t="s">
        <v>2639</v>
      </c>
      <c r="F1730" s="2522"/>
      <c r="G1730" s="2164"/>
      <c r="H1730" s="2523">
        <v>0</v>
      </c>
      <c r="I1730" s="2523"/>
      <c r="J1730" s="2523"/>
      <c r="K1730" s="2163"/>
      <c r="L1730" s="2530"/>
      <c r="M1730" s="2163"/>
    </row>
    <row r="1731" spans="1:15">
      <c r="A1731" s="2164"/>
      <c r="B1731" s="2164"/>
      <c r="C1731" s="2164"/>
      <c r="D1731" s="2164"/>
      <c r="E1731" s="2164"/>
      <c r="F1731" s="2164"/>
      <c r="G1731" s="2164"/>
      <c r="H1731" s="2523"/>
      <c r="I1731" s="2523"/>
      <c r="J1731" s="2523"/>
      <c r="K1731" s="2163"/>
      <c r="L1731" s="2530"/>
      <c r="M1731" s="2163"/>
    </row>
    <row r="1732" spans="1:15">
      <c r="A1732" s="2160" t="s">
        <v>2716</v>
      </c>
      <c r="B1732" s="2161"/>
      <c r="C1732" s="2160" t="s">
        <v>2717</v>
      </c>
      <c r="D1732" s="2161"/>
      <c r="E1732" s="2160" t="s">
        <v>2698</v>
      </c>
      <c r="F1732" s="2161"/>
    </row>
    <row r="1733" spans="1:15">
      <c r="A1733" s="2163"/>
      <c r="B1733" s="2163"/>
      <c r="C1733" s="2163"/>
      <c r="D1733" s="2163"/>
      <c r="E1733" s="2163"/>
      <c r="F1733" s="2163"/>
      <c r="G1733" s="2163"/>
      <c r="H1733" s="2163"/>
      <c r="I1733" s="2163"/>
      <c r="J1733" s="2163"/>
      <c r="K1733" s="2163"/>
      <c r="L1733" s="2163"/>
      <c r="M1733" s="2163"/>
    </row>
    <row r="1734" spans="1:15">
      <c r="A1734" s="2164"/>
      <c r="H1734" s="2522" t="s">
        <v>2637</v>
      </c>
      <c r="I1734" s="2522"/>
      <c r="J1734" s="2163"/>
      <c r="K1734" s="2523">
        <v>0</v>
      </c>
      <c r="L1734" s="2523"/>
      <c r="M1734" s="2163"/>
      <c r="N1734" s="2527"/>
      <c r="O1734" s="2163"/>
    </row>
    <row r="1735" spans="1:15">
      <c r="H1735" s="2163"/>
      <c r="I1735" s="2163"/>
      <c r="J1735" s="2163"/>
      <c r="K1735" s="2523"/>
      <c r="L1735" s="2523"/>
      <c r="N1735" s="2527"/>
    </row>
    <row r="1736" spans="1:15">
      <c r="A1736" s="2165">
        <v>30849</v>
      </c>
      <c r="B1736" s="2163"/>
      <c r="C1736" s="2524" t="s">
        <v>2718</v>
      </c>
      <c r="D1736" s="2524"/>
      <c r="E1736" s="2524"/>
      <c r="F1736" s="2524"/>
      <c r="G1736" s="2524"/>
      <c r="H1736" s="2524"/>
      <c r="I1736" s="2524"/>
      <c r="J1736" s="2163"/>
      <c r="K1736" s="2163"/>
      <c r="L1736" s="2163"/>
      <c r="M1736" s="2163"/>
    </row>
    <row r="1737" spans="1:15">
      <c r="A1737" s="2163"/>
      <c r="B1737" s="2163"/>
      <c r="C1737" s="2163"/>
      <c r="D1737" s="2163"/>
      <c r="E1737" s="2163"/>
      <c r="F1737" s="2163"/>
      <c r="G1737" s="2163"/>
      <c r="H1737" s="2163"/>
      <c r="I1737" s="2163"/>
      <c r="J1737" s="2163"/>
      <c r="K1737" s="2163"/>
      <c r="L1737" s="2163"/>
      <c r="M1737" s="2163"/>
    </row>
    <row r="1738" spans="1:15">
      <c r="A1738" s="2529"/>
      <c r="B1738" s="2529"/>
      <c r="C1738" s="2529"/>
      <c r="D1738" s="2166"/>
      <c r="E1738" s="2166"/>
      <c r="F1738" s="2166"/>
      <c r="G1738" s="2166"/>
      <c r="H1738" s="2525"/>
      <c r="I1738" s="2525"/>
      <c r="J1738" s="2525"/>
      <c r="K1738" s="2166"/>
      <c r="L1738" s="2167"/>
      <c r="M1738" s="2166"/>
    </row>
    <row r="1739" spans="1:15">
      <c r="A1739" s="2164"/>
      <c r="B1739" s="2164"/>
      <c r="C1739" s="2164"/>
      <c r="D1739" s="2164"/>
      <c r="E1739" s="2522" t="s">
        <v>2639</v>
      </c>
      <c r="F1739" s="2522"/>
      <c r="G1739" s="2164"/>
      <c r="H1739" s="2523">
        <v>0</v>
      </c>
      <c r="I1739" s="2523"/>
      <c r="J1739" s="2523"/>
      <c r="K1739" s="2163"/>
      <c r="L1739" s="2530"/>
      <c r="M1739" s="2163"/>
    </row>
    <row r="1740" spans="1:15">
      <c r="A1740" s="2164"/>
      <c r="B1740" s="2164"/>
      <c r="C1740" s="2164"/>
      <c r="D1740" s="2164"/>
      <c r="E1740" s="2164"/>
      <c r="F1740" s="2164"/>
      <c r="G1740" s="2164"/>
      <c r="H1740" s="2523"/>
      <c r="I1740" s="2523"/>
      <c r="J1740" s="2523"/>
      <c r="K1740" s="2163"/>
      <c r="L1740" s="2530"/>
      <c r="M1740" s="2163"/>
    </row>
    <row r="1741" spans="1:15">
      <c r="A1741" s="2160" t="s">
        <v>2716</v>
      </c>
      <c r="B1741" s="2161"/>
      <c r="C1741" s="2160" t="s">
        <v>2717</v>
      </c>
      <c r="D1741" s="2161"/>
      <c r="E1741" s="2160" t="s">
        <v>2698</v>
      </c>
      <c r="F1741" s="2161"/>
    </row>
    <row r="1742" spans="1:15">
      <c r="A1742" s="2163"/>
      <c r="B1742" s="2163"/>
      <c r="C1742" s="2163"/>
      <c r="D1742" s="2163"/>
      <c r="E1742" s="2163"/>
      <c r="F1742" s="2163"/>
      <c r="G1742" s="2163"/>
      <c r="H1742" s="2163"/>
      <c r="I1742" s="2163"/>
      <c r="J1742" s="2163"/>
      <c r="K1742" s="2163"/>
      <c r="L1742" s="2163"/>
      <c r="M1742" s="2163"/>
    </row>
    <row r="1743" spans="1:15">
      <c r="A1743" s="2164"/>
      <c r="H1743" s="2522" t="s">
        <v>2637</v>
      </c>
      <c r="I1743" s="2522"/>
      <c r="J1743" s="2163"/>
      <c r="K1743" s="2523">
        <v>0</v>
      </c>
      <c r="L1743" s="2523"/>
      <c r="M1743" s="2163"/>
      <c r="N1743" s="2527"/>
      <c r="O1743" s="2163"/>
    </row>
    <row r="1744" spans="1:15">
      <c r="H1744" s="2163"/>
      <c r="I1744" s="2163"/>
      <c r="J1744" s="2163"/>
      <c r="K1744" s="2523"/>
      <c r="L1744" s="2523"/>
      <c r="N1744" s="2527"/>
    </row>
    <row r="1745" spans="1:15">
      <c r="A1745" s="2165">
        <v>30823</v>
      </c>
      <c r="B1745" s="2163"/>
      <c r="C1745" s="2524" t="s">
        <v>2642</v>
      </c>
      <c r="D1745" s="2524"/>
      <c r="E1745" s="2524"/>
      <c r="F1745" s="2524"/>
      <c r="G1745" s="2524"/>
      <c r="H1745" s="2524"/>
      <c r="I1745" s="2524"/>
      <c r="J1745" s="2163"/>
      <c r="K1745" s="2163"/>
      <c r="L1745" s="2163"/>
      <c r="M1745" s="2163"/>
    </row>
    <row r="1746" spans="1:15">
      <c r="A1746" s="2163"/>
      <c r="B1746" s="2163"/>
      <c r="C1746" s="2163"/>
      <c r="D1746" s="2163"/>
      <c r="E1746" s="2163"/>
      <c r="F1746" s="2163"/>
      <c r="G1746" s="2163"/>
      <c r="H1746" s="2163"/>
      <c r="I1746" s="2163"/>
      <c r="J1746" s="2163"/>
      <c r="K1746" s="2163"/>
      <c r="L1746" s="2163"/>
      <c r="M1746" s="2163"/>
    </row>
    <row r="1747" spans="1:15">
      <c r="A1747" s="2529"/>
      <c r="B1747" s="2529"/>
      <c r="C1747" s="2529"/>
      <c r="D1747" s="2166"/>
      <c r="E1747" s="2166"/>
      <c r="F1747" s="2166"/>
      <c r="G1747" s="2166"/>
      <c r="H1747" s="2525"/>
      <c r="I1747" s="2525"/>
      <c r="J1747" s="2525"/>
      <c r="K1747" s="2166"/>
      <c r="L1747" s="2167"/>
      <c r="M1747" s="2166"/>
    </row>
    <row r="1748" spans="1:15">
      <c r="A1748" s="2164"/>
      <c r="B1748" s="2164"/>
      <c r="C1748" s="2164"/>
      <c r="D1748" s="2164"/>
      <c r="E1748" s="2522" t="s">
        <v>2639</v>
      </c>
      <c r="F1748" s="2522"/>
      <c r="G1748" s="2164"/>
      <c r="H1748" s="2523">
        <v>0</v>
      </c>
      <c r="I1748" s="2523"/>
      <c r="J1748" s="2523"/>
      <c r="K1748" s="2163"/>
      <c r="L1748" s="2530"/>
      <c r="M1748" s="2163"/>
    </row>
    <row r="1749" spans="1:15">
      <c r="A1749" s="2164"/>
      <c r="B1749" s="2164"/>
      <c r="C1749" s="2164"/>
      <c r="D1749" s="2164"/>
      <c r="E1749" s="2164"/>
      <c r="F1749" s="2164"/>
      <c r="G1749" s="2164"/>
      <c r="H1749" s="2523"/>
      <c r="I1749" s="2523"/>
      <c r="J1749" s="2523"/>
      <c r="K1749" s="2163"/>
      <c r="L1749" s="2530"/>
      <c r="M1749" s="2163"/>
    </row>
    <row r="1750" spans="1:15">
      <c r="A1750" s="2160" t="s">
        <v>2716</v>
      </c>
      <c r="B1750" s="2161"/>
      <c r="C1750" s="2160" t="s">
        <v>2717</v>
      </c>
      <c r="D1750" s="2161"/>
      <c r="E1750" s="2160" t="s">
        <v>2698</v>
      </c>
      <c r="F1750" s="2161"/>
    </row>
    <row r="1751" spans="1:15">
      <c r="A1751" s="2163"/>
      <c r="B1751" s="2163"/>
      <c r="C1751" s="2163"/>
      <c r="D1751" s="2163"/>
      <c r="E1751" s="2163"/>
      <c r="F1751" s="2163"/>
      <c r="G1751" s="2163"/>
      <c r="H1751" s="2163"/>
      <c r="I1751" s="2163"/>
      <c r="J1751" s="2163"/>
      <c r="K1751" s="2163"/>
      <c r="L1751" s="2163"/>
      <c r="M1751" s="2163"/>
    </row>
    <row r="1752" spans="1:15">
      <c r="A1752" s="2164"/>
      <c r="H1752" s="2522" t="s">
        <v>2637</v>
      </c>
      <c r="I1752" s="2522"/>
      <c r="J1752" s="2163"/>
      <c r="K1752" s="2523">
        <v>2.0000000000000001E-4</v>
      </c>
      <c r="L1752" s="2523"/>
      <c r="M1752" s="2163"/>
      <c r="N1752" s="2527"/>
      <c r="O1752" s="2163"/>
    </row>
    <row r="1753" spans="1:15">
      <c r="H1753" s="2163"/>
      <c r="I1753" s="2163"/>
      <c r="J1753" s="2163"/>
      <c r="K1753" s="2523"/>
      <c r="L1753" s="2523"/>
      <c r="N1753" s="2527"/>
    </row>
    <row r="1754" spans="1:15">
      <c r="A1754" s="2165">
        <v>30832</v>
      </c>
      <c r="B1754" s="2163"/>
      <c r="C1754" s="2524" t="s">
        <v>2852</v>
      </c>
      <c r="D1754" s="2524"/>
      <c r="E1754" s="2524"/>
      <c r="F1754" s="2524"/>
      <c r="G1754" s="2524"/>
      <c r="H1754" s="2524"/>
      <c r="I1754" s="2524"/>
      <c r="J1754" s="2163"/>
      <c r="K1754" s="2163"/>
      <c r="L1754" s="2163"/>
      <c r="M1754" s="2163"/>
    </row>
    <row r="1755" spans="1:15">
      <c r="A1755" s="2163"/>
      <c r="B1755" s="2163"/>
      <c r="C1755" s="2163"/>
      <c r="D1755" s="2163"/>
      <c r="E1755" s="2163"/>
      <c r="F1755" s="2163"/>
      <c r="G1755" s="2163"/>
      <c r="H1755" s="2163"/>
      <c r="I1755" s="2163"/>
      <c r="J1755" s="2163"/>
      <c r="K1755" s="2163"/>
      <c r="L1755" s="2163"/>
      <c r="M1755" s="2163"/>
    </row>
    <row r="1756" spans="1:15">
      <c r="A1756" s="2529"/>
      <c r="B1756" s="2529"/>
      <c r="C1756" s="2529"/>
      <c r="D1756" s="2166"/>
      <c r="E1756" s="2166"/>
      <c r="F1756" s="2166"/>
      <c r="G1756" s="2166"/>
      <c r="H1756" s="2525"/>
      <c r="I1756" s="2525"/>
      <c r="J1756" s="2525"/>
      <c r="K1756" s="2166"/>
      <c r="L1756" s="2167"/>
      <c r="M1756" s="2166"/>
    </row>
    <row r="1757" spans="1:15">
      <c r="A1757" s="2164"/>
      <c r="B1757" s="2164"/>
      <c r="C1757" s="2164"/>
      <c r="D1757" s="2164"/>
      <c r="E1757" s="2522" t="s">
        <v>2639</v>
      </c>
      <c r="F1757" s="2522"/>
      <c r="G1757" s="2164"/>
      <c r="H1757" s="2523">
        <v>2.0000000000000001E-4</v>
      </c>
      <c r="I1757" s="2523"/>
      <c r="J1757" s="2523"/>
      <c r="K1757" s="2163"/>
      <c r="L1757" s="2530"/>
      <c r="M1757" s="2163"/>
    </row>
    <row r="1758" spans="1:15">
      <c r="A1758" s="2164"/>
      <c r="B1758" s="2164"/>
      <c r="C1758" s="2164"/>
      <c r="D1758" s="2164"/>
      <c r="E1758" s="2164"/>
      <c r="F1758" s="2164"/>
      <c r="G1758" s="2164"/>
      <c r="H1758" s="2523"/>
      <c r="I1758" s="2523"/>
      <c r="J1758" s="2523"/>
      <c r="K1758" s="2163"/>
      <c r="L1758" s="2530"/>
      <c r="M1758" s="2163"/>
    </row>
    <row r="1759" spans="1:15">
      <c r="A1759" s="2160" t="s">
        <v>2716</v>
      </c>
      <c r="B1759" s="2161"/>
      <c r="C1759" s="2160" t="s">
        <v>2717</v>
      </c>
      <c r="D1759" s="2161"/>
      <c r="E1759" s="2160" t="s">
        <v>2698</v>
      </c>
      <c r="F1759" s="2161"/>
    </row>
    <row r="1760" spans="1:15">
      <c r="A1760" s="2163"/>
      <c r="B1760" s="2163"/>
      <c r="C1760" s="2163"/>
      <c r="D1760" s="2163"/>
      <c r="E1760" s="2163"/>
      <c r="F1760" s="2163"/>
      <c r="G1760" s="2163"/>
      <c r="H1760" s="2163"/>
      <c r="I1760" s="2163"/>
      <c r="J1760" s="2163"/>
      <c r="K1760" s="2163"/>
      <c r="L1760" s="2163"/>
      <c r="M1760" s="2163"/>
    </row>
    <row r="1761" spans="1:15">
      <c r="A1761" s="2164"/>
      <c r="H1761" s="2522" t="s">
        <v>2637</v>
      </c>
      <c r="I1761" s="2522"/>
      <c r="J1761" s="2163"/>
      <c r="K1761" s="2523">
        <v>-2.9999999999999997E-4</v>
      </c>
      <c r="L1761" s="2523"/>
      <c r="M1761" s="2163"/>
      <c r="N1761" s="2527"/>
      <c r="O1761" s="2163"/>
    </row>
    <row r="1762" spans="1:15">
      <c r="H1762" s="2163"/>
      <c r="I1762" s="2163"/>
      <c r="J1762" s="2163"/>
      <c r="K1762" s="2523"/>
      <c r="L1762" s="2523"/>
      <c r="N1762" s="2527"/>
    </row>
    <row r="1763" spans="1:15">
      <c r="A1763" s="2165">
        <v>30841</v>
      </c>
      <c r="B1763" s="2163"/>
      <c r="C1763" s="2524" t="s">
        <v>2850</v>
      </c>
      <c r="D1763" s="2524"/>
      <c r="E1763" s="2524"/>
      <c r="F1763" s="2524"/>
      <c r="G1763" s="2524"/>
      <c r="H1763" s="2524"/>
      <c r="I1763" s="2524"/>
      <c r="J1763" s="2163"/>
      <c r="K1763" s="2163"/>
      <c r="L1763" s="2163"/>
      <c r="M1763" s="2163"/>
    </row>
    <row r="1764" spans="1:15">
      <c r="A1764" s="2163"/>
      <c r="B1764" s="2163"/>
      <c r="C1764" s="2163"/>
      <c r="D1764" s="2163"/>
      <c r="E1764" s="2163"/>
      <c r="F1764" s="2163"/>
      <c r="G1764" s="2163"/>
      <c r="H1764" s="2163"/>
      <c r="I1764" s="2163"/>
      <c r="J1764" s="2163"/>
      <c r="K1764" s="2163"/>
      <c r="L1764" s="2163"/>
      <c r="M1764" s="2163"/>
    </row>
    <row r="1765" spans="1:15">
      <c r="A1765" s="2529"/>
      <c r="B1765" s="2529"/>
      <c r="C1765" s="2529"/>
      <c r="D1765" s="2166"/>
      <c r="E1765" s="2166"/>
      <c r="F1765" s="2166"/>
      <c r="G1765" s="2166"/>
      <c r="H1765" s="2525"/>
      <c r="I1765" s="2525"/>
      <c r="J1765" s="2525"/>
      <c r="K1765" s="2166"/>
      <c r="L1765" s="2167"/>
      <c r="M1765" s="2166"/>
    </row>
    <row r="1766" spans="1:15">
      <c r="A1766" s="2164"/>
      <c r="B1766" s="2164"/>
      <c r="C1766" s="2164"/>
      <c r="D1766" s="2164"/>
      <c r="E1766" s="2522" t="s">
        <v>2639</v>
      </c>
      <c r="F1766" s="2522"/>
      <c r="G1766" s="2164"/>
      <c r="H1766" s="2523">
        <v>-2.9999999999999997E-4</v>
      </c>
      <c r="I1766" s="2523"/>
      <c r="J1766" s="2523"/>
      <c r="K1766" s="2163"/>
      <c r="L1766" s="2530"/>
      <c r="M1766" s="2163"/>
    </row>
    <row r="1767" spans="1:15">
      <c r="A1767" s="2164"/>
      <c r="B1767" s="2164"/>
      <c r="C1767" s="2164"/>
      <c r="D1767" s="2164"/>
      <c r="E1767" s="2164"/>
      <c r="F1767" s="2164"/>
      <c r="G1767" s="2164"/>
      <c r="H1767" s="2523"/>
      <c r="I1767" s="2523"/>
      <c r="J1767" s="2523"/>
      <c r="K1767" s="2163"/>
      <c r="L1767" s="2530"/>
      <c r="M1767" s="2163"/>
    </row>
    <row r="1768" spans="1:15">
      <c r="A1768" s="2160" t="s">
        <v>2716</v>
      </c>
      <c r="B1768" s="2161"/>
      <c r="C1768" s="2160" t="s">
        <v>2717</v>
      </c>
      <c r="D1768" s="2161"/>
      <c r="E1768" s="2160" t="s">
        <v>2722</v>
      </c>
      <c r="F1768" s="2161"/>
    </row>
    <row r="1769" spans="1:15">
      <c r="A1769" s="2163"/>
      <c r="B1769" s="2163"/>
      <c r="C1769" s="2163"/>
      <c r="D1769" s="2163"/>
      <c r="E1769" s="2163"/>
      <c r="F1769" s="2163"/>
      <c r="G1769" s="2163"/>
      <c r="H1769" s="2163"/>
      <c r="I1769" s="2163"/>
      <c r="J1769" s="2163"/>
      <c r="K1769" s="2163"/>
      <c r="L1769" s="2163"/>
      <c r="M1769" s="2163"/>
    </row>
    <row r="1770" spans="1:15">
      <c r="A1770" s="2164"/>
      <c r="H1770" s="2522" t="s">
        <v>2637</v>
      </c>
      <c r="I1770" s="2522"/>
      <c r="J1770" s="2163"/>
      <c r="K1770" s="2523">
        <v>0</v>
      </c>
      <c r="L1770" s="2523"/>
      <c r="M1770" s="2163"/>
      <c r="N1770" s="2527"/>
      <c r="O1770" s="2163"/>
    </row>
    <row r="1771" spans="1:15">
      <c r="H1771" s="2163"/>
      <c r="I1771" s="2163"/>
      <c r="J1771" s="2163"/>
      <c r="K1771" s="2523"/>
      <c r="L1771" s="2523"/>
      <c r="N1771" s="2527"/>
    </row>
    <row r="1772" spans="1:15">
      <c r="A1772" s="2165">
        <v>46553</v>
      </c>
      <c r="B1772" s="2163"/>
      <c r="C1772" s="2524" t="s">
        <v>2662</v>
      </c>
      <c r="D1772" s="2524"/>
      <c r="E1772" s="2524"/>
      <c r="F1772" s="2524"/>
      <c r="G1772" s="2524"/>
      <c r="H1772" s="2524"/>
      <c r="I1772" s="2524"/>
      <c r="J1772" s="2163"/>
      <c r="K1772" s="2163"/>
      <c r="L1772" s="2163"/>
      <c r="M1772" s="2163"/>
    </row>
    <row r="1773" spans="1:15">
      <c r="A1773" s="2163"/>
      <c r="B1773" s="2163"/>
      <c r="C1773" s="2163"/>
      <c r="D1773" s="2163"/>
      <c r="E1773" s="2163"/>
      <c r="F1773" s="2163"/>
      <c r="G1773" s="2163"/>
      <c r="H1773" s="2163"/>
      <c r="I1773" s="2163"/>
      <c r="J1773" s="2163"/>
      <c r="K1773" s="2163"/>
      <c r="L1773" s="2163"/>
      <c r="M1773" s="2163"/>
    </row>
    <row r="1774" spans="1:15">
      <c r="A1774" s="2529"/>
      <c r="B1774" s="2529"/>
      <c r="C1774" s="2529"/>
      <c r="D1774" s="2166"/>
      <c r="E1774" s="2166"/>
      <c r="F1774" s="2166"/>
      <c r="G1774" s="2166"/>
      <c r="H1774" s="2525"/>
      <c r="I1774" s="2525"/>
      <c r="J1774" s="2525"/>
      <c r="K1774" s="2166"/>
      <c r="L1774" s="2167"/>
      <c r="M1774" s="2166"/>
    </row>
    <row r="1775" spans="1:15">
      <c r="A1775" s="2164"/>
      <c r="B1775" s="2164"/>
      <c r="C1775" s="2164"/>
      <c r="D1775" s="2164"/>
      <c r="E1775" s="2522" t="s">
        <v>2639</v>
      </c>
      <c r="F1775" s="2522"/>
      <c r="G1775" s="2164"/>
      <c r="H1775" s="2523">
        <v>0</v>
      </c>
      <c r="I1775" s="2523"/>
      <c r="J1775" s="2523"/>
      <c r="K1775" s="2163"/>
      <c r="L1775" s="2530"/>
      <c r="M1775" s="2163"/>
    </row>
    <row r="1776" spans="1:15">
      <c r="A1776" s="2164"/>
      <c r="B1776" s="2164"/>
      <c r="C1776" s="2164"/>
      <c r="D1776" s="2164"/>
      <c r="E1776" s="2164"/>
      <c r="F1776" s="2164"/>
      <c r="G1776" s="2164"/>
      <c r="H1776" s="2523"/>
      <c r="I1776" s="2523"/>
      <c r="J1776" s="2523"/>
      <c r="K1776" s="2163"/>
      <c r="L1776" s="2530"/>
      <c r="M1776" s="2163"/>
    </row>
    <row r="1777" spans="1:15">
      <c r="A1777" s="2160" t="s">
        <v>2723</v>
      </c>
      <c r="B1777" s="2161"/>
      <c r="C1777" s="2160" t="s">
        <v>2724</v>
      </c>
      <c r="D1777" s="2161"/>
      <c r="E1777" s="2160" t="s">
        <v>2698</v>
      </c>
      <c r="F1777" s="2161"/>
    </row>
    <row r="1778" spans="1:15">
      <c r="A1778" s="2163"/>
      <c r="B1778" s="2163"/>
      <c r="C1778" s="2163"/>
      <c r="D1778" s="2163"/>
      <c r="E1778" s="2163"/>
      <c r="F1778" s="2163"/>
      <c r="G1778" s="2163"/>
      <c r="H1778" s="2163"/>
      <c r="I1778" s="2163"/>
      <c r="J1778" s="2163"/>
      <c r="K1778" s="2163"/>
      <c r="L1778" s="2163"/>
      <c r="M1778" s="2163"/>
    </row>
    <row r="1779" spans="1:15">
      <c r="A1779" s="2164"/>
      <c r="H1779" s="2522" t="s">
        <v>2637</v>
      </c>
      <c r="I1779" s="2522"/>
      <c r="J1779" s="2163"/>
      <c r="K1779" s="2523">
        <v>0</v>
      </c>
      <c r="L1779" s="2523"/>
      <c r="M1779" s="2163"/>
      <c r="N1779" s="2527"/>
      <c r="O1779" s="2163"/>
    </row>
    <row r="1780" spans="1:15">
      <c r="H1780" s="2163"/>
      <c r="I1780" s="2163"/>
      <c r="J1780" s="2163"/>
      <c r="K1780" s="2523"/>
      <c r="L1780" s="2523"/>
      <c r="N1780" s="2527"/>
    </row>
    <row r="1781" spans="1:15">
      <c r="A1781" s="2165">
        <v>25130</v>
      </c>
      <c r="B1781" s="2163"/>
      <c r="C1781" s="2524" t="s">
        <v>2638</v>
      </c>
      <c r="D1781" s="2524"/>
      <c r="E1781" s="2524"/>
      <c r="F1781" s="2524"/>
      <c r="G1781" s="2524"/>
      <c r="H1781" s="2524"/>
      <c r="I1781" s="2524"/>
      <c r="J1781" s="2163"/>
      <c r="K1781" s="2163"/>
      <c r="L1781" s="2163"/>
      <c r="M1781" s="2163"/>
    </row>
    <row r="1782" spans="1:15">
      <c r="A1782" s="2163"/>
      <c r="B1782" s="2163"/>
      <c r="C1782" s="2163"/>
      <c r="D1782" s="2163"/>
      <c r="E1782" s="2163"/>
      <c r="F1782" s="2163"/>
      <c r="G1782" s="2163"/>
      <c r="H1782" s="2163"/>
      <c r="I1782" s="2163"/>
      <c r="J1782" s="2163"/>
      <c r="K1782" s="2163"/>
      <c r="L1782" s="2163"/>
      <c r="M1782" s="2163"/>
    </row>
    <row r="1783" spans="1:15">
      <c r="A1783" s="2529"/>
      <c r="B1783" s="2529"/>
      <c r="C1783" s="2529"/>
      <c r="D1783" s="2166"/>
      <c r="E1783" s="2166"/>
      <c r="F1783" s="2166"/>
      <c r="G1783" s="2166"/>
      <c r="H1783" s="2525"/>
      <c r="I1783" s="2525"/>
      <c r="J1783" s="2525"/>
      <c r="K1783" s="2166"/>
      <c r="L1783" s="2167"/>
      <c r="M1783" s="2166"/>
    </row>
    <row r="1784" spans="1:15">
      <c r="A1784" s="2164"/>
      <c r="B1784" s="2164"/>
      <c r="C1784" s="2164"/>
      <c r="D1784" s="2164"/>
      <c r="E1784" s="2522" t="s">
        <v>2639</v>
      </c>
      <c r="F1784" s="2522"/>
      <c r="G1784" s="2164"/>
      <c r="H1784" s="2523">
        <v>0</v>
      </c>
      <c r="I1784" s="2523"/>
      <c r="J1784" s="2523"/>
      <c r="K1784" s="2163"/>
      <c r="L1784" s="2523">
        <v>0</v>
      </c>
      <c r="M1784" s="2163"/>
    </row>
    <row r="1785" spans="1:15">
      <c r="A1785" s="2164"/>
      <c r="B1785" s="2164"/>
      <c r="C1785" s="2164"/>
      <c r="D1785" s="2164"/>
      <c r="E1785" s="2164"/>
      <c r="F1785" s="2164"/>
      <c r="G1785" s="2164"/>
      <c r="H1785" s="2523"/>
      <c r="I1785" s="2523"/>
      <c r="J1785" s="2523"/>
      <c r="K1785" s="2163"/>
      <c r="L1785" s="2523"/>
      <c r="M1785" s="2163"/>
    </row>
    <row r="1786" spans="1:15">
      <c r="A1786" s="2160" t="s">
        <v>2723</v>
      </c>
      <c r="B1786" s="2161"/>
      <c r="C1786" s="2160" t="s">
        <v>2724</v>
      </c>
      <c r="D1786" s="2161"/>
      <c r="E1786" s="2160" t="s">
        <v>2698</v>
      </c>
      <c r="F1786" s="2161"/>
    </row>
    <row r="1787" spans="1:15">
      <c r="A1787" s="2163"/>
      <c r="B1787" s="2163"/>
      <c r="C1787" s="2163"/>
      <c r="D1787" s="2163"/>
      <c r="E1787" s="2163"/>
      <c r="F1787" s="2163"/>
      <c r="G1787" s="2163"/>
      <c r="H1787" s="2163"/>
      <c r="I1787" s="2163"/>
      <c r="J1787" s="2163"/>
      <c r="K1787" s="2163"/>
      <c r="L1787" s="2163"/>
      <c r="M1787" s="2163"/>
    </row>
    <row r="1788" spans="1:15">
      <c r="A1788" s="2164"/>
      <c r="H1788" s="2522" t="s">
        <v>2637</v>
      </c>
      <c r="I1788" s="2522"/>
      <c r="J1788" s="2163"/>
      <c r="K1788" s="2523">
        <v>0</v>
      </c>
      <c r="L1788" s="2523"/>
      <c r="M1788" s="2163"/>
      <c r="N1788" s="2527"/>
      <c r="O1788" s="2163"/>
    </row>
    <row r="1789" spans="1:15">
      <c r="H1789" s="2163"/>
      <c r="I1789" s="2163"/>
      <c r="J1789" s="2163"/>
      <c r="K1789" s="2523"/>
      <c r="L1789" s="2523"/>
      <c r="N1789" s="2527"/>
    </row>
    <row r="1790" spans="1:15">
      <c r="A1790" s="2165">
        <v>25134</v>
      </c>
      <c r="B1790" s="2163"/>
      <c r="C1790" s="2524" t="s">
        <v>2655</v>
      </c>
      <c r="D1790" s="2524"/>
      <c r="E1790" s="2524"/>
      <c r="F1790" s="2524"/>
      <c r="G1790" s="2524"/>
      <c r="H1790" s="2524"/>
      <c r="I1790" s="2524"/>
      <c r="J1790" s="2163"/>
      <c r="K1790" s="2163"/>
      <c r="L1790" s="2163"/>
      <c r="M1790" s="2163"/>
    </row>
    <row r="1791" spans="1:15">
      <c r="A1791" s="2163"/>
      <c r="B1791" s="2163"/>
      <c r="C1791" s="2163"/>
      <c r="D1791" s="2163"/>
      <c r="E1791" s="2163"/>
      <c r="F1791" s="2163"/>
      <c r="G1791" s="2163"/>
      <c r="H1791" s="2163"/>
      <c r="I1791" s="2163"/>
      <c r="J1791" s="2163"/>
      <c r="K1791" s="2163"/>
      <c r="L1791" s="2163"/>
      <c r="M1791" s="2163"/>
    </row>
    <row r="1792" spans="1:15">
      <c r="A1792" s="2529"/>
      <c r="B1792" s="2529"/>
      <c r="C1792" s="2529"/>
      <c r="D1792" s="2166"/>
      <c r="E1792" s="2166"/>
      <c r="F1792" s="2166"/>
      <c r="G1792" s="2166"/>
      <c r="H1792" s="2525"/>
      <c r="I1792" s="2525"/>
      <c r="J1792" s="2525"/>
      <c r="K1792" s="2166"/>
      <c r="L1792" s="2167"/>
      <c r="M1792" s="2166"/>
    </row>
    <row r="1793" spans="1:15">
      <c r="A1793" s="2164"/>
      <c r="B1793" s="2164"/>
      <c r="C1793" s="2164"/>
      <c r="D1793" s="2164"/>
      <c r="E1793" s="2522" t="s">
        <v>2639</v>
      </c>
      <c r="F1793" s="2522"/>
      <c r="G1793" s="2164"/>
      <c r="H1793" s="2523">
        <v>0</v>
      </c>
      <c r="I1793" s="2523"/>
      <c r="J1793" s="2523"/>
      <c r="K1793" s="2163"/>
      <c r="L1793" s="2523">
        <v>0</v>
      </c>
      <c r="M1793" s="2163"/>
    </row>
    <row r="1794" spans="1:15">
      <c r="A1794" s="2164"/>
      <c r="B1794" s="2164"/>
      <c r="C1794" s="2164"/>
      <c r="D1794" s="2164"/>
      <c r="E1794" s="2164"/>
      <c r="F1794" s="2164"/>
      <c r="G1794" s="2164"/>
      <c r="H1794" s="2523"/>
      <c r="I1794" s="2523"/>
      <c r="J1794" s="2523"/>
      <c r="K1794" s="2163"/>
      <c r="L1794" s="2523"/>
      <c r="M1794" s="2163"/>
    </row>
    <row r="1795" spans="1:15">
      <c r="A1795" s="2160" t="s">
        <v>2723</v>
      </c>
      <c r="B1795" s="2161"/>
      <c r="C1795" s="2160" t="s">
        <v>2724</v>
      </c>
      <c r="D1795" s="2161"/>
      <c r="E1795" s="2160" t="s">
        <v>2698</v>
      </c>
      <c r="F1795" s="2161"/>
    </row>
    <row r="1796" spans="1:15">
      <c r="A1796" s="2163"/>
      <c r="B1796" s="2163"/>
      <c r="C1796" s="2163"/>
      <c r="D1796" s="2163"/>
      <c r="E1796" s="2163"/>
      <c r="F1796" s="2163"/>
      <c r="G1796" s="2163"/>
      <c r="H1796" s="2163"/>
      <c r="I1796" s="2163"/>
      <c r="J1796" s="2163"/>
      <c r="K1796" s="2163"/>
      <c r="L1796" s="2163"/>
      <c r="M1796" s="2163"/>
    </row>
    <row r="1797" spans="1:15">
      <c r="A1797" s="2164"/>
      <c r="H1797" s="2522" t="s">
        <v>2637</v>
      </c>
      <c r="I1797" s="2522"/>
      <c r="J1797" s="2163"/>
      <c r="K1797" s="2523">
        <v>0</v>
      </c>
      <c r="L1797" s="2523"/>
      <c r="M1797" s="2163"/>
      <c r="N1797" s="2527"/>
      <c r="O1797" s="2163"/>
    </row>
    <row r="1798" spans="1:15">
      <c r="H1798" s="2163"/>
      <c r="I1798" s="2163"/>
      <c r="J1798" s="2163"/>
      <c r="K1798" s="2523"/>
      <c r="L1798" s="2523"/>
      <c r="N1798" s="2527"/>
    </row>
    <row r="1799" spans="1:15">
      <c r="A1799" s="2165">
        <v>25747</v>
      </c>
      <c r="B1799" s="2163"/>
      <c r="C1799" s="2524" t="s">
        <v>2725</v>
      </c>
      <c r="D1799" s="2524"/>
      <c r="E1799" s="2524"/>
      <c r="F1799" s="2524"/>
      <c r="G1799" s="2524"/>
      <c r="H1799" s="2524"/>
      <c r="I1799" s="2524"/>
      <c r="J1799" s="2163"/>
      <c r="K1799" s="2163"/>
      <c r="L1799" s="2163"/>
      <c r="M1799" s="2163"/>
    </row>
    <row r="1800" spans="1:15">
      <c r="A1800" s="2163"/>
      <c r="B1800" s="2163"/>
      <c r="C1800" s="2163"/>
      <c r="D1800" s="2163"/>
      <c r="E1800" s="2163"/>
      <c r="F1800" s="2163"/>
      <c r="G1800" s="2163"/>
      <c r="H1800" s="2163"/>
      <c r="I1800" s="2163"/>
      <c r="J1800" s="2163"/>
      <c r="K1800" s="2163"/>
      <c r="L1800" s="2163"/>
      <c r="M1800" s="2163"/>
    </row>
    <row r="1801" spans="1:15">
      <c r="A1801" s="2529"/>
      <c r="B1801" s="2529"/>
      <c r="C1801" s="2529"/>
      <c r="D1801" s="2166"/>
      <c r="E1801" s="2166"/>
      <c r="F1801" s="2166"/>
      <c r="G1801" s="2166"/>
      <c r="H1801" s="2525"/>
      <c r="I1801" s="2525"/>
      <c r="J1801" s="2525"/>
      <c r="K1801" s="2166"/>
      <c r="L1801" s="2167"/>
      <c r="M1801" s="2166"/>
    </row>
    <row r="1802" spans="1:15">
      <c r="A1802" s="2164"/>
      <c r="B1802" s="2164"/>
      <c r="C1802" s="2164"/>
      <c r="D1802" s="2164"/>
      <c r="E1802" s="2522" t="s">
        <v>2639</v>
      </c>
      <c r="F1802" s="2522"/>
      <c r="G1802" s="2164"/>
      <c r="H1802" s="2523">
        <v>0</v>
      </c>
      <c r="I1802" s="2523"/>
      <c r="J1802" s="2523"/>
      <c r="K1802" s="2163"/>
      <c r="L1802" s="2523">
        <v>0</v>
      </c>
      <c r="M1802" s="2163"/>
    </row>
    <row r="1803" spans="1:15">
      <c r="A1803" s="2164"/>
      <c r="B1803" s="2164"/>
      <c r="C1803" s="2164"/>
      <c r="D1803" s="2164"/>
      <c r="E1803" s="2164"/>
      <c r="F1803" s="2164"/>
      <c r="G1803" s="2164"/>
      <c r="H1803" s="2523"/>
      <c r="I1803" s="2523"/>
      <c r="J1803" s="2523"/>
      <c r="K1803" s="2163"/>
      <c r="L1803" s="2523"/>
      <c r="M1803" s="2163"/>
    </row>
    <row r="1804" spans="1:15">
      <c r="A1804" s="2160" t="s">
        <v>2723</v>
      </c>
      <c r="B1804" s="2161"/>
      <c r="C1804" s="2160" t="s">
        <v>2724</v>
      </c>
      <c r="D1804" s="2161"/>
      <c r="E1804" s="2160" t="s">
        <v>2698</v>
      </c>
      <c r="F1804" s="2161"/>
    </row>
    <row r="1805" spans="1:15">
      <c r="A1805" s="2163"/>
      <c r="B1805" s="2163"/>
      <c r="C1805" s="2163"/>
      <c r="D1805" s="2163"/>
      <c r="E1805" s="2163"/>
      <c r="F1805" s="2163"/>
      <c r="G1805" s="2163"/>
      <c r="H1805" s="2163"/>
      <c r="I1805" s="2163"/>
      <c r="J1805" s="2163"/>
      <c r="K1805" s="2163"/>
      <c r="L1805" s="2163"/>
      <c r="M1805" s="2163"/>
    </row>
    <row r="1806" spans="1:15">
      <c r="A1806" s="2164"/>
      <c r="H1806" s="2522" t="s">
        <v>2637</v>
      </c>
      <c r="I1806" s="2522"/>
      <c r="J1806" s="2163"/>
      <c r="K1806" s="2523">
        <v>0</v>
      </c>
      <c r="L1806" s="2523"/>
      <c r="M1806" s="2163"/>
      <c r="N1806" s="2527"/>
      <c r="O1806" s="2163"/>
    </row>
    <row r="1807" spans="1:15">
      <c r="H1807" s="2163"/>
      <c r="I1807" s="2163"/>
      <c r="J1807" s="2163"/>
      <c r="K1807" s="2523"/>
      <c r="L1807" s="2523"/>
      <c r="N1807" s="2527"/>
    </row>
    <row r="1808" spans="1:15">
      <c r="A1808" s="2165">
        <v>25749</v>
      </c>
      <c r="B1808" s="2163"/>
      <c r="C1808" s="2524" t="s">
        <v>2720</v>
      </c>
      <c r="D1808" s="2524"/>
      <c r="E1808" s="2524"/>
      <c r="F1808" s="2524"/>
      <c r="G1808" s="2524"/>
      <c r="H1808" s="2524"/>
      <c r="I1808" s="2524"/>
      <c r="J1808" s="2163"/>
      <c r="K1808" s="2163"/>
      <c r="L1808" s="2163"/>
      <c r="M1808" s="2163"/>
    </row>
    <row r="1809" spans="1:15">
      <c r="A1809" s="2163"/>
      <c r="B1809" s="2163"/>
      <c r="C1809" s="2163"/>
      <c r="D1809" s="2163"/>
      <c r="E1809" s="2163"/>
      <c r="F1809" s="2163"/>
      <c r="G1809" s="2163"/>
      <c r="H1809" s="2163"/>
      <c r="I1809" s="2163"/>
      <c r="J1809" s="2163"/>
      <c r="K1809" s="2163"/>
      <c r="L1809" s="2163"/>
      <c r="M1809" s="2163"/>
    </row>
    <row r="1810" spans="1:15">
      <c r="A1810" s="2529"/>
      <c r="B1810" s="2529"/>
      <c r="C1810" s="2529"/>
      <c r="D1810" s="2166"/>
      <c r="E1810" s="2166"/>
      <c r="F1810" s="2166"/>
      <c r="G1810" s="2166"/>
      <c r="H1810" s="2525"/>
      <c r="I1810" s="2525"/>
      <c r="J1810" s="2525"/>
      <c r="K1810" s="2166"/>
      <c r="L1810" s="2167"/>
      <c r="M1810" s="2166"/>
    </row>
    <row r="1811" spans="1:15">
      <c r="A1811" s="2164"/>
      <c r="B1811" s="2164"/>
      <c r="C1811" s="2164"/>
      <c r="D1811" s="2164"/>
      <c r="E1811" s="2522" t="s">
        <v>2639</v>
      </c>
      <c r="F1811" s="2522"/>
      <c r="G1811" s="2164"/>
      <c r="H1811" s="2523">
        <v>0</v>
      </c>
      <c r="I1811" s="2523"/>
      <c r="J1811" s="2523"/>
      <c r="K1811" s="2163"/>
      <c r="L1811" s="2523">
        <v>0</v>
      </c>
      <c r="M1811" s="2163"/>
    </row>
    <row r="1812" spans="1:15">
      <c r="A1812" s="2164"/>
      <c r="B1812" s="2164"/>
      <c r="C1812" s="2164"/>
      <c r="D1812" s="2164"/>
      <c r="E1812" s="2164"/>
      <c r="F1812" s="2164"/>
      <c r="G1812" s="2164"/>
      <c r="H1812" s="2523"/>
      <c r="I1812" s="2523"/>
      <c r="J1812" s="2523"/>
      <c r="K1812" s="2163"/>
      <c r="L1812" s="2523"/>
      <c r="M1812" s="2163"/>
    </row>
    <row r="1813" spans="1:15">
      <c r="A1813" s="2160" t="s">
        <v>2723</v>
      </c>
      <c r="B1813" s="2161"/>
      <c r="C1813" s="2160" t="s">
        <v>2724</v>
      </c>
      <c r="D1813" s="2161"/>
      <c r="E1813" s="2160" t="s">
        <v>2698</v>
      </c>
      <c r="F1813" s="2161"/>
    </row>
    <row r="1814" spans="1:15">
      <c r="A1814" s="2163"/>
      <c r="B1814" s="2163"/>
      <c r="C1814" s="2163"/>
      <c r="D1814" s="2163"/>
      <c r="E1814" s="2163"/>
      <c r="F1814" s="2163"/>
      <c r="G1814" s="2163"/>
      <c r="H1814" s="2163"/>
      <c r="I1814" s="2163"/>
      <c r="J1814" s="2163"/>
      <c r="K1814" s="2163"/>
      <c r="L1814" s="2163"/>
      <c r="M1814" s="2163"/>
    </row>
    <row r="1815" spans="1:15">
      <c r="A1815" s="2164"/>
      <c r="H1815" s="2522" t="s">
        <v>2637</v>
      </c>
      <c r="I1815" s="2522"/>
      <c r="J1815" s="2163"/>
      <c r="K1815" s="2523">
        <v>0</v>
      </c>
      <c r="L1815" s="2523"/>
      <c r="M1815" s="2163"/>
      <c r="N1815" s="2527"/>
      <c r="O1815" s="2163"/>
    </row>
    <row r="1816" spans="1:15">
      <c r="H1816" s="2163"/>
      <c r="I1816" s="2163"/>
      <c r="J1816" s="2163"/>
      <c r="K1816" s="2523"/>
      <c r="L1816" s="2523"/>
      <c r="N1816" s="2527"/>
    </row>
    <row r="1817" spans="1:15">
      <c r="A1817" s="2165">
        <v>25446</v>
      </c>
      <c r="B1817" s="2163"/>
      <c r="C1817" s="2524" t="s">
        <v>2719</v>
      </c>
      <c r="D1817" s="2524"/>
      <c r="E1817" s="2524"/>
      <c r="F1817" s="2524"/>
      <c r="G1817" s="2524"/>
      <c r="H1817" s="2524"/>
      <c r="I1817" s="2524"/>
      <c r="J1817" s="2163"/>
      <c r="K1817" s="2163"/>
      <c r="L1817" s="2163"/>
      <c r="M1817" s="2163"/>
    </row>
    <row r="1818" spans="1:15">
      <c r="A1818" s="2163"/>
      <c r="B1818" s="2163"/>
      <c r="C1818" s="2163"/>
      <c r="D1818" s="2163"/>
      <c r="E1818" s="2163"/>
      <c r="F1818" s="2163"/>
      <c r="G1818" s="2163"/>
      <c r="H1818" s="2163"/>
      <c r="I1818" s="2163"/>
      <c r="J1818" s="2163"/>
      <c r="K1818" s="2163"/>
      <c r="L1818" s="2163"/>
      <c r="M1818" s="2163"/>
    </row>
    <row r="1819" spans="1:15">
      <c r="A1819" s="2529"/>
      <c r="B1819" s="2529"/>
      <c r="C1819" s="2529"/>
      <c r="D1819" s="2166"/>
      <c r="E1819" s="2166"/>
      <c r="F1819" s="2166"/>
      <c r="G1819" s="2166"/>
      <c r="H1819" s="2525"/>
      <c r="I1819" s="2525"/>
      <c r="J1819" s="2525"/>
      <c r="K1819" s="2166"/>
      <c r="L1819" s="2167"/>
      <c r="M1819" s="2166"/>
    </row>
    <row r="1820" spans="1:15">
      <c r="A1820" s="2164"/>
      <c r="B1820" s="2164"/>
      <c r="C1820" s="2164"/>
      <c r="D1820" s="2164"/>
      <c r="E1820" s="2522" t="s">
        <v>2639</v>
      </c>
      <c r="F1820" s="2522"/>
      <c r="G1820" s="2164"/>
      <c r="H1820" s="2523">
        <v>0</v>
      </c>
      <c r="I1820" s="2523"/>
      <c r="J1820" s="2523"/>
      <c r="K1820" s="2163"/>
      <c r="L1820" s="2523">
        <v>0</v>
      </c>
      <c r="M1820" s="2163"/>
    </row>
    <row r="1821" spans="1:15">
      <c r="A1821" s="2164"/>
      <c r="B1821" s="2164"/>
      <c r="C1821" s="2164"/>
      <c r="D1821" s="2164"/>
      <c r="E1821" s="2164"/>
      <c r="F1821" s="2164"/>
      <c r="G1821" s="2164"/>
      <c r="H1821" s="2523"/>
      <c r="I1821" s="2523"/>
      <c r="J1821" s="2523"/>
      <c r="K1821" s="2163"/>
      <c r="L1821" s="2523"/>
      <c r="M1821" s="2163"/>
    </row>
    <row r="1822" spans="1:15">
      <c r="A1822" s="2160" t="s">
        <v>2723</v>
      </c>
      <c r="B1822" s="2161"/>
      <c r="C1822" s="2160" t="s">
        <v>2724</v>
      </c>
      <c r="D1822" s="2161"/>
      <c r="E1822" s="2160" t="s">
        <v>2698</v>
      </c>
      <c r="F1822" s="2161"/>
    </row>
    <row r="1823" spans="1:15">
      <c r="A1823" s="2163"/>
      <c r="B1823" s="2163"/>
      <c r="C1823" s="2163"/>
      <c r="D1823" s="2163"/>
      <c r="E1823" s="2163"/>
      <c r="F1823" s="2163"/>
      <c r="G1823" s="2163"/>
      <c r="H1823" s="2163"/>
      <c r="I1823" s="2163"/>
      <c r="J1823" s="2163"/>
      <c r="K1823" s="2163"/>
      <c r="L1823" s="2163"/>
      <c r="M1823" s="2163"/>
    </row>
    <row r="1824" spans="1:15">
      <c r="A1824" s="2164"/>
      <c r="H1824" s="2522" t="s">
        <v>2637</v>
      </c>
      <c r="I1824" s="2522"/>
      <c r="J1824" s="2163"/>
      <c r="K1824" s="2528">
        <v>841057.74340000004</v>
      </c>
      <c r="L1824" s="2528"/>
      <c r="M1824" s="2163"/>
      <c r="N1824" s="2527" t="s">
        <v>3022</v>
      </c>
      <c r="O1824" s="2163"/>
    </row>
    <row r="1825" spans="1:15">
      <c r="H1825" s="2163"/>
      <c r="I1825" s="2163"/>
      <c r="J1825" s="2163"/>
      <c r="K1825" s="2528"/>
      <c r="L1825" s="2528"/>
      <c r="N1825" s="2527"/>
    </row>
    <row r="1826" spans="1:15">
      <c r="A1826" s="2165">
        <v>26704</v>
      </c>
      <c r="B1826" s="2163"/>
      <c r="C1826" s="2524" t="s">
        <v>2726</v>
      </c>
      <c r="D1826" s="2524"/>
      <c r="E1826" s="2524"/>
      <c r="F1826" s="2524"/>
      <c r="G1826" s="2524"/>
      <c r="H1826" s="2524"/>
      <c r="I1826" s="2524"/>
      <c r="J1826" s="2163"/>
      <c r="K1826" s="2163"/>
      <c r="L1826" s="2163"/>
      <c r="M1826" s="2163"/>
    </row>
    <row r="1827" spans="1:15">
      <c r="A1827" s="2163"/>
      <c r="B1827" s="2163"/>
      <c r="C1827" s="2163"/>
      <c r="D1827" s="2163"/>
      <c r="E1827" s="2163"/>
      <c r="F1827" s="2163"/>
      <c r="G1827" s="2163"/>
      <c r="H1827" s="2163"/>
      <c r="I1827" s="2163"/>
      <c r="J1827" s="2163"/>
      <c r="K1827" s="2163"/>
      <c r="L1827" s="2163"/>
      <c r="M1827" s="2163"/>
    </row>
    <row r="1828" spans="1:15">
      <c r="A1828" s="2529"/>
      <c r="B1828" s="2529"/>
      <c r="C1828" s="2529"/>
      <c r="D1828" s="2166"/>
      <c r="E1828" s="2166"/>
      <c r="F1828" s="2166"/>
      <c r="G1828" s="2166"/>
      <c r="H1828" s="2525"/>
      <c r="I1828" s="2525"/>
      <c r="J1828" s="2525"/>
      <c r="K1828" s="2166"/>
      <c r="L1828" s="2167"/>
      <c r="M1828" s="2166"/>
    </row>
    <row r="1829" spans="1:15">
      <c r="A1829" s="2164"/>
      <c r="B1829" s="2164"/>
      <c r="C1829" s="2164"/>
      <c r="D1829" s="2164"/>
      <c r="E1829" s="2522" t="s">
        <v>2639</v>
      </c>
      <c r="F1829" s="2522"/>
      <c r="G1829" s="2164"/>
      <c r="H1829" s="2528">
        <v>841057.74340000004</v>
      </c>
      <c r="I1829" s="2528"/>
      <c r="J1829" s="2528"/>
      <c r="K1829" s="2163"/>
      <c r="L1829" s="2528">
        <v>8452630.3200000003</v>
      </c>
      <c r="M1829" s="2163"/>
    </row>
    <row r="1830" spans="1:15">
      <c r="A1830" s="2164"/>
      <c r="B1830" s="2164"/>
      <c r="C1830" s="2164"/>
      <c r="D1830" s="2164"/>
      <c r="E1830" s="2164"/>
      <c r="F1830" s="2164"/>
      <c r="G1830" s="2164"/>
      <c r="H1830" s="2528"/>
      <c r="I1830" s="2528"/>
      <c r="J1830" s="2528"/>
      <c r="K1830" s="2163"/>
      <c r="L1830" s="2528"/>
      <c r="M1830" s="2163"/>
    </row>
    <row r="1831" spans="1:15">
      <c r="A1831" s="2160" t="s">
        <v>2723</v>
      </c>
      <c r="B1831" s="2161"/>
      <c r="C1831" s="2160" t="s">
        <v>2724</v>
      </c>
      <c r="D1831" s="2161"/>
      <c r="E1831" s="2160" t="s">
        <v>2698</v>
      </c>
      <c r="F1831" s="2161"/>
    </row>
    <row r="1832" spans="1:15">
      <c r="A1832" s="2163"/>
      <c r="B1832" s="2163"/>
      <c r="C1832" s="2163"/>
      <c r="D1832" s="2163"/>
      <c r="E1832" s="2163"/>
      <c r="F1832" s="2163"/>
      <c r="G1832" s="2163"/>
      <c r="H1832" s="2163"/>
      <c r="I1832" s="2163"/>
      <c r="J1832" s="2163"/>
      <c r="K1832" s="2163"/>
      <c r="L1832" s="2163"/>
      <c r="M1832" s="2163"/>
    </row>
    <row r="1833" spans="1:15">
      <c r="A1833" s="2164"/>
      <c r="H1833" s="2522" t="s">
        <v>2637</v>
      </c>
      <c r="I1833" s="2522"/>
      <c r="J1833" s="2163"/>
      <c r="K1833" s="2523">
        <v>0</v>
      </c>
      <c r="L1833" s="2523"/>
      <c r="M1833" s="2163"/>
      <c r="N1833" s="2527"/>
      <c r="O1833" s="2163"/>
    </row>
    <row r="1834" spans="1:15">
      <c r="H1834" s="2163"/>
      <c r="I1834" s="2163"/>
      <c r="J1834" s="2163"/>
      <c r="K1834" s="2523"/>
      <c r="L1834" s="2523"/>
      <c r="N1834" s="2527"/>
    </row>
    <row r="1835" spans="1:15">
      <c r="A1835" s="2165">
        <v>25814</v>
      </c>
      <c r="B1835" s="2163"/>
      <c r="C1835" s="2524" t="s">
        <v>2705</v>
      </c>
      <c r="D1835" s="2524"/>
      <c r="E1835" s="2524"/>
      <c r="F1835" s="2524"/>
      <c r="G1835" s="2524"/>
      <c r="H1835" s="2524"/>
      <c r="I1835" s="2524"/>
      <c r="J1835" s="2163"/>
      <c r="K1835" s="2163"/>
      <c r="L1835" s="2163"/>
      <c r="M1835" s="2163"/>
    </row>
    <row r="1836" spans="1:15">
      <c r="A1836" s="2163"/>
      <c r="B1836" s="2163"/>
      <c r="C1836" s="2163"/>
      <c r="D1836" s="2163"/>
      <c r="E1836" s="2163"/>
      <c r="F1836" s="2163"/>
      <c r="G1836" s="2163"/>
      <c r="H1836" s="2163"/>
      <c r="I1836" s="2163"/>
      <c r="J1836" s="2163"/>
      <c r="K1836" s="2163"/>
      <c r="L1836" s="2163"/>
      <c r="M1836" s="2163"/>
    </row>
    <row r="1837" spans="1:15">
      <c r="A1837" s="2529"/>
      <c r="B1837" s="2529"/>
      <c r="C1837" s="2529"/>
      <c r="D1837" s="2166"/>
      <c r="E1837" s="2166"/>
      <c r="F1837" s="2166"/>
      <c r="G1837" s="2166"/>
      <c r="H1837" s="2525"/>
      <c r="I1837" s="2525"/>
      <c r="J1837" s="2525"/>
      <c r="K1837" s="2166"/>
      <c r="L1837" s="2167"/>
      <c r="M1837" s="2166"/>
    </row>
    <row r="1838" spans="1:15">
      <c r="A1838" s="2164"/>
      <c r="B1838" s="2164"/>
      <c r="C1838" s="2164"/>
      <c r="D1838" s="2164"/>
      <c r="E1838" s="2522" t="s">
        <v>2639</v>
      </c>
      <c r="F1838" s="2522"/>
      <c r="G1838" s="2164"/>
      <c r="H1838" s="2523">
        <v>0</v>
      </c>
      <c r="I1838" s="2523"/>
      <c r="J1838" s="2523"/>
      <c r="K1838" s="2163"/>
      <c r="L1838" s="2523">
        <v>0</v>
      </c>
      <c r="M1838" s="2163"/>
    </row>
    <row r="1839" spans="1:15">
      <c r="A1839" s="2164"/>
      <c r="B1839" s="2164"/>
      <c r="C1839" s="2164"/>
      <c r="D1839" s="2164"/>
      <c r="E1839" s="2164"/>
      <c r="F1839" s="2164"/>
      <c r="G1839" s="2164"/>
      <c r="H1839" s="2523"/>
      <c r="I1839" s="2523"/>
      <c r="J1839" s="2523"/>
      <c r="K1839" s="2163"/>
      <c r="L1839" s="2523"/>
      <c r="M1839" s="2163"/>
    </row>
    <row r="1840" spans="1:15">
      <c r="A1840" s="2160" t="s">
        <v>2723</v>
      </c>
      <c r="B1840" s="2161"/>
      <c r="C1840" s="2160" t="s">
        <v>2724</v>
      </c>
      <c r="D1840" s="2161"/>
      <c r="E1840" s="2160" t="s">
        <v>2698</v>
      </c>
      <c r="F1840" s="2161"/>
    </row>
    <row r="1841" spans="1:15">
      <c r="A1841" s="2163"/>
      <c r="B1841" s="2163"/>
      <c r="C1841" s="2163"/>
      <c r="D1841" s="2163"/>
      <c r="E1841" s="2163"/>
      <c r="F1841" s="2163"/>
      <c r="G1841" s="2163"/>
      <c r="H1841" s="2163"/>
      <c r="I1841" s="2163"/>
      <c r="J1841" s="2163"/>
      <c r="K1841" s="2163"/>
      <c r="L1841" s="2163"/>
      <c r="M1841" s="2163"/>
    </row>
    <row r="1842" spans="1:15">
      <c r="A1842" s="2164"/>
      <c r="H1842" s="2522" t="s">
        <v>2637</v>
      </c>
      <c r="I1842" s="2522"/>
      <c r="J1842" s="2163"/>
      <c r="K1842" s="2528">
        <v>280352.62040000001</v>
      </c>
      <c r="L1842" s="2528"/>
      <c r="M1842" s="2163"/>
      <c r="N1842" s="2527" t="s">
        <v>3023</v>
      </c>
      <c r="O1842" s="2163"/>
    </row>
    <row r="1843" spans="1:15">
      <c r="H1843" s="2163"/>
      <c r="I1843" s="2163"/>
      <c r="J1843" s="2163"/>
      <c r="K1843" s="2528"/>
      <c r="L1843" s="2528"/>
      <c r="N1843" s="2527"/>
    </row>
    <row r="1844" spans="1:15">
      <c r="A1844" s="2165">
        <v>25820</v>
      </c>
      <c r="B1844" s="2163"/>
      <c r="C1844" s="2524" t="s">
        <v>2727</v>
      </c>
      <c r="D1844" s="2524"/>
      <c r="E1844" s="2524"/>
      <c r="F1844" s="2524"/>
      <c r="G1844" s="2524"/>
      <c r="H1844" s="2524"/>
      <c r="I1844" s="2524"/>
      <c r="J1844" s="2163"/>
      <c r="K1844" s="2163"/>
      <c r="L1844" s="2163"/>
      <c r="M1844" s="2163"/>
    </row>
    <row r="1845" spans="1:15">
      <c r="A1845" s="2163"/>
      <c r="B1845" s="2163"/>
      <c r="C1845" s="2163"/>
      <c r="D1845" s="2163"/>
      <c r="E1845" s="2163"/>
      <c r="F1845" s="2163"/>
      <c r="G1845" s="2163"/>
      <c r="H1845" s="2163"/>
      <c r="I1845" s="2163"/>
      <c r="J1845" s="2163"/>
      <c r="K1845" s="2163"/>
      <c r="L1845" s="2163"/>
      <c r="M1845" s="2163"/>
    </row>
    <row r="1846" spans="1:15">
      <c r="A1846" s="2529"/>
      <c r="B1846" s="2529"/>
      <c r="C1846" s="2529"/>
      <c r="D1846" s="2166"/>
      <c r="E1846" s="2166"/>
      <c r="F1846" s="2166"/>
      <c r="G1846" s="2166"/>
      <c r="H1846" s="2525"/>
      <c r="I1846" s="2525"/>
      <c r="J1846" s="2525"/>
      <c r="K1846" s="2166"/>
      <c r="L1846" s="2167"/>
      <c r="M1846" s="2166"/>
    </row>
    <row r="1847" spans="1:15">
      <c r="A1847" s="2164"/>
      <c r="B1847" s="2164"/>
      <c r="C1847" s="2164"/>
      <c r="D1847" s="2164"/>
      <c r="E1847" s="2522" t="s">
        <v>2639</v>
      </c>
      <c r="F1847" s="2522"/>
      <c r="G1847" s="2164"/>
      <c r="H1847" s="2528">
        <v>280352.62040000001</v>
      </c>
      <c r="I1847" s="2528"/>
      <c r="J1847" s="2528"/>
      <c r="K1847" s="2163"/>
      <c r="L1847" s="2528">
        <v>2817543.84</v>
      </c>
      <c r="M1847" s="2163"/>
    </row>
    <row r="1848" spans="1:15">
      <c r="A1848" s="2164"/>
      <c r="B1848" s="2164"/>
      <c r="C1848" s="2164"/>
      <c r="D1848" s="2164"/>
      <c r="E1848" s="2164"/>
      <c r="F1848" s="2164"/>
      <c r="G1848" s="2164"/>
      <c r="H1848" s="2528"/>
      <c r="I1848" s="2528"/>
      <c r="J1848" s="2528"/>
      <c r="K1848" s="2163"/>
      <c r="L1848" s="2528"/>
      <c r="M1848" s="2163"/>
    </row>
    <row r="1849" spans="1:15">
      <c r="A1849" s="2160" t="s">
        <v>2723</v>
      </c>
      <c r="B1849" s="2161"/>
      <c r="C1849" s="2160" t="s">
        <v>2724</v>
      </c>
      <c r="D1849" s="2161"/>
      <c r="E1849" s="2160" t="s">
        <v>2698</v>
      </c>
      <c r="F1849" s="2161"/>
    </row>
    <row r="1850" spans="1:15">
      <c r="A1850" s="2163"/>
      <c r="B1850" s="2163"/>
      <c r="C1850" s="2163"/>
      <c r="D1850" s="2163"/>
      <c r="E1850" s="2163"/>
      <c r="F1850" s="2163"/>
      <c r="G1850" s="2163"/>
      <c r="H1850" s="2163"/>
      <c r="I1850" s="2163"/>
      <c r="J1850" s="2163"/>
      <c r="K1850" s="2163"/>
      <c r="L1850" s="2163"/>
      <c r="M1850" s="2163"/>
    </row>
    <row r="1851" spans="1:15">
      <c r="A1851" s="2164"/>
      <c r="H1851" s="2522" t="s">
        <v>2637</v>
      </c>
      <c r="I1851" s="2522"/>
      <c r="J1851" s="2163"/>
      <c r="K1851" s="2523">
        <v>0</v>
      </c>
      <c r="L1851" s="2523"/>
      <c r="M1851" s="2163"/>
      <c r="N1851" s="2527"/>
      <c r="O1851" s="2163"/>
    </row>
    <row r="1852" spans="1:15">
      <c r="H1852" s="2163"/>
      <c r="I1852" s="2163"/>
      <c r="J1852" s="2163"/>
      <c r="K1852" s="2523"/>
      <c r="L1852" s="2523"/>
      <c r="N1852" s="2527"/>
    </row>
    <row r="1853" spans="1:15">
      <c r="A1853" s="2165">
        <v>25463</v>
      </c>
      <c r="B1853" s="2163"/>
      <c r="C1853" s="2524" t="s">
        <v>2728</v>
      </c>
      <c r="D1853" s="2524"/>
      <c r="E1853" s="2524"/>
      <c r="F1853" s="2524"/>
      <c r="G1853" s="2524"/>
      <c r="H1853" s="2524"/>
      <c r="I1853" s="2524"/>
      <c r="J1853" s="2163"/>
      <c r="K1853" s="2163"/>
      <c r="L1853" s="2163"/>
      <c r="M1853" s="2163"/>
    </row>
    <row r="1854" spans="1:15">
      <c r="A1854" s="2163"/>
      <c r="B1854" s="2163"/>
      <c r="C1854" s="2163"/>
      <c r="D1854" s="2163"/>
      <c r="E1854" s="2163"/>
      <c r="F1854" s="2163"/>
      <c r="G1854" s="2163"/>
      <c r="H1854" s="2163"/>
      <c r="I1854" s="2163"/>
      <c r="J1854" s="2163"/>
      <c r="K1854" s="2163"/>
      <c r="L1854" s="2163"/>
      <c r="M1854" s="2163"/>
    </row>
    <row r="1855" spans="1:15">
      <c r="A1855" s="2529"/>
      <c r="B1855" s="2529"/>
      <c r="C1855" s="2529"/>
      <c r="D1855" s="2166"/>
      <c r="E1855" s="2166"/>
      <c r="F1855" s="2166"/>
      <c r="G1855" s="2166"/>
      <c r="H1855" s="2525"/>
      <c r="I1855" s="2525"/>
      <c r="J1855" s="2525"/>
      <c r="K1855" s="2166"/>
      <c r="L1855" s="2167"/>
      <c r="M1855" s="2166"/>
    </row>
    <row r="1856" spans="1:15">
      <c r="A1856" s="2164"/>
      <c r="B1856" s="2164"/>
      <c r="C1856" s="2164"/>
      <c r="D1856" s="2164"/>
      <c r="E1856" s="2522" t="s">
        <v>2639</v>
      </c>
      <c r="F1856" s="2522"/>
      <c r="G1856" s="2164"/>
      <c r="H1856" s="2523">
        <v>0</v>
      </c>
      <c r="I1856" s="2523"/>
      <c r="J1856" s="2523"/>
      <c r="K1856" s="2163"/>
      <c r="L1856" s="2523">
        <v>0</v>
      </c>
      <c r="M1856" s="2163"/>
    </row>
    <row r="1857" spans="1:15">
      <c r="A1857" s="2164"/>
      <c r="B1857" s="2164"/>
      <c r="C1857" s="2164"/>
      <c r="D1857" s="2164"/>
      <c r="E1857" s="2164"/>
      <c r="F1857" s="2164"/>
      <c r="G1857" s="2164"/>
      <c r="H1857" s="2523"/>
      <c r="I1857" s="2523"/>
      <c r="J1857" s="2523"/>
      <c r="K1857" s="2163"/>
      <c r="L1857" s="2523"/>
      <c r="M1857" s="2163"/>
    </row>
    <row r="1858" spans="1:15">
      <c r="A1858" s="2160" t="s">
        <v>2723</v>
      </c>
      <c r="B1858" s="2161"/>
      <c r="C1858" s="2160" t="s">
        <v>2724</v>
      </c>
      <c r="D1858" s="2161"/>
      <c r="E1858" s="2160" t="s">
        <v>2698</v>
      </c>
      <c r="F1858" s="2161"/>
    </row>
    <row r="1859" spans="1:15">
      <c r="A1859" s="2163"/>
      <c r="B1859" s="2163"/>
      <c r="C1859" s="2163"/>
      <c r="D1859" s="2163"/>
      <c r="E1859" s="2163"/>
      <c r="F1859" s="2163"/>
      <c r="G1859" s="2163"/>
      <c r="H1859" s="2163"/>
      <c r="I1859" s="2163"/>
      <c r="J1859" s="2163"/>
      <c r="K1859" s="2163"/>
      <c r="L1859" s="2163"/>
      <c r="M1859" s="2163"/>
    </row>
    <row r="1860" spans="1:15">
      <c r="A1860" s="2164"/>
      <c r="H1860" s="2522" t="s">
        <v>2637</v>
      </c>
      <c r="I1860" s="2522"/>
      <c r="J1860" s="2163"/>
      <c r="K1860" s="2523">
        <v>0</v>
      </c>
      <c r="L1860" s="2523"/>
      <c r="M1860" s="2163"/>
      <c r="N1860" s="2527"/>
      <c r="O1860" s="2163"/>
    </row>
    <row r="1861" spans="1:15">
      <c r="H1861" s="2163"/>
      <c r="I1861" s="2163"/>
      <c r="J1861" s="2163"/>
      <c r="K1861" s="2523"/>
      <c r="L1861" s="2523"/>
      <c r="N1861" s="2527"/>
    </row>
    <row r="1862" spans="1:15">
      <c r="A1862" s="2165">
        <v>26182</v>
      </c>
      <c r="B1862" s="2163"/>
      <c r="C1862" s="2524" t="s">
        <v>2642</v>
      </c>
      <c r="D1862" s="2524"/>
      <c r="E1862" s="2524"/>
      <c r="F1862" s="2524"/>
      <c r="G1862" s="2524"/>
      <c r="H1862" s="2524"/>
      <c r="I1862" s="2524"/>
      <c r="J1862" s="2163"/>
      <c r="K1862" s="2163"/>
      <c r="L1862" s="2163"/>
      <c r="M1862" s="2163"/>
    </row>
    <row r="1863" spans="1:15">
      <c r="A1863" s="2163"/>
      <c r="B1863" s="2163"/>
      <c r="C1863" s="2163"/>
      <c r="D1863" s="2163"/>
      <c r="E1863" s="2163"/>
      <c r="F1863" s="2163"/>
      <c r="G1863" s="2163"/>
      <c r="H1863" s="2163"/>
      <c r="I1863" s="2163"/>
      <c r="J1863" s="2163"/>
      <c r="K1863" s="2163"/>
      <c r="L1863" s="2163"/>
      <c r="M1863" s="2163"/>
    </row>
    <row r="1864" spans="1:15">
      <c r="A1864" s="2529"/>
      <c r="B1864" s="2529"/>
      <c r="C1864" s="2529"/>
      <c r="D1864" s="2166"/>
      <c r="E1864" s="2166"/>
      <c r="F1864" s="2166"/>
      <c r="G1864" s="2166"/>
      <c r="H1864" s="2525"/>
      <c r="I1864" s="2525"/>
      <c r="J1864" s="2525"/>
      <c r="K1864" s="2166"/>
      <c r="L1864" s="2167"/>
      <c r="M1864" s="2166"/>
    </row>
    <row r="1865" spans="1:15">
      <c r="A1865" s="2164"/>
      <c r="B1865" s="2164"/>
      <c r="C1865" s="2164"/>
      <c r="D1865" s="2164"/>
      <c r="E1865" s="2522" t="s">
        <v>2639</v>
      </c>
      <c r="F1865" s="2522"/>
      <c r="G1865" s="2164"/>
      <c r="H1865" s="2523">
        <v>0</v>
      </c>
      <c r="I1865" s="2523"/>
      <c r="J1865" s="2523"/>
      <c r="K1865" s="2163"/>
      <c r="L1865" s="2523">
        <v>0</v>
      </c>
      <c r="M1865" s="2163"/>
    </row>
    <row r="1866" spans="1:15">
      <c r="A1866" s="2164"/>
      <c r="B1866" s="2164"/>
      <c r="C1866" s="2164"/>
      <c r="D1866" s="2164"/>
      <c r="E1866" s="2164"/>
      <c r="F1866" s="2164"/>
      <c r="G1866" s="2164"/>
      <c r="H1866" s="2523"/>
      <c r="I1866" s="2523"/>
      <c r="J1866" s="2523"/>
      <c r="K1866" s="2163"/>
      <c r="L1866" s="2523"/>
      <c r="M1866" s="2163"/>
    </row>
    <row r="1867" spans="1:15">
      <c r="A1867" s="2160" t="s">
        <v>2723</v>
      </c>
      <c r="B1867" s="2161"/>
      <c r="C1867" s="2160" t="s">
        <v>2724</v>
      </c>
      <c r="D1867" s="2161"/>
      <c r="E1867" s="2160" t="s">
        <v>2698</v>
      </c>
      <c r="F1867" s="2161"/>
    </row>
    <row r="1868" spans="1:15">
      <c r="A1868" s="2163"/>
      <c r="B1868" s="2163"/>
      <c r="C1868" s="2163"/>
      <c r="D1868" s="2163"/>
      <c r="E1868" s="2163"/>
      <c r="F1868" s="2163"/>
      <c r="G1868" s="2163"/>
      <c r="H1868" s="2163"/>
      <c r="I1868" s="2163"/>
      <c r="J1868" s="2163"/>
      <c r="K1868" s="2163"/>
      <c r="L1868" s="2163"/>
      <c r="M1868" s="2163"/>
    </row>
    <row r="1869" spans="1:15">
      <c r="A1869" s="2164"/>
      <c r="H1869" s="2522" t="s">
        <v>2637</v>
      </c>
      <c r="I1869" s="2522"/>
      <c r="J1869" s="2163"/>
      <c r="K1869" s="2523">
        <v>0</v>
      </c>
      <c r="L1869" s="2523"/>
      <c r="M1869" s="2163"/>
      <c r="N1869" s="2527"/>
      <c r="O1869" s="2163"/>
    </row>
    <row r="1870" spans="1:15">
      <c r="H1870" s="2163"/>
      <c r="I1870" s="2163"/>
      <c r="J1870" s="2163"/>
      <c r="K1870" s="2523"/>
      <c r="L1870" s="2523"/>
      <c r="N1870" s="2527"/>
    </row>
    <row r="1871" spans="1:15">
      <c r="A1871" s="2165">
        <v>26204</v>
      </c>
      <c r="B1871" s="2163"/>
      <c r="C1871" s="2524" t="s">
        <v>2655</v>
      </c>
      <c r="D1871" s="2524"/>
      <c r="E1871" s="2524"/>
      <c r="F1871" s="2524"/>
      <c r="G1871" s="2524"/>
      <c r="H1871" s="2524"/>
      <c r="I1871" s="2524"/>
      <c r="J1871" s="2163"/>
      <c r="K1871" s="2163"/>
      <c r="L1871" s="2163"/>
      <c r="M1871" s="2163"/>
    </row>
    <row r="1872" spans="1:15">
      <c r="A1872" s="2163"/>
      <c r="B1872" s="2163"/>
      <c r="C1872" s="2163"/>
      <c r="D1872" s="2163"/>
      <c r="E1872" s="2163"/>
      <c r="F1872" s="2163"/>
      <c r="G1872" s="2163"/>
      <c r="H1872" s="2163"/>
      <c r="I1872" s="2163"/>
      <c r="J1872" s="2163"/>
      <c r="K1872" s="2163"/>
      <c r="L1872" s="2163"/>
      <c r="M1872" s="2163"/>
    </row>
    <row r="1873" spans="1:15">
      <c r="A1873" s="2529"/>
      <c r="B1873" s="2529"/>
      <c r="C1873" s="2529"/>
      <c r="D1873" s="2166"/>
      <c r="E1873" s="2166"/>
      <c r="F1873" s="2166"/>
      <c r="G1873" s="2166"/>
      <c r="H1873" s="2525"/>
      <c r="I1873" s="2525"/>
      <c r="J1873" s="2525"/>
      <c r="K1873" s="2166"/>
      <c r="L1873" s="2167"/>
      <c r="M1873" s="2166"/>
    </row>
    <row r="1874" spans="1:15">
      <c r="A1874" s="2164"/>
      <c r="B1874" s="2164"/>
      <c r="C1874" s="2164"/>
      <c r="D1874" s="2164"/>
      <c r="E1874" s="2522" t="s">
        <v>2639</v>
      </c>
      <c r="F1874" s="2522"/>
      <c r="G1874" s="2164"/>
      <c r="H1874" s="2523">
        <v>0</v>
      </c>
      <c r="I1874" s="2523"/>
      <c r="J1874" s="2523"/>
      <c r="K1874" s="2163"/>
      <c r="L1874" s="2523">
        <v>0</v>
      </c>
      <c r="M1874" s="2163"/>
    </row>
    <row r="1875" spans="1:15">
      <c r="A1875" s="2164"/>
      <c r="B1875" s="2164"/>
      <c r="C1875" s="2164"/>
      <c r="D1875" s="2164"/>
      <c r="E1875" s="2164"/>
      <c r="F1875" s="2164"/>
      <c r="G1875" s="2164"/>
      <c r="H1875" s="2523"/>
      <c r="I1875" s="2523"/>
      <c r="J1875" s="2523"/>
      <c r="K1875" s="2163"/>
      <c r="L1875" s="2523"/>
      <c r="M1875" s="2163"/>
    </row>
    <row r="1876" spans="1:15">
      <c r="A1876" s="2160" t="s">
        <v>2723</v>
      </c>
      <c r="B1876" s="2161"/>
      <c r="C1876" s="2160" t="s">
        <v>2724</v>
      </c>
      <c r="D1876" s="2161"/>
      <c r="E1876" s="2160" t="s">
        <v>2698</v>
      </c>
      <c r="F1876" s="2161"/>
    </row>
    <row r="1877" spans="1:15">
      <c r="A1877" s="2163"/>
      <c r="B1877" s="2163"/>
      <c r="C1877" s="2163"/>
      <c r="D1877" s="2163"/>
      <c r="E1877" s="2163"/>
      <c r="F1877" s="2163"/>
      <c r="G1877" s="2163"/>
      <c r="H1877" s="2163"/>
      <c r="I1877" s="2163"/>
      <c r="J1877" s="2163"/>
      <c r="K1877" s="2163"/>
      <c r="L1877" s="2163"/>
      <c r="M1877" s="2163"/>
    </row>
    <row r="1878" spans="1:15">
      <c r="A1878" s="2164"/>
      <c r="H1878" s="2522" t="s">
        <v>2637</v>
      </c>
      <c r="I1878" s="2522"/>
      <c r="J1878" s="2163"/>
      <c r="K1878" s="2528">
        <v>462335.87829999998</v>
      </c>
      <c r="L1878" s="2528"/>
      <c r="M1878" s="2163"/>
      <c r="N1878" s="2527" t="s">
        <v>3024</v>
      </c>
      <c r="O1878" s="2163"/>
    </row>
    <row r="1879" spans="1:15">
      <c r="H1879" s="2163"/>
      <c r="I1879" s="2163"/>
      <c r="J1879" s="2163"/>
      <c r="K1879" s="2528"/>
      <c r="L1879" s="2528"/>
      <c r="N1879" s="2527"/>
    </row>
    <row r="1880" spans="1:15">
      <c r="A1880" s="2165">
        <v>32346</v>
      </c>
      <c r="B1880" s="2163"/>
      <c r="C1880" s="2524" t="s">
        <v>2656</v>
      </c>
      <c r="D1880" s="2524"/>
      <c r="E1880" s="2524"/>
      <c r="F1880" s="2524"/>
      <c r="G1880" s="2524"/>
      <c r="H1880" s="2524"/>
      <c r="I1880" s="2524"/>
      <c r="J1880" s="2163"/>
      <c r="K1880" s="2163"/>
      <c r="L1880" s="2163"/>
      <c r="M1880" s="2163"/>
    </row>
    <row r="1881" spans="1:15">
      <c r="A1881" s="2163"/>
      <c r="B1881" s="2163"/>
      <c r="C1881" s="2163"/>
      <c r="D1881" s="2163"/>
      <c r="E1881" s="2163"/>
      <c r="F1881" s="2163"/>
      <c r="G1881" s="2163"/>
      <c r="H1881" s="2163"/>
      <c r="I1881" s="2163"/>
      <c r="J1881" s="2163"/>
      <c r="K1881" s="2163"/>
      <c r="L1881" s="2163"/>
      <c r="M1881" s="2163"/>
    </row>
    <row r="1882" spans="1:15">
      <c r="A1882" s="2529"/>
      <c r="B1882" s="2529"/>
      <c r="C1882" s="2529"/>
      <c r="D1882" s="2166"/>
      <c r="E1882" s="2166"/>
      <c r="F1882" s="2166"/>
      <c r="G1882" s="2166"/>
      <c r="H1882" s="2525"/>
      <c r="I1882" s="2525"/>
      <c r="J1882" s="2525"/>
      <c r="K1882" s="2166"/>
      <c r="L1882" s="2167"/>
      <c r="M1882" s="2166"/>
    </row>
    <row r="1883" spans="1:15">
      <c r="A1883" s="2164"/>
      <c r="B1883" s="2164"/>
      <c r="C1883" s="2164"/>
      <c r="D1883" s="2164"/>
      <c r="E1883" s="2522" t="s">
        <v>2639</v>
      </c>
      <c r="F1883" s="2522"/>
      <c r="G1883" s="2164"/>
      <c r="H1883" s="2528">
        <v>462335.87829999998</v>
      </c>
      <c r="I1883" s="2528"/>
      <c r="J1883" s="2528"/>
      <c r="K1883" s="2163"/>
      <c r="L1883" s="2528">
        <v>4646475.58</v>
      </c>
      <c r="M1883" s="2163"/>
    </row>
    <row r="1884" spans="1:15">
      <c r="A1884" s="2164"/>
      <c r="B1884" s="2164"/>
      <c r="C1884" s="2164"/>
      <c r="D1884" s="2164"/>
      <c r="E1884" s="2164"/>
      <c r="F1884" s="2164"/>
      <c r="G1884" s="2164"/>
      <c r="H1884" s="2528"/>
      <c r="I1884" s="2528"/>
      <c r="J1884" s="2528"/>
      <c r="K1884" s="2163"/>
      <c r="L1884" s="2528"/>
      <c r="M1884" s="2163"/>
    </row>
    <row r="1885" spans="1:15">
      <c r="A1885" s="2160" t="s">
        <v>2723</v>
      </c>
      <c r="B1885" s="2161"/>
      <c r="C1885" s="2160" t="s">
        <v>2724</v>
      </c>
      <c r="D1885" s="2161"/>
      <c r="E1885" s="2160" t="s">
        <v>2722</v>
      </c>
      <c r="F1885" s="2161"/>
    </row>
    <row r="1886" spans="1:15">
      <c r="A1886" s="2163"/>
      <c r="B1886" s="2163"/>
      <c r="C1886" s="2163"/>
      <c r="D1886" s="2163"/>
      <c r="E1886" s="2163"/>
      <c r="F1886" s="2163"/>
      <c r="G1886" s="2163"/>
      <c r="H1886" s="2163"/>
      <c r="I1886" s="2163"/>
      <c r="J1886" s="2163"/>
      <c r="K1886" s="2163"/>
      <c r="L1886" s="2163"/>
      <c r="M1886" s="2163"/>
    </row>
    <row r="1887" spans="1:15">
      <c r="A1887" s="2164"/>
      <c r="H1887" s="2522" t="s">
        <v>2637</v>
      </c>
      <c r="I1887" s="2522"/>
      <c r="J1887" s="2163"/>
      <c r="K1887" s="2528">
        <v>313962.04849999998</v>
      </c>
      <c r="L1887" s="2528"/>
      <c r="M1887" s="2163"/>
      <c r="N1887" s="2527" t="s">
        <v>3025</v>
      </c>
      <c r="O1887" s="2163"/>
    </row>
    <row r="1888" spans="1:15">
      <c r="H1888" s="2163"/>
      <c r="I1888" s="2163"/>
      <c r="J1888" s="2163"/>
      <c r="K1888" s="2528"/>
      <c r="L1888" s="2528"/>
      <c r="N1888" s="2527"/>
    </row>
    <row r="1889" spans="1:15">
      <c r="A1889" s="2165">
        <v>24543</v>
      </c>
      <c r="B1889" s="2163"/>
      <c r="C1889" s="2524" t="s">
        <v>2642</v>
      </c>
      <c r="D1889" s="2524"/>
      <c r="E1889" s="2524"/>
      <c r="F1889" s="2524"/>
      <c r="G1889" s="2524"/>
      <c r="H1889" s="2524"/>
      <c r="I1889" s="2524"/>
      <c r="J1889" s="2163"/>
      <c r="K1889" s="2163"/>
      <c r="L1889" s="2163"/>
      <c r="M1889" s="2163"/>
    </row>
    <row r="1890" spans="1:15">
      <c r="A1890" s="2163"/>
      <c r="B1890" s="2163"/>
      <c r="C1890" s="2163"/>
      <c r="D1890" s="2163"/>
      <c r="E1890" s="2163"/>
      <c r="F1890" s="2163"/>
      <c r="G1890" s="2163"/>
      <c r="H1890" s="2163"/>
      <c r="I1890" s="2163"/>
      <c r="J1890" s="2163"/>
      <c r="K1890" s="2163"/>
      <c r="L1890" s="2163"/>
      <c r="M1890" s="2163"/>
    </row>
    <row r="1891" spans="1:15">
      <c r="A1891" s="2529"/>
      <c r="B1891" s="2529"/>
      <c r="C1891" s="2529"/>
      <c r="D1891" s="2166"/>
      <c r="E1891" s="2166"/>
      <c r="F1891" s="2166"/>
      <c r="G1891" s="2166"/>
      <c r="H1891" s="2525"/>
      <c r="I1891" s="2525"/>
      <c r="J1891" s="2525"/>
      <c r="K1891" s="2166"/>
      <c r="L1891" s="2167"/>
      <c r="M1891" s="2166"/>
    </row>
    <row r="1892" spans="1:15">
      <c r="A1892" s="2164"/>
      <c r="B1892" s="2164"/>
      <c r="C1892" s="2164"/>
      <c r="D1892" s="2164"/>
      <c r="E1892" s="2522" t="s">
        <v>2639</v>
      </c>
      <c r="F1892" s="2522"/>
      <c r="G1892" s="2164"/>
      <c r="H1892" s="2528">
        <v>313962.04849999998</v>
      </c>
      <c r="I1892" s="2528"/>
      <c r="J1892" s="2528"/>
      <c r="K1892" s="2163"/>
      <c r="L1892" s="2528">
        <v>3155318.59</v>
      </c>
      <c r="M1892" s="2163"/>
    </row>
    <row r="1893" spans="1:15">
      <c r="A1893" s="2164"/>
      <c r="B1893" s="2164"/>
      <c r="C1893" s="2164"/>
      <c r="D1893" s="2164"/>
      <c r="E1893" s="2164"/>
      <c r="F1893" s="2164"/>
      <c r="G1893" s="2164"/>
      <c r="H1893" s="2528"/>
      <c r="I1893" s="2528"/>
      <c r="J1893" s="2528"/>
      <c r="K1893" s="2163"/>
      <c r="L1893" s="2528"/>
      <c r="M1893" s="2163"/>
    </row>
    <row r="1894" spans="1:15">
      <c r="A1894" s="2160" t="s">
        <v>2723</v>
      </c>
      <c r="B1894" s="2161"/>
      <c r="C1894" s="2160" t="s">
        <v>2724</v>
      </c>
      <c r="D1894" s="2161"/>
      <c r="E1894" s="2160" t="s">
        <v>2722</v>
      </c>
      <c r="F1894" s="2161"/>
    </row>
    <row r="1895" spans="1:15">
      <c r="A1895" s="2163"/>
      <c r="B1895" s="2163"/>
      <c r="C1895" s="2163"/>
      <c r="D1895" s="2163"/>
      <c r="E1895" s="2163"/>
      <c r="F1895" s="2163"/>
      <c r="G1895" s="2163"/>
      <c r="H1895" s="2163"/>
      <c r="I1895" s="2163"/>
      <c r="J1895" s="2163"/>
      <c r="K1895" s="2163"/>
      <c r="L1895" s="2163"/>
      <c r="M1895" s="2163"/>
    </row>
    <row r="1896" spans="1:15">
      <c r="A1896" s="2164"/>
      <c r="H1896" s="2522" t="s">
        <v>2637</v>
      </c>
      <c r="I1896" s="2522"/>
      <c r="J1896" s="2163"/>
      <c r="K1896" s="2528">
        <v>114451.7148</v>
      </c>
      <c r="L1896" s="2528"/>
      <c r="M1896" s="2163"/>
      <c r="N1896" s="2527" t="s">
        <v>3026</v>
      </c>
      <c r="O1896" s="2163"/>
    </row>
    <row r="1897" spans="1:15">
      <c r="H1897" s="2163"/>
      <c r="I1897" s="2163"/>
      <c r="J1897" s="2163"/>
      <c r="K1897" s="2528"/>
      <c r="L1897" s="2528"/>
      <c r="N1897" s="2527"/>
    </row>
    <row r="1898" spans="1:15">
      <c r="A1898" s="2165">
        <v>26182</v>
      </c>
      <c r="B1898" s="2163"/>
      <c r="C1898" s="2524" t="s">
        <v>2642</v>
      </c>
      <c r="D1898" s="2524"/>
      <c r="E1898" s="2524"/>
      <c r="F1898" s="2524"/>
      <c r="G1898" s="2524"/>
      <c r="H1898" s="2524"/>
      <c r="I1898" s="2524"/>
      <c r="J1898" s="2163"/>
      <c r="K1898" s="2163"/>
      <c r="L1898" s="2163"/>
      <c r="M1898" s="2163"/>
    </row>
    <row r="1899" spans="1:15">
      <c r="A1899" s="2163"/>
      <c r="B1899" s="2163"/>
      <c r="C1899" s="2163"/>
      <c r="D1899" s="2163"/>
      <c r="E1899" s="2163"/>
      <c r="F1899" s="2163"/>
      <c r="G1899" s="2163"/>
      <c r="H1899" s="2163"/>
      <c r="I1899" s="2163"/>
      <c r="J1899" s="2163"/>
      <c r="K1899" s="2163"/>
      <c r="L1899" s="2163"/>
      <c r="M1899" s="2163"/>
    </row>
    <row r="1900" spans="1:15">
      <c r="A1900" s="2529"/>
      <c r="B1900" s="2529"/>
      <c r="C1900" s="2529"/>
      <c r="D1900" s="2166"/>
      <c r="E1900" s="2166"/>
      <c r="F1900" s="2166"/>
      <c r="G1900" s="2166"/>
      <c r="H1900" s="2525"/>
      <c r="I1900" s="2525"/>
      <c r="J1900" s="2525"/>
      <c r="K1900" s="2166"/>
      <c r="L1900" s="2167"/>
      <c r="M1900" s="2166"/>
    </row>
    <row r="1901" spans="1:15">
      <c r="A1901" s="2164"/>
      <c r="B1901" s="2164"/>
      <c r="C1901" s="2164"/>
      <c r="D1901" s="2164"/>
      <c r="E1901" s="2522" t="s">
        <v>2639</v>
      </c>
      <c r="F1901" s="2522"/>
      <c r="G1901" s="2164"/>
      <c r="H1901" s="2528">
        <v>114451.7148</v>
      </c>
      <c r="I1901" s="2528"/>
      <c r="J1901" s="2528"/>
      <c r="K1901" s="2163"/>
      <c r="L1901" s="2528">
        <v>1150239.73</v>
      </c>
      <c r="M1901" s="2163"/>
    </row>
    <row r="1902" spans="1:15">
      <c r="A1902" s="2164"/>
      <c r="B1902" s="2164"/>
      <c r="C1902" s="2164"/>
      <c r="D1902" s="2164"/>
      <c r="E1902" s="2164"/>
      <c r="F1902" s="2164"/>
      <c r="G1902" s="2164"/>
      <c r="H1902" s="2528"/>
      <c r="I1902" s="2528"/>
      <c r="J1902" s="2528"/>
      <c r="K1902" s="2163"/>
      <c r="L1902" s="2528"/>
      <c r="M1902" s="2163"/>
    </row>
    <row r="1903" spans="1:15">
      <c r="A1903" s="2160" t="s">
        <v>2723</v>
      </c>
      <c r="B1903" s="2161"/>
      <c r="C1903" s="2160" t="s">
        <v>2724</v>
      </c>
      <c r="D1903" s="2161"/>
      <c r="E1903" s="2160" t="s">
        <v>2722</v>
      </c>
      <c r="F1903" s="2161"/>
    </row>
    <row r="1904" spans="1:15">
      <c r="A1904" s="2163"/>
      <c r="B1904" s="2163"/>
      <c r="C1904" s="2163"/>
      <c r="D1904" s="2163"/>
      <c r="E1904" s="2163"/>
      <c r="F1904" s="2163"/>
      <c r="G1904" s="2163"/>
      <c r="H1904" s="2163"/>
      <c r="I1904" s="2163"/>
      <c r="J1904" s="2163"/>
      <c r="K1904" s="2163"/>
      <c r="L1904" s="2163"/>
      <c r="M1904" s="2163"/>
    </row>
    <row r="1905" spans="1:15">
      <c r="A1905" s="2164"/>
      <c r="H1905" s="2522" t="s">
        <v>2637</v>
      </c>
      <c r="I1905" s="2522"/>
      <c r="J1905" s="2163"/>
      <c r="K1905" s="2523">
        <v>2.3800000000000002E-2</v>
      </c>
      <c r="L1905" s="2523"/>
      <c r="M1905" s="2163"/>
      <c r="N1905" s="2527"/>
      <c r="O1905" s="2163"/>
    </row>
    <row r="1906" spans="1:15">
      <c r="H1906" s="2163"/>
      <c r="I1906" s="2163"/>
      <c r="J1906" s="2163"/>
      <c r="K1906" s="2523"/>
      <c r="L1906" s="2523"/>
      <c r="N1906" s="2527"/>
    </row>
    <row r="1907" spans="1:15">
      <c r="A1907" s="2165">
        <v>30823</v>
      </c>
      <c r="B1907" s="2163"/>
      <c r="C1907" s="2524" t="s">
        <v>2642</v>
      </c>
      <c r="D1907" s="2524"/>
      <c r="E1907" s="2524"/>
      <c r="F1907" s="2524"/>
      <c r="G1907" s="2524"/>
      <c r="H1907" s="2524"/>
      <c r="I1907" s="2524"/>
      <c r="J1907" s="2163"/>
      <c r="K1907" s="2163"/>
      <c r="L1907" s="2163"/>
      <c r="M1907" s="2163"/>
    </row>
    <row r="1908" spans="1:15">
      <c r="A1908" s="2163"/>
      <c r="B1908" s="2163"/>
      <c r="C1908" s="2163"/>
      <c r="D1908" s="2163"/>
      <c r="E1908" s="2163"/>
      <c r="F1908" s="2163"/>
      <c r="G1908" s="2163"/>
      <c r="H1908" s="2163"/>
      <c r="I1908" s="2163"/>
      <c r="J1908" s="2163"/>
      <c r="K1908" s="2163"/>
      <c r="L1908" s="2163"/>
      <c r="M1908" s="2163"/>
    </row>
    <row r="1909" spans="1:15">
      <c r="A1909" s="2529"/>
      <c r="B1909" s="2529"/>
      <c r="C1909" s="2529"/>
      <c r="D1909" s="2166"/>
      <c r="E1909" s="2166"/>
      <c r="F1909" s="2166"/>
      <c r="G1909" s="2166"/>
      <c r="H1909" s="2525"/>
      <c r="I1909" s="2525"/>
      <c r="J1909" s="2525"/>
      <c r="K1909" s="2166"/>
      <c r="L1909" s="2167"/>
      <c r="M1909" s="2166"/>
    </row>
    <row r="1910" spans="1:15">
      <c r="A1910" s="2164"/>
      <c r="B1910" s="2164"/>
      <c r="C1910" s="2164"/>
      <c r="D1910" s="2164"/>
      <c r="E1910" s="2522" t="s">
        <v>2639</v>
      </c>
      <c r="F1910" s="2522"/>
      <c r="G1910" s="2164"/>
      <c r="H1910" s="2523">
        <v>2.3800000000000002E-2</v>
      </c>
      <c r="I1910" s="2523"/>
      <c r="J1910" s="2523"/>
      <c r="K1910" s="2163"/>
      <c r="L1910" s="2523">
        <v>0.24</v>
      </c>
      <c r="M1910" s="2163"/>
    </row>
    <row r="1911" spans="1:15">
      <c r="A1911" s="2164"/>
      <c r="B1911" s="2164"/>
      <c r="C1911" s="2164"/>
      <c r="D1911" s="2164"/>
      <c r="E1911" s="2164"/>
      <c r="F1911" s="2164"/>
      <c r="G1911" s="2164"/>
      <c r="H1911" s="2523"/>
      <c r="I1911" s="2523"/>
      <c r="J1911" s="2523"/>
      <c r="K1911" s="2163"/>
      <c r="L1911" s="2523"/>
      <c r="M1911" s="2163"/>
    </row>
    <row r="1912" spans="1:15">
      <c r="A1912" s="2160" t="s">
        <v>2723</v>
      </c>
      <c r="B1912" s="2161"/>
      <c r="C1912" s="2160" t="s">
        <v>2724</v>
      </c>
      <c r="D1912" s="2161"/>
      <c r="E1912" s="2160" t="s">
        <v>2722</v>
      </c>
      <c r="F1912" s="2161"/>
    </row>
    <row r="1913" spans="1:15">
      <c r="A1913" s="2163"/>
      <c r="B1913" s="2163"/>
      <c r="C1913" s="2163"/>
      <c r="D1913" s="2163"/>
      <c r="E1913" s="2163"/>
      <c r="F1913" s="2163"/>
      <c r="G1913" s="2163"/>
      <c r="H1913" s="2163"/>
      <c r="I1913" s="2163"/>
      <c r="J1913" s="2163"/>
      <c r="K1913" s="2163"/>
      <c r="L1913" s="2163"/>
      <c r="M1913" s="2163"/>
    </row>
    <row r="1914" spans="1:15">
      <c r="A1914" s="2164"/>
      <c r="H1914" s="2522" t="s">
        <v>2637</v>
      </c>
      <c r="I1914" s="2522"/>
      <c r="J1914" s="2163"/>
      <c r="K1914" s="2528">
        <v>8941197.0261000004</v>
      </c>
      <c r="L1914" s="2528"/>
      <c r="M1914" s="2163"/>
      <c r="N1914" s="2527" t="s">
        <v>3027</v>
      </c>
      <c r="O1914" s="2163"/>
    </row>
    <row r="1915" spans="1:15">
      <c r="H1915" s="2163"/>
      <c r="I1915" s="2163"/>
      <c r="J1915" s="2163"/>
      <c r="K1915" s="2528"/>
      <c r="L1915" s="2528"/>
      <c r="N1915" s="2527"/>
    </row>
    <row r="1916" spans="1:15">
      <c r="A1916" s="2165">
        <v>44234</v>
      </c>
      <c r="B1916" s="2163"/>
      <c r="C1916" s="2524" t="s">
        <v>2658</v>
      </c>
      <c r="D1916" s="2524"/>
      <c r="E1916" s="2524"/>
      <c r="F1916" s="2524"/>
      <c r="G1916" s="2524"/>
      <c r="H1916" s="2524"/>
      <c r="I1916" s="2524"/>
      <c r="J1916" s="2163"/>
      <c r="K1916" s="2163"/>
      <c r="L1916" s="2163"/>
      <c r="M1916" s="2163"/>
    </row>
    <row r="1917" spans="1:15">
      <c r="A1917" s="2163"/>
      <c r="B1917" s="2163"/>
      <c r="C1917" s="2163"/>
      <c r="D1917" s="2163"/>
      <c r="E1917" s="2163"/>
      <c r="F1917" s="2163"/>
      <c r="G1917" s="2163"/>
      <c r="H1917" s="2163"/>
      <c r="I1917" s="2163"/>
      <c r="J1917" s="2163"/>
      <c r="K1917" s="2163"/>
      <c r="L1917" s="2163"/>
      <c r="M1917" s="2163"/>
    </row>
    <row r="1918" spans="1:15">
      <c r="A1918" s="2520" t="s">
        <v>2647</v>
      </c>
      <c r="B1918" s="2520"/>
      <c r="C1918" s="2520"/>
      <c r="D1918" s="2166"/>
      <c r="E1918" s="2166"/>
      <c r="F1918" s="2166"/>
      <c r="G1918" s="2166"/>
      <c r="H1918" s="2526">
        <v>1372549.02</v>
      </c>
      <c r="I1918" s="2526"/>
      <c r="J1918" s="2526"/>
      <c r="K1918" s="2166"/>
      <c r="L1918" s="2168">
        <v>14000000</v>
      </c>
      <c r="M1918" s="2166"/>
    </row>
    <row r="1919" spans="1:15">
      <c r="A1919" s="2164"/>
      <c r="B1919" s="2164"/>
      <c r="C1919" s="2164"/>
      <c r="D1919" s="2164"/>
      <c r="E1919" s="2522" t="s">
        <v>2639</v>
      </c>
      <c r="F1919" s="2522"/>
      <c r="G1919" s="2164"/>
      <c r="H1919" s="2528">
        <v>10313746.045700001</v>
      </c>
      <c r="I1919" s="2528"/>
      <c r="J1919" s="2528"/>
      <c r="K1919" s="2163"/>
      <c r="L1919" s="2528">
        <v>103653147.76000001</v>
      </c>
      <c r="M1919" s="2163"/>
    </row>
    <row r="1920" spans="1:15">
      <c r="A1920" s="2164"/>
      <c r="B1920" s="2164"/>
      <c r="C1920" s="2164"/>
      <c r="D1920" s="2164"/>
      <c r="E1920" s="2164"/>
      <c r="F1920" s="2164"/>
      <c r="G1920" s="2164"/>
      <c r="H1920" s="2528"/>
      <c r="I1920" s="2528"/>
      <c r="J1920" s="2528"/>
      <c r="K1920" s="2163"/>
      <c r="L1920" s="2528"/>
      <c r="M1920" s="2163"/>
    </row>
    <row r="1921" spans="1:15">
      <c r="A1921" s="2160" t="s">
        <v>2723</v>
      </c>
      <c r="B1921" s="2161"/>
      <c r="C1921" s="2160" t="s">
        <v>2724</v>
      </c>
      <c r="D1921" s="2161"/>
      <c r="E1921" s="2160" t="s">
        <v>2722</v>
      </c>
      <c r="F1921" s="2161"/>
    </row>
    <row r="1922" spans="1:15">
      <c r="A1922" s="2163"/>
      <c r="B1922" s="2163"/>
      <c r="C1922" s="2163"/>
      <c r="D1922" s="2163"/>
      <c r="E1922" s="2163"/>
      <c r="F1922" s="2163"/>
      <c r="G1922" s="2163"/>
      <c r="H1922" s="2163"/>
      <c r="I1922" s="2163"/>
      <c r="J1922" s="2163"/>
      <c r="K1922" s="2163"/>
      <c r="L1922" s="2163"/>
      <c r="M1922" s="2163"/>
    </row>
    <row r="1923" spans="1:15">
      <c r="A1923" s="2164"/>
      <c r="H1923" s="2522" t="s">
        <v>2637</v>
      </c>
      <c r="I1923" s="2522"/>
      <c r="J1923" s="2163"/>
      <c r="K1923" s="2528">
        <v>94010563.006600007</v>
      </c>
      <c r="L1923" s="2528"/>
      <c r="M1923" s="2163"/>
      <c r="N1923" s="2527" t="s">
        <v>3028</v>
      </c>
      <c r="O1923" s="2163"/>
    </row>
    <row r="1924" spans="1:15">
      <c r="H1924" s="2163"/>
      <c r="I1924" s="2163"/>
      <c r="J1924" s="2163"/>
      <c r="K1924" s="2528"/>
      <c r="L1924" s="2528"/>
      <c r="N1924" s="2527"/>
    </row>
    <row r="1925" spans="1:15">
      <c r="A1925" s="2165">
        <v>46553</v>
      </c>
      <c r="B1925" s="2163"/>
      <c r="C1925" s="2524" t="s">
        <v>2662</v>
      </c>
      <c r="D1925" s="2524"/>
      <c r="E1925" s="2524"/>
      <c r="F1925" s="2524"/>
      <c r="G1925" s="2524"/>
      <c r="H1925" s="2524"/>
      <c r="I1925" s="2524"/>
      <c r="J1925" s="2163"/>
      <c r="K1925" s="2163"/>
      <c r="L1925" s="2163"/>
      <c r="M1925" s="2163"/>
    </row>
    <row r="1926" spans="1:15">
      <c r="A1926" s="2163"/>
      <c r="B1926" s="2163"/>
      <c r="C1926" s="2163"/>
      <c r="D1926" s="2163"/>
      <c r="E1926" s="2163"/>
      <c r="F1926" s="2163"/>
      <c r="G1926" s="2163"/>
      <c r="H1926" s="2163"/>
      <c r="I1926" s="2163"/>
      <c r="J1926" s="2163"/>
      <c r="K1926" s="2163"/>
      <c r="L1926" s="2163"/>
      <c r="M1926" s="2163"/>
    </row>
    <row r="1927" spans="1:15">
      <c r="A1927" s="2520" t="s">
        <v>2649</v>
      </c>
      <c r="B1927" s="2520"/>
      <c r="C1927" s="2520"/>
      <c r="D1927" s="2166"/>
      <c r="E1927" s="2166"/>
      <c r="F1927" s="2166"/>
      <c r="G1927" s="2166"/>
      <c r="H1927" s="2526">
        <v>2854424.358</v>
      </c>
      <c r="I1927" s="2526"/>
      <c r="J1927" s="2526"/>
      <c r="K1927" s="2166"/>
      <c r="L1927" s="2168">
        <v>30000000</v>
      </c>
      <c r="M1927" s="2166"/>
    </row>
    <row r="1928" spans="1:15">
      <c r="A1928" s="2164"/>
      <c r="B1928" s="2164"/>
      <c r="C1928" s="2164"/>
      <c r="D1928" s="2164"/>
      <c r="E1928" s="2522" t="s">
        <v>2639</v>
      </c>
      <c r="F1928" s="2522"/>
      <c r="G1928" s="2164"/>
      <c r="H1928" s="2528">
        <v>96864987.364399999</v>
      </c>
      <c r="I1928" s="2528"/>
      <c r="J1928" s="2528"/>
      <c r="K1928" s="2163"/>
      <c r="L1928" s="2528">
        <v>973493123.00999999</v>
      </c>
      <c r="M1928" s="2163"/>
    </row>
    <row r="1929" spans="1:15">
      <c r="A1929" s="2164"/>
      <c r="B1929" s="2164"/>
      <c r="C1929" s="2164"/>
      <c r="D1929" s="2164"/>
      <c r="E1929" s="2164"/>
      <c r="F1929" s="2164"/>
      <c r="G1929" s="2164"/>
      <c r="H1929" s="2528"/>
      <c r="I1929" s="2528"/>
      <c r="J1929" s="2528"/>
      <c r="K1929" s="2163"/>
      <c r="L1929" s="2528"/>
      <c r="M1929" s="2163"/>
    </row>
    <row r="1930" spans="1:15">
      <c r="A1930" s="2160" t="s">
        <v>2723</v>
      </c>
      <c r="B1930" s="2161"/>
      <c r="C1930" s="2160" t="s">
        <v>2724</v>
      </c>
      <c r="D1930" s="2161"/>
      <c r="E1930" s="2160" t="s">
        <v>2722</v>
      </c>
      <c r="F1930" s="2161"/>
    </row>
    <row r="1931" spans="1:15">
      <c r="A1931" s="2163"/>
      <c r="B1931" s="2163"/>
      <c r="C1931" s="2163"/>
      <c r="D1931" s="2163"/>
      <c r="E1931" s="2163"/>
      <c r="F1931" s="2163"/>
      <c r="G1931" s="2163"/>
      <c r="H1931" s="2163"/>
      <c r="I1931" s="2163"/>
      <c r="J1931" s="2163"/>
      <c r="K1931" s="2163"/>
      <c r="L1931" s="2163"/>
      <c r="M1931" s="2163"/>
    </row>
    <row r="1932" spans="1:15">
      <c r="A1932" s="2164"/>
      <c r="H1932" s="2522" t="s">
        <v>2637</v>
      </c>
      <c r="I1932" s="2522"/>
      <c r="J1932" s="2163"/>
      <c r="K1932" s="2523">
        <v>0</v>
      </c>
      <c r="L1932" s="2523"/>
      <c r="M1932" s="2163"/>
      <c r="N1932" s="2527"/>
      <c r="O1932" s="2163"/>
    </row>
    <row r="1933" spans="1:15">
      <c r="H1933" s="2163"/>
      <c r="I1933" s="2163"/>
      <c r="J1933" s="2163"/>
      <c r="K1933" s="2523"/>
      <c r="L1933" s="2523"/>
      <c r="N1933" s="2527"/>
    </row>
    <row r="1934" spans="1:15">
      <c r="A1934" s="2165">
        <v>48483</v>
      </c>
      <c r="B1934" s="2163"/>
      <c r="C1934" s="2524" t="s">
        <v>2664</v>
      </c>
      <c r="D1934" s="2524"/>
      <c r="E1934" s="2524"/>
      <c r="F1934" s="2524"/>
      <c r="G1934" s="2524"/>
      <c r="H1934" s="2524"/>
      <c r="I1934" s="2524"/>
      <c r="J1934" s="2163"/>
      <c r="K1934" s="2163"/>
      <c r="L1934" s="2163"/>
      <c r="M1934" s="2163"/>
    </row>
    <row r="1935" spans="1:15">
      <c r="A1935" s="2163"/>
      <c r="B1935" s="2163"/>
      <c r="C1935" s="2163"/>
      <c r="D1935" s="2163"/>
      <c r="E1935" s="2163"/>
      <c r="F1935" s="2163"/>
      <c r="G1935" s="2163"/>
      <c r="H1935" s="2163"/>
      <c r="I1935" s="2163"/>
      <c r="J1935" s="2163"/>
      <c r="K1935" s="2163"/>
      <c r="L1935" s="2163"/>
      <c r="M1935" s="2163"/>
    </row>
    <row r="1936" spans="1:15">
      <c r="A1936" s="2529"/>
      <c r="B1936" s="2529"/>
      <c r="C1936" s="2529"/>
      <c r="D1936" s="2166"/>
      <c r="E1936" s="2166"/>
      <c r="F1936" s="2166"/>
      <c r="G1936" s="2166"/>
      <c r="H1936" s="2525"/>
      <c r="I1936" s="2525"/>
      <c r="J1936" s="2525"/>
      <c r="K1936" s="2166"/>
      <c r="L1936" s="2167"/>
      <c r="M1936" s="2166"/>
    </row>
    <row r="1937" spans="1:15">
      <c r="A1937" s="2164"/>
      <c r="B1937" s="2164"/>
      <c r="C1937" s="2164"/>
      <c r="D1937" s="2164"/>
      <c r="E1937" s="2522" t="s">
        <v>2639</v>
      </c>
      <c r="F1937" s="2522"/>
      <c r="G1937" s="2164"/>
      <c r="H1937" s="2523">
        <v>0</v>
      </c>
      <c r="I1937" s="2523"/>
      <c r="J1937" s="2523"/>
      <c r="K1937" s="2163"/>
      <c r="L1937" s="2523">
        <v>0</v>
      </c>
      <c r="M1937" s="2163"/>
    </row>
    <row r="1938" spans="1:15">
      <c r="A1938" s="2164"/>
      <c r="B1938" s="2164"/>
      <c r="C1938" s="2164"/>
      <c r="D1938" s="2164"/>
      <c r="E1938" s="2164"/>
      <c r="F1938" s="2164"/>
      <c r="G1938" s="2164"/>
      <c r="H1938" s="2523"/>
      <c r="I1938" s="2523"/>
      <c r="J1938" s="2523"/>
      <c r="K1938" s="2163"/>
      <c r="L1938" s="2523"/>
      <c r="M1938" s="2163"/>
    </row>
    <row r="1939" spans="1:15">
      <c r="A1939" s="2160" t="s">
        <v>2723</v>
      </c>
      <c r="B1939" s="2161"/>
      <c r="C1939" s="2160" t="s">
        <v>2724</v>
      </c>
      <c r="D1939" s="2161"/>
      <c r="E1939" s="2160" t="s">
        <v>2722</v>
      </c>
      <c r="F1939" s="2161"/>
    </row>
    <row r="1940" spans="1:15">
      <c r="A1940" s="2163"/>
      <c r="B1940" s="2163"/>
      <c r="C1940" s="2163"/>
      <c r="D1940" s="2163"/>
      <c r="E1940" s="2163"/>
      <c r="F1940" s="2163"/>
      <c r="G1940" s="2163"/>
      <c r="H1940" s="2163"/>
      <c r="I1940" s="2163"/>
      <c r="J1940" s="2163"/>
      <c r="K1940" s="2163"/>
      <c r="L1940" s="2163"/>
      <c r="M1940" s="2163"/>
    </row>
    <row r="1941" spans="1:15">
      <c r="A1941" s="2164"/>
      <c r="H1941" s="2522" t="s">
        <v>2637</v>
      </c>
      <c r="I1941" s="2522"/>
      <c r="J1941" s="2163"/>
      <c r="K1941" s="2523">
        <v>0</v>
      </c>
      <c r="L1941" s="2523"/>
      <c r="M1941" s="2163"/>
      <c r="N1941" s="2527"/>
      <c r="O1941" s="2163"/>
    </row>
    <row r="1942" spans="1:15">
      <c r="H1942" s="2163"/>
      <c r="I1942" s="2163"/>
      <c r="J1942" s="2163"/>
      <c r="K1942" s="2523"/>
      <c r="L1942" s="2523"/>
      <c r="N1942" s="2527"/>
    </row>
    <row r="1943" spans="1:15">
      <c r="A1943" s="2165">
        <v>48589</v>
      </c>
      <c r="B1943" s="2163"/>
      <c r="C1943" s="2524" t="s">
        <v>2978</v>
      </c>
      <c r="D1943" s="2524"/>
      <c r="E1943" s="2524"/>
      <c r="F1943" s="2524"/>
      <c r="G1943" s="2524"/>
      <c r="H1943" s="2524"/>
      <c r="I1943" s="2524"/>
      <c r="J1943" s="2163"/>
      <c r="K1943" s="2163"/>
      <c r="L1943" s="2163"/>
      <c r="M1943" s="2163"/>
    </row>
    <row r="1944" spans="1:15">
      <c r="A1944" s="2163"/>
      <c r="B1944" s="2163"/>
      <c r="C1944" s="2163"/>
      <c r="D1944" s="2163"/>
      <c r="E1944" s="2163"/>
      <c r="F1944" s="2163"/>
      <c r="G1944" s="2163"/>
      <c r="H1944" s="2163"/>
      <c r="I1944" s="2163"/>
      <c r="J1944" s="2163"/>
      <c r="K1944" s="2163"/>
      <c r="L1944" s="2163"/>
      <c r="M1944" s="2163"/>
    </row>
    <row r="1945" spans="1:15">
      <c r="A1945" s="2529"/>
      <c r="B1945" s="2529"/>
      <c r="C1945" s="2529"/>
      <c r="D1945" s="2166"/>
      <c r="E1945" s="2166"/>
      <c r="F1945" s="2166"/>
      <c r="G1945" s="2166"/>
      <c r="H1945" s="2525"/>
      <c r="I1945" s="2525"/>
      <c r="J1945" s="2525"/>
      <c r="K1945" s="2166"/>
      <c r="L1945" s="2167"/>
      <c r="M1945" s="2166"/>
    </row>
    <row r="1946" spans="1:15">
      <c r="A1946" s="2164"/>
      <c r="B1946" s="2164"/>
      <c r="C1946" s="2164"/>
      <c r="D1946" s="2164"/>
      <c r="E1946" s="2522" t="s">
        <v>2639</v>
      </c>
      <c r="F1946" s="2522"/>
      <c r="G1946" s="2164"/>
      <c r="H1946" s="2523">
        <v>0</v>
      </c>
      <c r="I1946" s="2523"/>
      <c r="J1946" s="2523"/>
      <c r="K1946" s="2163"/>
      <c r="L1946" s="2523">
        <v>0</v>
      </c>
      <c r="M1946" s="2163"/>
    </row>
    <row r="1947" spans="1:15">
      <c r="A1947" s="2164"/>
      <c r="B1947" s="2164"/>
      <c r="C1947" s="2164"/>
      <c r="D1947" s="2164"/>
      <c r="E1947" s="2164"/>
      <c r="F1947" s="2164"/>
      <c r="G1947" s="2164"/>
      <c r="H1947" s="2523"/>
      <c r="I1947" s="2523"/>
      <c r="J1947" s="2523"/>
      <c r="K1947" s="2163"/>
      <c r="L1947" s="2523"/>
      <c r="M1947" s="2163"/>
    </row>
    <row r="1948" spans="1:15">
      <c r="A1948" s="2160" t="s">
        <v>2723</v>
      </c>
      <c r="B1948" s="2161"/>
      <c r="C1948" s="2160" t="s">
        <v>2724</v>
      </c>
      <c r="D1948" s="2161"/>
      <c r="E1948" s="2160" t="s">
        <v>2722</v>
      </c>
      <c r="F1948" s="2161"/>
    </row>
    <row r="1949" spans="1:15">
      <c r="A1949" s="2163"/>
      <c r="B1949" s="2163"/>
      <c r="C1949" s="2163"/>
      <c r="D1949" s="2163"/>
      <c r="E1949" s="2163"/>
      <c r="F1949" s="2163"/>
      <c r="G1949" s="2163"/>
      <c r="H1949" s="2163"/>
      <c r="I1949" s="2163"/>
      <c r="J1949" s="2163"/>
      <c r="K1949" s="2163"/>
      <c r="L1949" s="2163"/>
      <c r="M1949" s="2163"/>
    </row>
    <row r="1950" spans="1:15">
      <c r="A1950" s="2164"/>
      <c r="H1950" s="2522" t="s">
        <v>2637</v>
      </c>
      <c r="I1950" s="2522"/>
      <c r="J1950" s="2163"/>
      <c r="K1950" s="2528">
        <v>22726705.456999999</v>
      </c>
      <c r="L1950" s="2528"/>
      <c r="M1950" s="2163"/>
      <c r="N1950" s="2527" t="s">
        <v>3029</v>
      </c>
      <c r="O1950" s="2163"/>
    </row>
    <row r="1951" spans="1:15">
      <c r="H1951" s="2163"/>
      <c r="I1951" s="2163"/>
      <c r="J1951" s="2163"/>
      <c r="K1951" s="2528"/>
      <c r="L1951" s="2528"/>
      <c r="N1951" s="2527"/>
    </row>
    <row r="1952" spans="1:15">
      <c r="A1952" s="2165">
        <v>50368</v>
      </c>
      <c r="B1952" s="2163"/>
      <c r="C1952" s="2524" t="s">
        <v>2690</v>
      </c>
      <c r="D1952" s="2524"/>
      <c r="E1952" s="2524"/>
      <c r="F1952" s="2524"/>
      <c r="G1952" s="2524"/>
      <c r="H1952" s="2524"/>
      <c r="I1952" s="2524"/>
      <c r="J1952" s="2163"/>
      <c r="K1952" s="2163"/>
      <c r="L1952" s="2163"/>
      <c r="M1952" s="2163"/>
    </row>
    <row r="1953" spans="1:15">
      <c r="A1953" s="2163"/>
      <c r="B1953" s="2163"/>
      <c r="C1953" s="2163"/>
      <c r="D1953" s="2163"/>
      <c r="E1953" s="2163"/>
      <c r="F1953" s="2163"/>
      <c r="G1953" s="2163"/>
      <c r="H1953" s="2163"/>
      <c r="I1953" s="2163"/>
      <c r="J1953" s="2163"/>
      <c r="K1953" s="2163"/>
      <c r="L1953" s="2163"/>
      <c r="M1953" s="2163"/>
    </row>
    <row r="1954" spans="1:15">
      <c r="A1954" s="2520" t="s">
        <v>2679</v>
      </c>
      <c r="B1954" s="2520"/>
      <c r="C1954" s="2520"/>
      <c r="D1954" s="2166"/>
      <c r="E1954" s="2166"/>
      <c r="F1954" s="2166"/>
      <c r="G1954" s="2166"/>
      <c r="H1954" s="2526">
        <v>-2639915.523</v>
      </c>
      <c r="I1954" s="2526"/>
      <c r="J1954" s="2526"/>
      <c r="K1954" s="2166"/>
      <c r="L1954" s="2168">
        <v>-25000000</v>
      </c>
      <c r="M1954" s="2166"/>
    </row>
    <row r="1955" spans="1:15">
      <c r="A1955" s="2164"/>
      <c r="B1955" s="2164"/>
      <c r="C1955" s="2164"/>
      <c r="D1955" s="2164"/>
      <c r="E1955" s="2522" t="s">
        <v>2639</v>
      </c>
      <c r="F1955" s="2522"/>
      <c r="G1955" s="2164"/>
      <c r="H1955" s="2528">
        <v>20086789.934300002</v>
      </c>
      <c r="I1955" s="2528"/>
      <c r="J1955" s="2528"/>
      <c r="K1955" s="2163"/>
      <c r="L1955" s="2528">
        <v>201872238.84</v>
      </c>
      <c r="M1955" s="2163"/>
    </row>
    <row r="1956" spans="1:15">
      <c r="A1956" s="2164"/>
      <c r="B1956" s="2164"/>
      <c r="C1956" s="2164"/>
      <c r="D1956" s="2164"/>
      <c r="E1956" s="2164"/>
      <c r="F1956" s="2164"/>
      <c r="G1956" s="2164"/>
      <c r="H1956" s="2528"/>
      <c r="I1956" s="2528"/>
      <c r="J1956" s="2528"/>
      <c r="K1956" s="2163"/>
      <c r="L1956" s="2528"/>
      <c r="M1956" s="2163"/>
    </row>
    <row r="1957" spans="1:15">
      <c r="A1957" s="2160" t="s">
        <v>2723</v>
      </c>
      <c r="B1957" s="2161"/>
      <c r="C1957" s="2160" t="s">
        <v>2724</v>
      </c>
      <c r="D1957" s="2161"/>
      <c r="E1957" s="2160" t="s">
        <v>2722</v>
      </c>
      <c r="F1957" s="2161"/>
    </row>
    <row r="1958" spans="1:15">
      <c r="A1958" s="2163"/>
      <c r="B1958" s="2163"/>
      <c r="C1958" s="2163"/>
      <c r="D1958" s="2163"/>
      <c r="E1958" s="2163"/>
      <c r="F1958" s="2163"/>
      <c r="G1958" s="2163"/>
      <c r="H1958" s="2163"/>
      <c r="I1958" s="2163"/>
      <c r="J1958" s="2163"/>
      <c r="K1958" s="2163"/>
      <c r="L1958" s="2163"/>
      <c r="M1958" s="2163"/>
    </row>
    <row r="1959" spans="1:15">
      <c r="A1959" s="2164"/>
      <c r="H1959" s="2522" t="s">
        <v>2637</v>
      </c>
      <c r="I1959" s="2522"/>
      <c r="J1959" s="2163"/>
      <c r="K1959" s="2528">
        <v>27585782.0735</v>
      </c>
      <c r="L1959" s="2528"/>
      <c r="M1959" s="2163"/>
      <c r="N1959" s="2527" t="s">
        <v>3030</v>
      </c>
      <c r="O1959" s="2163"/>
    </row>
    <row r="1960" spans="1:15">
      <c r="H1960" s="2163"/>
      <c r="I1960" s="2163"/>
      <c r="J1960" s="2163"/>
      <c r="K1960" s="2528"/>
      <c r="L1960" s="2528"/>
      <c r="N1960" s="2527"/>
    </row>
    <row r="1961" spans="1:15">
      <c r="A1961" s="2165">
        <v>65266</v>
      </c>
      <c r="B1961" s="2163"/>
      <c r="C1961" s="2524" t="s">
        <v>2692</v>
      </c>
      <c r="D1961" s="2524"/>
      <c r="E1961" s="2524"/>
      <c r="F1961" s="2524"/>
      <c r="G1961" s="2524"/>
      <c r="H1961" s="2524"/>
      <c r="I1961" s="2524"/>
      <c r="J1961" s="2163"/>
      <c r="K1961" s="2163"/>
      <c r="L1961" s="2163"/>
      <c r="M1961" s="2163"/>
    </row>
    <row r="1962" spans="1:15">
      <c r="A1962" s="2163"/>
      <c r="B1962" s="2163"/>
      <c r="C1962" s="2163"/>
      <c r="D1962" s="2163"/>
      <c r="E1962" s="2163"/>
      <c r="F1962" s="2163"/>
      <c r="G1962" s="2163"/>
      <c r="H1962" s="2163"/>
      <c r="I1962" s="2163"/>
      <c r="J1962" s="2163"/>
      <c r="K1962" s="2163"/>
      <c r="L1962" s="2163"/>
      <c r="M1962" s="2163"/>
    </row>
    <row r="1963" spans="1:15">
      <c r="A1963" s="2520" t="s">
        <v>2649</v>
      </c>
      <c r="B1963" s="2520"/>
      <c r="C1963" s="2520"/>
      <c r="D1963" s="2166"/>
      <c r="E1963" s="2166"/>
      <c r="F1963" s="2166"/>
      <c r="G1963" s="2166"/>
      <c r="H1963" s="2526">
        <v>2378686.9649999999</v>
      </c>
      <c r="I1963" s="2526"/>
      <c r="J1963" s="2526"/>
      <c r="K1963" s="2166"/>
      <c r="L1963" s="2168">
        <v>25000000</v>
      </c>
      <c r="M1963" s="2166"/>
    </row>
    <row r="1964" spans="1:15">
      <c r="A1964" s="2164"/>
      <c r="B1964" s="2164"/>
      <c r="C1964" s="2164"/>
      <c r="D1964" s="2164"/>
      <c r="E1964" s="2522" t="s">
        <v>2639</v>
      </c>
      <c r="F1964" s="2522"/>
      <c r="G1964" s="2164"/>
      <c r="H1964" s="2528">
        <v>29964469.0383</v>
      </c>
      <c r="I1964" s="2528"/>
      <c r="J1964" s="2528"/>
      <c r="K1964" s="2163"/>
      <c r="L1964" s="2528">
        <v>301142913.82999998</v>
      </c>
      <c r="M1964" s="2163"/>
    </row>
    <row r="1965" spans="1:15">
      <c r="A1965" s="2164"/>
      <c r="B1965" s="2164"/>
      <c r="C1965" s="2164"/>
      <c r="D1965" s="2164"/>
      <c r="E1965" s="2164"/>
      <c r="F1965" s="2164"/>
      <c r="G1965" s="2164"/>
      <c r="H1965" s="2528"/>
      <c r="I1965" s="2528"/>
      <c r="J1965" s="2528"/>
      <c r="K1965" s="2163"/>
      <c r="L1965" s="2528"/>
      <c r="M1965" s="2163"/>
    </row>
    <row r="1966" spans="1:15">
      <c r="A1966" s="2160" t="s">
        <v>2723</v>
      </c>
      <c r="B1966" s="2161"/>
      <c r="C1966" s="2160" t="s">
        <v>2724</v>
      </c>
      <c r="D1966" s="2161"/>
      <c r="E1966" s="2160" t="s">
        <v>2722</v>
      </c>
      <c r="F1966" s="2161"/>
    </row>
    <row r="1967" spans="1:15">
      <c r="A1967" s="2163"/>
      <c r="B1967" s="2163"/>
      <c r="C1967" s="2163"/>
      <c r="D1967" s="2163"/>
      <c r="E1967" s="2163"/>
      <c r="F1967" s="2163"/>
      <c r="G1967" s="2163"/>
      <c r="H1967" s="2163"/>
      <c r="I1967" s="2163"/>
      <c r="J1967" s="2163"/>
      <c r="K1967" s="2163"/>
      <c r="L1967" s="2163"/>
      <c r="M1967" s="2163"/>
    </row>
    <row r="1968" spans="1:15">
      <c r="A1968" s="2164"/>
      <c r="H1968" s="2522" t="s">
        <v>2637</v>
      </c>
      <c r="I1968" s="2522"/>
      <c r="J1968" s="2163"/>
      <c r="K1968" s="2523">
        <v>0</v>
      </c>
      <c r="L1968" s="2523"/>
      <c r="M1968" s="2163"/>
      <c r="N1968" s="2527"/>
      <c r="O1968" s="2163"/>
    </row>
    <row r="1969" spans="1:15">
      <c r="H1969" s="2163"/>
      <c r="I1969" s="2163"/>
      <c r="J1969" s="2163"/>
      <c r="K1969" s="2523"/>
      <c r="L1969" s="2523"/>
      <c r="N1969" s="2527"/>
    </row>
    <row r="1970" spans="1:15">
      <c r="A1970" s="2165">
        <v>65971</v>
      </c>
      <c r="B1970" s="2163"/>
      <c r="C1970" s="2524" t="s">
        <v>2693</v>
      </c>
      <c r="D1970" s="2524"/>
      <c r="E1970" s="2524"/>
      <c r="F1970" s="2524"/>
      <c r="G1970" s="2524"/>
      <c r="H1970" s="2524"/>
      <c r="I1970" s="2524"/>
      <c r="J1970" s="2163"/>
      <c r="K1970" s="2163"/>
      <c r="L1970" s="2163"/>
      <c r="M1970" s="2163"/>
    </row>
    <row r="1971" spans="1:15">
      <c r="A1971" s="2163"/>
      <c r="B1971" s="2163"/>
      <c r="C1971" s="2163"/>
      <c r="D1971" s="2163"/>
      <c r="E1971" s="2163"/>
      <c r="F1971" s="2163"/>
      <c r="G1971" s="2163"/>
      <c r="H1971" s="2163"/>
      <c r="I1971" s="2163"/>
      <c r="J1971" s="2163"/>
      <c r="K1971" s="2163"/>
      <c r="L1971" s="2163"/>
      <c r="M1971" s="2163"/>
    </row>
    <row r="1972" spans="1:15">
      <c r="A1972" s="2520" t="s">
        <v>2647</v>
      </c>
      <c r="B1972" s="2520"/>
      <c r="C1972" s="2520"/>
      <c r="D1972" s="2166"/>
      <c r="E1972" s="2166"/>
      <c r="F1972" s="2166"/>
      <c r="G1972" s="2166"/>
      <c r="H1972" s="2526">
        <v>3075396.8250000002</v>
      </c>
      <c r="I1972" s="2526"/>
      <c r="J1972" s="2526"/>
      <c r="K1972" s="2166"/>
      <c r="L1972" s="2168">
        <v>31000000</v>
      </c>
      <c r="M1972" s="2166"/>
    </row>
    <row r="1973" spans="1:15">
      <c r="A1973" s="2164"/>
      <c r="B1973" s="2164"/>
      <c r="C1973" s="2164"/>
      <c r="D1973" s="2164"/>
      <c r="E1973" s="2522" t="s">
        <v>2639</v>
      </c>
      <c r="F1973" s="2522"/>
      <c r="G1973" s="2164"/>
      <c r="H1973" s="2528">
        <v>3075396.8254</v>
      </c>
      <c r="I1973" s="2528"/>
      <c r="J1973" s="2528"/>
      <c r="K1973" s="2163"/>
      <c r="L1973" s="2528">
        <v>30907738.100000001</v>
      </c>
      <c r="M1973" s="2163"/>
    </row>
    <row r="1974" spans="1:15">
      <c r="A1974" s="2164"/>
      <c r="B1974" s="2164"/>
      <c r="C1974" s="2164"/>
      <c r="D1974" s="2164"/>
      <c r="E1974" s="2164"/>
      <c r="F1974" s="2164"/>
      <c r="G1974" s="2164"/>
      <c r="H1974" s="2528"/>
      <c r="I1974" s="2528"/>
      <c r="J1974" s="2528"/>
      <c r="K1974" s="2163"/>
      <c r="L1974" s="2528"/>
      <c r="M1974" s="2163"/>
    </row>
    <row r="1975" spans="1:15">
      <c r="A1975" s="2160" t="s">
        <v>2723</v>
      </c>
      <c r="B1975" s="2161"/>
      <c r="C1975" s="2160" t="s">
        <v>2724</v>
      </c>
      <c r="D1975" s="2161"/>
      <c r="E1975" s="2160" t="s">
        <v>2722</v>
      </c>
      <c r="F1975" s="2161"/>
    </row>
    <row r="1976" spans="1:15">
      <c r="A1976" s="2163"/>
      <c r="B1976" s="2163"/>
      <c r="C1976" s="2163"/>
      <c r="D1976" s="2163"/>
      <c r="E1976" s="2163"/>
      <c r="F1976" s="2163"/>
      <c r="G1976" s="2163"/>
      <c r="H1976" s="2163"/>
      <c r="I1976" s="2163"/>
      <c r="J1976" s="2163"/>
      <c r="K1976" s="2163"/>
      <c r="L1976" s="2163"/>
      <c r="M1976" s="2163"/>
    </row>
    <row r="1977" spans="1:15">
      <c r="A1977" s="2164"/>
      <c r="H1977" s="2522" t="s">
        <v>2637</v>
      </c>
      <c r="I1977" s="2522"/>
      <c r="J1977" s="2163"/>
      <c r="K1977" s="2523">
        <v>0</v>
      </c>
      <c r="L1977" s="2523"/>
      <c r="M1977" s="2163"/>
      <c r="N1977" s="2527"/>
      <c r="O1977" s="2163"/>
    </row>
    <row r="1978" spans="1:15">
      <c r="H1978" s="2163"/>
      <c r="I1978" s="2163"/>
      <c r="J1978" s="2163"/>
      <c r="K1978" s="2523"/>
      <c r="L1978" s="2523"/>
      <c r="N1978" s="2527"/>
    </row>
    <row r="1979" spans="1:15">
      <c r="A1979" s="2165">
        <v>69135</v>
      </c>
      <c r="B1979" s="2163"/>
      <c r="C1979" s="2524" t="s">
        <v>2694</v>
      </c>
      <c r="D1979" s="2524"/>
      <c r="E1979" s="2524"/>
      <c r="F1979" s="2524"/>
      <c r="G1979" s="2524"/>
      <c r="H1979" s="2524"/>
      <c r="I1979" s="2524"/>
      <c r="J1979" s="2163"/>
      <c r="K1979" s="2163"/>
      <c r="L1979" s="2163"/>
      <c r="M1979" s="2163"/>
    </row>
    <row r="1980" spans="1:15">
      <c r="A1980" s="2163"/>
      <c r="B1980" s="2163"/>
      <c r="C1980" s="2163"/>
      <c r="D1980" s="2163"/>
      <c r="E1980" s="2163"/>
      <c r="F1980" s="2163"/>
      <c r="G1980" s="2163"/>
      <c r="H1980" s="2163"/>
      <c r="I1980" s="2163"/>
      <c r="J1980" s="2163"/>
      <c r="K1980" s="2163"/>
      <c r="L1980" s="2163"/>
      <c r="M1980" s="2163"/>
    </row>
    <row r="1981" spans="1:15">
      <c r="A1981" s="2520" t="s">
        <v>2647</v>
      </c>
      <c r="B1981" s="2520"/>
      <c r="C1981" s="2520"/>
      <c r="D1981" s="2166"/>
      <c r="E1981" s="2166"/>
      <c r="F1981" s="2166"/>
      <c r="G1981" s="2166"/>
      <c r="H1981" s="2526">
        <v>3373015.8730000001</v>
      </c>
      <c r="I1981" s="2526"/>
      <c r="J1981" s="2526"/>
      <c r="K1981" s="2166"/>
      <c r="L1981" s="2168">
        <v>34000000</v>
      </c>
      <c r="M1981" s="2166"/>
    </row>
    <row r="1982" spans="1:15">
      <c r="A1982" s="2164"/>
      <c r="B1982" s="2164"/>
      <c r="C1982" s="2164"/>
      <c r="D1982" s="2164"/>
      <c r="E1982" s="2522" t="s">
        <v>2639</v>
      </c>
      <c r="F1982" s="2522"/>
      <c r="G1982" s="2164"/>
      <c r="H1982" s="2528">
        <v>3373015.8730000001</v>
      </c>
      <c r="I1982" s="2528"/>
      <c r="J1982" s="2528"/>
      <c r="K1982" s="2163"/>
      <c r="L1982" s="2528">
        <v>33898809.520000003</v>
      </c>
      <c r="M1982" s="2163"/>
    </row>
    <row r="1983" spans="1:15">
      <c r="A1983" s="2164"/>
      <c r="B1983" s="2164"/>
      <c r="C1983" s="2164"/>
      <c r="D1983" s="2164"/>
      <c r="E1983" s="2164"/>
      <c r="F1983" s="2164"/>
      <c r="G1983" s="2164"/>
      <c r="H1983" s="2528"/>
      <c r="I1983" s="2528"/>
      <c r="J1983" s="2528"/>
      <c r="K1983" s="2163"/>
      <c r="L1983" s="2528"/>
      <c r="M1983" s="2163"/>
    </row>
    <row r="1984" spans="1:15" ht="27.6">
      <c r="A1984" s="2160" t="s">
        <v>2729</v>
      </c>
      <c r="B1984" s="2161"/>
      <c r="C1984" s="2160" t="s">
        <v>2730</v>
      </c>
      <c r="D1984" s="2161"/>
      <c r="E1984" s="2160" t="s">
        <v>2636</v>
      </c>
      <c r="F1984" s="2161"/>
    </row>
    <row r="1985" spans="1:15">
      <c r="A1985" s="2163"/>
      <c r="B1985" s="2163"/>
      <c r="C1985" s="2163"/>
      <c r="D1985" s="2163"/>
      <c r="E1985" s="2163"/>
      <c r="F1985" s="2163"/>
      <c r="G1985" s="2163"/>
      <c r="H1985" s="2163"/>
      <c r="I1985" s="2163"/>
      <c r="J1985" s="2163"/>
      <c r="K1985" s="2163"/>
      <c r="L1985" s="2163"/>
      <c r="M1985" s="2163"/>
    </row>
    <row r="1986" spans="1:15">
      <c r="A1986" s="2164"/>
      <c r="H1986" s="2522" t="s">
        <v>2637</v>
      </c>
      <c r="I1986" s="2522"/>
      <c r="J1986" s="2163"/>
      <c r="K1986" s="2523">
        <v>0</v>
      </c>
      <c r="L1986" s="2523"/>
      <c r="M1986" s="2163"/>
      <c r="N1986" s="2527"/>
      <c r="O1986" s="2163"/>
    </row>
    <row r="1987" spans="1:15">
      <c r="H1987" s="2163"/>
      <c r="I1987" s="2163"/>
      <c r="J1987" s="2163"/>
      <c r="K1987" s="2523"/>
      <c r="L1987" s="2523"/>
      <c r="N1987" s="2527"/>
    </row>
    <row r="1988" spans="1:15">
      <c r="A1988" s="2165">
        <v>23774</v>
      </c>
      <c r="B1988" s="2163"/>
      <c r="C1988" s="2524" t="s">
        <v>2711</v>
      </c>
      <c r="D1988" s="2524"/>
      <c r="E1988" s="2524"/>
      <c r="F1988" s="2524"/>
      <c r="G1988" s="2524"/>
      <c r="H1988" s="2524"/>
      <c r="I1988" s="2524"/>
      <c r="J1988" s="2163"/>
      <c r="K1988" s="2163"/>
      <c r="L1988" s="2163"/>
      <c r="M1988" s="2163"/>
    </row>
    <row r="1989" spans="1:15">
      <c r="A1989" s="2163"/>
      <c r="B1989" s="2163"/>
      <c r="C1989" s="2163"/>
      <c r="D1989" s="2163"/>
      <c r="E1989" s="2163"/>
      <c r="F1989" s="2163"/>
      <c r="G1989" s="2163"/>
      <c r="H1989" s="2163"/>
      <c r="I1989" s="2163"/>
      <c r="J1989" s="2163"/>
      <c r="K1989" s="2163"/>
      <c r="L1989" s="2163"/>
      <c r="M1989" s="2163"/>
    </row>
    <row r="1990" spans="1:15">
      <c r="A1990" s="2529"/>
      <c r="B1990" s="2529"/>
      <c r="C1990" s="2529"/>
      <c r="D1990" s="2166"/>
      <c r="E1990" s="2166"/>
      <c r="F1990" s="2166"/>
      <c r="G1990" s="2166"/>
      <c r="H1990" s="2525"/>
      <c r="I1990" s="2525"/>
      <c r="J1990" s="2525"/>
      <c r="K1990" s="2166"/>
      <c r="L1990" s="2167"/>
      <c r="M1990" s="2166"/>
    </row>
    <row r="1991" spans="1:15">
      <c r="A1991" s="2164"/>
      <c r="B1991" s="2164"/>
      <c r="C1991" s="2164"/>
      <c r="D1991" s="2164"/>
      <c r="E1991" s="2522" t="s">
        <v>2639</v>
      </c>
      <c r="F1991" s="2522"/>
      <c r="G1991" s="2164"/>
      <c r="H1991" s="2523">
        <v>0</v>
      </c>
      <c r="I1991" s="2523"/>
      <c r="J1991" s="2523"/>
      <c r="K1991" s="2163"/>
      <c r="L1991" s="2523">
        <v>0</v>
      </c>
      <c r="M1991" s="2163"/>
    </row>
    <row r="1992" spans="1:15">
      <c r="A1992" s="2164"/>
      <c r="B1992" s="2164"/>
      <c r="C1992" s="2164"/>
      <c r="D1992" s="2164"/>
      <c r="E1992" s="2164"/>
      <c r="F1992" s="2164"/>
      <c r="G1992" s="2164"/>
      <c r="H1992" s="2523"/>
      <c r="I1992" s="2523"/>
      <c r="J1992" s="2523"/>
      <c r="K1992" s="2163"/>
      <c r="L1992" s="2523"/>
      <c r="M1992" s="2163"/>
    </row>
    <row r="1993" spans="1:15">
      <c r="A1993" s="2160" t="s">
        <v>2729</v>
      </c>
      <c r="B1993" s="2161"/>
      <c r="C1993" s="2160" t="s">
        <v>2730</v>
      </c>
      <c r="D1993" s="2161"/>
      <c r="E1993" s="2160" t="s">
        <v>2698</v>
      </c>
      <c r="F1993" s="2161"/>
    </row>
    <row r="1994" spans="1:15">
      <c r="A1994" s="2163"/>
      <c r="B1994" s="2163"/>
      <c r="C1994" s="2163"/>
      <c r="D1994" s="2163"/>
      <c r="E1994" s="2163"/>
      <c r="F1994" s="2163"/>
      <c r="G1994" s="2163"/>
      <c r="H1994" s="2163"/>
      <c r="I1994" s="2163"/>
      <c r="J1994" s="2163"/>
      <c r="K1994" s="2163"/>
      <c r="L1994" s="2163"/>
      <c r="M1994" s="2163"/>
    </row>
    <row r="1995" spans="1:15">
      <c r="A1995" s="2164"/>
      <c r="H1995" s="2522" t="s">
        <v>2637</v>
      </c>
      <c r="I1995" s="2522"/>
      <c r="J1995" s="2163"/>
      <c r="K1995" s="2523">
        <v>0</v>
      </c>
      <c r="L1995" s="2523"/>
      <c r="M1995" s="2163"/>
      <c r="N1995" s="2527"/>
      <c r="O1995" s="2163"/>
    </row>
    <row r="1996" spans="1:15">
      <c r="H1996" s="2163"/>
      <c r="I1996" s="2163"/>
      <c r="J1996" s="2163"/>
      <c r="K1996" s="2523"/>
      <c r="L1996" s="2523"/>
      <c r="N1996" s="2527"/>
    </row>
    <row r="1997" spans="1:15">
      <c r="A1997" s="2165">
        <v>26</v>
      </c>
      <c r="B1997" s="2163"/>
      <c r="C1997" s="2524" t="s">
        <v>2845</v>
      </c>
      <c r="D1997" s="2524"/>
      <c r="E1997" s="2524"/>
      <c r="F1997" s="2524"/>
      <c r="G1997" s="2524"/>
      <c r="H1997" s="2524"/>
      <c r="I1997" s="2524"/>
      <c r="J1997" s="2163"/>
      <c r="K1997" s="2163"/>
      <c r="L1997" s="2163"/>
      <c r="M1997" s="2163"/>
    </row>
    <row r="1998" spans="1:15">
      <c r="A1998" s="2163"/>
      <c r="B1998" s="2163"/>
      <c r="C1998" s="2163"/>
      <c r="D1998" s="2163"/>
      <c r="E1998" s="2163"/>
      <c r="F1998" s="2163"/>
      <c r="G1998" s="2163"/>
      <c r="H1998" s="2163"/>
      <c r="I1998" s="2163"/>
      <c r="J1998" s="2163"/>
      <c r="K1998" s="2163"/>
      <c r="L1998" s="2163"/>
      <c r="M1998" s="2163"/>
    </row>
    <row r="1999" spans="1:15">
      <c r="A1999" s="2529"/>
      <c r="B1999" s="2529"/>
      <c r="C1999" s="2529"/>
      <c r="D1999" s="2166"/>
      <c r="E1999" s="2166"/>
      <c r="F1999" s="2166"/>
      <c r="G1999" s="2166"/>
      <c r="H1999" s="2525"/>
      <c r="I1999" s="2525"/>
      <c r="J1999" s="2525"/>
      <c r="K1999" s="2166"/>
      <c r="L1999" s="2167"/>
      <c r="M1999" s="2166"/>
    </row>
    <row r="2000" spans="1:15">
      <c r="A2000" s="2164"/>
      <c r="B2000" s="2164"/>
      <c r="C2000" s="2164"/>
      <c r="D2000" s="2164"/>
      <c r="E2000" s="2522" t="s">
        <v>2639</v>
      </c>
      <c r="F2000" s="2522"/>
      <c r="G2000" s="2164"/>
      <c r="H2000" s="2523">
        <v>0</v>
      </c>
      <c r="I2000" s="2523"/>
      <c r="J2000" s="2523"/>
      <c r="K2000" s="2163"/>
      <c r="L2000" s="2523">
        <v>0</v>
      </c>
      <c r="M2000" s="2163"/>
    </row>
    <row r="2001" spans="1:15">
      <c r="A2001" s="2164"/>
      <c r="B2001" s="2164"/>
      <c r="C2001" s="2164"/>
      <c r="D2001" s="2164"/>
      <c r="E2001" s="2164"/>
      <c r="F2001" s="2164"/>
      <c r="G2001" s="2164"/>
      <c r="H2001" s="2523"/>
      <c r="I2001" s="2523"/>
      <c r="J2001" s="2523"/>
      <c r="K2001" s="2163"/>
      <c r="L2001" s="2523"/>
      <c r="M2001" s="2163"/>
    </row>
    <row r="2002" spans="1:15">
      <c r="A2002" s="2160" t="s">
        <v>2729</v>
      </c>
      <c r="B2002" s="2161"/>
      <c r="C2002" s="2160" t="s">
        <v>2730</v>
      </c>
      <c r="D2002" s="2161"/>
      <c r="E2002" s="2160" t="s">
        <v>2698</v>
      </c>
      <c r="F2002" s="2161"/>
    </row>
    <row r="2003" spans="1:15">
      <c r="A2003" s="2163"/>
      <c r="B2003" s="2163"/>
      <c r="C2003" s="2163"/>
      <c r="D2003" s="2163"/>
      <c r="E2003" s="2163"/>
      <c r="F2003" s="2163"/>
      <c r="G2003" s="2163"/>
      <c r="H2003" s="2163"/>
      <c r="I2003" s="2163"/>
      <c r="J2003" s="2163"/>
      <c r="K2003" s="2163"/>
      <c r="L2003" s="2163"/>
      <c r="M2003" s="2163"/>
    </row>
    <row r="2004" spans="1:15">
      <c r="A2004" s="2164"/>
      <c r="H2004" s="2522" t="s">
        <v>2637</v>
      </c>
      <c r="I2004" s="2522"/>
      <c r="J2004" s="2163"/>
      <c r="K2004" s="2523">
        <v>0</v>
      </c>
      <c r="L2004" s="2523"/>
      <c r="M2004" s="2163"/>
      <c r="N2004" s="2527"/>
      <c r="O2004" s="2163"/>
    </row>
    <row r="2005" spans="1:15">
      <c r="H2005" s="2163"/>
      <c r="I2005" s="2163"/>
      <c r="J2005" s="2163"/>
      <c r="K2005" s="2523"/>
      <c r="L2005" s="2523"/>
      <c r="N2005" s="2527"/>
    </row>
    <row r="2006" spans="1:15">
      <c r="A2006" s="2165">
        <v>425</v>
      </c>
      <c r="B2006" s="2163"/>
      <c r="C2006" s="2524" t="s">
        <v>2641</v>
      </c>
      <c r="D2006" s="2524"/>
      <c r="E2006" s="2524"/>
      <c r="F2006" s="2524"/>
      <c r="G2006" s="2524"/>
      <c r="H2006" s="2524"/>
      <c r="I2006" s="2524"/>
      <c r="J2006" s="2163"/>
      <c r="K2006" s="2163"/>
      <c r="L2006" s="2163"/>
      <c r="M2006" s="2163"/>
    </row>
    <row r="2007" spans="1:15">
      <c r="A2007" s="2163"/>
      <c r="B2007" s="2163"/>
      <c r="C2007" s="2163"/>
      <c r="D2007" s="2163"/>
      <c r="E2007" s="2163"/>
      <c r="F2007" s="2163"/>
      <c r="G2007" s="2163"/>
      <c r="H2007" s="2163"/>
      <c r="I2007" s="2163"/>
      <c r="J2007" s="2163"/>
      <c r="K2007" s="2163"/>
      <c r="L2007" s="2163"/>
      <c r="M2007" s="2163"/>
    </row>
    <row r="2008" spans="1:15">
      <c r="A2008" s="2529"/>
      <c r="B2008" s="2529"/>
      <c r="C2008" s="2529"/>
      <c r="D2008" s="2166"/>
      <c r="E2008" s="2166"/>
      <c r="F2008" s="2166"/>
      <c r="G2008" s="2166"/>
      <c r="H2008" s="2525"/>
      <c r="I2008" s="2525"/>
      <c r="J2008" s="2525"/>
      <c r="K2008" s="2166"/>
      <c r="L2008" s="2167"/>
      <c r="M2008" s="2166"/>
    </row>
    <row r="2009" spans="1:15">
      <c r="A2009" s="2164"/>
      <c r="B2009" s="2164"/>
      <c r="C2009" s="2164"/>
      <c r="D2009" s="2164"/>
      <c r="E2009" s="2522" t="s">
        <v>2639</v>
      </c>
      <c r="F2009" s="2522"/>
      <c r="G2009" s="2164"/>
      <c r="H2009" s="2523">
        <v>0</v>
      </c>
      <c r="I2009" s="2523"/>
      <c r="J2009" s="2523"/>
      <c r="K2009" s="2163"/>
      <c r="L2009" s="2523">
        <v>0</v>
      </c>
      <c r="M2009" s="2163"/>
    </row>
    <row r="2010" spans="1:15">
      <c r="A2010" s="2164"/>
      <c r="B2010" s="2164"/>
      <c r="C2010" s="2164"/>
      <c r="D2010" s="2164"/>
      <c r="E2010" s="2164"/>
      <c r="F2010" s="2164"/>
      <c r="G2010" s="2164"/>
      <c r="H2010" s="2523"/>
      <c r="I2010" s="2523"/>
      <c r="J2010" s="2523"/>
      <c r="K2010" s="2163"/>
      <c r="L2010" s="2523"/>
      <c r="M2010" s="2163"/>
    </row>
    <row r="2011" spans="1:15">
      <c r="A2011" s="2160" t="s">
        <v>2729</v>
      </c>
      <c r="B2011" s="2161"/>
      <c r="C2011" s="2160" t="s">
        <v>2730</v>
      </c>
      <c r="D2011" s="2161"/>
      <c r="E2011" s="2160" t="s">
        <v>2698</v>
      </c>
      <c r="F2011" s="2161"/>
    </row>
    <row r="2012" spans="1:15">
      <c r="A2012" s="2163"/>
      <c r="B2012" s="2163"/>
      <c r="C2012" s="2163"/>
      <c r="D2012" s="2163"/>
      <c r="E2012" s="2163"/>
      <c r="F2012" s="2163"/>
      <c r="G2012" s="2163"/>
      <c r="H2012" s="2163"/>
      <c r="I2012" s="2163"/>
      <c r="J2012" s="2163"/>
      <c r="K2012" s="2163"/>
      <c r="L2012" s="2163"/>
      <c r="M2012" s="2163"/>
    </row>
    <row r="2013" spans="1:15">
      <c r="A2013" s="2164"/>
      <c r="H2013" s="2522" t="s">
        <v>2637</v>
      </c>
      <c r="I2013" s="2522"/>
      <c r="J2013" s="2163"/>
      <c r="K2013" s="2523">
        <v>0</v>
      </c>
      <c r="L2013" s="2523"/>
      <c r="M2013" s="2163"/>
      <c r="N2013" s="2527"/>
      <c r="O2013" s="2163"/>
    </row>
    <row r="2014" spans="1:15">
      <c r="H2014" s="2163"/>
      <c r="I2014" s="2163"/>
      <c r="J2014" s="2163"/>
      <c r="K2014" s="2523"/>
      <c r="L2014" s="2523"/>
      <c r="N2014" s="2527"/>
    </row>
    <row r="2015" spans="1:15">
      <c r="A2015" s="2165">
        <v>125</v>
      </c>
      <c r="B2015" s="2163"/>
      <c r="C2015" s="2524" t="s">
        <v>2700</v>
      </c>
      <c r="D2015" s="2524"/>
      <c r="E2015" s="2524"/>
      <c r="F2015" s="2524"/>
      <c r="G2015" s="2524"/>
      <c r="H2015" s="2524"/>
      <c r="I2015" s="2524"/>
      <c r="J2015" s="2163"/>
      <c r="K2015" s="2163"/>
      <c r="L2015" s="2163"/>
      <c r="M2015" s="2163"/>
    </row>
    <row r="2016" spans="1:15">
      <c r="A2016" s="2163"/>
      <c r="B2016" s="2163"/>
      <c r="C2016" s="2163"/>
      <c r="D2016" s="2163"/>
      <c r="E2016" s="2163"/>
      <c r="F2016" s="2163"/>
      <c r="G2016" s="2163"/>
      <c r="H2016" s="2163"/>
      <c r="I2016" s="2163"/>
      <c r="J2016" s="2163"/>
      <c r="K2016" s="2163"/>
      <c r="L2016" s="2163"/>
      <c r="M2016" s="2163"/>
    </row>
    <row r="2017" spans="1:15">
      <c r="A2017" s="2529"/>
      <c r="B2017" s="2529"/>
      <c r="C2017" s="2529"/>
      <c r="D2017" s="2166"/>
      <c r="E2017" s="2166"/>
      <c r="F2017" s="2166"/>
      <c r="G2017" s="2166"/>
      <c r="H2017" s="2525"/>
      <c r="I2017" s="2525"/>
      <c r="J2017" s="2525"/>
      <c r="K2017" s="2166"/>
      <c r="L2017" s="2167"/>
      <c r="M2017" s="2166"/>
    </row>
    <row r="2018" spans="1:15">
      <c r="A2018" s="2164"/>
      <c r="B2018" s="2164"/>
      <c r="C2018" s="2164"/>
      <c r="D2018" s="2164"/>
      <c r="E2018" s="2522" t="s">
        <v>2639</v>
      </c>
      <c r="F2018" s="2522"/>
      <c r="G2018" s="2164"/>
      <c r="H2018" s="2523">
        <v>0</v>
      </c>
      <c r="I2018" s="2523"/>
      <c r="J2018" s="2523"/>
      <c r="K2018" s="2163"/>
      <c r="L2018" s="2523">
        <v>0</v>
      </c>
      <c r="M2018" s="2163"/>
    </row>
    <row r="2019" spans="1:15">
      <c r="A2019" s="2164"/>
      <c r="B2019" s="2164"/>
      <c r="C2019" s="2164"/>
      <c r="D2019" s="2164"/>
      <c r="E2019" s="2164"/>
      <c r="F2019" s="2164"/>
      <c r="G2019" s="2164"/>
      <c r="H2019" s="2523"/>
      <c r="I2019" s="2523"/>
      <c r="J2019" s="2523"/>
      <c r="K2019" s="2163"/>
      <c r="L2019" s="2523"/>
      <c r="M2019" s="2163"/>
    </row>
    <row r="2020" spans="1:15">
      <c r="A2020" s="2160" t="s">
        <v>2729</v>
      </c>
      <c r="B2020" s="2161"/>
      <c r="C2020" s="2160" t="s">
        <v>2730</v>
      </c>
      <c r="D2020" s="2161"/>
      <c r="E2020" s="2160" t="s">
        <v>2698</v>
      </c>
      <c r="F2020" s="2161"/>
    </row>
    <row r="2021" spans="1:15">
      <c r="A2021" s="2163"/>
      <c r="B2021" s="2163"/>
      <c r="C2021" s="2163"/>
      <c r="D2021" s="2163"/>
      <c r="E2021" s="2163"/>
      <c r="F2021" s="2163"/>
      <c r="G2021" s="2163"/>
      <c r="H2021" s="2163"/>
      <c r="I2021" s="2163"/>
      <c r="J2021" s="2163"/>
      <c r="K2021" s="2163"/>
      <c r="L2021" s="2163"/>
      <c r="M2021" s="2163"/>
    </row>
    <row r="2022" spans="1:15">
      <c r="A2022" s="2164"/>
      <c r="H2022" s="2522" t="s">
        <v>2637</v>
      </c>
      <c r="I2022" s="2522"/>
      <c r="J2022" s="2163"/>
      <c r="K2022" s="2523">
        <v>0</v>
      </c>
      <c r="L2022" s="2523"/>
      <c r="M2022" s="2163"/>
      <c r="N2022" s="2527"/>
      <c r="O2022" s="2163"/>
    </row>
    <row r="2023" spans="1:15">
      <c r="H2023" s="2163"/>
      <c r="I2023" s="2163"/>
      <c r="J2023" s="2163"/>
      <c r="K2023" s="2523"/>
      <c r="L2023" s="2523"/>
      <c r="N2023" s="2527"/>
    </row>
    <row r="2024" spans="1:15">
      <c r="A2024" s="2165">
        <v>7176</v>
      </c>
      <c r="B2024" s="2163"/>
      <c r="C2024" s="2524" t="s">
        <v>2714</v>
      </c>
      <c r="D2024" s="2524"/>
      <c r="E2024" s="2524"/>
      <c r="F2024" s="2524"/>
      <c r="G2024" s="2524"/>
      <c r="H2024" s="2524"/>
      <c r="I2024" s="2524"/>
      <c r="J2024" s="2163"/>
      <c r="K2024" s="2163"/>
      <c r="L2024" s="2163"/>
      <c r="M2024" s="2163"/>
    </row>
    <row r="2025" spans="1:15">
      <c r="A2025" s="2163"/>
      <c r="B2025" s="2163"/>
      <c r="C2025" s="2163"/>
      <c r="D2025" s="2163"/>
      <c r="E2025" s="2163"/>
      <c r="F2025" s="2163"/>
      <c r="G2025" s="2163"/>
      <c r="H2025" s="2163"/>
      <c r="I2025" s="2163"/>
      <c r="J2025" s="2163"/>
      <c r="K2025" s="2163"/>
      <c r="L2025" s="2163"/>
      <c r="M2025" s="2163"/>
    </row>
    <row r="2026" spans="1:15">
      <c r="A2026" s="2529"/>
      <c r="B2026" s="2529"/>
      <c r="C2026" s="2529"/>
      <c r="D2026" s="2166"/>
      <c r="E2026" s="2166"/>
      <c r="F2026" s="2166"/>
      <c r="G2026" s="2166"/>
      <c r="H2026" s="2525"/>
      <c r="I2026" s="2525"/>
      <c r="J2026" s="2525"/>
      <c r="K2026" s="2166"/>
      <c r="L2026" s="2167"/>
      <c r="M2026" s="2166"/>
    </row>
    <row r="2027" spans="1:15">
      <c r="A2027" s="2164"/>
      <c r="B2027" s="2164"/>
      <c r="C2027" s="2164"/>
      <c r="D2027" s="2164"/>
      <c r="E2027" s="2522" t="s">
        <v>2639</v>
      </c>
      <c r="F2027" s="2522"/>
      <c r="G2027" s="2164"/>
      <c r="H2027" s="2523">
        <v>0</v>
      </c>
      <c r="I2027" s="2523"/>
      <c r="J2027" s="2523"/>
      <c r="K2027" s="2163"/>
      <c r="L2027" s="2523">
        <v>0</v>
      </c>
      <c r="M2027" s="2163"/>
    </row>
    <row r="2028" spans="1:15">
      <c r="A2028" s="2164"/>
      <c r="B2028" s="2164"/>
      <c r="C2028" s="2164"/>
      <c r="D2028" s="2164"/>
      <c r="E2028" s="2164"/>
      <c r="F2028" s="2164"/>
      <c r="G2028" s="2164"/>
      <c r="H2028" s="2523"/>
      <c r="I2028" s="2523"/>
      <c r="J2028" s="2523"/>
      <c r="K2028" s="2163"/>
      <c r="L2028" s="2523"/>
      <c r="M2028" s="2163"/>
    </row>
    <row r="2029" spans="1:15">
      <c r="A2029" s="2160" t="s">
        <v>2729</v>
      </c>
      <c r="B2029" s="2161"/>
      <c r="C2029" s="2160" t="s">
        <v>2730</v>
      </c>
      <c r="D2029" s="2161"/>
      <c r="E2029" s="2160" t="s">
        <v>2698</v>
      </c>
      <c r="F2029" s="2161"/>
    </row>
    <row r="2030" spans="1:15">
      <c r="A2030" s="2163"/>
      <c r="B2030" s="2163"/>
      <c r="C2030" s="2163"/>
      <c r="D2030" s="2163"/>
      <c r="E2030" s="2163"/>
      <c r="F2030" s="2163"/>
      <c r="G2030" s="2163"/>
      <c r="H2030" s="2163"/>
      <c r="I2030" s="2163"/>
      <c r="J2030" s="2163"/>
      <c r="K2030" s="2163"/>
      <c r="L2030" s="2163"/>
      <c r="M2030" s="2163"/>
    </row>
    <row r="2031" spans="1:15">
      <c r="A2031" s="2164"/>
      <c r="H2031" s="2522" t="s">
        <v>2637</v>
      </c>
      <c r="I2031" s="2522"/>
      <c r="J2031" s="2163"/>
      <c r="K2031" s="2523">
        <v>0</v>
      </c>
      <c r="L2031" s="2523"/>
      <c r="M2031" s="2163"/>
      <c r="N2031" s="2527"/>
      <c r="O2031" s="2163"/>
    </row>
    <row r="2032" spans="1:15">
      <c r="H2032" s="2163"/>
      <c r="I2032" s="2163"/>
      <c r="J2032" s="2163"/>
      <c r="K2032" s="2523"/>
      <c r="L2032" s="2523"/>
      <c r="N2032" s="2527"/>
    </row>
    <row r="2033" spans="1:15">
      <c r="A2033" s="2165">
        <v>21866</v>
      </c>
      <c r="B2033" s="2163"/>
      <c r="C2033" s="2524" t="s">
        <v>2710</v>
      </c>
      <c r="D2033" s="2524"/>
      <c r="E2033" s="2524"/>
      <c r="F2033" s="2524"/>
      <c r="G2033" s="2524"/>
      <c r="H2033" s="2524"/>
      <c r="I2033" s="2524"/>
      <c r="J2033" s="2163"/>
      <c r="K2033" s="2163"/>
      <c r="L2033" s="2163"/>
      <c r="M2033" s="2163"/>
    </row>
    <row r="2034" spans="1:15">
      <c r="A2034" s="2163"/>
      <c r="B2034" s="2163"/>
      <c r="C2034" s="2163"/>
      <c r="D2034" s="2163"/>
      <c r="E2034" s="2163"/>
      <c r="F2034" s="2163"/>
      <c r="G2034" s="2163"/>
      <c r="H2034" s="2163"/>
      <c r="I2034" s="2163"/>
      <c r="J2034" s="2163"/>
      <c r="K2034" s="2163"/>
      <c r="L2034" s="2163"/>
      <c r="M2034" s="2163"/>
    </row>
    <row r="2035" spans="1:15">
      <c r="A2035" s="2529"/>
      <c r="B2035" s="2529"/>
      <c r="C2035" s="2529"/>
      <c r="D2035" s="2166"/>
      <c r="E2035" s="2166"/>
      <c r="F2035" s="2166"/>
      <c r="G2035" s="2166"/>
      <c r="H2035" s="2525"/>
      <c r="I2035" s="2525"/>
      <c r="J2035" s="2525"/>
      <c r="K2035" s="2166"/>
      <c r="L2035" s="2167"/>
      <c r="M2035" s="2166"/>
    </row>
    <row r="2036" spans="1:15">
      <c r="A2036" s="2164"/>
      <c r="B2036" s="2164"/>
      <c r="C2036" s="2164"/>
      <c r="D2036" s="2164"/>
      <c r="E2036" s="2522" t="s">
        <v>2639</v>
      </c>
      <c r="F2036" s="2522"/>
      <c r="G2036" s="2164"/>
      <c r="H2036" s="2523">
        <v>0</v>
      </c>
      <c r="I2036" s="2523"/>
      <c r="J2036" s="2523"/>
      <c r="K2036" s="2163"/>
      <c r="L2036" s="2523">
        <v>0</v>
      </c>
      <c r="M2036" s="2163"/>
    </row>
    <row r="2037" spans="1:15">
      <c r="A2037" s="2164"/>
      <c r="B2037" s="2164"/>
      <c r="C2037" s="2164"/>
      <c r="D2037" s="2164"/>
      <c r="E2037" s="2164"/>
      <c r="F2037" s="2164"/>
      <c r="G2037" s="2164"/>
      <c r="H2037" s="2523"/>
      <c r="I2037" s="2523"/>
      <c r="J2037" s="2523"/>
      <c r="K2037" s="2163"/>
      <c r="L2037" s="2523"/>
      <c r="M2037" s="2163"/>
    </row>
    <row r="2038" spans="1:15">
      <c r="A2038" s="2160" t="s">
        <v>2729</v>
      </c>
      <c r="B2038" s="2161"/>
      <c r="C2038" s="2160" t="s">
        <v>2730</v>
      </c>
      <c r="D2038" s="2161"/>
      <c r="E2038" s="2160" t="s">
        <v>2698</v>
      </c>
      <c r="F2038" s="2161"/>
    </row>
    <row r="2039" spans="1:15">
      <c r="A2039" s="2163"/>
      <c r="B2039" s="2163"/>
      <c r="C2039" s="2163"/>
      <c r="D2039" s="2163"/>
      <c r="E2039" s="2163"/>
      <c r="F2039" s="2163"/>
      <c r="G2039" s="2163"/>
      <c r="H2039" s="2163"/>
      <c r="I2039" s="2163"/>
      <c r="J2039" s="2163"/>
      <c r="K2039" s="2163"/>
      <c r="L2039" s="2163"/>
      <c r="M2039" s="2163"/>
    </row>
    <row r="2040" spans="1:15">
      <c r="A2040" s="2164"/>
      <c r="H2040" s="2522" t="s">
        <v>2637</v>
      </c>
      <c r="I2040" s="2522"/>
      <c r="J2040" s="2163"/>
      <c r="K2040" s="2523">
        <v>0</v>
      </c>
      <c r="L2040" s="2523"/>
      <c r="M2040" s="2163"/>
      <c r="N2040" s="2527"/>
      <c r="O2040" s="2163"/>
    </row>
    <row r="2041" spans="1:15">
      <c r="H2041" s="2163"/>
      <c r="I2041" s="2163"/>
      <c r="J2041" s="2163"/>
      <c r="K2041" s="2523"/>
      <c r="L2041" s="2523"/>
      <c r="N2041" s="2527"/>
    </row>
    <row r="2042" spans="1:15">
      <c r="A2042" s="2165">
        <v>24087</v>
      </c>
      <c r="B2042" s="2163"/>
      <c r="C2042" s="2524" t="s">
        <v>2731</v>
      </c>
      <c r="D2042" s="2524"/>
      <c r="E2042" s="2524"/>
      <c r="F2042" s="2524"/>
      <c r="G2042" s="2524"/>
      <c r="H2042" s="2524"/>
      <c r="I2042" s="2524"/>
      <c r="J2042" s="2163"/>
      <c r="K2042" s="2163"/>
      <c r="L2042" s="2163"/>
      <c r="M2042" s="2163"/>
    </row>
    <row r="2043" spans="1:15">
      <c r="A2043" s="2163"/>
      <c r="B2043" s="2163"/>
      <c r="C2043" s="2163"/>
      <c r="D2043" s="2163"/>
      <c r="E2043" s="2163"/>
      <c r="F2043" s="2163"/>
      <c r="G2043" s="2163"/>
      <c r="H2043" s="2163"/>
      <c r="I2043" s="2163"/>
      <c r="J2043" s="2163"/>
      <c r="K2043" s="2163"/>
      <c r="L2043" s="2163"/>
      <c r="M2043" s="2163"/>
    </row>
    <row r="2044" spans="1:15">
      <c r="A2044" s="2529"/>
      <c r="B2044" s="2529"/>
      <c r="C2044" s="2529"/>
      <c r="D2044" s="2166"/>
      <c r="E2044" s="2166"/>
      <c r="F2044" s="2166"/>
      <c r="G2044" s="2166"/>
      <c r="H2044" s="2525"/>
      <c r="I2044" s="2525"/>
      <c r="J2044" s="2525"/>
      <c r="K2044" s="2166"/>
      <c r="L2044" s="2167"/>
      <c r="M2044" s="2166"/>
    </row>
    <row r="2045" spans="1:15">
      <c r="A2045" s="2164"/>
      <c r="B2045" s="2164"/>
      <c r="C2045" s="2164"/>
      <c r="D2045" s="2164"/>
      <c r="E2045" s="2522" t="s">
        <v>2639</v>
      </c>
      <c r="F2045" s="2522"/>
      <c r="G2045" s="2164"/>
      <c r="H2045" s="2523">
        <v>0</v>
      </c>
      <c r="I2045" s="2523"/>
      <c r="J2045" s="2523"/>
      <c r="K2045" s="2163"/>
      <c r="L2045" s="2523">
        <v>0</v>
      </c>
      <c r="M2045" s="2163"/>
    </row>
    <row r="2046" spans="1:15">
      <c r="A2046" s="2164"/>
      <c r="B2046" s="2164"/>
      <c r="C2046" s="2164"/>
      <c r="D2046" s="2164"/>
      <c r="E2046" s="2164"/>
      <c r="F2046" s="2164"/>
      <c r="G2046" s="2164"/>
      <c r="H2046" s="2523"/>
      <c r="I2046" s="2523"/>
      <c r="J2046" s="2523"/>
      <c r="K2046" s="2163"/>
      <c r="L2046" s="2523"/>
      <c r="M2046" s="2163"/>
    </row>
    <row r="2047" spans="1:15">
      <c r="A2047" s="2160" t="s">
        <v>2729</v>
      </c>
      <c r="B2047" s="2161"/>
      <c r="C2047" s="2160" t="s">
        <v>2730</v>
      </c>
      <c r="D2047" s="2161"/>
      <c r="E2047" s="2160" t="s">
        <v>2698</v>
      </c>
      <c r="F2047" s="2161"/>
    </row>
    <row r="2048" spans="1:15">
      <c r="A2048" s="2163"/>
      <c r="B2048" s="2163"/>
      <c r="C2048" s="2163"/>
      <c r="D2048" s="2163"/>
      <c r="E2048" s="2163"/>
      <c r="F2048" s="2163"/>
      <c r="G2048" s="2163"/>
      <c r="H2048" s="2163"/>
      <c r="I2048" s="2163"/>
      <c r="J2048" s="2163"/>
      <c r="K2048" s="2163"/>
      <c r="L2048" s="2163"/>
      <c r="M2048" s="2163"/>
    </row>
    <row r="2049" spans="1:15">
      <c r="A2049" s="2164"/>
      <c r="H2049" s="2522" t="s">
        <v>2637</v>
      </c>
      <c r="I2049" s="2522"/>
      <c r="J2049" s="2163"/>
      <c r="K2049" s="2523">
        <v>0</v>
      </c>
      <c r="L2049" s="2523"/>
      <c r="M2049" s="2163"/>
      <c r="N2049" s="2527"/>
      <c r="O2049" s="2163"/>
    </row>
    <row r="2050" spans="1:15">
      <c r="H2050" s="2163"/>
      <c r="I2050" s="2163"/>
      <c r="J2050" s="2163"/>
      <c r="K2050" s="2523"/>
      <c r="L2050" s="2523"/>
      <c r="N2050" s="2527"/>
    </row>
    <row r="2051" spans="1:15">
      <c r="A2051" s="2165">
        <v>24160</v>
      </c>
      <c r="B2051" s="2163"/>
      <c r="C2051" s="2524" t="s">
        <v>2732</v>
      </c>
      <c r="D2051" s="2524"/>
      <c r="E2051" s="2524"/>
      <c r="F2051" s="2524"/>
      <c r="G2051" s="2524"/>
      <c r="H2051" s="2524"/>
      <c r="I2051" s="2524"/>
      <c r="J2051" s="2163"/>
      <c r="K2051" s="2163"/>
      <c r="L2051" s="2163"/>
      <c r="M2051" s="2163"/>
    </row>
    <row r="2052" spans="1:15">
      <c r="A2052" s="2163"/>
      <c r="B2052" s="2163"/>
      <c r="C2052" s="2163"/>
      <c r="D2052" s="2163"/>
      <c r="E2052" s="2163"/>
      <c r="F2052" s="2163"/>
      <c r="G2052" s="2163"/>
      <c r="H2052" s="2163"/>
      <c r="I2052" s="2163"/>
      <c r="J2052" s="2163"/>
      <c r="K2052" s="2163"/>
      <c r="L2052" s="2163"/>
      <c r="M2052" s="2163"/>
    </row>
    <row r="2053" spans="1:15">
      <c r="A2053" s="2529"/>
      <c r="B2053" s="2529"/>
      <c r="C2053" s="2529"/>
      <c r="D2053" s="2166"/>
      <c r="E2053" s="2166"/>
      <c r="F2053" s="2166"/>
      <c r="G2053" s="2166"/>
      <c r="H2053" s="2525"/>
      <c r="I2053" s="2525"/>
      <c r="J2053" s="2525"/>
      <c r="K2053" s="2166"/>
      <c r="L2053" s="2167"/>
      <c r="M2053" s="2166"/>
    </row>
    <row r="2054" spans="1:15">
      <c r="A2054" s="2164"/>
      <c r="B2054" s="2164"/>
      <c r="C2054" s="2164"/>
      <c r="D2054" s="2164"/>
      <c r="E2054" s="2522" t="s">
        <v>2639</v>
      </c>
      <c r="F2054" s="2522"/>
      <c r="G2054" s="2164"/>
      <c r="H2054" s="2523">
        <v>0</v>
      </c>
      <c r="I2054" s="2523"/>
      <c r="J2054" s="2523"/>
      <c r="K2054" s="2163"/>
      <c r="L2054" s="2523">
        <v>0</v>
      </c>
      <c r="M2054" s="2163"/>
    </row>
    <row r="2055" spans="1:15">
      <c r="A2055" s="2164"/>
      <c r="B2055" s="2164"/>
      <c r="C2055" s="2164"/>
      <c r="D2055" s="2164"/>
      <c r="E2055" s="2164"/>
      <c r="F2055" s="2164"/>
      <c r="G2055" s="2164"/>
      <c r="H2055" s="2523"/>
      <c r="I2055" s="2523"/>
      <c r="J2055" s="2523"/>
      <c r="K2055" s="2163"/>
      <c r="L2055" s="2523"/>
      <c r="M2055" s="2163"/>
    </row>
    <row r="2056" spans="1:15">
      <c r="A2056" s="2160" t="s">
        <v>2729</v>
      </c>
      <c r="B2056" s="2161"/>
      <c r="C2056" s="2160" t="s">
        <v>2730</v>
      </c>
      <c r="D2056" s="2161"/>
      <c r="E2056" s="2160" t="s">
        <v>2698</v>
      </c>
      <c r="F2056" s="2161"/>
    </row>
    <row r="2057" spans="1:15">
      <c r="A2057" s="2163"/>
      <c r="B2057" s="2163"/>
      <c r="C2057" s="2163"/>
      <c r="D2057" s="2163"/>
      <c r="E2057" s="2163"/>
      <c r="F2057" s="2163"/>
      <c r="G2057" s="2163"/>
      <c r="H2057" s="2163"/>
      <c r="I2057" s="2163"/>
      <c r="J2057" s="2163"/>
      <c r="K2057" s="2163"/>
      <c r="L2057" s="2163"/>
      <c r="M2057" s="2163"/>
    </row>
    <row r="2058" spans="1:15">
      <c r="A2058" s="2164"/>
      <c r="H2058" s="2522" t="s">
        <v>2637</v>
      </c>
      <c r="I2058" s="2522"/>
      <c r="J2058" s="2163"/>
      <c r="K2058" s="2523">
        <v>0</v>
      </c>
      <c r="L2058" s="2523"/>
      <c r="M2058" s="2163"/>
      <c r="N2058" s="2527"/>
      <c r="O2058" s="2163"/>
    </row>
    <row r="2059" spans="1:15">
      <c r="H2059" s="2163"/>
      <c r="I2059" s="2163"/>
      <c r="J2059" s="2163"/>
      <c r="K2059" s="2523"/>
      <c r="L2059" s="2523"/>
      <c r="N2059" s="2527"/>
    </row>
    <row r="2060" spans="1:15">
      <c r="A2060" s="2165">
        <v>24476</v>
      </c>
      <c r="B2060" s="2163"/>
      <c r="C2060" s="2524" t="s">
        <v>2977</v>
      </c>
      <c r="D2060" s="2524"/>
      <c r="E2060" s="2524"/>
      <c r="F2060" s="2524"/>
      <c r="G2060" s="2524"/>
      <c r="H2060" s="2524"/>
      <c r="I2060" s="2524"/>
      <c r="J2060" s="2163"/>
      <c r="K2060" s="2163"/>
      <c r="L2060" s="2163"/>
      <c r="M2060" s="2163"/>
    </row>
    <row r="2061" spans="1:15">
      <c r="A2061" s="2163"/>
      <c r="B2061" s="2163"/>
      <c r="C2061" s="2163"/>
      <c r="D2061" s="2163"/>
      <c r="E2061" s="2163"/>
      <c r="F2061" s="2163"/>
      <c r="G2061" s="2163"/>
      <c r="H2061" s="2163"/>
      <c r="I2061" s="2163"/>
      <c r="J2061" s="2163"/>
      <c r="K2061" s="2163"/>
      <c r="L2061" s="2163"/>
      <c r="M2061" s="2163"/>
    </row>
    <row r="2062" spans="1:15">
      <c r="A2062" s="2529"/>
      <c r="B2062" s="2529"/>
      <c r="C2062" s="2529"/>
      <c r="D2062" s="2166"/>
      <c r="E2062" s="2166"/>
      <c r="F2062" s="2166"/>
      <c r="G2062" s="2166"/>
      <c r="H2062" s="2525"/>
      <c r="I2062" s="2525"/>
      <c r="J2062" s="2525"/>
      <c r="K2062" s="2166"/>
      <c r="L2062" s="2167"/>
      <c r="M2062" s="2166"/>
    </row>
    <row r="2063" spans="1:15">
      <c r="A2063" s="2164"/>
      <c r="B2063" s="2164"/>
      <c r="C2063" s="2164"/>
      <c r="D2063" s="2164"/>
      <c r="E2063" s="2522" t="s">
        <v>2639</v>
      </c>
      <c r="F2063" s="2522"/>
      <c r="G2063" s="2164"/>
      <c r="H2063" s="2523">
        <v>0</v>
      </c>
      <c r="I2063" s="2523"/>
      <c r="J2063" s="2523"/>
      <c r="K2063" s="2163"/>
      <c r="L2063" s="2523">
        <v>0</v>
      </c>
      <c r="M2063" s="2163"/>
    </row>
    <row r="2064" spans="1:15">
      <c r="A2064" s="2164"/>
      <c r="B2064" s="2164"/>
      <c r="C2064" s="2164"/>
      <c r="D2064" s="2164"/>
      <c r="E2064" s="2164"/>
      <c r="F2064" s="2164"/>
      <c r="G2064" s="2164"/>
      <c r="H2064" s="2523"/>
      <c r="I2064" s="2523"/>
      <c r="J2064" s="2523"/>
      <c r="K2064" s="2163"/>
      <c r="L2064" s="2523"/>
      <c r="M2064" s="2163"/>
    </row>
    <row r="2065" spans="1:15">
      <c r="A2065" s="2160" t="s">
        <v>2729</v>
      </c>
      <c r="B2065" s="2161"/>
      <c r="C2065" s="2160" t="s">
        <v>2730</v>
      </c>
      <c r="D2065" s="2161"/>
      <c r="E2065" s="2160" t="s">
        <v>2698</v>
      </c>
      <c r="F2065" s="2161"/>
    </row>
    <row r="2066" spans="1:15">
      <c r="A2066" s="2163"/>
      <c r="B2066" s="2163"/>
      <c r="C2066" s="2163"/>
      <c r="D2066" s="2163"/>
      <c r="E2066" s="2163"/>
      <c r="F2066" s="2163"/>
      <c r="G2066" s="2163"/>
      <c r="H2066" s="2163"/>
      <c r="I2066" s="2163"/>
      <c r="J2066" s="2163"/>
      <c r="K2066" s="2163"/>
      <c r="L2066" s="2163"/>
      <c r="M2066" s="2163"/>
    </row>
    <row r="2067" spans="1:15">
      <c r="A2067" s="2164"/>
      <c r="H2067" s="2522" t="s">
        <v>2637</v>
      </c>
      <c r="I2067" s="2522"/>
      <c r="J2067" s="2163"/>
      <c r="K2067" s="2523">
        <v>0</v>
      </c>
      <c r="L2067" s="2523"/>
      <c r="M2067" s="2163"/>
      <c r="N2067" s="2527"/>
      <c r="O2067" s="2163"/>
    </row>
    <row r="2068" spans="1:15">
      <c r="H2068" s="2163"/>
      <c r="I2068" s="2163"/>
      <c r="J2068" s="2163"/>
      <c r="K2068" s="2523"/>
      <c r="L2068" s="2523"/>
      <c r="N2068" s="2527"/>
    </row>
    <row r="2069" spans="1:15">
      <c r="A2069" s="2165">
        <v>42039</v>
      </c>
      <c r="B2069" s="2163"/>
      <c r="C2069" s="2524" t="s">
        <v>2643</v>
      </c>
      <c r="D2069" s="2524"/>
      <c r="E2069" s="2524"/>
      <c r="F2069" s="2524"/>
      <c r="G2069" s="2524"/>
      <c r="H2069" s="2524"/>
      <c r="I2069" s="2524"/>
      <c r="J2069" s="2163"/>
      <c r="K2069" s="2163"/>
      <c r="L2069" s="2163"/>
      <c r="M2069" s="2163"/>
    </row>
    <row r="2070" spans="1:15">
      <c r="A2070" s="2163"/>
      <c r="B2070" s="2163"/>
      <c r="C2070" s="2163"/>
      <c r="D2070" s="2163"/>
      <c r="E2070" s="2163"/>
      <c r="F2070" s="2163"/>
      <c r="G2070" s="2163"/>
      <c r="H2070" s="2163"/>
      <c r="I2070" s="2163"/>
      <c r="J2070" s="2163"/>
      <c r="K2070" s="2163"/>
      <c r="L2070" s="2163"/>
      <c r="M2070" s="2163"/>
    </row>
    <row r="2071" spans="1:15">
      <c r="A2071" s="2529"/>
      <c r="B2071" s="2529"/>
      <c r="C2071" s="2529"/>
      <c r="D2071" s="2166"/>
      <c r="E2071" s="2166"/>
      <c r="F2071" s="2166"/>
      <c r="G2071" s="2166"/>
      <c r="H2071" s="2525"/>
      <c r="I2071" s="2525"/>
      <c r="J2071" s="2525"/>
      <c r="K2071" s="2166"/>
      <c r="L2071" s="2167"/>
      <c r="M2071" s="2166"/>
    </row>
    <row r="2072" spans="1:15">
      <c r="A2072" s="2164"/>
      <c r="B2072" s="2164"/>
      <c r="C2072" s="2164"/>
      <c r="D2072" s="2164"/>
      <c r="E2072" s="2522" t="s">
        <v>2639</v>
      </c>
      <c r="F2072" s="2522"/>
      <c r="G2072" s="2164"/>
      <c r="H2072" s="2523">
        <v>0</v>
      </c>
      <c r="I2072" s="2523"/>
      <c r="J2072" s="2523"/>
      <c r="K2072" s="2163"/>
      <c r="L2072" s="2523">
        <v>0</v>
      </c>
      <c r="M2072" s="2163"/>
    </row>
    <row r="2073" spans="1:15">
      <c r="A2073" s="2164"/>
      <c r="B2073" s="2164"/>
      <c r="C2073" s="2164"/>
      <c r="D2073" s="2164"/>
      <c r="E2073" s="2164"/>
      <c r="F2073" s="2164"/>
      <c r="G2073" s="2164"/>
      <c r="H2073" s="2523"/>
      <c r="I2073" s="2523"/>
      <c r="J2073" s="2523"/>
      <c r="K2073" s="2163"/>
      <c r="L2073" s="2523"/>
      <c r="M2073" s="2163"/>
    </row>
    <row r="2074" spans="1:15">
      <c r="A2074" s="2160" t="s">
        <v>2729</v>
      </c>
      <c r="B2074" s="2161"/>
      <c r="C2074" s="2160" t="s">
        <v>2730</v>
      </c>
      <c r="D2074" s="2161"/>
      <c r="E2074" s="2160" t="s">
        <v>2698</v>
      </c>
      <c r="F2074" s="2161"/>
    </row>
    <row r="2075" spans="1:15">
      <c r="A2075" s="2163"/>
      <c r="B2075" s="2163"/>
      <c r="C2075" s="2163"/>
      <c r="D2075" s="2163"/>
      <c r="E2075" s="2163"/>
      <c r="F2075" s="2163"/>
      <c r="G2075" s="2163"/>
      <c r="H2075" s="2163"/>
      <c r="I2075" s="2163"/>
      <c r="J2075" s="2163"/>
      <c r="K2075" s="2163"/>
      <c r="L2075" s="2163"/>
      <c r="M2075" s="2163"/>
    </row>
    <row r="2076" spans="1:15">
      <c r="A2076" s="2164"/>
      <c r="H2076" s="2522" t="s">
        <v>2637</v>
      </c>
      <c r="I2076" s="2522"/>
      <c r="J2076" s="2163"/>
      <c r="K2076" s="2523">
        <v>0</v>
      </c>
      <c r="L2076" s="2523"/>
      <c r="M2076" s="2163"/>
      <c r="N2076" s="2527"/>
      <c r="O2076" s="2163"/>
    </row>
    <row r="2077" spans="1:15">
      <c r="H2077" s="2163"/>
      <c r="I2077" s="2163"/>
      <c r="J2077" s="2163"/>
      <c r="K2077" s="2523"/>
      <c r="L2077" s="2523"/>
      <c r="N2077" s="2527"/>
    </row>
    <row r="2078" spans="1:15">
      <c r="A2078" s="2165">
        <v>32636</v>
      </c>
      <c r="B2078" s="2163"/>
      <c r="C2078" s="2524" t="s">
        <v>2641</v>
      </c>
      <c r="D2078" s="2524"/>
      <c r="E2078" s="2524"/>
      <c r="F2078" s="2524"/>
      <c r="G2078" s="2524"/>
      <c r="H2078" s="2524"/>
      <c r="I2078" s="2524"/>
      <c r="J2078" s="2163"/>
      <c r="K2078" s="2163"/>
      <c r="L2078" s="2163"/>
      <c r="M2078" s="2163"/>
    </row>
    <row r="2079" spans="1:15">
      <c r="A2079" s="2163"/>
      <c r="B2079" s="2163"/>
      <c r="C2079" s="2163"/>
      <c r="D2079" s="2163"/>
      <c r="E2079" s="2163"/>
      <c r="F2079" s="2163"/>
      <c r="G2079" s="2163"/>
      <c r="H2079" s="2163"/>
      <c r="I2079" s="2163"/>
      <c r="J2079" s="2163"/>
      <c r="K2079" s="2163"/>
      <c r="L2079" s="2163"/>
      <c r="M2079" s="2163"/>
    </row>
    <row r="2080" spans="1:15">
      <c r="A2080" s="2529"/>
      <c r="B2080" s="2529"/>
      <c r="C2080" s="2529"/>
      <c r="D2080" s="2166"/>
      <c r="E2080" s="2166"/>
      <c r="F2080" s="2166"/>
      <c r="G2080" s="2166"/>
      <c r="H2080" s="2525"/>
      <c r="I2080" s="2525"/>
      <c r="J2080" s="2525"/>
      <c r="K2080" s="2166"/>
      <c r="L2080" s="2167"/>
      <c r="M2080" s="2166"/>
    </row>
    <row r="2081" spans="1:15">
      <c r="A2081" s="2164"/>
      <c r="B2081" s="2164"/>
      <c r="C2081" s="2164"/>
      <c r="D2081" s="2164"/>
      <c r="E2081" s="2522" t="s">
        <v>2639</v>
      </c>
      <c r="F2081" s="2522"/>
      <c r="G2081" s="2164"/>
      <c r="H2081" s="2523">
        <v>0</v>
      </c>
      <c r="I2081" s="2523"/>
      <c r="J2081" s="2523"/>
      <c r="K2081" s="2163"/>
      <c r="L2081" s="2523">
        <v>0</v>
      </c>
      <c r="M2081" s="2163"/>
    </row>
    <row r="2082" spans="1:15">
      <c r="A2082" s="2164"/>
      <c r="B2082" s="2164"/>
      <c r="C2082" s="2164"/>
      <c r="D2082" s="2164"/>
      <c r="E2082" s="2164"/>
      <c r="F2082" s="2164"/>
      <c r="G2082" s="2164"/>
      <c r="H2082" s="2523"/>
      <c r="I2082" s="2523"/>
      <c r="J2082" s="2523"/>
      <c r="K2082" s="2163"/>
      <c r="L2082" s="2523"/>
      <c r="M2082" s="2163"/>
    </row>
    <row r="2083" spans="1:15">
      <c r="A2083" s="2160" t="s">
        <v>2729</v>
      </c>
      <c r="B2083" s="2161"/>
      <c r="C2083" s="2160" t="s">
        <v>2730</v>
      </c>
      <c r="D2083" s="2161"/>
      <c r="E2083" s="2160" t="s">
        <v>2698</v>
      </c>
      <c r="F2083" s="2161"/>
    </row>
    <row r="2084" spans="1:15">
      <c r="A2084" s="2163"/>
      <c r="B2084" s="2163"/>
      <c r="C2084" s="2163"/>
      <c r="D2084" s="2163"/>
      <c r="E2084" s="2163"/>
      <c r="F2084" s="2163"/>
      <c r="G2084" s="2163"/>
      <c r="H2084" s="2163"/>
      <c r="I2084" s="2163"/>
      <c r="J2084" s="2163"/>
      <c r="K2084" s="2163"/>
      <c r="L2084" s="2163"/>
      <c r="M2084" s="2163"/>
    </row>
    <row r="2085" spans="1:15">
      <c r="A2085" s="2164"/>
      <c r="H2085" s="2522" t="s">
        <v>2637</v>
      </c>
      <c r="I2085" s="2522"/>
      <c r="J2085" s="2163"/>
      <c r="K2085" s="2523">
        <v>0</v>
      </c>
      <c r="L2085" s="2523"/>
      <c r="M2085" s="2163"/>
      <c r="N2085" s="2527"/>
      <c r="O2085" s="2163"/>
    </row>
    <row r="2086" spans="1:15">
      <c r="H2086" s="2163"/>
      <c r="I2086" s="2163"/>
      <c r="J2086" s="2163"/>
      <c r="K2086" s="2523"/>
      <c r="L2086" s="2523"/>
      <c r="N2086" s="2527"/>
    </row>
    <row r="2087" spans="1:15">
      <c r="A2087" s="2165">
        <v>32143</v>
      </c>
      <c r="B2087" s="2163"/>
      <c r="C2087" s="2524" t="s">
        <v>2650</v>
      </c>
      <c r="D2087" s="2524"/>
      <c r="E2087" s="2524"/>
      <c r="F2087" s="2524"/>
      <c r="G2087" s="2524"/>
      <c r="H2087" s="2524"/>
      <c r="I2087" s="2524"/>
      <c r="J2087" s="2163"/>
      <c r="K2087" s="2163"/>
      <c r="L2087" s="2163"/>
      <c r="M2087" s="2163"/>
    </row>
    <row r="2088" spans="1:15">
      <c r="A2088" s="2163"/>
      <c r="B2088" s="2163"/>
      <c r="C2088" s="2163"/>
      <c r="D2088" s="2163"/>
      <c r="E2088" s="2163"/>
      <c r="F2088" s="2163"/>
      <c r="G2088" s="2163"/>
      <c r="H2088" s="2163"/>
      <c r="I2088" s="2163"/>
      <c r="J2088" s="2163"/>
      <c r="K2088" s="2163"/>
      <c r="L2088" s="2163"/>
      <c r="M2088" s="2163"/>
    </row>
    <row r="2089" spans="1:15">
      <c r="A2089" s="2529"/>
      <c r="B2089" s="2529"/>
      <c r="C2089" s="2529"/>
      <c r="D2089" s="2166"/>
      <c r="E2089" s="2166"/>
      <c r="F2089" s="2166"/>
      <c r="G2089" s="2166"/>
      <c r="H2089" s="2525"/>
      <c r="I2089" s="2525"/>
      <c r="J2089" s="2525"/>
      <c r="K2089" s="2166"/>
      <c r="L2089" s="2167"/>
      <c r="M2089" s="2166"/>
    </row>
    <row r="2090" spans="1:15">
      <c r="A2090" s="2164"/>
      <c r="B2090" s="2164"/>
      <c r="C2090" s="2164"/>
      <c r="D2090" s="2164"/>
      <c r="E2090" s="2522" t="s">
        <v>2639</v>
      </c>
      <c r="F2090" s="2522"/>
      <c r="G2090" s="2164"/>
      <c r="H2090" s="2523">
        <v>0</v>
      </c>
      <c r="I2090" s="2523"/>
      <c r="J2090" s="2523"/>
      <c r="K2090" s="2163"/>
      <c r="L2090" s="2523">
        <v>0</v>
      </c>
      <c r="M2090" s="2163"/>
    </row>
    <row r="2091" spans="1:15">
      <c r="A2091" s="2164"/>
      <c r="B2091" s="2164"/>
      <c r="C2091" s="2164"/>
      <c r="D2091" s="2164"/>
      <c r="E2091" s="2164"/>
      <c r="F2091" s="2164"/>
      <c r="G2091" s="2164"/>
      <c r="H2091" s="2523"/>
      <c r="I2091" s="2523"/>
      <c r="J2091" s="2523"/>
      <c r="K2091" s="2163"/>
      <c r="L2091" s="2523"/>
      <c r="M2091" s="2163"/>
    </row>
    <row r="2092" spans="1:15">
      <c r="A2092" s="2160" t="s">
        <v>2729</v>
      </c>
      <c r="B2092" s="2161"/>
      <c r="C2092" s="2160" t="s">
        <v>2730</v>
      </c>
      <c r="D2092" s="2161"/>
      <c r="E2092" s="2160" t="s">
        <v>2698</v>
      </c>
      <c r="F2092" s="2161"/>
    </row>
    <row r="2093" spans="1:15">
      <c r="A2093" s="2163"/>
      <c r="B2093" s="2163"/>
      <c r="C2093" s="2163"/>
      <c r="D2093" s="2163"/>
      <c r="E2093" s="2163"/>
      <c r="F2093" s="2163"/>
      <c r="G2093" s="2163"/>
      <c r="H2093" s="2163"/>
      <c r="I2093" s="2163"/>
      <c r="J2093" s="2163"/>
      <c r="K2093" s="2163"/>
      <c r="L2093" s="2163"/>
      <c r="M2093" s="2163"/>
    </row>
    <row r="2094" spans="1:15">
      <c r="A2094" s="2164"/>
      <c r="H2094" s="2522" t="s">
        <v>2637</v>
      </c>
      <c r="I2094" s="2522"/>
      <c r="J2094" s="2163"/>
      <c r="K2094" s="2523">
        <v>0</v>
      </c>
      <c r="L2094" s="2523"/>
      <c r="M2094" s="2163"/>
      <c r="N2094" s="2527"/>
      <c r="O2094" s="2163"/>
    </row>
    <row r="2095" spans="1:15">
      <c r="H2095" s="2163"/>
      <c r="I2095" s="2163"/>
      <c r="J2095" s="2163"/>
      <c r="K2095" s="2523"/>
      <c r="L2095" s="2523"/>
      <c r="N2095" s="2527"/>
    </row>
    <row r="2096" spans="1:15">
      <c r="A2096" s="2165">
        <v>32358</v>
      </c>
      <c r="B2096" s="2163"/>
      <c r="C2096" s="2524" t="s">
        <v>2675</v>
      </c>
      <c r="D2096" s="2524"/>
      <c r="E2096" s="2524"/>
      <c r="F2096" s="2524"/>
      <c r="G2096" s="2524"/>
      <c r="H2096" s="2524"/>
      <c r="I2096" s="2524"/>
      <c r="J2096" s="2163"/>
      <c r="K2096" s="2163"/>
      <c r="L2096" s="2163"/>
      <c r="M2096" s="2163"/>
    </row>
    <row r="2097" spans="1:15">
      <c r="A2097" s="2163"/>
      <c r="B2097" s="2163"/>
      <c r="C2097" s="2163"/>
      <c r="D2097" s="2163"/>
      <c r="E2097" s="2163"/>
      <c r="F2097" s="2163"/>
      <c r="G2097" s="2163"/>
      <c r="H2097" s="2163"/>
      <c r="I2097" s="2163"/>
      <c r="J2097" s="2163"/>
      <c r="K2097" s="2163"/>
      <c r="L2097" s="2163"/>
      <c r="M2097" s="2163"/>
    </row>
    <row r="2098" spans="1:15">
      <c r="A2098" s="2529"/>
      <c r="B2098" s="2529"/>
      <c r="C2098" s="2529"/>
      <c r="D2098" s="2166"/>
      <c r="E2098" s="2166"/>
      <c r="F2098" s="2166"/>
      <c r="G2098" s="2166"/>
      <c r="H2098" s="2525"/>
      <c r="I2098" s="2525"/>
      <c r="J2098" s="2525"/>
      <c r="K2098" s="2166"/>
      <c r="L2098" s="2167"/>
      <c r="M2098" s="2166"/>
    </row>
    <row r="2099" spans="1:15">
      <c r="A2099" s="2164"/>
      <c r="B2099" s="2164"/>
      <c r="C2099" s="2164"/>
      <c r="D2099" s="2164"/>
      <c r="E2099" s="2522" t="s">
        <v>2639</v>
      </c>
      <c r="F2099" s="2522"/>
      <c r="G2099" s="2164"/>
      <c r="H2099" s="2523">
        <v>0</v>
      </c>
      <c r="I2099" s="2523"/>
      <c r="J2099" s="2523"/>
      <c r="K2099" s="2163"/>
      <c r="L2099" s="2523">
        <v>0</v>
      </c>
      <c r="M2099" s="2163"/>
    </row>
    <row r="2100" spans="1:15">
      <c r="A2100" s="2164"/>
      <c r="B2100" s="2164"/>
      <c r="C2100" s="2164"/>
      <c r="D2100" s="2164"/>
      <c r="E2100" s="2164"/>
      <c r="F2100" s="2164"/>
      <c r="G2100" s="2164"/>
      <c r="H2100" s="2523"/>
      <c r="I2100" s="2523"/>
      <c r="J2100" s="2523"/>
      <c r="K2100" s="2163"/>
      <c r="L2100" s="2523"/>
      <c r="M2100" s="2163"/>
    </row>
    <row r="2101" spans="1:15">
      <c r="A2101" s="2160" t="s">
        <v>2729</v>
      </c>
      <c r="B2101" s="2161"/>
      <c r="C2101" s="2160" t="s">
        <v>2730</v>
      </c>
      <c r="D2101" s="2161"/>
      <c r="E2101" s="2160" t="s">
        <v>2698</v>
      </c>
      <c r="F2101" s="2161"/>
    </row>
    <row r="2102" spans="1:15">
      <c r="A2102" s="2163"/>
      <c r="B2102" s="2163"/>
      <c r="C2102" s="2163"/>
      <c r="D2102" s="2163"/>
      <c r="E2102" s="2163"/>
      <c r="F2102" s="2163"/>
      <c r="G2102" s="2163"/>
      <c r="H2102" s="2163"/>
      <c r="I2102" s="2163"/>
      <c r="J2102" s="2163"/>
      <c r="K2102" s="2163"/>
      <c r="L2102" s="2163"/>
      <c r="M2102" s="2163"/>
    </row>
    <row r="2103" spans="1:15">
      <c r="A2103" s="2164"/>
      <c r="H2103" s="2522" t="s">
        <v>2637</v>
      </c>
      <c r="I2103" s="2522"/>
      <c r="J2103" s="2163"/>
      <c r="K2103" s="2523">
        <v>0</v>
      </c>
      <c r="L2103" s="2523"/>
      <c r="M2103" s="2163"/>
      <c r="N2103" s="2527"/>
      <c r="O2103" s="2163"/>
    </row>
    <row r="2104" spans="1:15">
      <c r="H2104" s="2163"/>
      <c r="I2104" s="2163"/>
      <c r="J2104" s="2163"/>
      <c r="K2104" s="2523"/>
      <c r="L2104" s="2523"/>
      <c r="N2104" s="2527"/>
    </row>
    <row r="2105" spans="1:15">
      <c r="A2105" s="2165">
        <v>44234</v>
      </c>
      <c r="B2105" s="2163"/>
      <c r="C2105" s="2524" t="s">
        <v>2658</v>
      </c>
      <c r="D2105" s="2524"/>
      <c r="E2105" s="2524"/>
      <c r="F2105" s="2524"/>
      <c r="G2105" s="2524"/>
      <c r="H2105" s="2524"/>
      <c r="I2105" s="2524"/>
      <c r="J2105" s="2163"/>
      <c r="K2105" s="2163"/>
      <c r="L2105" s="2163"/>
      <c r="M2105" s="2163"/>
    </row>
    <row r="2106" spans="1:15">
      <c r="A2106" s="2163"/>
      <c r="B2106" s="2163"/>
      <c r="C2106" s="2163"/>
      <c r="D2106" s="2163"/>
      <c r="E2106" s="2163"/>
      <c r="F2106" s="2163"/>
      <c r="G2106" s="2163"/>
      <c r="H2106" s="2163"/>
      <c r="I2106" s="2163"/>
      <c r="J2106" s="2163"/>
      <c r="K2106" s="2163"/>
      <c r="L2106" s="2163"/>
      <c r="M2106" s="2163"/>
    </row>
    <row r="2107" spans="1:15">
      <c r="A2107" s="2529"/>
      <c r="B2107" s="2529"/>
      <c r="C2107" s="2529"/>
      <c r="D2107" s="2166"/>
      <c r="E2107" s="2166"/>
      <c r="F2107" s="2166"/>
      <c r="G2107" s="2166"/>
      <c r="H2107" s="2525"/>
      <c r="I2107" s="2525"/>
      <c r="J2107" s="2525"/>
      <c r="K2107" s="2166"/>
      <c r="L2107" s="2167"/>
      <c r="M2107" s="2166"/>
    </row>
    <row r="2108" spans="1:15">
      <c r="A2108" s="2164"/>
      <c r="B2108" s="2164"/>
      <c r="C2108" s="2164"/>
      <c r="D2108" s="2164"/>
      <c r="E2108" s="2522" t="s">
        <v>2639</v>
      </c>
      <c r="F2108" s="2522"/>
      <c r="G2108" s="2164"/>
      <c r="H2108" s="2523">
        <v>0</v>
      </c>
      <c r="I2108" s="2523"/>
      <c r="J2108" s="2523"/>
      <c r="K2108" s="2163"/>
      <c r="L2108" s="2523">
        <v>0</v>
      </c>
      <c r="M2108" s="2163"/>
    </row>
    <row r="2109" spans="1:15">
      <c r="A2109" s="2164"/>
      <c r="B2109" s="2164"/>
      <c r="C2109" s="2164"/>
      <c r="D2109" s="2164"/>
      <c r="E2109" s="2164"/>
      <c r="F2109" s="2164"/>
      <c r="G2109" s="2164"/>
      <c r="H2109" s="2523"/>
      <c r="I2109" s="2523"/>
      <c r="J2109" s="2523"/>
      <c r="K2109" s="2163"/>
      <c r="L2109" s="2523"/>
      <c r="M2109" s="2163"/>
    </row>
    <row r="2110" spans="1:15">
      <c r="A2110" s="2160" t="s">
        <v>2729</v>
      </c>
      <c r="B2110" s="2161"/>
      <c r="C2110" s="2160" t="s">
        <v>2730</v>
      </c>
      <c r="D2110" s="2161"/>
      <c r="E2110" s="2160" t="s">
        <v>2698</v>
      </c>
      <c r="F2110" s="2161"/>
    </row>
    <row r="2111" spans="1:15">
      <c r="A2111" s="2163"/>
      <c r="B2111" s="2163"/>
      <c r="C2111" s="2163"/>
      <c r="D2111" s="2163"/>
      <c r="E2111" s="2163"/>
      <c r="F2111" s="2163"/>
      <c r="G2111" s="2163"/>
      <c r="H2111" s="2163"/>
      <c r="I2111" s="2163"/>
      <c r="J2111" s="2163"/>
      <c r="K2111" s="2163"/>
      <c r="L2111" s="2163"/>
      <c r="M2111" s="2163"/>
    </row>
    <row r="2112" spans="1:15">
      <c r="A2112" s="2164"/>
      <c r="H2112" s="2522" t="s">
        <v>2637</v>
      </c>
      <c r="I2112" s="2522"/>
      <c r="J2112" s="2163"/>
      <c r="K2112" s="2523">
        <v>0</v>
      </c>
      <c r="L2112" s="2523"/>
      <c r="M2112" s="2163"/>
      <c r="N2112" s="2527"/>
      <c r="O2112" s="2163"/>
    </row>
    <row r="2113" spans="1:15">
      <c r="H2113" s="2163"/>
      <c r="I2113" s="2163"/>
      <c r="J2113" s="2163"/>
      <c r="K2113" s="2523"/>
      <c r="L2113" s="2523"/>
      <c r="N2113" s="2527"/>
    </row>
    <row r="2114" spans="1:15">
      <c r="A2114" s="2165">
        <v>41794</v>
      </c>
      <c r="B2114" s="2163"/>
      <c r="C2114" s="2524" t="s">
        <v>2659</v>
      </c>
      <c r="D2114" s="2524"/>
      <c r="E2114" s="2524"/>
      <c r="F2114" s="2524"/>
      <c r="G2114" s="2524"/>
      <c r="H2114" s="2524"/>
      <c r="I2114" s="2524"/>
      <c r="J2114" s="2163"/>
      <c r="K2114" s="2163"/>
      <c r="L2114" s="2163"/>
      <c r="M2114" s="2163"/>
    </row>
    <row r="2115" spans="1:15">
      <c r="A2115" s="2163"/>
      <c r="B2115" s="2163"/>
      <c r="C2115" s="2163"/>
      <c r="D2115" s="2163"/>
      <c r="E2115" s="2163"/>
      <c r="F2115" s="2163"/>
      <c r="G2115" s="2163"/>
      <c r="H2115" s="2163"/>
      <c r="I2115" s="2163"/>
      <c r="J2115" s="2163"/>
      <c r="K2115" s="2163"/>
      <c r="L2115" s="2163"/>
      <c r="M2115" s="2163"/>
    </row>
    <row r="2116" spans="1:15">
      <c r="A2116" s="2529"/>
      <c r="B2116" s="2529"/>
      <c r="C2116" s="2529"/>
      <c r="D2116" s="2166"/>
      <c r="E2116" s="2166"/>
      <c r="F2116" s="2166"/>
      <c r="G2116" s="2166"/>
      <c r="H2116" s="2525"/>
      <c r="I2116" s="2525"/>
      <c r="J2116" s="2525"/>
      <c r="K2116" s="2166"/>
      <c r="L2116" s="2167"/>
      <c r="M2116" s="2166"/>
    </row>
    <row r="2117" spans="1:15">
      <c r="A2117" s="2164"/>
      <c r="B2117" s="2164"/>
      <c r="C2117" s="2164"/>
      <c r="D2117" s="2164"/>
      <c r="E2117" s="2522" t="s">
        <v>2639</v>
      </c>
      <c r="F2117" s="2522"/>
      <c r="G2117" s="2164"/>
      <c r="H2117" s="2523">
        <v>0</v>
      </c>
      <c r="I2117" s="2523"/>
      <c r="J2117" s="2523"/>
      <c r="K2117" s="2163"/>
      <c r="L2117" s="2523">
        <v>0</v>
      </c>
      <c r="M2117" s="2163"/>
    </row>
    <row r="2118" spans="1:15">
      <c r="A2118" s="2164"/>
      <c r="B2118" s="2164"/>
      <c r="C2118" s="2164"/>
      <c r="D2118" s="2164"/>
      <c r="E2118" s="2164"/>
      <c r="F2118" s="2164"/>
      <c r="G2118" s="2164"/>
      <c r="H2118" s="2523"/>
      <c r="I2118" s="2523"/>
      <c r="J2118" s="2523"/>
      <c r="K2118" s="2163"/>
      <c r="L2118" s="2523"/>
      <c r="M2118" s="2163"/>
    </row>
    <row r="2119" spans="1:15">
      <c r="A2119" s="2160" t="s">
        <v>2729</v>
      </c>
      <c r="B2119" s="2161"/>
      <c r="C2119" s="2160" t="s">
        <v>2730</v>
      </c>
      <c r="D2119" s="2161"/>
      <c r="E2119" s="2160" t="s">
        <v>2698</v>
      </c>
      <c r="F2119" s="2161"/>
    </row>
    <row r="2120" spans="1:15">
      <c r="A2120" s="2163"/>
      <c r="B2120" s="2163"/>
      <c r="C2120" s="2163"/>
      <c r="D2120" s="2163"/>
      <c r="E2120" s="2163"/>
      <c r="F2120" s="2163"/>
      <c r="G2120" s="2163"/>
      <c r="H2120" s="2163"/>
      <c r="I2120" s="2163"/>
      <c r="J2120" s="2163"/>
      <c r="K2120" s="2163"/>
      <c r="L2120" s="2163"/>
      <c r="M2120" s="2163"/>
    </row>
    <row r="2121" spans="1:15">
      <c r="A2121" s="2164"/>
      <c r="H2121" s="2522" t="s">
        <v>2637</v>
      </c>
      <c r="I2121" s="2522"/>
      <c r="J2121" s="2163"/>
      <c r="K2121" s="2523">
        <v>0</v>
      </c>
      <c r="L2121" s="2523"/>
      <c r="M2121" s="2163"/>
      <c r="N2121" s="2527"/>
      <c r="O2121" s="2163"/>
    </row>
    <row r="2122" spans="1:15">
      <c r="H2122" s="2163"/>
      <c r="I2122" s="2163"/>
      <c r="J2122" s="2163"/>
      <c r="K2122" s="2523"/>
      <c r="L2122" s="2523"/>
      <c r="N2122" s="2527"/>
    </row>
    <row r="2123" spans="1:15">
      <c r="A2123" s="2165">
        <v>39845</v>
      </c>
      <c r="B2123" s="2163"/>
      <c r="C2123" s="2524" t="s">
        <v>2660</v>
      </c>
      <c r="D2123" s="2524"/>
      <c r="E2123" s="2524"/>
      <c r="F2123" s="2524"/>
      <c r="G2123" s="2524"/>
      <c r="H2123" s="2524"/>
      <c r="I2123" s="2524"/>
      <c r="J2123" s="2163"/>
      <c r="K2123" s="2163"/>
      <c r="L2123" s="2163"/>
      <c r="M2123" s="2163"/>
    </row>
    <row r="2124" spans="1:15">
      <c r="A2124" s="2163"/>
      <c r="B2124" s="2163"/>
      <c r="C2124" s="2163"/>
      <c r="D2124" s="2163"/>
      <c r="E2124" s="2163"/>
      <c r="F2124" s="2163"/>
      <c r="G2124" s="2163"/>
      <c r="H2124" s="2163"/>
      <c r="I2124" s="2163"/>
      <c r="J2124" s="2163"/>
      <c r="K2124" s="2163"/>
      <c r="L2124" s="2163"/>
      <c r="M2124" s="2163"/>
    </row>
    <row r="2125" spans="1:15">
      <c r="A2125" s="2529"/>
      <c r="B2125" s="2529"/>
      <c r="C2125" s="2529"/>
      <c r="D2125" s="2166"/>
      <c r="E2125" s="2166"/>
      <c r="F2125" s="2166"/>
      <c r="G2125" s="2166"/>
      <c r="H2125" s="2525"/>
      <c r="I2125" s="2525"/>
      <c r="J2125" s="2525"/>
      <c r="K2125" s="2166"/>
      <c r="L2125" s="2167"/>
      <c r="M2125" s="2166"/>
    </row>
    <row r="2126" spans="1:15">
      <c r="A2126" s="2164"/>
      <c r="B2126" s="2164"/>
      <c r="C2126" s="2164"/>
      <c r="D2126" s="2164"/>
      <c r="E2126" s="2522" t="s">
        <v>2639</v>
      </c>
      <c r="F2126" s="2522"/>
      <c r="G2126" s="2164"/>
      <c r="H2126" s="2523">
        <v>0</v>
      </c>
      <c r="I2126" s="2523"/>
      <c r="J2126" s="2523"/>
      <c r="K2126" s="2163"/>
      <c r="L2126" s="2523">
        <v>0</v>
      </c>
      <c r="M2126" s="2163"/>
    </row>
    <row r="2127" spans="1:15">
      <c r="A2127" s="2164"/>
      <c r="B2127" s="2164"/>
      <c r="C2127" s="2164"/>
      <c r="D2127" s="2164"/>
      <c r="E2127" s="2164"/>
      <c r="F2127" s="2164"/>
      <c r="G2127" s="2164"/>
      <c r="H2127" s="2523"/>
      <c r="I2127" s="2523"/>
      <c r="J2127" s="2523"/>
      <c r="K2127" s="2163"/>
      <c r="L2127" s="2523"/>
      <c r="M2127" s="2163"/>
    </row>
    <row r="2128" spans="1:15">
      <c r="A2128" s="2160" t="s">
        <v>2729</v>
      </c>
      <c r="B2128" s="2161"/>
      <c r="C2128" s="2160" t="s">
        <v>2730</v>
      </c>
      <c r="D2128" s="2161"/>
      <c r="E2128" s="2160" t="s">
        <v>2698</v>
      </c>
      <c r="F2128" s="2161"/>
    </row>
    <row r="2129" spans="1:15">
      <c r="A2129" s="2163"/>
      <c r="B2129" s="2163"/>
      <c r="C2129" s="2163"/>
      <c r="D2129" s="2163"/>
      <c r="E2129" s="2163"/>
      <c r="F2129" s="2163"/>
      <c r="G2129" s="2163"/>
      <c r="H2129" s="2163"/>
      <c r="I2129" s="2163"/>
      <c r="J2129" s="2163"/>
      <c r="K2129" s="2163"/>
      <c r="L2129" s="2163"/>
      <c r="M2129" s="2163"/>
    </row>
    <row r="2130" spans="1:15">
      <c r="A2130" s="2164"/>
      <c r="H2130" s="2522" t="s">
        <v>2637</v>
      </c>
      <c r="I2130" s="2522"/>
      <c r="J2130" s="2163"/>
      <c r="K2130" s="2523">
        <v>0</v>
      </c>
      <c r="L2130" s="2523"/>
      <c r="M2130" s="2163"/>
      <c r="N2130" s="2527"/>
      <c r="O2130" s="2163"/>
    </row>
    <row r="2131" spans="1:15">
      <c r="H2131" s="2163"/>
      <c r="I2131" s="2163"/>
      <c r="J2131" s="2163"/>
      <c r="K2131" s="2523"/>
      <c r="L2131" s="2523"/>
      <c r="N2131" s="2527"/>
    </row>
    <row r="2132" spans="1:15">
      <c r="A2132" s="2165">
        <v>47667</v>
      </c>
      <c r="B2132" s="2163"/>
      <c r="C2132" s="2524" t="s">
        <v>2663</v>
      </c>
      <c r="D2132" s="2524"/>
      <c r="E2132" s="2524"/>
      <c r="F2132" s="2524"/>
      <c r="G2132" s="2524"/>
      <c r="H2132" s="2524"/>
      <c r="I2132" s="2524"/>
      <c r="J2132" s="2163"/>
      <c r="K2132" s="2163"/>
      <c r="L2132" s="2163"/>
      <c r="M2132" s="2163"/>
    </row>
    <row r="2133" spans="1:15">
      <c r="A2133" s="2163"/>
      <c r="B2133" s="2163"/>
      <c r="C2133" s="2163"/>
      <c r="D2133" s="2163"/>
      <c r="E2133" s="2163"/>
      <c r="F2133" s="2163"/>
      <c r="G2133" s="2163"/>
      <c r="H2133" s="2163"/>
      <c r="I2133" s="2163"/>
      <c r="J2133" s="2163"/>
      <c r="K2133" s="2163"/>
      <c r="L2133" s="2163"/>
      <c r="M2133" s="2163"/>
    </row>
    <row r="2134" spans="1:15">
      <c r="A2134" s="2529"/>
      <c r="B2134" s="2529"/>
      <c r="C2134" s="2529"/>
      <c r="D2134" s="2166"/>
      <c r="E2134" s="2166"/>
      <c r="F2134" s="2166"/>
      <c r="G2134" s="2166"/>
      <c r="H2134" s="2525"/>
      <c r="I2134" s="2525"/>
      <c r="J2134" s="2525"/>
      <c r="K2134" s="2166"/>
      <c r="L2134" s="2167"/>
      <c r="M2134" s="2166"/>
    </row>
    <row r="2135" spans="1:15">
      <c r="A2135" s="2164"/>
      <c r="B2135" s="2164"/>
      <c r="C2135" s="2164"/>
      <c r="D2135" s="2164"/>
      <c r="E2135" s="2522" t="s">
        <v>2639</v>
      </c>
      <c r="F2135" s="2522"/>
      <c r="G2135" s="2164"/>
      <c r="H2135" s="2523">
        <v>0</v>
      </c>
      <c r="I2135" s="2523"/>
      <c r="J2135" s="2523"/>
      <c r="K2135" s="2163"/>
      <c r="L2135" s="2523">
        <v>0</v>
      </c>
      <c r="M2135" s="2163"/>
    </row>
    <row r="2136" spans="1:15">
      <c r="A2136" s="2164"/>
      <c r="B2136" s="2164"/>
      <c r="C2136" s="2164"/>
      <c r="D2136" s="2164"/>
      <c r="E2136" s="2164"/>
      <c r="F2136" s="2164"/>
      <c r="G2136" s="2164"/>
      <c r="H2136" s="2523"/>
      <c r="I2136" s="2523"/>
      <c r="J2136" s="2523"/>
      <c r="K2136" s="2163"/>
      <c r="L2136" s="2523"/>
      <c r="M2136" s="2163"/>
    </row>
    <row r="2137" spans="1:15">
      <c r="A2137" s="2160" t="s">
        <v>2729</v>
      </c>
      <c r="B2137" s="2161"/>
      <c r="C2137" s="2160" t="s">
        <v>2730</v>
      </c>
      <c r="D2137" s="2161"/>
      <c r="E2137" s="2160" t="s">
        <v>2698</v>
      </c>
      <c r="F2137" s="2161"/>
    </row>
    <row r="2138" spans="1:15">
      <c r="A2138" s="2163"/>
      <c r="B2138" s="2163"/>
      <c r="C2138" s="2163"/>
      <c r="D2138" s="2163"/>
      <c r="E2138" s="2163"/>
      <c r="F2138" s="2163"/>
      <c r="G2138" s="2163"/>
      <c r="H2138" s="2163"/>
      <c r="I2138" s="2163"/>
      <c r="J2138" s="2163"/>
      <c r="K2138" s="2163"/>
      <c r="L2138" s="2163"/>
      <c r="M2138" s="2163"/>
    </row>
    <row r="2139" spans="1:15">
      <c r="A2139" s="2164"/>
      <c r="H2139" s="2522" t="s">
        <v>2637</v>
      </c>
      <c r="I2139" s="2522"/>
      <c r="J2139" s="2163"/>
      <c r="K2139" s="2523">
        <v>0</v>
      </c>
      <c r="L2139" s="2523"/>
      <c r="M2139" s="2163"/>
      <c r="N2139" s="2527"/>
      <c r="O2139" s="2163"/>
    </row>
    <row r="2140" spans="1:15">
      <c r="H2140" s="2163"/>
      <c r="I2140" s="2163"/>
      <c r="J2140" s="2163"/>
      <c r="K2140" s="2523"/>
      <c r="L2140" s="2523"/>
      <c r="N2140" s="2527"/>
    </row>
    <row r="2141" spans="1:15">
      <c r="A2141" s="2165">
        <v>56965</v>
      </c>
      <c r="B2141" s="2163"/>
      <c r="C2141" s="2524" t="s">
        <v>2678</v>
      </c>
      <c r="D2141" s="2524"/>
      <c r="E2141" s="2524"/>
      <c r="F2141" s="2524"/>
      <c r="G2141" s="2524"/>
      <c r="H2141" s="2524"/>
      <c r="I2141" s="2524"/>
      <c r="J2141" s="2163"/>
      <c r="K2141" s="2163"/>
      <c r="L2141" s="2163"/>
      <c r="M2141" s="2163"/>
    </row>
    <row r="2142" spans="1:15">
      <c r="A2142" s="2163"/>
      <c r="B2142" s="2163"/>
      <c r="C2142" s="2163"/>
      <c r="D2142" s="2163"/>
      <c r="E2142" s="2163"/>
      <c r="F2142" s="2163"/>
      <c r="G2142" s="2163"/>
      <c r="H2142" s="2163"/>
      <c r="I2142" s="2163"/>
      <c r="J2142" s="2163"/>
      <c r="K2142" s="2163"/>
      <c r="L2142" s="2163"/>
      <c r="M2142" s="2163"/>
    </row>
    <row r="2143" spans="1:15">
      <c r="A2143" s="2529"/>
      <c r="B2143" s="2529"/>
      <c r="C2143" s="2529"/>
      <c r="D2143" s="2166"/>
      <c r="E2143" s="2166"/>
      <c r="F2143" s="2166"/>
      <c r="G2143" s="2166"/>
      <c r="H2143" s="2525"/>
      <c r="I2143" s="2525"/>
      <c r="J2143" s="2525"/>
      <c r="K2143" s="2166"/>
      <c r="L2143" s="2167"/>
      <c r="M2143" s="2166"/>
    </row>
    <row r="2144" spans="1:15">
      <c r="A2144" s="2164"/>
      <c r="B2144" s="2164"/>
      <c r="C2144" s="2164"/>
      <c r="D2144" s="2164"/>
      <c r="E2144" s="2522" t="s">
        <v>2639</v>
      </c>
      <c r="F2144" s="2522"/>
      <c r="G2144" s="2164"/>
      <c r="H2144" s="2523">
        <v>0</v>
      </c>
      <c r="I2144" s="2523"/>
      <c r="J2144" s="2523"/>
      <c r="K2144" s="2163"/>
      <c r="L2144" s="2523">
        <v>0</v>
      </c>
      <c r="M2144" s="2163"/>
    </row>
    <row r="2145" spans="1:15">
      <c r="A2145" s="2164"/>
      <c r="B2145" s="2164"/>
      <c r="C2145" s="2164"/>
      <c r="D2145" s="2164"/>
      <c r="E2145" s="2164"/>
      <c r="F2145" s="2164"/>
      <c r="G2145" s="2164"/>
      <c r="H2145" s="2523"/>
      <c r="I2145" s="2523"/>
      <c r="J2145" s="2523"/>
      <c r="K2145" s="2163"/>
      <c r="L2145" s="2523"/>
      <c r="M2145" s="2163"/>
    </row>
    <row r="2146" spans="1:15">
      <c r="A2146" s="2160" t="s">
        <v>2729</v>
      </c>
      <c r="B2146" s="2161"/>
      <c r="C2146" s="2160" t="s">
        <v>2730</v>
      </c>
      <c r="D2146" s="2161"/>
      <c r="E2146" s="2160" t="s">
        <v>2698</v>
      </c>
      <c r="F2146" s="2161"/>
    </row>
    <row r="2147" spans="1:15">
      <c r="A2147" s="2163"/>
      <c r="B2147" s="2163"/>
      <c r="C2147" s="2163"/>
      <c r="D2147" s="2163"/>
      <c r="E2147" s="2163"/>
      <c r="F2147" s="2163"/>
      <c r="G2147" s="2163"/>
      <c r="H2147" s="2163"/>
      <c r="I2147" s="2163"/>
      <c r="J2147" s="2163"/>
      <c r="K2147" s="2163"/>
      <c r="L2147" s="2163"/>
      <c r="M2147" s="2163"/>
    </row>
    <row r="2148" spans="1:15">
      <c r="A2148" s="2164"/>
      <c r="H2148" s="2522" t="s">
        <v>2637</v>
      </c>
      <c r="I2148" s="2522"/>
      <c r="J2148" s="2163"/>
      <c r="K2148" s="2523">
        <v>0</v>
      </c>
      <c r="L2148" s="2523"/>
      <c r="M2148" s="2163"/>
      <c r="N2148" s="2527"/>
      <c r="O2148" s="2163"/>
    </row>
    <row r="2149" spans="1:15">
      <c r="H2149" s="2163"/>
      <c r="I2149" s="2163"/>
      <c r="J2149" s="2163"/>
      <c r="K2149" s="2523"/>
      <c r="L2149" s="2523"/>
      <c r="N2149" s="2527"/>
    </row>
    <row r="2150" spans="1:15">
      <c r="A2150" s="2165">
        <v>66113</v>
      </c>
      <c r="B2150" s="2163"/>
      <c r="C2150" s="2524" t="s">
        <v>2669</v>
      </c>
      <c r="D2150" s="2524"/>
      <c r="E2150" s="2524"/>
      <c r="F2150" s="2524"/>
      <c r="G2150" s="2524"/>
      <c r="H2150" s="2524"/>
      <c r="I2150" s="2524"/>
      <c r="J2150" s="2163"/>
      <c r="K2150" s="2163"/>
      <c r="L2150" s="2163"/>
      <c r="M2150" s="2163"/>
    </row>
    <row r="2151" spans="1:15">
      <c r="A2151" s="2163"/>
      <c r="B2151" s="2163"/>
      <c r="C2151" s="2163"/>
      <c r="D2151" s="2163"/>
      <c r="E2151" s="2163"/>
      <c r="F2151" s="2163"/>
      <c r="G2151" s="2163"/>
      <c r="H2151" s="2163"/>
      <c r="I2151" s="2163"/>
      <c r="J2151" s="2163"/>
      <c r="K2151" s="2163"/>
      <c r="L2151" s="2163"/>
      <c r="M2151" s="2163"/>
    </row>
    <row r="2152" spans="1:15">
      <c r="A2152" s="2529"/>
      <c r="B2152" s="2529"/>
      <c r="C2152" s="2529"/>
      <c r="D2152" s="2166"/>
      <c r="E2152" s="2166"/>
      <c r="F2152" s="2166"/>
      <c r="G2152" s="2166"/>
      <c r="H2152" s="2525"/>
      <c r="I2152" s="2525"/>
      <c r="J2152" s="2525"/>
      <c r="K2152" s="2166"/>
      <c r="L2152" s="2167"/>
      <c r="M2152" s="2166"/>
    </row>
    <row r="2153" spans="1:15">
      <c r="A2153" s="2164"/>
      <c r="B2153" s="2164"/>
      <c r="C2153" s="2164"/>
      <c r="D2153" s="2164"/>
      <c r="E2153" s="2522" t="s">
        <v>2639</v>
      </c>
      <c r="F2153" s="2522"/>
      <c r="G2153" s="2164"/>
      <c r="H2153" s="2523">
        <v>0</v>
      </c>
      <c r="I2153" s="2523"/>
      <c r="J2153" s="2523"/>
      <c r="K2153" s="2163"/>
      <c r="L2153" s="2523">
        <v>0</v>
      </c>
      <c r="M2153" s="2163"/>
    </row>
    <row r="2154" spans="1:15">
      <c r="A2154" s="2164"/>
      <c r="B2154" s="2164"/>
      <c r="C2154" s="2164"/>
      <c r="D2154" s="2164"/>
      <c r="E2154" s="2164"/>
      <c r="F2154" s="2164"/>
      <c r="G2154" s="2164"/>
      <c r="H2154" s="2523"/>
      <c r="I2154" s="2523"/>
      <c r="J2154" s="2523"/>
      <c r="K2154" s="2163"/>
      <c r="L2154" s="2523"/>
      <c r="M2154" s="2163"/>
    </row>
    <row r="2155" spans="1:15">
      <c r="A2155" s="2160" t="s">
        <v>2729</v>
      </c>
      <c r="B2155" s="2161"/>
      <c r="C2155" s="2160" t="s">
        <v>2730</v>
      </c>
      <c r="D2155" s="2161"/>
      <c r="E2155" s="2160" t="s">
        <v>2698</v>
      </c>
      <c r="F2155" s="2161"/>
    </row>
    <row r="2156" spans="1:15">
      <c r="A2156" s="2163"/>
      <c r="B2156" s="2163"/>
      <c r="C2156" s="2163"/>
      <c r="D2156" s="2163"/>
      <c r="E2156" s="2163"/>
      <c r="F2156" s="2163"/>
      <c r="G2156" s="2163"/>
      <c r="H2156" s="2163"/>
      <c r="I2156" s="2163"/>
      <c r="J2156" s="2163"/>
      <c r="K2156" s="2163"/>
      <c r="L2156" s="2163"/>
      <c r="M2156" s="2163"/>
    </row>
    <row r="2157" spans="1:15">
      <c r="A2157" s="2164"/>
      <c r="H2157" s="2522" t="s">
        <v>2637</v>
      </c>
      <c r="I2157" s="2522"/>
      <c r="J2157" s="2163"/>
      <c r="K2157" s="2523">
        <v>0</v>
      </c>
      <c r="L2157" s="2523"/>
      <c r="M2157" s="2163"/>
      <c r="N2157" s="2527"/>
      <c r="O2157" s="2163"/>
    </row>
    <row r="2158" spans="1:15">
      <c r="H2158" s="2163"/>
      <c r="I2158" s="2163"/>
      <c r="J2158" s="2163"/>
      <c r="K2158" s="2523"/>
      <c r="L2158" s="2523"/>
      <c r="N2158" s="2527"/>
    </row>
    <row r="2159" spans="1:15">
      <c r="A2159" s="2165">
        <v>66112</v>
      </c>
      <c r="B2159" s="2163"/>
      <c r="C2159" s="2524" t="s">
        <v>2670</v>
      </c>
      <c r="D2159" s="2524"/>
      <c r="E2159" s="2524"/>
      <c r="F2159" s="2524"/>
      <c r="G2159" s="2524"/>
      <c r="H2159" s="2524"/>
      <c r="I2159" s="2524"/>
      <c r="J2159" s="2163"/>
      <c r="K2159" s="2163"/>
      <c r="L2159" s="2163"/>
      <c r="M2159" s="2163"/>
    </row>
    <row r="2160" spans="1:15">
      <c r="A2160" s="2163"/>
      <c r="B2160" s="2163"/>
      <c r="C2160" s="2163"/>
      <c r="D2160" s="2163"/>
      <c r="E2160" s="2163"/>
      <c r="F2160" s="2163"/>
      <c r="G2160" s="2163"/>
      <c r="H2160" s="2163"/>
      <c r="I2160" s="2163"/>
      <c r="J2160" s="2163"/>
      <c r="K2160" s="2163"/>
      <c r="L2160" s="2163"/>
      <c r="M2160" s="2163"/>
    </row>
    <row r="2161" spans="1:15">
      <c r="A2161" s="2529"/>
      <c r="B2161" s="2529"/>
      <c r="C2161" s="2529"/>
      <c r="D2161" s="2166"/>
      <c r="E2161" s="2166"/>
      <c r="F2161" s="2166"/>
      <c r="G2161" s="2166"/>
      <c r="H2161" s="2525"/>
      <c r="I2161" s="2525"/>
      <c r="J2161" s="2525"/>
      <c r="K2161" s="2166"/>
      <c r="L2161" s="2167"/>
      <c r="M2161" s="2166"/>
    </row>
    <row r="2162" spans="1:15">
      <c r="A2162" s="2164"/>
      <c r="B2162" s="2164"/>
      <c r="C2162" s="2164"/>
      <c r="D2162" s="2164"/>
      <c r="E2162" s="2522" t="s">
        <v>2639</v>
      </c>
      <c r="F2162" s="2522"/>
      <c r="G2162" s="2164"/>
      <c r="H2162" s="2523">
        <v>0</v>
      </c>
      <c r="I2162" s="2523"/>
      <c r="J2162" s="2523"/>
      <c r="K2162" s="2163"/>
      <c r="L2162" s="2523">
        <v>0</v>
      </c>
      <c r="M2162" s="2163"/>
    </row>
    <row r="2163" spans="1:15">
      <c r="A2163" s="2164"/>
      <c r="B2163" s="2164"/>
      <c r="C2163" s="2164"/>
      <c r="D2163" s="2164"/>
      <c r="E2163" s="2164"/>
      <c r="F2163" s="2164"/>
      <c r="G2163" s="2164"/>
      <c r="H2163" s="2523"/>
      <c r="I2163" s="2523"/>
      <c r="J2163" s="2523"/>
      <c r="K2163" s="2163"/>
      <c r="L2163" s="2523"/>
      <c r="M2163" s="2163"/>
    </row>
    <row r="2164" spans="1:15">
      <c r="A2164" s="2160" t="s">
        <v>2729</v>
      </c>
      <c r="B2164" s="2161"/>
      <c r="C2164" s="2160" t="s">
        <v>2730</v>
      </c>
      <c r="D2164" s="2161"/>
      <c r="E2164" s="2160" t="s">
        <v>2698</v>
      </c>
      <c r="F2164" s="2161"/>
    </row>
    <row r="2165" spans="1:15">
      <c r="A2165" s="2163"/>
      <c r="B2165" s="2163"/>
      <c r="C2165" s="2163"/>
      <c r="D2165" s="2163"/>
      <c r="E2165" s="2163"/>
      <c r="F2165" s="2163"/>
      <c r="G2165" s="2163"/>
      <c r="H2165" s="2163"/>
      <c r="I2165" s="2163"/>
      <c r="J2165" s="2163"/>
      <c r="K2165" s="2163"/>
      <c r="L2165" s="2163"/>
      <c r="M2165" s="2163"/>
    </row>
    <row r="2166" spans="1:15">
      <c r="A2166" s="2164"/>
      <c r="H2166" s="2522" t="s">
        <v>2637</v>
      </c>
      <c r="I2166" s="2522"/>
      <c r="J2166" s="2163"/>
      <c r="K2166" s="2528">
        <v>46809.643700000001</v>
      </c>
      <c r="L2166" s="2528"/>
      <c r="M2166" s="2163"/>
      <c r="N2166" s="2527" t="s">
        <v>3031</v>
      </c>
      <c r="O2166" s="2163"/>
    </row>
    <row r="2167" spans="1:15">
      <c r="H2167" s="2163"/>
      <c r="I2167" s="2163"/>
      <c r="J2167" s="2163"/>
      <c r="K2167" s="2528"/>
      <c r="L2167" s="2528"/>
      <c r="N2167" s="2527"/>
    </row>
    <row r="2168" spans="1:15">
      <c r="A2168" s="2165">
        <v>66489</v>
      </c>
      <c r="B2168" s="2163"/>
      <c r="C2168" s="2524" t="s">
        <v>2687</v>
      </c>
      <c r="D2168" s="2524"/>
      <c r="E2168" s="2524"/>
      <c r="F2168" s="2524"/>
      <c r="G2168" s="2524"/>
      <c r="H2168" s="2524"/>
      <c r="I2168" s="2524"/>
      <c r="J2168" s="2163"/>
      <c r="K2168" s="2163"/>
      <c r="L2168" s="2163"/>
      <c r="M2168" s="2163"/>
    </row>
    <row r="2169" spans="1:15">
      <c r="A2169" s="2163"/>
      <c r="B2169" s="2163"/>
      <c r="C2169" s="2163"/>
      <c r="D2169" s="2163"/>
      <c r="E2169" s="2163"/>
      <c r="F2169" s="2163"/>
      <c r="G2169" s="2163"/>
      <c r="H2169" s="2163"/>
      <c r="I2169" s="2163"/>
      <c r="J2169" s="2163"/>
      <c r="K2169" s="2163"/>
      <c r="L2169" s="2163"/>
      <c r="M2169" s="2163"/>
    </row>
    <row r="2170" spans="1:15">
      <c r="A2170" s="2529"/>
      <c r="B2170" s="2529"/>
      <c r="C2170" s="2529"/>
      <c r="D2170" s="2166"/>
      <c r="E2170" s="2166"/>
      <c r="F2170" s="2166"/>
      <c r="G2170" s="2166"/>
      <c r="H2170" s="2525"/>
      <c r="I2170" s="2525"/>
      <c r="J2170" s="2525"/>
      <c r="K2170" s="2166"/>
      <c r="L2170" s="2167"/>
      <c r="M2170" s="2166"/>
    </row>
    <row r="2171" spans="1:15">
      <c r="A2171" s="2164"/>
      <c r="B2171" s="2164"/>
      <c r="C2171" s="2164"/>
      <c r="D2171" s="2164"/>
      <c r="E2171" s="2522" t="s">
        <v>2639</v>
      </c>
      <c r="F2171" s="2522"/>
      <c r="G2171" s="2164"/>
      <c r="H2171" s="2528">
        <v>46809.643700000001</v>
      </c>
      <c r="I2171" s="2528"/>
      <c r="J2171" s="2528"/>
      <c r="K2171" s="2163"/>
      <c r="L2171" s="2528">
        <v>2571553.31</v>
      </c>
      <c r="M2171" s="2163"/>
    </row>
    <row r="2172" spans="1:15">
      <c r="A2172" s="2164"/>
      <c r="B2172" s="2164"/>
      <c r="C2172" s="2164"/>
      <c r="D2172" s="2164"/>
      <c r="E2172" s="2164"/>
      <c r="F2172" s="2164"/>
      <c r="G2172" s="2164"/>
      <c r="H2172" s="2528"/>
      <c r="I2172" s="2528"/>
      <c r="J2172" s="2528"/>
      <c r="K2172" s="2163"/>
      <c r="L2172" s="2528"/>
      <c r="M2172" s="2163"/>
    </row>
    <row r="2173" spans="1:15">
      <c r="A2173" s="2160" t="s">
        <v>2729</v>
      </c>
      <c r="B2173" s="2161"/>
      <c r="C2173" s="2160" t="s">
        <v>2730</v>
      </c>
      <c r="D2173" s="2161"/>
      <c r="E2173" s="2160" t="s">
        <v>2698</v>
      </c>
      <c r="F2173" s="2161"/>
    </row>
    <row r="2174" spans="1:15">
      <c r="A2174" s="2163"/>
      <c r="B2174" s="2163"/>
      <c r="C2174" s="2163"/>
      <c r="D2174" s="2163"/>
      <c r="E2174" s="2163"/>
      <c r="F2174" s="2163"/>
      <c r="G2174" s="2163"/>
      <c r="H2174" s="2163"/>
      <c r="I2174" s="2163"/>
      <c r="J2174" s="2163"/>
      <c r="K2174" s="2163"/>
      <c r="L2174" s="2163"/>
      <c r="M2174" s="2163"/>
    </row>
    <row r="2175" spans="1:15">
      <c r="A2175" s="2164"/>
      <c r="H2175" s="2522" t="s">
        <v>2637</v>
      </c>
      <c r="I2175" s="2522"/>
      <c r="J2175" s="2163"/>
      <c r="K2175" s="2523">
        <v>0</v>
      </c>
      <c r="L2175" s="2523"/>
      <c r="M2175" s="2163"/>
      <c r="N2175" s="2527"/>
      <c r="O2175" s="2163"/>
    </row>
    <row r="2176" spans="1:15">
      <c r="H2176" s="2163"/>
      <c r="I2176" s="2163"/>
      <c r="J2176" s="2163"/>
      <c r="K2176" s="2523"/>
      <c r="L2176" s="2523"/>
      <c r="N2176" s="2527"/>
    </row>
    <row r="2177" spans="1:15">
      <c r="A2177" s="2165">
        <v>71859</v>
      </c>
      <c r="B2177" s="2163"/>
      <c r="C2177" s="2524" t="s">
        <v>2733</v>
      </c>
      <c r="D2177" s="2524"/>
      <c r="E2177" s="2524"/>
      <c r="F2177" s="2524"/>
      <c r="G2177" s="2524"/>
      <c r="H2177" s="2524"/>
      <c r="I2177" s="2524"/>
      <c r="J2177" s="2163"/>
      <c r="K2177" s="2163"/>
      <c r="L2177" s="2163"/>
      <c r="M2177" s="2163"/>
    </row>
    <row r="2178" spans="1:15">
      <c r="A2178" s="2163"/>
      <c r="B2178" s="2163"/>
      <c r="C2178" s="2163"/>
      <c r="D2178" s="2163"/>
      <c r="E2178" s="2163"/>
      <c r="F2178" s="2163"/>
      <c r="G2178" s="2163"/>
      <c r="H2178" s="2163"/>
      <c r="I2178" s="2163"/>
      <c r="J2178" s="2163"/>
      <c r="K2178" s="2163"/>
      <c r="L2178" s="2163"/>
      <c r="M2178" s="2163"/>
    </row>
    <row r="2179" spans="1:15">
      <c r="A2179" s="2529"/>
      <c r="B2179" s="2529"/>
      <c r="C2179" s="2529"/>
      <c r="D2179" s="2166"/>
      <c r="E2179" s="2166"/>
      <c r="F2179" s="2166"/>
      <c r="G2179" s="2166"/>
      <c r="H2179" s="2525"/>
      <c r="I2179" s="2525"/>
      <c r="J2179" s="2525"/>
      <c r="K2179" s="2166"/>
      <c r="L2179" s="2167"/>
      <c r="M2179" s="2166"/>
    </row>
    <row r="2180" spans="1:15">
      <c r="A2180" s="2164"/>
      <c r="B2180" s="2164"/>
      <c r="C2180" s="2164"/>
      <c r="D2180" s="2164"/>
      <c r="E2180" s="2522" t="s">
        <v>2639</v>
      </c>
      <c r="F2180" s="2522"/>
      <c r="G2180" s="2164"/>
      <c r="H2180" s="2523">
        <v>0</v>
      </c>
      <c r="I2180" s="2523"/>
      <c r="J2180" s="2523"/>
      <c r="K2180" s="2163"/>
      <c r="L2180" s="2523">
        <v>0</v>
      </c>
      <c r="M2180" s="2163"/>
    </row>
    <row r="2181" spans="1:15">
      <c r="A2181" s="2164"/>
      <c r="B2181" s="2164"/>
      <c r="C2181" s="2164"/>
      <c r="D2181" s="2164"/>
      <c r="E2181" s="2164"/>
      <c r="F2181" s="2164"/>
      <c r="G2181" s="2164"/>
      <c r="H2181" s="2523"/>
      <c r="I2181" s="2523"/>
      <c r="J2181" s="2523"/>
      <c r="K2181" s="2163"/>
      <c r="L2181" s="2523"/>
      <c r="M2181" s="2163"/>
    </row>
    <row r="2182" spans="1:15" ht="27.6">
      <c r="A2182" s="2160" t="s">
        <v>2734</v>
      </c>
      <c r="B2182" s="2161"/>
      <c r="C2182" s="2160" t="s">
        <v>2735</v>
      </c>
      <c r="D2182" s="2161"/>
      <c r="E2182" s="2160" t="s">
        <v>2698</v>
      </c>
      <c r="F2182" s="2161"/>
    </row>
    <row r="2183" spans="1:15">
      <c r="A2183" s="2163"/>
      <c r="B2183" s="2163"/>
      <c r="C2183" s="2163"/>
      <c r="D2183" s="2163"/>
      <c r="E2183" s="2163"/>
      <c r="F2183" s="2163"/>
      <c r="G2183" s="2163"/>
      <c r="H2183" s="2163"/>
      <c r="I2183" s="2163"/>
      <c r="J2183" s="2163"/>
      <c r="K2183" s="2163"/>
      <c r="L2183" s="2163"/>
      <c r="M2183" s="2163"/>
    </row>
    <row r="2184" spans="1:15">
      <c r="A2184" s="2164"/>
      <c r="H2184" s="2522" t="s">
        <v>2637</v>
      </c>
      <c r="I2184" s="2522"/>
      <c r="J2184" s="2163"/>
      <c r="K2184" s="2523">
        <v>0</v>
      </c>
      <c r="L2184" s="2523"/>
      <c r="M2184" s="2163"/>
      <c r="N2184" s="2527"/>
      <c r="O2184" s="2163"/>
    </row>
    <row r="2185" spans="1:15">
      <c r="H2185" s="2163"/>
      <c r="I2185" s="2163"/>
      <c r="J2185" s="2163"/>
      <c r="K2185" s="2523"/>
      <c r="L2185" s="2523"/>
      <c r="N2185" s="2527"/>
    </row>
    <row r="2186" spans="1:15">
      <c r="A2186" s="2165">
        <v>26</v>
      </c>
      <c r="B2186" s="2163"/>
      <c r="C2186" s="2524" t="s">
        <v>2845</v>
      </c>
      <c r="D2186" s="2524"/>
      <c r="E2186" s="2524"/>
      <c r="F2186" s="2524"/>
      <c r="G2186" s="2524"/>
      <c r="H2186" s="2524"/>
      <c r="I2186" s="2524"/>
      <c r="J2186" s="2163"/>
      <c r="K2186" s="2163"/>
      <c r="L2186" s="2163"/>
      <c r="M2186" s="2163"/>
    </row>
    <row r="2187" spans="1:15">
      <c r="A2187" s="2163"/>
      <c r="B2187" s="2163"/>
      <c r="C2187" s="2163"/>
      <c r="D2187" s="2163"/>
      <c r="E2187" s="2163"/>
      <c r="F2187" s="2163"/>
      <c r="G2187" s="2163"/>
      <c r="H2187" s="2163"/>
      <c r="I2187" s="2163"/>
      <c r="J2187" s="2163"/>
      <c r="K2187" s="2163"/>
      <c r="L2187" s="2163"/>
      <c r="M2187" s="2163"/>
    </row>
    <row r="2188" spans="1:15">
      <c r="A2188" s="2529"/>
      <c r="B2188" s="2529"/>
      <c r="C2188" s="2529"/>
      <c r="D2188" s="2166"/>
      <c r="E2188" s="2166"/>
      <c r="F2188" s="2166"/>
      <c r="G2188" s="2166"/>
      <c r="H2188" s="2525"/>
      <c r="I2188" s="2525"/>
      <c r="J2188" s="2525"/>
      <c r="K2188" s="2166"/>
      <c r="L2188" s="2167"/>
      <c r="M2188" s="2166"/>
    </row>
    <row r="2189" spans="1:15">
      <c r="A2189" s="2164"/>
      <c r="B2189" s="2164"/>
      <c r="C2189" s="2164"/>
      <c r="D2189" s="2164"/>
      <c r="E2189" s="2522" t="s">
        <v>2639</v>
      </c>
      <c r="F2189" s="2522"/>
      <c r="G2189" s="2164"/>
      <c r="H2189" s="2523">
        <v>0</v>
      </c>
      <c r="I2189" s="2523"/>
      <c r="J2189" s="2523"/>
      <c r="K2189" s="2163"/>
      <c r="L2189" s="2523">
        <v>0</v>
      </c>
      <c r="M2189" s="2163"/>
    </row>
    <row r="2190" spans="1:15">
      <c r="A2190" s="2164"/>
      <c r="B2190" s="2164"/>
      <c r="C2190" s="2164"/>
      <c r="D2190" s="2164"/>
      <c r="E2190" s="2164"/>
      <c r="F2190" s="2164"/>
      <c r="G2190" s="2164"/>
      <c r="H2190" s="2523"/>
      <c r="I2190" s="2523"/>
      <c r="J2190" s="2523"/>
      <c r="K2190" s="2163"/>
      <c r="L2190" s="2523"/>
      <c r="M2190" s="2163"/>
    </row>
    <row r="2191" spans="1:15" ht="27.6">
      <c r="A2191" s="2160" t="s">
        <v>2734</v>
      </c>
      <c r="B2191" s="2161"/>
      <c r="C2191" s="2160" t="s">
        <v>2735</v>
      </c>
      <c r="D2191" s="2161"/>
      <c r="E2191" s="2160" t="s">
        <v>2698</v>
      </c>
      <c r="F2191" s="2161"/>
    </row>
    <row r="2192" spans="1:15">
      <c r="A2192" s="2163"/>
      <c r="B2192" s="2163"/>
      <c r="C2192" s="2163"/>
      <c r="D2192" s="2163"/>
      <c r="E2192" s="2163"/>
      <c r="F2192" s="2163"/>
      <c r="G2192" s="2163"/>
      <c r="H2192" s="2163"/>
      <c r="I2192" s="2163"/>
      <c r="J2192" s="2163"/>
      <c r="K2192" s="2163"/>
      <c r="L2192" s="2163"/>
      <c r="M2192" s="2163"/>
    </row>
    <row r="2193" spans="1:15">
      <c r="A2193" s="2164"/>
      <c r="H2193" s="2522" t="s">
        <v>2637</v>
      </c>
      <c r="I2193" s="2522"/>
      <c r="J2193" s="2163"/>
      <c r="K2193" s="2523">
        <v>0</v>
      </c>
      <c r="L2193" s="2523"/>
      <c r="M2193" s="2163"/>
      <c r="N2193" s="2527"/>
      <c r="O2193" s="2163"/>
    </row>
    <row r="2194" spans="1:15">
      <c r="H2194" s="2163"/>
      <c r="I2194" s="2163"/>
      <c r="J2194" s="2163"/>
      <c r="K2194" s="2523"/>
      <c r="L2194" s="2523"/>
      <c r="N2194" s="2527"/>
    </row>
    <row r="2195" spans="1:15">
      <c r="A2195" s="2165">
        <v>425</v>
      </c>
      <c r="B2195" s="2163"/>
      <c r="C2195" s="2524" t="s">
        <v>2641</v>
      </c>
      <c r="D2195" s="2524"/>
      <c r="E2195" s="2524"/>
      <c r="F2195" s="2524"/>
      <c r="G2195" s="2524"/>
      <c r="H2195" s="2524"/>
      <c r="I2195" s="2524"/>
      <c r="J2195" s="2163"/>
      <c r="K2195" s="2163"/>
      <c r="L2195" s="2163"/>
      <c r="M2195" s="2163"/>
    </row>
    <row r="2196" spans="1:15">
      <c r="A2196" s="2163"/>
      <c r="B2196" s="2163"/>
      <c r="C2196" s="2163"/>
      <c r="D2196" s="2163"/>
      <c r="E2196" s="2163"/>
      <c r="F2196" s="2163"/>
      <c r="G2196" s="2163"/>
      <c r="H2196" s="2163"/>
      <c r="I2196" s="2163"/>
      <c r="J2196" s="2163"/>
      <c r="K2196" s="2163"/>
      <c r="L2196" s="2163"/>
      <c r="M2196" s="2163"/>
    </row>
    <row r="2197" spans="1:15">
      <c r="A2197" s="2529"/>
      <c r="B2197" s="2529"/>
      <c r="C2197" s="2529"/>
      <c r="D2197" s="2166"/>
      <c r="E2197" s="2166"/>
      <c r="F2197" s="2166"/>
      <c r="G2197" s="2166"/>
      <c r="H2197" s="2525"/>
      <c r="I2197" s="2525"/>
      <c r="J2197" s="2525"/>
      <c r="K2197" s="2166"/>
      <c r="L2197" s="2167"/>
      <c r="M2197" s="2166"/>
    </row>
    <row r="2198" spans="1:15">
      <c r="A2198" s="2164"/>
      <c r="B2198" s="2164"/>
      <c r="C2198" s="2164"/>
      <c r="D2198" s="2164"/>
      <c r="E2198" s="2522" t="s">
        <v>2639</v>
      </c>
      <c r="F2198" s="2522"/>
      <c r="G2198" s="2164"/>
      <c r="H2198" s="2523">
        <v>0</v>
      </c>
      <c r="I2198" s="2523"/>
      <c r="J2198" s="2523"/>
      <c r="K2198" s="2163"/>
      <c r="L2198" s="2523">
        <v>0</v>
      </c>
      <c r="M2198" s="2163"/>
    </row>
    <row r="2199" spans="1:15">
      <c r="A2199" s="2164"/>
      <c r="B2199" s="2164"/>
      <c r="C2199" s="2164"/>
      <c r="D2199" s="2164"/>
      <c r="E2199" s="2164"/>
      <c r="F2199" s="2164"/>
      <c r="G2199" s="2164"/>
      <c r="H2199" s="2523"/>
      <c r="I2199" s="2523"/>
      <c r="J2199" s="2523"/>
      <c r="K2199" s="2163"/>
      <c r="L2199" s="2523"/>
      <c r="M2199" s="2163"/>
    </row>
    <row r="2200" spans="1:15" ht="27.6">
      <c r="A2200" s="2160" t="s">
        <v>2734</v>
      </c>
      <c r="B2200" s="2161"/>
      <c r="C2200" s="2160" t="s">
        <v>2735</v>
      </c>
      <c r="D2200" s="2161"/>
      <c r="E2200" s="2160" t="s">
        <v>2698</v>
      </c>
      <c r="F2200" s="2161"/>
    </row>
    <row r="2201" spans="1:15">
      <c r="A2201" s="2163"/>
      <c r="B2201" s="2163"/>
      <c r="C2201" s="2163"/>
      <c r="D2201" s="2163"/>
      <c r="E2201" s="2163"/>
      <c r="F2201" s="2163"/>
      <c r="G2201" s="2163"/>
      <c r="H2201" s="2163"/>
      <c r="I2201" s="2163"/>
      <c r="J2201" s="2163"/>
      <c r="K2201" s="2163"/>
      <c r="L2201" s="2163"/>
      <c r="M2201" s="2163"/>
    </row>
    <row r="2202" spans="1:15">
      <c r="A2202" s="2164"/>
      <c r="H2202" s="2522" t="s">
        <v>2637</v>
      </c>
      <c r="I2202" s="2522"/>
      <c r="J2202" s="2163"/>
      <c r="K2202" s="2523">
        <v>1E-4</v>
      </c>
      <c r="L2202" s="2523"/>
      <c r="M2202" s="2163"/>
      <c r="N2202" s="2527"/>
      <c r="O2202" s="2163"/>
    </row>
    <row r="2203" spans="1:15">
      <c r="H2203" s="2163"/>
      <c r="I2203" s="2163"/>
      <c r="J2203" s="2163"/>
      <c r="K2203" s="2523"/>
      <c r="L2203" s="2523"/>
      <c r="N2203" s="2527"/>
    </row>
    <row r="2204" spans="1:15">
      <c r="A2204" s="2165">
        <v>125</v>
      </c>
      <c r="B2204" s="2163"/>
      <c r="C2204" s="2524" t="s">
        <v>2700</v>
      </c>
      <c r="D2204" s="2524"/>
      <c r="E2204" s="2524"/>
      <c r="F2204" s="2524"/>
      <c r="G2204" s="2524"/>
      <c r="H2204" s="2524"/>
      <c r="I2204" s="2524"/>
      <c r="J2204" s="2163"/>
      <c r="K2204" s="2163"/>
      <c r="L2204" s="2163"/>
      <c r="M2204" s="2163"/>
    </row>
    <row r="2205" spans="1:15">
      <c r="A2205" s="2163"/>
      <c r="B2205" s="2163"/>
      <c r="C2205" s="2163"/>
      <c r="D2205" s="2163"/>
      <c r="E2205" s="2163"/>
      <c r="F2205" s="2163"/>
      <c r="G2205" s="2163"/>
      <c r="H2205" s="2163"/>
      <c r="I2205" s="2163"/>
      <c r="J2205" s="2163"/>
      <c r="K2205" s="2163"/>
      <c r="L2205" s="2163"/>
      <c r="M2205" s="2163"/>
    </row>
    <row r="2206" spans="1:15">
      <c r="A2206" s="2529"/>
      <c r="B2206" s="2529"/>
      <c r="C2206" s="2529"/>
      <c r="D2206" s="2166"/>
      <c r="E2206" s="2166"/>
      <c r="F2206" s="2166"/>
      <c r="G2206" s="2166"/>
      <c r="H2206" s="2525"/>
      <c r="I2206" s="2525"/>
      <c r="J2206" s="2525"/>
      <c r="K2206" s="2166"/>
      <c r="L2206" s="2167"/>
      <c r="M2206" s="2166"/>
    </row>
    <row r="2207" spans="1:15">
      <c r="A2207" s="2164"/>
      <c r="B2207" s="2164"/>
      <c r="C2207" s="2164"/>
      <c r="D2207" s="2164"/>
      <c r="E2207" s="2522" t="s">
        <v>2639</v>
      </c>
      <c r="F2207" s="2522"/>
      <c r="G2207" s="2164"/>
      <c r="H2207" s="2523">
        <v>1E-4</v>
      </c>
      <c r="I2207" s="2523"/>
      <c r="J2207" s="2523"/>
      <c r="K2207" s="2163"/>
      <c r="L2207" s="2523">
        <v>0.01</v>
      </c>
      <c r="M2207" s="2163"/>
    </row>
    <row r="2208" spans="1:15">
      <c r="A2208" s="2164"/>
      <c r="B2208" s="2164"/>
      <c r="C2208" s="2164"/>
      <c r="D2208" s="2164"/>
      <c r="E2208" s="2164"/>
      <c r="F2208" s="2164"/>
      <c r="G2208" s="2164"/>
      <c r="H2208" s="2523"/>
      <c r="I2208" s="2523"/>
      <c r="J2208" s="2523"/>
      <c r="K2208" s="2163"/>
      <c r="L2208" s="2523"/>
      <c r="M2208" s="2163"/>
    </row>
    <row r="2209" spans="1:15" ht="27.6">
      <c r="A2209" s="2160" t="s">
        <v>2734</v>
      </c>
      <c r="B2209" s="2161"/>
      <c r="C2209" s="2160" t="s">
        <v>2735</v>
      </c>
      <c r="D2209" s="2161"/>
      <c r="E2209" s="2160" t="s">
        <v>2698</v>
      </c>
      <c r="F2209" s="2161"/>
    </row>
    <row r="2210" spans="1:15">
      <c r="A2210" s="2163"/>
      <c r="B2210" s="2163"/>
      <c r="C2210" s="2163"/>
      <c r="D2210" s="2163"/>
      <c r="E2210" s="2163"/>
      <c r="F2210" s="2163"/>
      <c r="G2210" s="2163"/>
      <c r="H2210" s="2163"/>
      <c r="I2210" s="2163"/>
      <c r="J2210" s="2163"/>
      <c r="K2210" s="2163"/>
      <c r="L2210" s="2163"/>
      <c r="M2210" s="2163"/>
    </row>
    <row r="2211" spans="1:15">
      <c r="A2211" s="2164"/>
      <c r="H2211" s="2522" t="s">
        <v>2637</v>
      </c>
      <c r="I2211" s="2522"/>
      <c r="J2211" s="2163"/>
      <c r="K2211" s="2523">
        <v>-1E-4</v>
      </c>
      <c r="L2211" s="2523"/>
      <c r="M2211" s="2163"/>
      <c r="N2211" s="2527"/>
      <c r="O2211" s="2163"/>
    </row>
    <row r="2212" spans="1:15">
      <c r="H2212" s="2163"/>
      <c r="I2212" s="2163"/>
      <c r="J2212" s="2163"/>
      <c r="K2212" s="2523"/>
      <c r="L2212" s="2523"/>
      <c r="N2212" s="2527"/>
    </row>
    <row r="2213" spans="1:15">
      <c r="A2213" s="2165">
        <v>446</v>
      </c>
      <c r="B2213" s="2163"/>
      <c r="C2213" s="2524" t="s">
        <v>2845</v>
      </c>
      <c r="D2213" s="2524"/>
      <c r="E2213" s="2524"/>
      <c r="F2213" s="2524"/>
      <c r="G2213" s="2524"/>
      <c r="H2213" s="2524"/>
      <c r="I2213" s="2524"/>
      <c r="J2213" s="2163"/>
      <c r="K2213" s="2163"/>
      <c r="L2213" s="2163"/>
      <c r="M2213" s="2163"/>
    </row>
    <row r="2214" spans="1:15">
      <c r="A2214" s="2163"/>
      <c r="B2214" s="2163"/>
      <c r="C2214" s="2163"/>
      <c r="D2214" s="2163"/>
      <c r="E2214" s="2163"/>
      <c r="F2214" s="2163"/>
      <c r="G2214" s="2163"/>
      <c r="H2214" s="2163"/>
      <c r="I2214" s="2163"/>
      <c r="J2214" s="2163"/>
      <c r="K2214" s="2163"/>
      <c r="L2214" s="2163"/>
      <c r="M2214" s="2163"/>
    </row>
    <row r="2215" spans="1:15">
      <c r="A2215" s="2529"/>
      <c r="B2215" s="2529"/>
      <c r="C2215" s="2529"/>
      <c r="D2215" s="2166"/>
      <c r="E2215" s="2166"/>
      <c r="F2215" s="2166"/>
      <c r="G2215" s="2166"/>
      <c r="H2215" s="2525"/>
      <c r="I2215" s="2525"/>
      <c r="J2215" s="2525"/>
      <c r="K2215" s="2166"/>
      <c r="L2215" s="2167"/>
      <c r="M2215" s="2166"/>
    </row>
    <row r="2216" spans="1:15">
      <c r="A2216" s="2164"/>
      <c r="B2216" s="2164"/>
      <c r="C2216" s="2164"/>
      <c r="D2216" s="2164"/>
      <c r="E2216" s="2522" t="s">
        <v>2639</v>
      </c>
      <c r="F2216" s="2522"/>
      <c r="G2216" s="2164"/>
      <c r="H2216" s="2523">
        <v>-1E-4</v>
      </c>
      <c r="I2216" s="2523"/>
      <c r="J2216" s="2523"/>
      <c r="K2216" s="2163"/>
      <c r="L2216" s="2523">
        <v>-0.01</v>
      </c>
      <c r="M2216" s="2163"/>
    </row>
    <row r="2217" spans="1:15">
      <c r="A2217" s="2164"/>
      <c r="B2217" s="2164"/>
      <c r="C2217" s="2164"/>
      <c r="D2217" s="2164"/>
      <c r="E2217" s="2164"/>
      <c r="F2217" s="2164"/>
      <c r="G2217" s="2164"/>
      <c r="H2217" s="2523"/>
      <c r="I2217" s="2523"/>
      <c r="J2217" s="2523"/>
      <c r="K2217" s="2163"/>
      <c r="L2217" s="2523"/>
      <c r="M2217" s="2163"/>
    </row>
    <row r="2218" spans="1:15" ht="27.6">
      <c r="A2218" s="2160" t="s">
        <v>2734</v>
      </c>
      <c r="B2218" s="2161"/>
      <c r="C2218" s="2160" t="s">
        <v>2735</v>
      </c>
      <c r="D2218" s="2161"/>
      <c r="E2218" s="2160" t="s">
        <v>2698</v>
      </c>
      <c r="F2218" s="2161"/>
    </row>
    <row r="2219" spans="1:15">
      <c r="A2219" s="2163"/>
      <c r="B2219" s="2163"/>
      <c r="C2219" s="2163"/>
      <c r="D2219" s="2163"/>
      <c r="E2219" s="2163"/>
      <c r="F2219" s="2163"/>
      <c r="G2219" s="2163"/>
      <c r="H2219" s="2163"/>
      <c r="I2219" s="2163"/>
      <c r="J2219" s="2163"/>
      <c r="K2219" s="2163"/>
      <c r="L2219" s="2163"/>
      <c r="M2219" s="2163"/>
    </row>
    <row r="2220" spans="1:15">
      <c r="A2220" s="2164"/>
      <c r="H2220" s="2522" t="s">
        <v>2637</v>
      </c>
      <c r="I2220" s="2522"/>
      <c r="J2220" s="2163"/>
      <c r="K2220" s="2523">
        <v>-1E-4</v>
      </c>
      <c r="L2220" s="2523"/>
      <c r="M2220" s="2163"/>
      <c r="N2220" s="2527"/>
      <c r="O2220" s="2163"/>
    </row>
    <row r="2221" spans="1:15">
      <c r="H2221" s="2163"/>
      <c r="I2221" s="2163"/>
      <c r="J2221" s="2163"/>
      <c r="K2221" s="2523"/>
      <c r="L2221" s="2523"/>
      <c r="N2221" s="2527"/>
    </row>
    <row r="2222" spans="1:15">
      <c r="A2222" s="2165">
        <v>447</v>
      </c>
      <c r="B2222" s="2163"/>
      <c r="C2222" s="2524" t="s">
        <v>2845</v>
      </c>
      <c r="D2222" s="2524"/>
      <c r="E2222" s="2524"/>
      <c r="F2222" s="2524"/>
      <c r="G2222" s="2524"/>
      <c r="H2222" s="2524"/>
      <c r="I2222" s="2524"/>
      <c r="J2222" s="2163"/>
      <c r="K2222" s="2163"/>
      <c r="L2222" s="2163"/>
      <c r="M2222" s="2163"/>
    </row>
    <row r="2223" spans="1:15">
      <c r="A2223" s="2163"/>
      <c r="B2223" s="2163"/>
      <c r="C2223" s="2163"/>
      <c r="D2223" s="2163"/>
      <c r="E2223" s="2163"/>
      <c r="F2223" s="2163"/>
      <c r="G2223" s="2163"/>
      <c r="H2223" s="2163"/>
      <c r="I2223" s="2163"/>
      <c r="J2223" s="2163"/>
      <c r="K2223" s="2163"/>
      <c r="L2223" s="2163"/>
      <c r="M2223" s="2163"/>
    </row>
    <row r="2224" spans="1:15">
      <c r="A2224" s="2529"/>
      <c r="B2224" s="2529"/>
      <c r="C2224" s="2529"/>
      <c r="D2224" s="2166"/>
      <c r="E2224" s="2166"/>
      <c r="F2224" s="2166"/>
      <c r="G2224" s="2166"/>
      <c r="H2224" s="2525"/>
      <c r="I2224" s="2525"/>
      <c r="J2224" s="2525"/>
      <c r="K2224" s="2166"/>
      <c r="L2224" s="2167"/>
      <c r="M2224" s="2166"/>
    </row>
    <row r="2225" spans="1:15">
      <c r="A2225" s="2164"/>
      <c r="B2225" s="2164"/>
      <c r="C2225" s="2164"/>
      <c r="D2225" s="2164"/>
      <c r="E2225" s="2522" t="s">
        <v>2639</v>
      </c>
      <c r="F2225" s="2522"/>
      <c r="G2225" s="2164"/>
      <c r="H2225" s="2523">
        <v>-1E-4</v>
      </c>
      <c r="I2225" s="2523"/>
      <c r="J2225" s="2523"/>
      <c r="K2225" s="2163"/>
      <c r="L2225" s="2523">
        <v>-0.01</v>
      </c>
      <c r="M2225" s="2163"/>
    </row>
    <row r="2226" spans="1:15">
      <c r="A2226" s="2164"/>
      <c r="B2226" s="2164"/>
      <c r="C2226" s="2164"/>
      <c r="D2226" s="2164"/>
      <c r="E2226" s="2164"/>
      <c r="F2226" s="2164"/>
      <c r="G2226" s="2164"/>
      <c r="H2226" s="2523"/>
      <c r="I2226" s="2523"/>
      <c r="J2226" s="2523"/>
      <c r="K2226" s="2163"/>
      <c r="L2226" s="2523"/>
      <c r="M2226" s="2163"/>
    </row>
    <row r="2227" spans="1:15" ht="27.6">
      <c r="A2227" s="2160" t="s">
        <v>2734</v>
      </c>
      <c r="B2227" s="2161"/>
      <c r="C2227" s="2160" t="s">
        <v>2735</v>
      </c>
      <c r="D2227" s="2161"/>
      <c r="E2227" s="2160" t="s">
        <v>2698</v>
      </c>
      <c r="F2227" s="2161"/>
    </row>
    <row r="2228" spans="1:15">
      <c r="A2228" s="2163"/>
      <c r="B2228" s="2163"/>
      <c r="C2228" s="2163"/>
      <c r="D2228" s="2163"/>
      <c r="E2228" s="2163"/>
      <c r="F2228" s="2163"/>
      <c r="G2228" s="2163"/>
      <c r="H2228" s="2163"/>
      <c r="I2228" s="2163"/>
      <c r="J2228" s="2163"/>
      <c r="K2228" s="2163"/>
      <c r="L2228" s="2163"/>
      <c r="M2228" s="2163"/>
    </row>
    <row r="2229" spans="1:15">
      <c r="A2229" s="2164"/>
      <c r="H2229" s="2522" t="s">
        <v>2637</v>
      </c>
      <c r="I2229" s="2522"/>
      <c r="J2229" s="2163"/>
      <c r="K2229" s="2523">
        <v>0</v>
      </c>
      <c r="L2229" s="2523"/>
      <c r="M2229" s="2163"/>
      <c r="N2229" s="2527"/>
      <c r="O2229" s="2163"/>
    </row>
    <row r="2230" spans="1:15">
      <c r="H2230" s="2163"/>
      <c r="I2230" s="2163"/>
      <c r="J2230" s="2163"/>
      <c r="K2230" s="2523"/>
      <c r="L2230" s="2523"/>
      <c r="N2230" s="2527"/>
    </row>
    <row r="2231" spans="1:15">
      <c r="A2231" s="2165">
        <v>1720</v>
      </c>
      <c r="B2231" s="2163"/>
      <c r="C2231" s="2524" t="s">
        <v>2701</v>
      </c>
      <c r="D2231" s="2524"/>
      <c r="E2231" s="2524"/>
      <c r="F2231" s="2524"/>
      <c r="G2231" s="2524"/>
      <c r="H2231" s="2524"/>
      <c r="I2231" s="2524"/>
      <c r="J2231" s="2163"/>
      <c r="K2231" s="2163"/>
      <c r="L2231" s="2163"/>
      <c r="M2231" s="2163"/>
    </row>
    <row r="2232" spans="1:15">
      <c r="A2232" s="2163"/>
      <c r="B2232" s="2163"/>
      <c r="C2232" s="2163"/>
      <c r="D2232" s="2163"/>
      <c r="E2232" s="2163"/>
      <c r="F2232" s="2163"/>
      <c r="G2232" s="2163"/>
      <c r="H2232" s="2163"/>
      <c r="I2232" s="2163"/>
      <c r="J2232" s="2163"/>
      <c r="K2232" s="2163"/>
      <c r="L2232" s="2163"/>
      <c r="M2232" s="2163"/>
    </row>
    <row r="2233" spans="1:15">
      <c r="A2233" s="2529"/>
      <c r="B2233" s="2529"/>
      <c r="C2233" s="2529"/>
      <c r="D2233" s="2166"/>
      <c r="E2233" s="2166"/>
      <c r="F2233" s="2166"/>
      <c r="G2233" s="2166"/>
      <c r="H2233" s="2525"/>
      <c r="I2233" s="2525"/>
      <c r="J2233" s="2525"/>
      <c r="K2233" s="2166"/>
      <c r="L2233" s="2167"/>
      <c r="M2233" s="2166"/>
    </row>
    <row r="2234" spans="1:15">
      <c r="A2234" s="2164"/>
      <c r="B2234" s="2164"/>
      <c r="C2234" s="2164"/>
      <c r="D2234" s="2164"/>
      <c r="E2234" s="2522" t="s">
        <v>2639</v>
      </c>
      <c r="F2234" s="2522"/>
      <c r="G2234" s="2164"/>
      <c r="H2234" s="2523">
        <v>0</v>
      </c>
      <c r="I2234" s="2523"/>
      <c r="J2234" s="2523"/>
      <c r="K2234" s="2163"/>
      <c r="L2234" s="2523">
        <v>0</v>
      </c>
      <c r="M2234" s="2163"/>
    </row>
    <row r="2235" spans="1:15">
      <c r="A2235" s="2164"/>
      <c r="B2235" s="2164"/>
      <c r="C2235" s="2164"/>
      <c r="D2235" s="2164"/>
      <c r="E2235" s="2164"/>
      <c r="F2235" s="2164"/>
      <c r="G2235" s="2164"/>
      <c r="H2235" s="2523"/>
      <c r="I2235" s="2523"/>
      <c r="J2235" s="2523"/>
      <c r="K2235" s="2163"/>
      <c r="L2235" s="2523"/>
      <c r="M2235" s="2163"/>
    </row>
    <row r="2236" spans="1:15" ht="27.6">
      <c r="A2236" s="2160" t="s">
        <v>2734</v>
      </c>
      <c r="B2236" s="2161"/>
      <c r="C2236" s="2160" t="s">
        <v>2735</v>
      </c>
      <c r="D2236" s="2161"/>
      <c r="E2236" s="2160" t="s">
        <v>2698</v>
      </c>
      <c r="F2236" s="2161"/>
    </row>
    <row r="2237" spans="1:15">
      <c r="A2237" s="2163"/>
      <c r="B2237" s="2163"/>
      <c r="C2237" s="2163"/>
      <c r="D2237" s="2163"/>
      <c r="E2237" s="2163"/>
      <c r="F2237" s="2163"/>
      <c r="G2237" s="2163"/>
      <c r="H2237" s="2163"/>
      <c r="I2237" s="2163"/>
      <c r="J2237" s="2163"/>
      <c r="K2237" s="2163"/>
      <c r="L2237" s="2163"/>
      <c r="M2237" s="2163"/>
    </row>
    <row r="2238" spans="1:15">
      <c r="A2238" s="2164"/>
      <c r="H2238" s="2522" t="s">
        <v>2637</v>
      </c>
      <c r="I2238" s="2522"/>
      <c r="J2238" s="2163"/>
      <c r="K2238" s="2523">
        <v>0</v>
      </c>
      <c r="L2238" s="2523"/>
      <c r="M2238" s="2163"/>
      <c r="N2238" s="2527"/>
      <c r="O2238" s="2163"/>
    </row>
    <row r="2239" spans="1:15">
      <c r="H2239" s="2163"/>
      <c r="I2239" s="2163"/>
      <c r="J2239" s="2163"/>
      <c r="K2239" s="2523"/>
      <c r="L2239" s="2523"/>
      <c r="N2239" s="2527"/>
    </row>
    <row r="2240" spans="1:15">
      <c r="A2240" s="2165">
        <v>15067</v>
      </c>
      <c r="B2240" s="2163"/>
      <c r="C2240" s="2524" t="s">
        <v>2736</v>
      </c>
      <c r="D2240" s="2524"/>
      <c r="E2240" s="2524"/>
      <c r="F2240" s="2524"/>
      <c r="G2240" s="2524"/>
      <c r="H2240" s="2524"/>
      <c r="I2240" s="2524"/>
      <c r="J2240" s="2163"/>
      <c r="K2240" s="2163"/>
      <c r="L2240" s="2163"/>
      <c r="M2240" s="2163"/>
    </row>
    <row r="2241" spans="1:15">
      <c r="A2241" s="2163"/>
      <c r="B2241" s="2163"/>
      <c r="C2241" s="2163"/>
      <c r="D2241" s="2163"/>
      <c r="E2241" s="2163"/>
      <c r="F2241" s="2163"/>
      <c r="G2241" s="2163"/>
      <c r="H2241" s="2163"/>
      <c r="I2241" s="2163"/>
      <c r="J2241" s="2163"/>
      <c r="K2241" s="2163"/>
      <c r="L2241" s="2163"/>
      <c r="M2241" s="2163"/>
    </row>
    <row r="2242" spans="1:15">
      <c r="A2242" s="2529"/>
      <c r="B2242" s="2529"/>
      <c r="C2242" s="2529"/>
      <c r="D2242" s="2166"/>
      <c r="E2242" s="2166"/>
      <c r="F2242" s="2166"/>
      <c r="G2242" s="2166"/>
      <c r="H2242" s="2525"/>
      <c r="I2242" s="2525"/>
      <c r="J2242" s="2525"/>
      <c r="K2242" s="2166"/>
      <c r="L2242" s="2167"/>
      <c r="M2242" s="2166"/>
    </row>
    <row r="2243" spans="1:15">
      <c r="A2243" s="2164"/>
      <c r="B2243" s="2164"/>
      <c r="C2243" s="2164"/>
      <c r="D2243" s="2164"/>
      <c r="E2243" s="2522" t="s">
        <v>2639</v>
      </c>
      <c r="F2243" s="2522"/>
      <c r="G2243" s="2164"/>
      <c r="H2243" s="2523">
        <v>0</v>
      </c>
      <c r="I2243" s="2523"/>
      <c r="J2243" s="2523"/>
      <c r="K2243" s="2163"/>
      <c r="L2243" s="2523">
        <v>0</v>
      </c>
      <c r="M2243" s="2163"/>
    </row>
    <row r="2244" spans="1:15">
      <c r="A2244" s="2164"/>
      <c r="B2244" s="2164"/>
      <c r="C2244" s="2164"/>
      <c r="D2244" s="2164"/>
      <c r="E2244" s="2164"/>
      <c r="F2244" s="2164"/>
      <c r="G2244" s="2164"/>
      <c r="H2244" s="2523"/>
      <c r="I2244" s="2523"/>
      <c r="J2244" s="2523"/>
      <c r="K2244" s="2163"/>
      <c r="L2244" s="2523"/>
      <c r="M2244" s="2163"/>
    </row>
    <row r="2245" spans="1:15" ht="27.6">
      <c r="A2245" s="2160" t="s">
        <v>2734</v>
      </c>
      <c r="B2245" s="2161"/>
      <c r="C2245" s="2160" t="s">
        <v>2735</v>
      </c>
      <c r="D2245" s="2161"/>
      <c r="E2245" s="2160" t="s">
        <v>2698</v>
      </c>
      <c r="F2245" s="2161"/>
    </row>
    <row r="2246" spans="1:15">
      <c r="A2246" s="2163"/>
      <c r="B2246" s="2163"/>
      <c r="C2246" s="2163"/>
      <c r="D2246" s="2163"/>
      <c r="E2246" s="2163"/>
      <c r="F2246" s="2163"/>
      <c r="G2246" s="2163"/>
      <c r="H2246" s="2163"/>
      <c r="I2246" s="2163"/>
      <c r="J2246" s="2163"/>
      <c r="K2246" s="2163"/>
      <c r="L2246" s="2163"/>
      <c r="M2246" s="2163"/>
    </row>
    <row r="2247" spans="1:15">
      <c r="A2247" s="2164"/>
      <c r="H2247" s="2522" t="s">
        <v>2637</v>
      </c>
      <c r="I2247" s="2522"/>
      <c r="J2247" s="2163"/>
      <c r="K2247" s="2523">
        <v>0</v>
      </c>
      <c r="L2247" s="2523"/>
      <c r="M2247" s="2163"/>
      <c r="N2247" s="2527"/>
      <c r="O2247" s="2163"/>
    </row>
    <row r="2248" spans="1:15">
      <c r="H2248" s="2163"/>
      <c r="I2248" s="2163"/>
      <c r="J2248" s="2163"/>
      <c r="K2248" s="2523"/>
      <c r="L2248" s="2523"/>
      <c r="N2248" s="2527"/>
    </row>
    <row r="2249" spans="1:15">
      <c r="A2249" s="2165">
        <v>24543</v>
      </c>
      <c r="B2249" s="2163"/>
      <c r="C2249" s="2524" t="s">
        <v>2642</v>
      </c>
      <c r="D2249" s="2524"/>
      <c r="E2249" s="2524"/>
      <c r="F2249" s="2524"/>
      <c r="G2249" s="2524"/>
      <c r="H2249" s="2524"/>
      <c r="I2249" s="2524"/>
      <c r="J2249" s="2163"/>
      <c r="K2249" s="2163"/>
      <c r="L2249" s="2163"/>
      <c r="M2249" s="2163"/>
    </row>
    <row r="2250" spans="1:15">
      <c r="A2250" s="2163"/>
      <c r="B2250" s="2163"/>
      <c r="C2250" s="2163"/>
      <c r="D2250" s="2163"/>
      <c r="E2250" s="2163"/>
      <c r="F2250" s="2163"/>
      <c r="G2250" s="2163"/>
      <c r="H2250" s="2163"/>
      <c r="I2250" s="2163"/>
      <c r="J2250" s="2163"/>
      <c r="K2250" s="2163"/>
      <c r="L2250" s="2163"/>
      <c r="M2250" s="2163"/>
    </row>
    <row r="2251" spans="1:15">
      <c r="A2251" s="2529"/>
      <c r="B2251" s="2529"/>
      <c r="C2251" s="2529"/>
      <c r="D2251" s="2166"/>
      <c r="E2251" s="2166"/>
      <c r="F2251" s="2166"/>
      <c r="G2251" s="2166"/>
      <c r="H2251" s="2525"/>
      <c r="I2251" s="2525"/>
      <c r="J2251" s="2525"/>
      <c r="K2251" s="2166"/>
      <c r="L2251" s="2167"/>
      <c r="M2251" s="2166"/>
    </row>
    <row r="2252" spans="1:15">
      <c r="A2252" s="2164"/>
      <c r="B2252" s="2164"/>
      <c r="C2252" s="2164"/>
      <c r="D2252" s="2164"/>
      <c r="E2252" s="2522" t="s">
        <v>2639</v>
      </c>
      <c r="F2252" s="2522"/>
      <c r="G2252" s="2164"/>
      <c r="H2252" s="2523">
        <v>0</v>
      </c>
      <c r="I2252" s="2523"/>
      <c r="J2252" s="2523"/>
      <c r="K2252" s="2163"/>
      <c r="L2252" s="2523">
        <v>0</v>
      </c>
      <c r="M2252" s="2163"/>
    </row>
    <row r="2253" spans="1:15">
      <c r="A2253" s="2164"/>
      <c r="B2253" s="2164"/>
      <c r="C2253" s="2164"/>
      <c r="D2253" s="2164"/>
      <c r="E2253" s="2164"/>
      <c r="F2253" s="2164"/>
      <c r="G2253" s="2164"/>
      <c r="H2253" s="2523"/>
      <c r="I2253" s="2523"/>
      <c r="J2253" s="2523"/>
      <c r="K2253" s="2163"/>
      <c r="L2253" s="2523"/>
      <c r="M2253" s="2163"/>
    </row>
    <row r="2254" spans="1:15" ht="27.6">
      <c r="A2254" s="2160" t="s">
        <v>2734</v>
      </c>
      <c r="B2254" s="2161"/>
      <c r="C2254" s="2160" t="s">
        <v>2735</v>
      </c>
      <c r="D2254" s="2161"/>
      <c r="E2254" s="2160" t="s">
        <v>2698</v>
      </c>
      <c r="F2254" s="2161"/>
    </row>
    <row r="2255" spans="1:15">
      <c r="A2255" s="2163"/>
      <c r="B2255" s="2163"/>
      <c r="C2255" s="2163"/>
      <c r="D2255" s="2163"/>
      <c r="E2255" s="2163"/>
      <c r="F2255" s="2163"/>
      <c r="G2255" s="2163"/>
      <c r="H2255" s="2163"/>
      <c r="I2255" s="2163"/>
      <c r="J2255" s="2163"/>
      <c r="K2255" s="2163"/>
      <c r="L2255" s="2163"/>
      <c r="M2255" s="2163"/>
    </row>
    <row r="2256" spans="1:15">
      <c r="A2256" s="2164"/>
      <c r="H2256" s="2522" t="s">
        <v>2637</v>
      </c>
      <c r="I2256" s="2522"/>
      <c r="J2256" s="2163"/>
      <c r="K2256" s="2528">
        <v>112524.0518</v>
      </c>
      <c r="L2256" s="2528"/>
      <c r="M2256" s="2163"/>
      <c r="N2256" s="2527" t="s">
        <v>3032</v>
      </c>
      <c r="O2256" s="2163"/>
    </row>
    <row r="2257" spans="1:15">
      <c r="H2257" s="2163"/>
      <c r="I2257" s="2163"/>
      <c r="J2257" s="2163"/>
      <c r="K2257" s="2528"/>
      <c r="L2257" s="2528"/>
      <c r="N2257" s="2527"/>
    </row>
    <row r="2258" spans="1:15">
      <c r="A2258" s="2165">
        <v>32346</v>
      </c>
      <c r="B2258" s="2163"/>
      <c r="C2258" s="2524" t="s">
        <v>2656</v>
      </c>
      <c r="D2258" s="2524"/>
      <c r="E2258" s="2524"/>
      <c r="F2258" s="2524"/>
      <c r="G2258" s="2524"/>
      <c r="H2258" s="2524"/>
      <c r="I2258" s="2524"/>
      <c r="J2258" s="2163"/>
      <c r="K2258" s="2163"/>
      <c r="L2258" s="2163"/>
      <c r="M2258" s="2163"/>
    </row>
    <row r="2259" spans="1:15">
      <c r="A2259" s="2163"/>
      <c r="B2259" s="2163"/>
      <c r="C2259" s="2163"/>
      <c r="D2259" s="2163"/>
      <c r="E2259" s="2163"/>
      <c r="F2259" s="2163"/>
      <c r="G2259" s="2163"/>
      <c r="H2259" s="2163"/>
      <c r="I2259" s="2163"/>
      <c r="J2259" s="2163"/>
      <c r="K2259" s="2163"/>
      <c r="L2259" s="2163"/>
      <c r="M2259" s="2163"/>
    </row>
    <row r="2260" spans="1:15">
      <c r="A2260" s="2529"/>
      <c r="B2260" s="2529"/>
      <c r="C2260" s="2529"/>
      <c r="D2260" s="2166"/>
      <c r="E2260" s="2166"/>
      <c r="F2260" s="2166"/>
      <c r="G2260" s="2166"/>
      <c r="H2260" s="2525"/>
      <c r="I2260" s="2525"/>
      <c r="J2260" s="2525"/>
      <c r="K2260" s="2166"/>
      <c r="L2260" s="2167"/>
      <c r="M2260" s="2166"/>
    </row>
    <row r="2261" spans="1:15">
      <c r="A2261" s="2164"/>
      <c r="B2261" s="2164"/>
      <c r="C2261" s="2164"/>
      <c r="D2261" s="2164"/>
      <c r="E2261" s="2522" t="s">
        <v>2639</v>
      </c>
      <c r="F2261" s="2522"/>
      <c r="G2261" s="2164"/>
      <c r="H2261" s="2528">
        <v>112524.0518</v>
      </c>
      <c r="I2261" s="2528"/>
      <c r="J2261" s="2528"/>
      <c r="K2261" s="2163"/>
      <c r="L2261" s="2528">
        <v>7840585.9100000001</v>
      </c>
      <c r="M2261" s="2163"/>
    </row>
    <row r="2262" spans="1:15">
      <c r="A2262" s="2164"/>
      <c r="B2262" s="2164"/>
      <c r="C2262" s="2164"/>
      <c r="D2262" s="2164"/>
      <c r="E2262" s="2164"/>
      <c r="F2262" s="2164"/>
      <c r="G2262" s="2164"/>
      <c r="H2262" s="2528"/>
      <c r="I2262" s="2528"/>
      <c r="J2262" s="2528"/>
      <c r="K2262" s="2163"/>
      <c r="L2262" s="2528"/>
      <c r="M2262" s="2163"/>
    </row>
    <row r="2263" spans="1:15" ht="27.6">
      <c r="A2263" s="2160" t="s">
        <v>2734</v>
      </c>
      <c r="B2263" s="2161"/>
      <c r="C2263" s="2160" t="s">
        <v>2735</v>
      </c>
      <c r="D2263" s="2161"/>
      <c r="E2263" s="2160" t="s">
        <v>2698</v>
      </c>
      <c r="F2263" s="2161"/>
    </row>
    <row r="2264" spans="1:15">
      <c r="A2264" s="2163"/>
      <c r="B2264" s="2163"/>
      <c r="C2264" s="2163"/>
      <c r="D2264" s="2163"/>
      <c r="E2264" s="2163"/>
      <c r="F2264" s="2163"/>
      <c r="G2264" s="2163"/>
      <c r="H2264" s="2163"/>
      <c r="I2264" s="2163"/>
      <c r="J2264" s="2163"/>
      <c r="K2264" s="2163"/>
      <c r="L2264" s="2163"/>
      <c r="M2264" s="2163"/>
    </row>
    <row r="2265" spans="1:15">
      <c r="A2265" s="2164"/>
      <c r="H2265" s="2522" t="s">
        <v>2637</v>
      </c>
      <c r="I2265" s="2522"/>
      <c r="J2265" s="2163"/>
      <c r="K2265" s="2528">
        <v>580377.05599999998</v>
      </c>
      <c r="L2265" s="2528"/>
      <c r="M2265" s="2163"/>
      <c r="N2265" s="2527" t="s">
        <v>3033</v>
      </c>
      <c r="O2265" s="2163"/>
    </row>
    <row r="2266" spans="1:15">
      <c r="H2266" s="2163"/>
      <c r="I2266" s="2163"/>
      <c r="J2266" s="2163"/>
      <c r="K2266" s="2528"/>
      <c r="L2266" s="2528"/>
      <c r="N2266" s="2527"/>
    </row>
    <row r="2267" spans="1:15">
      <c r="A2267" s="2165">
        <v>46553</v>
      </c>
      <c r="B2267" s="2163"/>
      <c r="C2267" s="2524" t="s">
        <v>2662</v>
      </c>
      <c r="D2267" s="2524"/>
      <c r="E2267" s="2524"/>
      <c r="F2267" s="2524"/>
      <c r="G2267" s="2524"/>
      <c r="H2267" s="2524"/>
      <c r="I2267" s="2524"/>
      <c r="J2267" s="2163"/>
      <c r="K2267" s="2163"/>
      <c r="L2267" s="2163"/>
      <c r="M2267" s="2163"/>
    </row>
    <row r="2268" spans="1:15">
      <c r="A2268" s="2163"/>
      <c r="B2268" s="2163"/>
      <c r="C2268" s="2163"/>
      <c r="D2268" s="2163"/>
      <c r="E2268" s="2163"/>
      <c r="F2268" s="2163"/>
      <c r="G2268" s="2163"/>
      <c r="H2268" s="2163"/>
      <c r="I2268" s="2163"/>
      <c r="J2268" s="2163"/>
      <c r="K2268" s="2163"/>
      <c r="L2268" s="2163"/>
      <c r="M2268" s="2163"/>
    </row>
    <row r="2269" spans="1:15">
      <c r="A2269" s="2529"/>
      <c r="B2269" s="2529"/>
      <c r="C2269" s="2529"/>
      <c r="D2269" s="2166"/>
      <c r="E2269" s="2166"/>
      <c r="F2269" s="2166"/>
      <c r="G2269" s="2166"/>
      <c r="H2269" s="2525"/>
      <c r="I2269" s="2525"/>
      <c r="J2269" s="2525"/>
      <c r="K2269" s="2166"/>
      <c r="L2269" s="2167"/>
      <c r="M2269" s="2166"/>
    </row>
    <row r="2270" spans="1:15">
      <c r="A2270" s="2164"/>
      <c r="B2270" s="2164"/>
      <c r="C2270" s="2164"/>
      <c r="D2270" s="2164"/>
      <c r="E2270" s="2522" t="s">
        <v>2639</v>
      </c>
      <c r="F2270" s="2522"/>
      <c r="G2270" s="2164"/>
      <c r="H2270" s="2528">
        <v>580377.05599999998</v>
      </c>
      <c r="I2270" s="2528"/>
      <c r="J2270" s="2528"/>
      <c r="K2270" s="2163"/>
      <c r="L2270" s="2528">
        <v>40440208.960000001</v>
      </c>
      <c r="M2270" s="2163"/>
    </row>
    <row r="2271" spans="1:15">
      <c r="A2271" s="2164"/>
      <c r="B2271" s="2164"/>
      <c r="C2271" s="2164"/>
      <c r="D2271" s="2164"/>
      <c r="E2271" s="2164"/>
      <c r="F2271" s="2164"/>
      <c r="G2271" s="2164"/>
      <c r="H2271" s="2528"/>
      <c r="I2271" s="2528"/>
      <c r="J2271" s="2528"/>
      <c r="K2271" s="2163"/>
      <c r="L2271" s="2528"/>
      <c r="M2271" s="2163"/>
    </row>
    <row r="2272" spans="1:15" ht="27.6">
      <c r="A2272" s="2160" t="s">
        <v>2734</v>
      </c>
      <c r="B2272" s="2161"/>
      <c r="C2272" s="2160" t="s">
        <v>2735</v>
      </c>
      <c r="D2272" s="2161"/>
      <c r="E2272" s="2160" t="s">
        <v>2698</v>
      </c>
      <c r="F2272" s="2161"/>
    </row>
    <row r="2273" spans="1:15">
      <c r="A2273" s="2163"/>
      <c r="B2273" s="2163"/>
      <c r="C2273" s="2163"/>
      <c r="D2273" s="2163"/>
      <c r="E2273" s="2163"/>
      <c r="F2273" s="2163"/>
      <c r="G2273" s="2163"/>
      <c r="H2273" s="2163"/>
      <c r="I2273" s="2163"/>
      <c r="J2273" s="2163"/>
      <c r="K2273" s="2163"/>
      <c r="L2273" s="2163"/>
      <c r="M2273" s="2163"/>
    </row>
    <row r="2274" spans="1:15">
      <c r="A2274" s="2164"/>
      <c r="H2274" s="2522" t="s">
        <v>2637</v>
      </c>
      <c r="I2274" s="2522"/>
      <c r="J2274" s="2163"/>
      <c r="K2274" s="2523">
        <v>0</v>
      </c>
      <c r="L2274" s="2523"/>
      <c r="M2274" s="2163"/>
      <c r="N2274" s="2527"/>
      <c r="O2274" s="2163"/>
    </row>
    <row r="2275" spans="1:15">
      <c r="H2275" s="2163"/>
      <c r="I2275" s="2163"/>
      <c r="J2275" s="2163"/>
      <c r="K2275" s="2523"/>
      <c r="L2275" s="2523"/>
      <c r="N2275" s="2527"/>
    </row>
    <row r="2276" spans="1:15">
      <c r="A2276" s="2165">
        <v>48483</v>
      </c>
      <c r="B2276" s="2163"/>
      <c r="C2276" s="2524" t="s">
        <v>2664</v>
      </c>
      <c r="D2276" s="2524"/>
      <c r="E2276" s="2524"/>
      <c r="F2276" s="2524"/>
      <c r="G2276" s="2524"/>
      <c r="H2276" s="2524"/>
      <c r="I2276" s="2524"/>
      <c r="J2276" s="2163"/>
      <c r="K2276" s="2163"/>
      <c r="L2276" s="2163"/>
      <c r="M2276" s="2163"/>
    </row>
    <row r="2277" spans="1:15">
      <c r="A2277" s="2163"/>
      <c r="B2277" s="2163"/>
      <c r="C2277" s="2163"/>
      <c r="D2277" s="2163"/>
      <c r="E2277" s="2163"/>
      <c r="F2277" s="2163"/>
      <c r="G2277" s="2163"/>
      <c r="H2277" s="2163"/>
      <c r="I2277" s="2163"/>
      <c r="J2277" s="2163"/>
      <c r="K2277" s="2163"/>
      <c r="L2277" s="2163"/>
      <c r="M2277" s="2163"/>
    </row>
    <row r="2278" spans="1:15">
      <c r="A2278" s="2529"/>
      <c r="B2278" s="2529"/>
      <c r="C2278" s="2529"/>
      <c r="D2278" s="2166"/>
      <c r="E2278" s="2166"/>
      <c r="F2278" s="2166"/>
      <c r="G2278" s="2166"/>
      <c r="H2278" s="2525"/>
      <c r="I2278" s="2525"/>
      <c r="J2278" s="2525"/>
      <c r="K2278" s="2166"/>
      <c r="L2278" s="2167"/>
      <c r="M2278" s="2166"/>
    </row>
    <row r="2279" spans="1:15">
      <c r="A2279" s="2164"/>
      <c r="B2279" s="2164"/>
      <c r="C2279" s="2164"/>
      <c r="D2279" s="2164"/>
      <c r="E2279" s="2522" t="s">
        <v>2639</v>
      </c>
      <c r="F2279" s="2522"/>
      <c r="G2279" s="2164"/>
      <c r="H2279" s="2523">
        <v>0</v>
      </c>
      <c r="I2279" s="2523"/>
      <c r="J2279" s="2523"/>
      <c r="K2279" s="2163"/>
      <c r="L2279" s="2523">
        <v>0</v>
      </c>
      <c r="M2279" s="2163"/>
    </row>
    <row r="2280" spans="1:15">
      <c r="A2280" s="2164"/>
      <c r="B2280" s="2164"/>
      <c r="C2280" s="2164"/>
      <c r="D2280" s="2164"/>
      <c r="E2280" s="2164"/>
      <c r="F2280" s="2164"/>
      <c r="G2280" s="2164"/>
      <c r="H2280" s="2523"/>
      <c r="I2280" s="2523"/>
      <c r="J2280" s="2523"/>
      <c r="K2280" s="2163"/>
      <c r="L2280" s="2523"/>
      <c r="M2280" s="2163"/>
    </row>
    <row r="2281" spans="1:15" ht="27.6">
      <c r="A2281" s="2160" t="s">
        <v>2734</v>
      </c>
      <c r="B2281" s="2161"/>
      <c r="C2281" s="2160" t="s">
        <v>2735</v>
      </c>
      <c r="D2281" s="2161"/>
      <c r="E2281" s="2160" t="s">
        <v>2698</v>
      </c>
      <c r="F2281" s="2161"/>
    </row>
    <row r="2282" spans="1:15">
      <c r="A2282" s="2163"/>
      <c r="B2282" s="2163"/>
      <c r="C2282" s="2163"/>
      <c r="D2282" s="2163"/>
      <c r="E2282" s="2163"/>
      <c r="F2282" s="2163"/>
      <c r="G2282" s="2163"/>
      <c r="H2282" s="2163"/>
      <c r="I2282" s="2163"/>
      <c r="J2282" s="2163"/>
      <c r="K2282" s="2163"/>
      <c r="L2282" s="2163"/>
      <c r="M2282" s="2163"/>
    </row>
    <row r="2283" spans="1:15">
      <c r="A2283" s="2164"/>
      <c r="H2283" s="2522" t="s">
        <v>2637</v>
      </c>
      <c r="I2283" s="2522"/>
      <c r="J2283" s="2163"/>
      <c r="K2283" s="2523">
        <v>0</v>
      </c>
      <c r="L2283" s="2523"/>
      <c r="M2283" s="2163"/>
      <c r="N2283" s="2527"/>
      <c r="O2283" s="2163"/>
    </row>
    <row r="2284" spans="1:15">
      <c r="H2284" s="2163"/>
      <c r="I2284" s="2163"/>
      <c r="J2284" s="2163"/>
      <c r="K2284" s="2523"/>
      <c r="L2284" s="2523"/>
      <c r="N2284" s="2527"/>
    </row>
    <row r="2285" spans="1:15">
      <c r="A2285" s="2165">
        <v>50368</v>
      </c>
      <c r="B2285" s="2163"/>
      <c r="C2285" s="2524" t="s">
        <v>2690</v>
      </c>
      <c r="D2285" s="2524"/>
      <c r="E2285" s="2524"/>
      <c r="F2285" s="2524"/>
      <c r="G2285" s="2524"/>
      <c r="H2285" s="2524"/>
      <c r="I2285" s="2524"/>
      <c r="J2285" s="2163"/>
      <c r="K2285" s="2163"/>
      <c r="L2285" s="2163"/>
      <c r="M2285" s="2163"/>
    </row>
    <row r="2286" spans="1:15">
      <c r="A2286" s="2163"/>
      <c r="B2286" s="2163"/>
      <c r="C2286" s="2163"/>
      <c r="D2286" s="2163"/>
      <c r="E2286" s="2163"/>
      <c r="F2286" s="2163"/>
      <c r="G2286" s="2163"/>
      <c r="H2286" s="2163"/>
      <c r="I2286" s="2163"/>
      <c r="J2286" s="2163"/>
      <c r="K2286" s="2163"/>
      <c r="L2286" s="2163"/>
      <c r="M2286" s="2163"/>
    </row>
    <row r="2287" spans="1:15">
      <c r="A2287" s="2529"/>
      <c r="B2287" s="2529"/>
      <c r="C2287" s="2529"/>
      <c r="D2287" s="2166"/>
      <c r="E2287" s="2166"/>
      <c r="F2287" s="2166"/>
      <c r="G2287" s="2166"/>
      <c r="H2287" s="2525"/>
      <c r="I2287" s="2525"/>
      <c r="J2287" s="2525"/>
      <c r="K2287" s="2166"/>
      <c r="L2287" s="2167"/>
      <c r="M2287" s="2166"/>
    </row>
    <row r="2288" spans="1:15">
      <c r="A2288" s="2164"/>
      <c r="B2288" s="2164"/>
      <c r="C2288" s="2164"/>
      <c r="D2288" s="2164"/>
      <c r="E2288" s="2522" t="s">
        <v>2639</v>
      </c>
      <c r="F2288" s="2522"/>
      <c r="G2288" s="2164"/>
      <c r="H2288" s="2523">
        <v>0</v>
      </c>
      <c r="I2288" s="2523"/>
      <c r="J2288" s="2523"/>
      <c r="K2288" s="2163"/>
      <c r="L2288" s="2523">
        <v>0</v>
      </c>
      <c r="M2288" s="2163"/>
    </row>
    <row r="2289" spans="1:15">
      <c r="A2289" s="2164"/>
      <c r="B2289" s="2164"/>
      <c r="C2289" s="2164"/>
      <c r="D2289" s="2164"/>
      <c r="E2289" s="2164"/>
      <c r="F2289" s="2164"/>
      <c r="G2289" s="2164"/>
      <c r="H2289" s="2523"/>
      <c r="I2289" s="2523"/>
      <c r="J2289" s="2523"/>
      <c r="K2289" s="2163"/>
      <c r="L2289" s="2523"/>
      <c r="M2289" s="2163"/>
    </row>
    <row r="2290" spans="1:15" ht="27.6">
      <c r="A2290" s="2160" t="s">
        <v>2734</v>
      </c>
      <c r="B2290" s="2161"/>
      <c r="C2290" s="2160" t="s">
        <v>2735</v>
      </c>
      <c r="D2290" s="2161"/>
      <c r="E2290" s="2160" t="s">
        <v>2698</v>
      </c>
      <c r="F2290" s="2161"/>
    </row>
    <row r="2291" spans="1:15">
      <c r="A2291" s="2163"/>
      <c r="B2291" s="2163"/>
      <c r="C2291" s="2163"/>
      <c r="D2291" s="2163"/>
      <c r="E2291" s="2163"/>
      <c r="F2291" s="2163"/>
      <c r="G2291" s="2163"/>
      <c r="H2291" s="2163"/>
      <c r="I2291" s="2163"/>
      <c r="J2291" s="2163"/>
      <c r="K2291" s="2163"/>
      <c r="L2291" s="2163"/>
      <c r="M2291" s="2163"/>
    </row>
    <row r="2292" spans="1:15">
      <c r="A2292" s="2164"/>
      <c r="H2292" s="2522" t="s">
        <v>2637</v>
      </c>
      <c r="I2292" s="2522"/>
      <c r="J2292" s="2163"/>
      <c r="K2292" s="2523">
        <v>0</v>
      </c>
      <c r="L2292" s="2523"/>
      <c r="M2292" s="2163"/>
      <c r="N2292" s="2527"/>
      <c r="O2292" s="2163"/>
    </row>
    <row r="2293" spans="1:15">
      <c r="H2293" s="2163"/>
      <c r="I2293" s="2163"/>
      <c r="J2293" s="2163"/>
      <c r="K2293" s="2523"/>
      <c r="L2293" s="2523"/>
      <c r="N2293" s="2527"/>
    </row>
    <row r="2294" spans="1:15">
      <c r="A2294" s="2165">
        <v>56386</v>
      </c>
      <c r="B2294" s="2163"/>
      <c r="C2294" s="2524" t="s">
        <v>2667</v>
      </c>
      <c r="D2294" s="2524"/>
      <c r="E2294" s="2524"/>
      <c r="F2294" s="2524"/>
      <c r="G2294" s="2524"/>
      <c r="H2294" s="2524"/>
      <c r="I2294" s="2524"/>
      <c r="J2294" s="2163"/>
      <c r="K2294" s="2163"/>
      <c r="L2294" s="2163"/>
      <c r="M2294" s="2163"/>
    </row>
    <row r="2295" spans="1:15">
      <c r="A2295" s="2163"/>
      <c r="B2295" s="2163"/>
      <c r="C2295" s="2163"/>
      <c r="D2295" s="2163"/>
      <c r="E2295" s="2163"/>
      <c r="F2295" s="2163"/>
      <c r="G2295" s="2163"/>
      <c r="H2295" s="2163"/>
      <c r="I2295" s="2163"/>
      <c r="J2295" s="2163"/>
      <c r="K2295" s="2163"/>
      <c r="L2295" s="2163"/>
      <c r="M2295" s="2163"/>
    </row>
    <row r="2296" spans="1:15">
      <c r="A2296" s="2529"/>
      <c r="B2296" s="2529"/>
      <c r="C2296" s="2529"/>
      <c r="D2296" s="2166"/>
      <c r="E2296" s="2166"/>
      <c r="F2296" s="2166"/>
      <c r="G2296" s="2166"/>
      <c r="H2296" s="2525"/>
      <c r="I2296" s="2525"/>
      <c r="J2296" s="2525"/>
      <c r="K2296" s="2166"/>
      <c r="L2296" s="2167"/>
      <c r="M2296" s="2166"/>
    </row>
    <row r="2297" spans="1:15">
      <c r="A2297" s="2164"/>
      <c r="B2297" s="2164"/>
      <c r="C2297" s="2164"/>
      <c r="D2297" s="2164"/>
      <c r="E2297" s="2522" t="s">
        <v>2639</v>
      </c>
      <c r="F2297" s="2522"/>
      <c r="G2297" s="2164"/>
      <c r="H2297" s="2523">
        <v>0</v>
      </c>
      <c r="I2297" s="2523"/>
      <c r="J2297" s="2523"/>
      <c r="K2297" s="2163"/>
      <c r="L2297" s="2523">
        <v>0</v>
      </c>
      <c r="M2297" s="2163"/>
    </row>
    <row r="2298" spans="1:15">
      <c r="A2298" s="2164"/>
      <c r="B2298" s="2164"/>
      <c r="C2298" s="2164"/>
      <c r="D2298" s="2164"/>
      <c r="E2298" s="2164"/>
      <c r="F2298" s="2164"/>
      <c r="G2298" s="2164"/>
      <c r="H2298" s="2523"/>
      <c r="I2298" s="2523"/>
      <c r="J2298" s="2523"/>
      <c r="K2298" s="2163"/>
      <c r="L2298" s="2523"/>
      <c r="M2298" s="2163"/>
    </row>
    <row r="2299" spans="1:15" ht="27.6">
      <c r="A2299" s="2160" t="s">
        <v>2734</v>
      </c>
      <c r="B2299" s="2161"/>
      <c r="C2299" s="2160" t="s">
        <v>2735</v>
      </c>
      <c r="D2299" s="2161"/>
      <c r="E2299" s="2160" t="s">
        <v>2698</v>
      </c>
      <c r="F2299" s="2161"/>
    </row>
    <row r="2300" spans="1:15">
      <c r="A2300" s="2163"/>
      <c r="B2300" s="2163"/>
      <c r="C2300" s="2163"/>
      <c r="D2300" s="2163"/>
      <c r="E2300" s="2163"/>
      <c r="F2300" s="2163"/>
      <c r="G2300" s="2163"/>
      <c r="H2300" s="2163"/>
      <c r="I2300" s="2163"/>
      <c r="J2300" s="2163"/>
      <c r="K2300" s="2163"/>
      <c r="L2300" s="2163"/>
      <c r="M2300" s="2163"/>
    </row>
    <row r="2301" spans="1:15">
      <c r="A2301" s="2164"/>
      <c r="H2301" s="2522" t="s">
        <v>2637</v>
      </c>
      <c r="I2301" s="2522"/>
      <c r="J2301" s="2163"/>
      <c r="K2301" s="2528">
        <v>1940064.3097000001</v>
      </c>
      <c r="L2301" s="2528"/>
      <c r="M2301" s="2163"/>
      <c r="N2301" s="2527" t="s">
        <v>3034</v>
      </c>
      <c r="O2301" s="2163"/>
    </row>
    <row r="2302" spans="1:15">
      <c r="H2302" s="2163"/>
      <c r="I2302" s="2163"/>
      <c r="J2302" s="2163"/>
      <c r="K2302" s="2528"/>
      <c r="L2302" s="2528"/>
      <c r="N2302" s="2527"/>
    </row>
    <row r="2303" spans="1:15">
      <c r="A2303" s="2165">
        <v>65266</v>
      </c>
      <c r="B2303" s="2163"/>
      <c r="C2303" s="2524" t="s">
        <v>2692</v>
      </c>
      <c r="D2303" s="2524"/>
      <c r="E2303" s="2524"/>
      <c r="F2303" s="2524"/>
      <c r="G2303" s="2524"/>
      <c r="H2303" s="2524"/>
      <c r="I2303" s="2524"/>
      <c r="J2303" s="2163"/>
      <c r="K2303" s="2163"/>
      <c r="L2303" s="2163"/>
      <c r="M2303" s="2163"/>
    </row>
    <row r="2304" spans="1:15">
      <c r="A2304" s="2163"/>
      <c r="B2304" s="2163"/>
      <c r="C2304" s="2163"/>
      <c r="D2304" s="2163"/>
      <c r="E2304" s="2163"/>
      <c r="F2304" s="2163"/>
      <c r="G2304" s="2163"/>
      <c r="H2304" s="2163"/>
      <c r="I2304" s="2163"/>
      <c r="J2304" s="2163"/>
      <c r="K2304" s="2163"/>
      <c r="L2304" s="2163"/>
      <c r="M2304" s="2163"/>
    </row>
    <row r="2305" spans="1:15">
      <c r="A2305" s="2529"/>
      <c r="B2305" s="2529"/>
      <c r="C2305" s="2529"/>
      <c r="D2305" s="2166"/>
      <c r="E2305" s="2166"/>
      <c r="F2305" s="2166"/>
      <c r="G2305" s="2166"/>
      <c r="H2305" s="2525"/>
      <c r="I2305" s="2525"/>
      <c r="J2305" s="2525"/>
      <c r="K2305" s="2166"/>
      <c r="L2305" s="2167"/>
      <c r="M2305" s="2166"/>
    </row>
    <row r="2306" spans="1:15">
      <c r="A2306" s="2164"/>
      <c r="B2306" s="2164"/>
      <c r="C2306" s="2164"/>
      <c r="D2306" s="2164"/>
      <c r="E2306" s="2522" t="s">
        <v>2639</v>
      </c>
      <c r="F2306" s="2522"/>
      <c r="G2306" s="2164"/>
      <c r="H2306" s="2528">
        <v>1940064.3097000001</v>
      </c>
      <c r="I2306" s="2528"/>
      <c r="J2306" s="2528"/>
      <c r="K2306" s="2163"/>
      <c r="L2306" s="2528">
        <v>135182129.05000001</v>
      </c>
      <c r="M2306" s="2163"/>
    </row>
    <row r="2307" spans="1:15">
      <c r="A2307" s="2164"/>
      <c r="B2307" s="2164"/>
      <c r="C2307" s="2164"/>
      <c r="D2307" s="2164"/>
      <c r="E2307" s="2164"/>
      <c r="F2307" s="2164"/>
      <c r="G2307" s="2164"/>
      <c r="H2307" s="2528"/>
      <c r="I2307" s="2528"/>
      <c r="J2307" s="2528"/>
      <c r="K2307" s="2163"/>
      <c r="L2307" s="2528"/>
      <c r="M2307" s="2163"/>
    </row>
    <row r="2308" spans="1:15" ht="27.6">
      <c r="A2308" s="2160" t="s">
        <v>2734</v>
      </c>
      <c r="B2308" s="2161"/>
      <c r="C2308" s="2160" t="s">
        <v>2735</v>
      </c>
      <c r="D2308" s="2161"/>
      <c r="E2308" s="2160" t="s">
        <v>2722</v>
      </c>
      <c r="F2308" s="2161"/>
    </row>
    <row r="2309" spans="1:15">
      <c r="A2309" s="2163"/>
      <c r="B2309" s="2163"/>
      <c r="C2309" s="2163"/>
      <c r="D2309" s="2163"/>
      <c r="E2309" s="2163"/>
      <c r="F2309" s="2163"/>
      <c r="G2309" s="2163"/>
      <c r="H2309" s="2163"/>
      <c r="I2309" s="2163"/>
      <c r="J2309" s="2163"/>
      <c r="K2309" s="2163"/>
      <c r="L2309" s="2163"/>
      <c r="M2309" s="2163"/>
    </row>
    <row r="2310" spans="1:15">
      <c r="A2310" s="2164"/>
      <c r="H2310" s="2522" t="s">
        <v>2637</v>
      </c>
      <c r="I2310" s="2522"/>
      <c r="J2310" s="2163"/>
      <c r="K2310" s="2523">
        <v>0</v>
      </c>
      <c r="L2310" s="2523"/>
      <c r="M2310" s="2163"/>
      <c r="N2310" s="2527"/>
      <c r="O2310" s="2163"/>
    </row>
    <row r="2311" spans="1:15">
      <c r="H2311" s="2163"/>
      <c r="I2311" s="2163"/>
      <c r="J2311" s="2163"/>
      <c r="K2311" s="2523"/>
      <c r="L2311" s="2523"/>
      <c r="N2311" s="2527"/>
    </row>
    <row r="2312" spans="1:15">
      <c r="A2312" s="2165">
        <v>24543</v>
      </c>
      <c r="B2312" s="2163"/>
      <c r="C2312" s="2524" t="s">
        <v>2642</v>
      </c>
      <c r="D2312" s="2524"/>
      <c r="E2312" s="2524"/>
      <c r="F2312" s="2524"/>
      <c r="G2312" s="2524"/>
      <c r="H2312" s="2524"/>
      <c r="I2312" s="2524"/>
      <c r="J2312" s="2163"/>
      <c r="K2312" s="2163"/>
      <c r="L2312" s="2163"/>
      <c r="M2312" s="2163"/>
    </row>
    <row r="2313" spans="1:15">
      <c r="A2313" s="2163"/>
      <c r="B2313" s="2163"/>
      <c r="C2313" s="2163"/>
      <c r="D2313" s="2163"/>
      <c r="E2313" s="2163"/>
      <c r="F2313" s="2163"/>
      <c r="G2313" s="2163"/>
      <c r="H2313" s="2163"/>
      <c r="I2313" s="2163"/>
      <c r="J2313" s="2163"/>
      <c r="K2313" s="2163"/>
      <c r="L2313" s="2163"/>
      <c r="M2313" s="2163"/>
    </row>
    <row r="2314" spans="1:15">
      <c r="A2314" s="2529"/>
      <c r="B2314" s="2529"/>
      <c r="C2314" s="2529"/>
      <c r="D2314" s="2166"/>
      <c r="E2314" s="2166"/>
      <c r="F2314" s="2166"/>
      <c r="G2314" s="2166"/>
      <c r="H2314" s="2525"/>
      <c r="I2314" s="2525"/>
      <c r="J2314" s="2525"/>
      <c r="K2314" s="2166"/>
      <c r="L2314" s="2167"/>
      <c r="M2314" s="2166"/>
    </row>
    <row r="2315" spans="1:15">
      <c r="A2315" s="2164"/>
      <c r="B2315" s="2164"/>
      <c r="C2315" s="2164"/>
      <c r="D2315" s="2164"/>
      <c r="E2315" s="2522" t="s">
        <v>2639</v>
      </c>
      <c r="F2315" s="2522"/>
      <c r="G2315" s="2164"/>
      <c r="H2315" s="2523">
        <v>0</v>
      </c>
      <c r="I2315" s="2523"/>
      <c r="J2315" s="2523"/>
      <c r="K2315" s="2163"/>
      <c r="L2315" s="2523">
        <v>0</v>
      </c>
      <c r="M2315" s="2163"/>
    </row>
    <row r="2316" spans="1:15">
      <c r="A2316" s="2164"/>
      <c r="B2316" s="2164"/>
      <c r="C2316" s="2164"/>
      <c r="D2316" s="2164"/>
      <c r="E2316" s="2164"/>
      <c r="F2316" s="2164"/>
      <c r="G2316" s="2164"/>
      <c r="H2316" s="2523"/>
      <c r="I2316" s="2523"/>
      <c r="J2316" s="2523"/>
      <c r="K2316" s="2163"/>
      <c r="L2316" s="2523"/>
      <c r="M2316" s="2163"/>
    </row>
    <row r="2317" spans="1:15" ht="27.6">
      <c r="A2317" s="2160" t="s">
        <v>2734</v>
      </c>
      <c r="B2317" s="2161"/>
      <c r="C2317" s="2160" t="s">
        <v>2735</v>
      </c>
      <c r="D2317" s="2161"/>
      <c r="E2317" s="2160" t="s">
        <v>2737</v>
      </c>
      <c r="F2317" s="2161"/>
    </row>
    <row r="2318" spans="1:15">
      <c r="A2318" s="2163"/>
      <c r="B2318" s="2163"/>
      <c r="C2318" s="2163"/>
      <c r="D2318" s="2163"/>
      <c r="E2318" s="2163"/>
      <c r="F2318" s="2163"/>
      <c r="G2318" s="2163"/>
      <c r="H2318" s="2163"/>
      <c r="I2318" s="2163"/>
      <c r="J2318" s="2163"/>
      <c r="K2318" s="2163"/>
      <c r="L2318" s="2163"/>
      <c r="M2318" s="2163"/>
    </row>
    <row r="2319" spans="1:15">
      <c r="A2319" s="2164"/>
      <c r="H2319" s="2522" t="s">
        <v>2637</v>
      </c>
      <c r="I2319" s="2522"/>
      <c r="J2319" s="2163"/>
      <c r="K2319" s="2523">
        <v>0</v>
      </c>
      <c r="L2319" s="2523"/>
      <c r="M2319" s="2163"/>
      <c r="N2319" s="2527"/>
      <c r="O2319" s="2163"/>
    </row>
    <row r="2320" spans="1:15">
      <c r="H2320" s="2163"/>
      <c r="I2320" s="2163"/>
      <c r="J2320" s="2163"/>
      <c r="K2320" s="2523"/>
      <c r="L2320" s="2523"/>
      <c r="N2320" s="2527"/>
    </row>
    <row r="2321" spans="1:15">
      <c r="A2321" s="2165">
        <v>425</v>
      </c>
      <c r="B2321" s="2163"/>
      <c r="C2321" s="2524" t="s">
        <v>2641</v>
      </c>
      <c r="D2321" s="2524"/>
      <c r="E2321" s="2524"/>
      <c r="F2321" s="2524"/>
      <c r="G2321" s="2524"/>
      <c r="H2321" s="2524"/>
      <c r="I2321" s="2524"/>
      <c r="J2321" s="2163"/>
      <c r="K2321" s="2163"/>
      <c r="L2321" s="2163"/>
      <c r="M2321" s="2163"/>
    </row>
    <row r="2322" spans="1:15">
      <c r="A2322" s="2163"/>
      <c r="B2322" s="2163"/>
      <c r="C2322" s="2163"/>
      <c r="D2322" s="2163"/>
      <c r="E2322" s="2163"/>
      <c r="F2322" s="2163"/>
      <c r="G2322" s="2163"/>
      <c r="H2322" s="2163"/>
      <c r="I2322" s="2163"/>
      <c r="J2322" s="2163"/>
      <c r="K2322" s="2163"/>
      <c r="L2322" s="2163"/>
      <c r="M2322" s="2163"/>
    </row>
    <row r="2323" spans="1:15">
      <c r="A2323" s="2529"/>
      <c r="B2323" s="2529"/>
      <c r="C2323" s="2529"/>
      <c r="D2323" s="2166"/>
      <c r="E2323" s="2166"/>
      <c r="F2323" s="2166"/>
      <c r="G2323" s="2166"/>
      <c r="H2323" s="2525"/>
      <c r="I2323" s="2525"/>
      <c r="J2323" s="2525"/>
      <c r="K2323" s="2166"/>
      <c r="L2323" s="2167"/>
      <c r="M2323" s="2166"/>
    </row>
    <row r="2324" spans="1:15">
      <c r="A2324" s="2164"/>
      <c r="B2324" s="2164"/>
      <c r="C2324" s="2164"/>
      <c r="D2324" s="2164"/>
      <c r="E2324" s="2522" t="s">
        <v>2639</v>
      </c>
      <c r="F2324" s="2522"/>
      <c r="G2324" s="2164"/>
      <c r="H2324" s="2523">
        <v>0</v>
      </c>
      <c r="I2324" s="2523"/>
      <c r="J2324" s="2523"/>
      <c r="K2324" s="2163"/>
      <c r="L2324" s="2523">
        <v>0</v>
      </c>
      <c r="M2324" s="2163"/>
    </row>
    <row r="2325" spans="1:15">
      <c r="A2325" s="2164"/>
      <c r="B2325" s="2164"/>
      <c r="C2325" s="2164"/>
      <c r="D2325" s="2164"/>
      <c r="E2325" s="2164"/>
      <c r="F2325" s="2164"/>
      <c r="G2325" s="2164"/>
      <c r="H2325" s="2523"/>
      <c r="I2325" s="2523"/>
      <c r="J2325" s="2523"/>
      <c r="K2325" s="2163"/>
      <c r="L2325" s="2523"/>
      <c r="M2325" s="2163"/>
    </row>
    <row r="2326" spans="1:15">
      <c r="A2326" s="2160" t="s">
        <v>2738</v>
      </c>
      <c r="B2326" s="2161"/>
      <c r="C2326" s="2160" t="s">
        <v>2739</v>
      </c>
      <c r="D2326" s="2161"/>
      <c r="E2326" s="2160" t="s">
        <v>2640</v>
      </c>
      <c r="F2326" s="2161"/>
    </row>
    <row r="2327" spans="1:15">
      <c r="A2327" s="2163"/>
      <c r="B2327" s="2163"/>
      <c r="C2327" s="2163"/>
      <c r="D2327" s="2163"/>
      <c r="E2327" s="2163"/>
      <c r="F2327" s="2163"/>
      <c r="G2327" s="2163"/>
      <c r="H2327" s="2163"/>
      <c r="I2327" s="2163"/>
      <c r="J2327" s="2163"/>
      <c r="K2327" s="2163"/>
      <c r="L2327" s="2163"/>
      <c r="M2327" s="2163"/>
    </row>
    <row r="2328" spans="1:15">
      <c r="A2328" s="2164"/>
      <c r="H2328" s="2522" t="s">
        <v>2637</v>
      </c>
      <c r="I2328" s="2522"/>
      <c r="J2328" s="2163"/>
      <c r="K2328" s="2523">
        <v>4.7100000000000003E-2</v>
      </c>
      <c r="L2328" s="2523"/>
      <c r="M2328" s="2163"/>
      <c r="N2328" s="2527">
        <v>3</v>
      </c>
      <c r="O2328" s="2163"/>
    </row>
    <row r="2329" spans="1:15">
      <c r="H2329" s="2163"/>
      <c r="I2329" s="2163"/>
      <c r="J2329" s="2163"/>
      <c r="K2329" s="2523"/>
      <c r="L2329" s="2523"/>
      <c r="N2329" s="2527"/>
    </row>
    <row r="2330" spans="1:15">
      <c r="A2330" s="2165">
        <v>425</v>
      </c>
      <c r="B2330" s="2163"/>
      <c r="C2330" s="2524" t="s">
        <v>2641</v>
      </c>
      <c r="D2330" s="2524"/>
      <c r="E2330" s="2524"/>
      <c r="F2330" s="2524"/>
      <c r="G2330" s="2524"/>
      <c r="H2330" s="2524"/>
      <c r="I2330" s="2524"/>
      <c r="J2330" s="2163"/>
      <c r="K2330" s="2163"/>
      <c r="L2330" s="2163"/>
      <c r="M2330" s="2163"/>
    </row>
    <row r="2331" spans="1:15">
      <c r="A2331" s="2163"/>
      <c r="B2331" s="2163"/>
      <c r="C2331" s="2163"/>
      <c r="D2331" s="2163"/>
      <c r="E2331" s="2163"/>
      <c r="F2331" s="2163"/>
      <c r="G2331" s="2163"/>
      <c r="H2331" s="2163"/>
      <c r="I2331" s="2163"/>
      <c r="J2331" s="2163"/>
      <c r="K2331" s="2163"/>
      <c r="L2331" s="2163"/>
      <c r="M2331" s="2163"/>
    </row>
    <row r="2332" spans="1:15">
      <c r="A2332" s="2529"/>
      <c r="B2332" s="2529"/>
      <c r="C2332" s="2529"/>
      <c r="D2332" s="2166"/>
      <c r="E2332" s="2166"/>
      <c r="F2332" s="2166"/>
      <c r="G2332" s="2166"/>
      <c r="H2332" s="2525"/>
      <c r="I2332" s="2525"/>
      <c r="J2332" s="2525"/>
      <c r="K2332" s="2166"/>
      <c r="L2332" s="2167"/>
      <c r="M2332" s="2166"/>
    </row>
    <row r="2333" spans="1:15">
      <c r="A2333" s="2164"/>
      <c r="B2333" s="2164"/>
      <c r="C2333" s="2164"/>
      <c r="D2333" s="2164"/>
      <c r="E2333" s="2522" t="s">
        <v>2639</v>
      </c>
      <c r="F2333" s="2522"/>
      <c r="G2333" s="2164"/>
      <c r="H2333" s="2523">
        <v>4.7100000000000003E-2</v>
      </c>
      <c r="I2333" s="2523"/>
      <c r="J2333" s="2523"/>
      <c r="K2333" s="2163"/>
      <c r="L2333" s="2523">
        <v>2.54</v>
      </c>
      <c r="M2333" s="2163"/>
    </row>
    <row r="2334" spans="1:15">
      <c r="A2334" s="2164"/>
      <c r="B2334" s="2164"/>
      <c r="C2334" s="2164"/>
      <c r="D2334" s="2164"/>
      <c r="E2334" s="2164"/>
      <c r="F2334" s="2164"/>
      <c r="G2334" s="2164"/>
      <c r="H2334" s="2523"/>
      <c r="I2334" s="2523"/>
      <c r="J2334" s="2523"/>
      <c r="K2334" s="2163"/>
      <c r="L2334" s="2523"/>
      <c r="M2334" s="2163"/>
    </row>
    <row r="2335" spans="1:15">
      <c r="A2335" s="2160" t="s">
        <v>2738</v>
      </c>
      <c r="B2335" s="2161"/>
      <c r="C2335" s="2160" t="s">
        <v>2739</v>
      </c>
      <c r="D2335" s="2161"/>
      <c r="E2335" s="2160" t="s">
        <v>2640</v>
      </c>
      <c r="F2335" s="2161"/>
    </row>
    <row r="2336" spans="1:15">
      <c r="A2336" s="2163"/>
      <c r="B2336" s="2163"/>
      <c r="C2336" s="2163"/>
      <c r="D2336" s="2163"/>
      <c r="E2336" s="2163"/>
      <c r="F2336" s="2163"/>
      <c r="G2336" s="2163"/>
      <c r="H2336" s="2163"/>
      <c r="I2336" s="2163"/>
      <c r="J2336" s="2163"/>
      <c r="K2336" s="2163"/>
      <c r="L2336" s="2163"/>
      <c r="M2336" s="2163"/>
    </row>
    <row r="2337" spans="1:15">
      <c r="A2337" s="2164"/>
      <c r="H2337" s="2522" t="s">
        <v>2637</v>
      </c>
      <c r="I2337" s="2522"/>
      <c r="J2337" s="2163"/>
      <c r="K2337" s="2523">
        <v>0</v>
      </c>
      <c r="L2337" s="2523"/>
      <c r="M2337" s="2163"/>
      <c r="N2337" s="2527"/>
      <c r="O2337" s="2163"/>
    </row>
    <row r="2338" spans="1:15">
      <c r="H2338" s="2163"/>
      <c r="I2338" s="2163"/>
      <c r="J2338" s="2163"/>
      <c r="K2338" s="2523"/>
      <c r="L2338" s="2523"/>
      <c r="N2338" s="2527"/>
    </row>
    <row r="2339" spans="1:15">
      <c r="A2339" s="2165">
        <v>898</v>
      </c>
      <c r="B2339" s="2163"/>
      <c r="C2339" s="2524" t="s">
        <v>2740</v>
      </c>
      <c r="D2339" s="2524"/>
      <c r="E2339" s="2524"/>
      <c r="F2339" s="2524"/>
      <c r="G2339" s="2524"/>
      <c r="H2339" s="2524"/>
      <c r="I2339" s="2524"/>
      <c r="J2339" s="2163"/>
      <c r="K2339" s="2163"/>
      <c r="L2339" s="2163"/>
      <c r="M2339" s="2163"/>
    </row>
    <row r="2340" spans="1:15">
      <c r="A2340" s="2163"/>
      <c r="B2340" s="2163"/>
      <c r="C2340" s="2163"/>
      <c r="D2340" s="2163"/>
      <c r="E2340" s="2163"/>
      <c r="F2340" s="2163"/>
      <c r="G2340" s="2163"/>
      <c r="H2340" s="2163"/>
      <c r="I2340" s="2163"/>
      <c r="J2340" s="2163"/>
      <c r="K2340" s="2163"/>
      <c r="L2340" s="2163"/>
      <c r="M2340" s="2163"/>
    </row>
    <row r="2341" spans="1:15">
      <c r="A2341" s="2529"/>
      <c r="B2341" s="2529"/>
      <c r="C2341" s="2529"/>
      <c r="D2341" s="2166"/>
      <c r="E2341" s="2166"/>
      <c r="F2341" s="2166"/>
      <c r="G2341" s="2166"/>
      <c r="H2341" s="2525"/>
      <c r="I2341" s="2525"/>
      <c r="J2341" s="2525"/>
      <c r="K2341" s="2166"/>
      <c r="L2341" s="2167"/>
      <c r="M2341" s="2166"/>
    </row>
    <row r="2342" spans="1:15">
      <c r="A2342" s="2164"/>
      <c r="B2342" s="2164"/>
      <c r="C2342" s="2164"/>
      <c r="D2342" s="2164"/>
      <c r="E2342" s="2522" t="s">
        <v>2639</v>
      </c>
      <c r="F2342" s="2522"/>
      <c r="G2342" s="2164"/>
      <c r="H2342" s="2523">
        <v>0</v>
      </c>
      <c r="I2342" s="2523"/>
      <c r="J2342" s="2523"/>
      <c r="K2342" s="2163"/>
      <c r="L2342" s="2523">
        <v>0</v>
      </c>
      <c r="M2342" s="2163"/>
    </row>
    <row r="2343" spans="1:15">
      <c r="A2343" s="2164"/>
      <c r="B2343" s="2164"/>
      <c r="C2343" s="2164"/>
      <c r="D2343" s="2164"/>
      <c r="E2343" s="2164"/>
      <c r="F2343" s="2164"/>
      <c r="G2343" s="2164"/>
      <c r="H2343" s="2523"/>
      <c r="I2343" s="2523"/>
      <c r="J2343" s="2523"/>
      <c r="K2343" s="2163"/>
      <c r="L2343" s="2523"/>
      <c r="M2343" s="2163"/>
    </row>
    <row r="2344" spans="1:15">
      <c r="A2344" s="2160" t="s">
        <v>2738</v>
      </c>
      <c r="B2344" s="2161"/>
      <c r="C2344" s="2160" t="s">
        <v>2739</v>
      </c>
      <c r="D2344" s="2161"/>
      <c r="E2344" s="2160" t="s">
        <v>2640</v>
      </c>
      <c r="F2344" s="2161"/>
    </row>
    <row r="2345" spans="1:15">
      <c r="A2345" s="2163"/>
      <c r="B2345" s="2163"/>
      <c r="C2345" s="2163"/>
      <c r="D2345" s="2163"/>
      <c r="E2345" s="2163"/>
      <c r="F2345" s="2163"/>
      <c r="G2345" s="2163"/>
      <c r="H2345" s="2163"/>
      <c r="I2345" s="2163"/>
      <c r="J2345" s="2163"/>
      <c r="K2345" s="2163"/>
      <c r="L2345" s="2163"/>
      <c r="M2345" s="2163"/>
    </row>
    <row r="2346" spans="1:15">
      <c r="A2346" s="2164"/>
      <c r="H2346" s="2522" t="s">
        <v>2637</v>
      </c>
      <c r="I2346" s="2522"/>
      <c r="J2346" s="2163"/>
      <c r="K2346" s="2523">
        <v>0</v>
      </c>
      <c r="L2346" s="2523"/>
      <c r="M2346" s="2163"/>
      <c r="N2346" s="2527"/>
      <c r="O2346" s="2163"/>
    </row>
    <row r="2347" spans="1:15">
      <c r="H2347" s="2163"/>
      <c r="I2347" s="2163"/>
      <c r="J2347" s="2163"/>
      <c r="K2347" s="2523"/>
      <c r="L2347" s="2523"/>
      <c r="N2347" s="2527"/>
    </row>
    <row r="2348" spans="1:15">
      <c r="A2348" s="2165">
        <v>23873</v>
      </c>
      <c r="B2348" s="2163"/>
      <c r="C2348" s="2524" t="s">
        <v>2711</v>
      </c>
      <c r="D2348" s="2524"/>
      <c r="E2348" s="2524"/>
      <c r="F2348" s="2524"/>
      <c r="G2348" s="2524"/>
      <c r="H2348" s="2524"/>
      <c r="I2348" s="2524"/>
      <c r="J2348" s="2163"/>
      <c r="K2348" s="2163"/>
      <c r="L2348" s="2163"/>
      <c r="M2348" s="2163"/>
    </row>
    <row r="2349" spans="1:15">
      <c r="A2349" s="2163"/>
      <c r="B2349" s="2163"/>
      <c r="C2349" s="2163"/>
      <c r="D2349" s="2163"/>
      <c r="E2349" s="2163"/>
      <c r="F2349" s="2163"/>
      <c r="G2349" s="2163"/>
      <c r="H2349" s="2163"/>
      <c r="I2349" s="2163"/>
      <c r="J2349" s="2163"/>
      <c r="K2349" s="2163"/>
      <c r="L2349" s="2163"/>
      <c r="M2349" s="2163"/>
    </row>
    <row r="2350" spans="1:15">
      <c r="A2350" s="2529"/>
      <c r="B2350" s="2529"/>
      <c r="C2350" s="2529"/>
      <c r="D2350" s="2166"/>
      <c r="E2350" s="2166"/>
      <c r="F2350" s="2166"/>
      <c r="G2350" s="2166"/>
      <c r="H2350" s="2525"/>
      <c r="I2350" s="2525"/>
      <c r="J2350" s="2525"/>
      <c r="K2350" s="2166"/>
      <c r="L2350" s="2167"/>
      <c r="M2350" s="2166"/>
    </row>
    <row r="2351" spans="1:15">
      <c r="A2351" s="2164"/>
      <c r="B2351" s="2164"/>
      <c r="C2351" s="2164"/>
      <c r="D2351" s="2164"/>
      <c r="E2351" s="2522" t="s">
        <v>2639</v>
      </c>
      <c r="F2351" s="2522"/>
      <c r="G2351" s="2164"/>
      <c r="H2351" s="2523">
        <v>0</v>
      </c>
      <c r="I2351" s="2523"/>
      <c r="J2351" s="2523"/>
      <c r="K2351" s="2163"/>
      <c r="L2351" s="2523">
        <v>0</v>
      </c>
      <c r="M2351" s="2163"/>
    </row>
    <row r="2352" spans="1:15">
      <c r="A2352" s="2164"/>
      <c r="B2352" s="2164"/>
      <c r="C2352" s="2164"/>
      <c r="D2352" s="2164"/>
      <c r="E2352" s="2164"/>
      <c r="F2352" s="2164"/>
      <c r="G2352" s="2164"/>
      <c r="H2352" s="2523"/>
      <c r="I2352" s="2523"/>
      <c r="J2352" s="2523"/>
      <c r="K2352" s="2163"/>
      <c r="L2352" s="2523"/>
      <c r="M2352" s="2163"/>
    </row>
    <row r="2353" spans="1:15">
      <c r="A2353" s="2160" t="s">
        <v>2738</v>
      </c>
      <c r="B2353" s="2161"/>
      <c r="C2353" s="2160" t="s">
        <v>2739</v>
      </c>
      <c r="D2353" s="2161"/>
      <c r="E2353" s="2160" t="s">
        <v>2640</v>
      </c>
      <c r="F2353" s="2161"/>
    </row>
    <row r="2354" spans="1:15">
      <c r="A2354" s="2163"/>
      <c r="B2354" s="2163"/>
      <c r="C2354" s="2163"/>
      <c r="D2354" s="2163"/>
      <c r="E2354" s="2163"/>
      <c r="F2354" s="2163"/>
      <c r="G2354" s="2163"/>
      <c r="H2354" s="2163"/>
      <c r="I2354" s="2163"/>
      <c r="J2354" s="2163"/>
      <c r="K2354" s="2163"/>
      <c r="L2354" s="2163"/>
      <c r="M2354" s="2163"/>
    </row>
    <row r="2355" spans="1:15">
      <c r="A2355" s="2164"/>
      <c r="H2355" s="2522" t="s">
        <v>2637</v>
      </c>
      <c r="I2355" s="2522"/>
      <c r="J2355" s="2163"/>
      <c r="K2355" s="2523">
        <v>0</v>
      </c>
      <c r="L2355" s="2523"/>
      <c r="M2355" s="2163"/>
      <c r="N2355" s="2527"/>
      <c r="O2355" s="2163"/>
    </row>
    <row r="2356" spans="1:15">
      <c r="H2356" s="2163"/>
      <c r="I2356" s="2163"/>
      <c r="J2356" s="2163"/>
      <c r="K2356" s="2523"/>
      <c r="L2356" s="2523"/>
      <c r="N2356" s="2527"/>
    </row>
    <row r="2357" spans="1:15">
      <c r="A2357" s="2165">
        <v>23888</v>
      </c>
      <c r="B2357" s="2163"/>
      <c r="C2357" s="2524" t="s">
        <v>2741</v>
      </c>
      <c r="D2357" s="2524"/>
      <c r="E2357" s="2524"/>
      <c r="F2357" s="2524"/>
      <c r="G2357" s="2524"/>
      <c r="H2357" s="2524"/>
      <c r="I2357" s="2524"/>
      <c r="J2357" s="2163"/>
      <c r="K2357" s="2163"/>
      <c r="L2357" s="2163"/>
      <c r="M2357" s="2163"/>
    </row>
    <row r="2358" spans="1:15">
      <c r="A2358" s="2163"/>
      <c r="B2358" s="2163"/>
      <c r="C2358" s="2163"/>
      <c r="D2358" s="2163"/>
      <c r="E2358" s="2163"/>
      <c r="F2358" s="2163"/>
      <c r="G2358" s="2163"/>
      <c r="H2358" s="2163"/>
      <c r="I2358" s="2163"/>
      <c r="J2358" s="2163"/>
      <c r="K2358" s="2163"/>
      <c r="L2358" s="2163"/>
      <c r="M2358" s="2163"/>
    </row>
    <row r="2359" spans="1:15">
      <c r="A2359" s="2529"/>
      <c r="B2359" s="2529"/>
      <c r="C2359" s="2529"/>
      <c r="D2359" s="2166"/>
      <c r="E2359" s="2166"/>
      <c r="F2359" s="2166"/>
      <c r="G2359" s="2166"/>
      <c r="H2359" s="2525"/>
      <c r="I2359" s="2525"/>
      <c r="J2359" s="2525"/>
      <c r="K2359" s="2166"/>
      <c r="L2359" s="2167"/>
      <c r="M2359" s="2166"/>
    </row>
    <row r="2360" spans="1:15">
      <c r="A2360" s="2164"/>
      <c r="B2360" s="2164"/>
      <c r="C2360" s="2164"/>
      <c r="D2360" s="2164"/>
      <c r="E2360" s="2522" t="s">
        <v>2639</v>
      </c>
      <c r="F2360" s="2522"/>
      <c r="G2360" s="2164"/>
      <c r="H2360" s="2523">
        <v>0</v>
      </c>
      <c r="I2360" s="2523"/>
      <c r="J2360" s="2523"/>
      <c r="K2360" s="2163"/>
      <c r="L2360" s="2523">
        <v>0</v>
      </c>
      <c r="M2360" s="2163"/>
    </row>
    <row r="2361" spans="1:15">
      <c r="A2361" s="2164"/>
      <c r="B2361" s="2164"/>
      <c r="C2361" s="2164"/>
      <c r="D2361" s="2164"/>
      <c r="E2361" s="2164"/>
      <c r="F2361" s="2164"/>
      <c r="G2361" s="2164"/>
      <c r="H2361" s="2523"/>
      <c r="I2361" s="2523"/>
      <c r="J2361" s="2523"/>
      <c r="K2361" s="2163"/>
      <c r="L2361" s="2523"/>
      <c r="M2361" s="2163"/>
    </row>
    <row r="2362" spans="1:15">
      <c r="A2362" s="2160" t="s">
        <v>2738</v>
      </c>
      <c r="B2362" s="2161"/>
      <c r="C2362" s="2160" t="s">
        <v>2739</v>
      </c>
      <c r="D2362" s="2161"/>
      <c r="E2362" s="2160" t="s">
        <v>2640</v>
      </c>
      <c r="F2362" s="2161"/>
    </row>
    <row r="2363" spans="1:15">
      <c r="A2363" s="2163"/>
      <c r="B2363" s="2163"/>
      <c r="C2363" s="2163"/>
      <c r="D2363" s="2163"/>
      <c r="E2363" s="2163"/>
      <c r="F2363" s="2163"/>
      <c r="G2363" s="2163"/>
      <c r="H2363" s="2163"/>
      <c r="I2363" s="2163"/>
      <c r="J2363" s="2163"/>
      <c r="K2363" s="2163"/>
      <c r="L2363" s="2163"/>
      <c r="M2363" s="2163"/>
    </row>
    <row r="2364" spans="1:15">
      <c r="A2364" s="2164"/>
      <c r="H2364" s="2522" t="s">
        <v>2637</v>
      </c>
      <c r="I2364" s="2522"/>
      <c r="J2364" s="2163"/>
      <c r="K2364" s="2523">
        <v>0</v>
      </c>
      <c r="L2364" s="2523"/>
      <c r="M2364" s="2163"/>
      <c r="N2364" s="2527"/>
      <c r="O2364" s="2163"/>
    </row>
    <row r="2365" spans="1:15">
      <c r="H2365" s="2163"/>
      <c r="I2365" s="2163"/>
      <c r="J2365" s="2163"/>
      <c r="K2365" s="2523"/>
      <c r="L2365" s="2523"/>
      <c r="N2365" s="2527"/>
    </row>
    <row r="2366" spans="1:15">
      <c r="A2366" s="2165">
        <v>25130</v>
      </c>
      <c r="B2366" s="2163"/>
      <c r="C2366" s="2524" t="s">
        <v>2638</v>
      </c>
      <c r="D2366" s="2524"/>
      <c r="E2366" s="2524"/>
      <c r="F2366" s="2524"/>
      <c r="G2366" s="2524"/>
      <c r="H2366" s="2524"/>
      <c r="I2366" s="2524"/>
      <c r="J2366" s="2163"/>
      <c r="K2366" s="2163"/>
      <c r="L2366" s="2163"/>
      <c r="M2366" s="2163"/>
    </row>
    <row r="2367" spans="1:15">
      <c r="A2367" s="2163"/>
      <c r="B2367" s="2163"/>
      <c r="C2367" s="2163"/>
      <c r="D2367" s="2163"/>
      <c r="E2367" s="2163"/>
      <c r="F2367" s="2163"/>
      <c r="G2367" s="2163"/>
      <c r="H2367" s="2163"/>
      <c r="I2367" s="2163"/>
      <c r="J2367" s="2163"/>
      <c r="K2367" s="2163"/>
      <c r="L2367" s="2163"/>
      <c r="M2367" s="2163"/>
    </row>
    <row r="2368" spans="1:15">
      <c r="A2368" s="2529"/>
      <c r="B2368" s="2529"/>
      <c r="C2368" s="2529"/>
      <c r="D2368" s="2166"/>
      <c r="E2368" s="2166"/>
      <c r="F2368" s="2166"/>
      <c r="G2368" s="2166"/>
      <c r="H2368" s="2525"/>
      <c r="I2368" s="2525"/>
      <c r="J2368" s="2525"/>
      <c r="K2368" s="2166"/>
      <c r="L2368" s="2167"/>
      <c r="M2368" s="2166"/>
    </row>
    <row r="2369" spans="1:15">
      <c r="A2369" s="2164"/>
      <c r="B2369" s="2164"/>
      <c r="C2369" s="2164"/>
      <c r="D2369" s="2164"/>
      <c r="E2369" s="2522" t="s">
        <v>2639</v>
      </c>
      <c r="F2369" s="2522"/>
      <c r="G2369" s="2164"/>
      <c r="H2369" s="2523">
        <v>0</v>
      </c>
      <c r="I2369" s="2523"/>
      <c r="J2369" s="2523"/>
      <c r="K2369" s="2163"/>
      <c r="L2369" s="2523">
        <v>0</v>
      </c>
      <c r="M2369" s="2163"/>
    </row>
    <row r="2370" spans="1:15">
      <c r="A2370" s="2164"/>
      <c r="B2370" s="2164"/>
      <c r="C2370" s="2164"/>
      <c r="D2370" s="2164"/>
      <c r="E2370" s="2164"/>
      <c r="F2370" s="2164"/>
      <c r="G2370" s="2164"/>
      <c r="H2370" s="2523"/>
      <c r="I2370" s="2523"/>
      <c r="J2370" s="2523"/>
      <c r="K2370" s="2163"/>
      <c r="L2370" s="2523"/>
      <c r="M2370" s="2163"/>
    </row>
    <row r="2371" spans="1:15">
      <c r="A2371" s="2160" t="s">
        <v>2738</v>
      </c>
      <c r="B2371" s="2161"/>
      <c r="C2371" s="2160" t="s">
        <v>2739</v>
      </c>
      <c r="D2371" s="2161"/>
      <c r="E2371" s="2160" t="s">
        <v>2640</v>
      </c>
      <c r="F2371" s="2161"/>
    </row>
    <row r="2372" spans="1:15">
      <c r="A2372" s="2163"/>
      <c r="B2372" s="2163"/>
      <c r="C2372" s="2163"/>
      <c r="D2372" s="2163"/>
      <c r="E2372" s="2163"/>
      <c r="F2372" s="2163"/>
      <c r="G2372" s="2163"/>
      <c r="H2372" s="2163"/>
      <c r="I2372" s="2163"/>
      <c r="J2372" s="2163"/>
      <c r="K2372" s="2163"/>
      <c r="L2372" s="2163"/>
      <c r="M2372" s="2163"/>
    </row>
    <row r="2373" spans="1:15">
      <c r="A2373" s="2164"/>
      <c r="H2373" s="2522" t="s">
        <v>2637</v>
      </c>
      <c r="I2373" s="2522"/>
      <c r="J2373" s="2163"/>
      <c r="K2373" s="2523">
        <v>0</v>
      </c>
      <c r="L2373" s="2523"/>
      <c r="M2373" s="2163"/>
      <c r="N2373" s="2527"/>
      <c r="O2373" s="2163"/>
    </row>
    <row r="2374" spans="1:15">
      <c r="H2374" s="2163"/>
      <c r="I2374" s="2163"/>
      <c r="J2374" s="2163"/>
      <c r="K2374" s="2523"/>
      <c r="L2374" s="2523"/>
      <c r="N2374" s="2527"/>
    </row>
    <row r="2375" spans="1:15">
      <c r="A2375" s="2165">
        <v>42039</v>
      </c>
      <c r="B2375" s="2163"/>
      <c r="C2375" s="2524" t="s">
        <v>2643</v>
      </c>
      <c r="D2375" s="2524"/>
      <c r="E2375" s="2524"/>
      <c r="F2375" s="2524"/>
      <c r="G2375" s="2524"/>
      <c r="H2375" s="2524"/>
      <c r="I2375" s="2524"/>
      <c r="J2375" s="2163"/>
      <c r="K2375" s="2163"/>
      <c r="L2375" s="2163"/>
      <c r="M2375" s="2163"/>
    </row>
    <row r="2376" spans="1:15">
      <c r="A2376" s="2163"/>
      <c r="B2376" s="2163"/>
      <c r="C2376" s="2163"/>
      <c r="D2376" s="2163"/>
      <c r="E2376" s="2163"/>
      <c r="F2376" s="2163"/>
      <c r="G2376" s="2163"/>
      <c r="H2376" s="2163"/>
      <c r="I2376" s="2163"/>
      <c r="J2376" s="2163"/>
      <c r="K2376" s="2163"/>
      <c r="L2376" s="2163"/>
      <c r="M2376" s="2163"/>
    </row>
    <row r="2377" spans="1:15">
      <c r="A2377" s="2529"/>
      <c r="B2377" s="2529"/>
      <c r="C2377" s="2529"/>
      <c r="D2377" s="2166"/>
      <c r="E2377" s="2166"/>
      <c r="F2377" s="2166"/>
      <c r="G2377" s="2166"/>
      <c r="H2377" s="2525"/>
      <c r="I2377" s="2525"/>
      <c r="J2377" s="2525"/>
      <c r="K2377" s="2166"/>
      <c r="L2377" s="2167"/>
      <c r="M2377" s="2166"/>
    </row>
    <row r="2378" spans="1:15">
      <c r="A2378" s="2164"/>
      <c r="B2378" s="2164"/>
      <c r="C2378" s="2164"/>
      <c r="D2378" s="2164"/>
      <c r="E2378" s="2522" t="s">
        <v>2639</v>
      </c>
      <c r="F2378" s="2522"/>
      <c r="G2378" s="2164"/>
      <c r="H2378" s="2523">
        <v>0</v>
      </c>
      <c r="I2378" s="2523"/>
      <c r="J2378" s="2523"/>
      <c r="K2378" s="2163"/>
      <c r="L2378" s="2523">
        <v>0</v>
      </c>
      <c r="M2378" s="2163"/>
    </row>
    <row r="2379" spans="1:15">
      <c r="A2379" s="2164"/>
      <c r="B2379" s="2164"/>
      <c r="C2379" s="2164"/>
      <c r="D2379" s="2164"/>
      <c r="E2379" s="2164"/>
      <c r="F2379" s="2164"/>
      <c r="G2379" s="2164"/>
      <c r="H2379" s="2523"/>
      <c r="I2379" s="2523"/>
      <c r="J2379" s="2523"/>
      <c r="K2379" s="2163"/>
      <c r="L2379" s="2523"/>
      <c r="M2379" s="2163"/>
    </row>
    <row r="2380" spans="1:15">
      <c r="A2380" s="2160" t="s">
        <v>2738</v>
      </c>
      <c r="B2380" s="2161"/>
      <c r="C2380" s="2160" t="s">
        <v>2739</v>
      </c>
      <c r="D2380" s="2161"/>
      <c r="E2380" s="2160" t="s">
        <v>2640</v>
      </c>
      <c r="F2380" s="2161"/>
    </row>
    <row r="2381" spans="1:15">
      <c r="A2381" s="2163"/>
      <c r="B2381" s="2163"/>
      <c r="C2381" s="2163"/>
      <c r="D2381" s="2163"/>
      <c r="E2381" s="2163"/>
      <c r="F2381" s="2163"/>
      <c r="G2381" s="2163"/>
      <c r="H2381" s="2163"/>
      <c r="I2381" s="2163"/>
      <c r="J2381" s="2163"/>
      <c r="K2381" s="2163"/>
      <c r="L2381" s="2163"/>
      <c r="M2381" s="2163"/>
    </row>
    <row r="2382" spans="1:15">
      <c r="A2382" s="2164"/>
      <c r="H2382" s="2522" t="s">
        <v>2637</v>
      </c>
      <c r="I2382" s="2522"/>
      <c r="J2382" s="2163"/>
      <c r="K2382" s="2523">
        <v>0</v>
      </c>
      <c r="L2382" s="2523"/>
      <c r="M2382" s="2163"/>
      <c r="N2382" s="2527"/>
      <c r="O2382" s="2163"/>
    </row>
    <row r="2383" spans="1:15">
      <c r="H2383" s="2163"/>
      <c r="I2383" s="2163"/>
      <c r="J2383" s="2163"/>
      <c r="K2383" s="2523"/>
      <c r="L2383" s="2523"/>
      <c r="N2383" s="2527"/>
    </row>
    <row r="2384" spans="1:15">
      <c r="A2384" s="2165">
        <v>32636</v>
      </c>
      <c r="B2384" s="2163"/>
      <c r="C2384" s="2524" t="s">
        <v>2641</v>
      </c>
      <c r="D2384" s="2524"/>
      <c r="E2384" s="2524"/>
      <c r="F2384" s="2524"/>
      <c r="G2384" s="2524"/>
      <c r="H2384" s="2524"/>
      <c r="I2384" s="2524"/>
      <c r="J2384" s="2163"/>
      <c r="K2384" s="2163"/>
      <c r="L2384" s="2163"/>
      <c r="M2384" s="2163"/>
    </row>
    <row r="2385" spans="1:15">
      <c r="A2385" s="2163"/>
      <c r="B2385" s="2163"/>
      <c r="C2385" s="2163"/>
      <c r="D2385" s="2163"/>
      <c r="E2385" s="2163"/>
      <c r="F2385" s="2163"/>
      <c r="G2385" s="2163"/>
      <c r="H2385" s="2163"/>
      <c r="I2385" s="2163"/>
      <c r="J2385" s="2163"/>
      <c r="K2385" s="2163"/>
      <c r="L2385" s="2163"/>
      <c r="M2385" s="2163"/>
    </row>
    <row r="2386" spans="1:15">
      <c r="A2386" s="2520" t="s">
        <v>2648</v>
      </c>
      <c r="B2386" s="2520"/>
      <c r="C2386" s="2520"/>
      <c r="D2386" s="2166"/>
      <c r="E2386" s="2166"/>
      <c r="F2386" s="2166"/>
      <c r="G2386" s="2166"/>
      <c r="H2386" s="2526">
        <v>-10956.414000000001</v>
      </c>
      <c r="I2386" s="2526"/>
      <c r="J2386" s="2526"/>
      <c r="K2386" s="2166"/>
      <c r="L2386" s="2168">
        <v>-590660.26</v>
      </c>
      <c r="M2386" s="2166"/>
    </row>
    <row r="2387" spans="1:15">
      <c r="A2387" s="2520" t="s">
        <v>2649</v>
      </c>
      <c r="B2387" s="2520"/>
      <c r="C2387" s="2520"/>
      <c r="D2387" s="2166"/>
      <c r="E2387" s="2166"/>
      <c r="F2387" s="2166"/>
      <c r="G2387" s="2166"/>
      <c r="H2387" s="2526">
        <v>10956.414000000001</v>
      </c>
      <c r="I2387" s="2526"/>
      <c r="J2387" s="2526"/>
      <c r="K2387" s="2166"/>
      <c r="L2387" s="2168">
        <v>590222</v>
      </c>
      <c r="M2387" s="2166"/>
    </row>
    <row r="2388" spans="1:15">
      <c r="A2388" s="2164"/>
      <c r="B2388" s="2164"/>
      <c r="C2388" s="2164"/>
      <c r="D2388" s="2164"/>
      <c r="E2388" s="2522" t="s">
        <v>2639</v>
      </c>
      <c r="F2388" s="2522"/>
      <c r="G2388" s="2164"/>
      <c r="H2388" s="2523">
        <v>0</v>
      </c>
      <c r="I2388" s="2523"/>
      <c r="J2388" s="2523"/>
      <c r="K2388" s="2163"/>
      <c r="L2388" s="2523">
        <v>0</v>
      </c>
      <c r="M2388" s="2163"/>
    </row>
    <row r="2389" spans="1:15">
      <c r="A2389" s="2164"/>
      <c r="B2389" s="2164"/>
      <c r="C2389" s="2164"/>
      <c r="D2389" s="2164"/>
      <c r="E2389" s="2164"/>
      <c r="F2389" s="2164"/>
      <c r="G2389" s="2164"/>
      <c r="H2389" s="2523"/>
      <c r="I2389" s="2523"/>
      <c r="J2389" s="2523"/>
      <c r="K2389" s="2163"/>
      <c r="L2389" s="2523"/>
      <c r="M2389" s="2163"/>
    </row>
    <row r="2390" spans="1:15">
      <c r="A2390" s="2160" t="s">
        <v>2738</v>
      </c>
      <c r="B2390" s="2161"/>
      <c r="C2390" s="2160" t="s">
        <v>2739</v>
      </c>
      <c r="D2390" s="2161"/>
      <c r="E2390" s="2160" t="s">
        <v>2640</v>
      </c>
      <c r="F2390" s="2161"/>
    </row>
    <row r="2391" spans="1:15">
      <c r="A2391" s="2163"/>
      <c r="B2391" s="2163"/>
      <c r="C2391" s="2163"/>
      <c r="D2391" s="2163"/>
      <c r="E2391" s="2163"/>
      <c r="F2391" s="2163"/>
      <c r="G2391" s="2163"/>
      <c r="H2391" s="2163"/>
      <c r="I2391" s="2163"/>
      <c r="J2391" s="2163"/>
      <c r="K2391" s="2163"/>
      <c r="L2391" s="2163"/>
      <c r="M2391" s="2163"/>
    </row>
    <row r="2392" spans="1:15">
      <c r="A2392" s="2164"/>
      <c r="H2392" s="2522" t="s">
        <v>2637</v>
      </c>
      <c r="I2392" s="2522"/>
      <c r="J2392" s="2163"/>
      <c r="K2392" s="2523">
        <v>0</v>
      </c>
      <c r="L2392" s="2523"/>
      <c r="M2392" s="2163"/>
      <c r="N2392" s="2527"/>
      <c r="O2392" s="2163"/>
    </row>
    <row r="2393" spans="1:15">
      <c r="H2393" s="2163"/>
      <c r="I2393" s="2163"/>
      <c r="J2393" s="2163"/>
      <c r="K2393" s="2523"/>
      <c r="L2393" s="2523"/>
      <c r="N2393" s="2527"/>
    </row>
    <row r="2394" spans="1:15">
      <c r="A2394" s="2165">
        <v>32143</v>
      </c>
      <c r="B2394" s="2163"/>
      <c r="C2394" s="2524" t="s">
        <v>2650</v>
      </c>
      <c r="D2394" s="2524"/>
      <c r="E2394" s="2524"/>
      <c r="F2394" s="2524"/>
      <c r="G2394" s="2524"/>
      <c r="H2394" s="2524"/>
      <c r="I2394" s="2524"/>
      <c r="J2394" s="2163"/>
      <c r="K2394" s="2163"/>
      <c r="L2394" s="2163"/>
      <c r="M2394" s="2163"/>
    </row>
    <row r="2395" spans="1:15">
      <c r="A2395" s="2163"/>
      <c r="B2395" s="2163"/>
      <c r="C2395" s="2163"/>
      <c r="D2395" s="2163"/>
      <c r="E2395" s="2163"/>
      <c r="F2395" s="2163"/>
      <c r="G2395" s="2163"/>
      <c r="H2395" s="2163"/>
      <c r="I2395" s="2163"/>
      <c r="J2395" s="2163"/>
      <c r="K2395" s="2163"/>
      <c r="L2395" s="2163"/>
      <c r="M2395" s="2163"/>
    </row>
    <row r="2396" spans="1:15">
      <c r="A2396" s="2529"/>
      <c r="B2396" s="2529"/>
      <c r="C2396" s="2529"/>
      <c r="D2396" s="2166"/>
      <c r="E2396" s="2166"/>
      <c r="F2396" s="2166"/>
      <c r="G2396" s="2166"/>
      <c r="H2396" s="2525"/>
      <c r="I2396" s="2525"/>
      <c r="J2396" s="2525"/>
      <c r="K2396" s="2166"/>
      <c r="L2396" s="2167"/>
      <c r="M2396" s="2166"/>
    </row>
    <row r="2397" spans="1:15">
      <c r="A2397" s="2164"/>
      <c r="B2397" s="2164"/>
      <c r="C2397" s="2164"/>
      <c r="D2397" s="2164"/>
      <c r="E2397" s="2522" t="s">
        <v>2639</v>
      </c>
      <c r="F2397" s="2522"/>
      <c r="G2397" s="2164"/>
      <c r="H2397" s="2523">
        <v>0</v>
      </c>
      <c r="I2397" s="2523"/>
      <c r="J2397" s="2523"/>
      <c r="K2397" s="2163"/>
      <c r="L2397" s="2523">
        <v>0</v>
      </c>
      <c r="M2397" s="2163"/>
    </row>
    <row r="2398" spans="1:15">
      <c r="A2398" s="2164"/>
      <c r="B2398" s="2164"/>
      <c r="C2398" s="2164"/>
      <c r="D2398" s="2164"/>
      <c r="E2398" s="2164"/>
      <c r="F2398" s="2164"/>
      <c r="G2398" s="2164"/>
      <c r="H2398" s="2523"/>
      <c r="I2398" s="2523"/>
      <c r="J2398" s="2523"/>
      <c r="K2398" s="2163"/>
      <c r="L2398" s="2523"/>
      <c r="M2398" s="2163"/>
    </row>
    <row r="2399" spans="1:15">
      <c r="A2399" s="2160" t="s">
        <v>2738</v>
      </c>
      <c r="B2399" s="2161"/>
      <c r="C2399" s="2160" t="s">
        <v>2739</v>
      </c>
      <c r="D2399" s="2161"/>
      <c r="E2399" s="2160" t="s">
        <v>2640</v>
      </c>
      <c r="F2399" s="2161"/>
    </row>
    <row r="2400" spans="1:15">
      <c r="A2400" s="2163"/>
      <c r="B2400" s="2163"/>
      <c r="C2400" s="2163"/>
      <c r="D2400" s="2163"/>
      <c r="E2400" s="2163"/>
      <c r="F2400" s="2163"/>
      <c r="G2400" s="2163"/>
      <c r="H2400" s="2163"/>
      <c r="I2400" s="2163"/>
      <c r="J2400" s="2163"/>
      <c r="K2400" s="2163"/>
      <c r="L2400" s="2163"/>
      <c r="M2400" s="2163"/>
    </row>
    <row r="2401" spans="1:15">
      <c r="A2401" s="2164"/>
      <c r="H2401" s="2522" t="s">
        <v>2637</v>
      </c>
      <c r="I2401" s="2522"/>
      <c r="J2401" s="2163"/>
      <c r="K2401" s="2523">
        <v>0</v>
      </c>
      <c r="L2401" s="2523"/>
      <c r="M2401" s="2163"/>
      <c r="N2401" s="2527"/>
      <c r="O2401" s="2163"/>
    </row>
    <row r="2402" spans="1:15">
      <c r="H2402" s="2163"/>
      <c r="I2402" s="2163"/>
      <c r="J2402" s="2163"/>
      <c r="K2402" s="2523"/>
      <c r="L2402" s="2523"/>
      <c r="N2402" s="2527"/>
    </row>
    <row r="2403" spans="1:15">
      <c r="A2403" s="2165">
        <v>32358</v>
      </c>
      <c r="B2403" s="2163"/>
      <c r="C2403" s="2524" t="s">
        <v>2675</v>
      </c>
      <c r="D2403" s="2524"/>
      <c r="E2403" s="2524"/>
      <c r="F2403" s="2524"/>
      <c r="G2403" s="2524"/>
      <c r="H2403" s="2524"/>
      <c r="I2403" s="2524"/>
      <c r="J2403" s="2163"/>
      <c r="K2403" s="2163"/>
      <c r="L2403" s="2163"/>
      <c r="M2403" s="2163"/>
    </row>
    <row r="2404" spans="1:15">
      <c r="A2404" s="2163"/>
      <c r="B2404" s="2163"/>
      <c r="C2404" s="2163"/>
      <c r="D2404" s="2163"/>
      <c r="E2404" s="2163"/>
      <c r="F2404" s="2163"/>
      <c r="G2404" s="2163"/>
      <c r="H2404" s="2163"/>
      <c r="I2404" s="2163"/>
      <c r="J2404" s="2163"/>
      <c r="K2404" s="2163"/>
      <c r="L2404" s="2163"/>
      <c r="M2404" s="2163"/>
    </row>
    <row r="2405" spans="1:15">
      <c r="A2405" s="2529"/>
      <c r="B2405" s="2529"/>
      <c r="C2405" s="2529"/>
      <c r="D2405" s="2166"/>
      <c r="E2405" s="2166"/>
      <c r="F2405" s="2166"/>
      <c r="G2405" s="2166"/>
      <c r="H2405" s="2525"/>
      <c r="I2405" s="2525"/>
      <c r="J2405" s="2525"/>
      <c r="K2405" s="2166"/>
      <c r="L2405" s="2167"/>
      <c r="M2405" s="2166"/>
    </row>
    <row r="2406" spans="1:15">
      <c r="A2406" s="2164"/>
      <c r="B2406" s="2164"/>
      <c r="C2406" s="2164"/>
      <c r="D2406" s="2164"/>
      <c r="E2406" s="2522" t="s">
        <v>2639</v>
      </c>
      <c r="F2406" s="2522"/>
      <c r="G2406" s="2164"/>
      <c r="H2406" s="2523">
        <v>0</v>
      </c>
      <c r="I2406" s="2523"/>
      <c r="J2406" s="2523"/>
      <c r="K2406" s="2163"/>
      <c r="L2406" s="2523">
        <v>0</v>
      </c>
      <c r="M2406" s="2163"/>
    </row>
    <row r="2407" spans="1:15">
      <c r="A2407" s="2164"/>
      <c r="B2407" s="2164"/>
      <c r="C2407" s="2164"/>
      <c r="D2407" s="2164"/>
      <c r="E2407" s="2164"/>
      <c r="F2407" s="2164"/>
      <c r="G2407" s="2164"/>
      <c r="H2407" s="2523"/>
      <c r="I2407" s="2523"/>
      <c r="J2407" s="2523"/>
      <c r="K2407" s="2163"/>
      <c r="L2407" s="2523"/>
      <c r="M2407" s="2163"/>
    </row>
    <row r="2408" spans="1:15">
      <c r="A2408" s="2160" t="s">
        <v>2738</v>
      </c>
      <c r="B2408" s="2161"/>
      <c r="C2408" s="2160" t="s">
        <v>2739</v>
      </c>
      <c r="D2408" s="2161"/>
      <c r="E2408" s="2160" t="s">
        <v>2640</v>
      </c>
      <c r="F2408" s="2161"/>
    </row>
    <row r="2409" spans="1:15">
      <c r="A2409" s="2163"/>
      <c r="B2409" s="2163"/>
      <c r="C2409" s="2163"/>
      <c r="D2409" s="2163"/>
      <c r="E2409" s="2163"/>
      <c r="F2409" s="2163"/>
      <c r="G2409" s="2163"/>
      <c r="H2409" s="2163"/>
      <c r="I2409" s="2163"/>
      <c r="J2409" s="2163"/>
      <c r="K2409" s="2163"/>
      <c r="L2409" s="2163"/>
      <c r="M2409" s="2163"/>
    </row>
    <row r="2410" spans="1:15">
      <c r="A2410" s="2164"/>
      <c r="H2410" s="2522" t="s">
        <v>2637</v>
      </c>
      <c r="I2410" s="2522"/>
      <c r="J2410" s="2163"/>
      <c r="K2410" s="2523">
        <v>0</v>
      </c>
      <c r="L2410" s="2523"/>
      <c r="M2410" s="2163"/>
      <c r="N2410" s="2527"/>
      <c r="O2410" s="2163"/>
    </row>
    <row r="2411" spans="1:15">
      <c r="H2411" s="2163"/>
      <c r="I2411" s="2163"/>
      <c r="J2411" s="2163"/>
      <c r="K2411" s="2523"/>
      <c r="L2411" s="2523"/>
      <c r="N2411" s="2527"/>
    </row>
    <row r="2412" spans="1:15">
      <c r="A2412" s="2165">
        <v>32115</v>
      </c>
      <c r="B2412" s="2163"/>
      <c r="C2412" s="2524" t="s">
        <v>2651</v>
      </c>
      <c r="D2412" s="2524"/>
      <c r="E2412" s="2524"/>
      <c r="F2412" s="2524"/>
      <c r="G2412" s="2524"/>
      <c r="H2412" s="2524"/>
      <c r="I2412" s="2524"/>
      <c r="J2412" s="2163"/>
      <c r="K2412" s="2163"/>
      <c r="L2412" s="2163"/>
      <c r="M2412" s="2163"/>
    </row>
    <row r="2413" spans="1:15">
      <c r="A2413" s="2163"/>
      <c r="B2413" s="2163"/>
      <c r="C2413" s="2163"/>
      <c r="D2413" s="2163"/>
      <c r="E2413" s="2163"/>
      <c r="F2413" s="2163"/>
      <c r="G2413" s="2163"/>
      <c r="H2413" s="2163"/>
      <c r="I2413" s="2163"/>
      <c r="J2413" s="2163"/>
      <c r="K2413" s="2163"/>
      <c r="L2413" s="2163"/>
      <c r="M2413" s="2163"/>
    </row>
    <row r="2414" spans="1:15">
      <c r="A2414" s="2529"/>
      <c r="B2414" s="2529"/>
      <c r="C2414" s="2529"/>
      <c r="D2414" s="2166"/>
      <c r="E2414" s="2166"/>
      <c r="F2414" s="2166"/>
      <c r="G2414" s="2166"/>
      <c r="H2414" s="2525"/>
      <c r="I2414" s="2525"/>
      <c r="J2414" s="2525"/>
      <c r="K2414" s="2166"/>
      <c r="L2414" s="2167"/>
      <c r="M2414" s="2166"/>
    </row>
    <row r="2415" spans="1:15">
      <c r="A2415" s="2164"/>
      <c r="B2415" s="2164"/>
      <c r="C2415" s="2164"/>
      <c r="D2415" s="2164"/>
      <c r="E2415" s="2522" t="s">
        <v>2639</v>
      </c>
      <c r="F2415" s="2522"/>
      <c r="G2415" s="2164"/>
      <c r="H2415" s="2523">
        <v>0</v>
      </c>
      <c r="I2415" s="2523"/>
      <c r="J2415" s="2523"/>
      <c r="K2415" s="2163"/>
      <c r="L2415" s="2523">
        <v>0</v>
      </c>
      <c r="M2415" s="2163"/>
    </row>
    <row r="2416" spans="1:15">
      <c r="A2416" s="2164"/>
      <c r="B2416" s="2164"/>
      <c r="C2416" s="2164"/>
      <c r="D2416" s="2164"/>
      <c r="E2416" s="2164"/>
      <c r="F2416" s="2164"/>
      <c r="G2416" s="2164"/>
      <c r="H2416" s="2523"/>
      <c r="I2416" s="2523"/>
      <c r="J2416" s="2523"/>
      <c r="K2416" s="2163"/>
      <c r="L2416" s="2523"/>
      <c r="M2416" s="2163"/>
    </row>
    <row r="2417" spans="1:15">
      <c r="A2417" s="2160" t="s">
        <v>2738</v>
      </c>
      <c r="B2417" s="2161"/>
      <c r="C2417" s="2160" t="s">
        <v>2739</v>
      </c>
      <c r="D2417" s="2161"/>
      <c r="E2417" s="2160" t="s">
        <v>2640</v>
      </c>
      <c r="F2417" s="2161"/>
    </row>
    <row r="2418" spans="1:15">
      <c r="A2418" s="2163"/>
      <c r="B2418" s="2163"/>
      <c r="C2418" s="2163"/>
      <c r="D2418" s="2163"/>
      <c r="E2418" s="2163"/>
      <c r="F2418" s="2163"/>
      <c r="G2418" s="2163"/>
      <c r="H2418" s="2163"/>
      <c r="I2418" s="2163"/>
      <c r="J2418" s="2163"/>
      <c r="K2418" s="2163"/>
      <c r="L2418" s="2163"/>
      <c r="M2418" s="2163"/>
    </row>
    <row r="2419" spans="1:15">
      <c r="A2419" s="2164"/>
      <c r="H2419" s="2522" t="s">
        <v>2637</v>
      </c>
      <c r="I2419" s="2522"/>
      <c r="J2419" s="2163"/>
      <c r="K2419" s="2523">
        <v>0</v>
      </c>
      <c r="L2419" s="2523"/>
      <c r="M2419" s="2163"/>
      <c r="N2419" s="2527"/>
      <c r="O2419" s="2163"/>
    </row>
    <row r="2420" spans="1:15">
      <c r="H2420" s="2163"/>
      <c r="I2420" s="2163"/>
      <c r="J2420" s="2163"/>
      <c r="K2420" s="2523"/>
      <c r="L2420" s="2523"/>
      <c r="N2420" s="2527"/>
    </row>
    <row r="2421" spans="1:15">
      <c r="A2421" s="2165">
        <v>34106</v>
      </c>
      <c r="B2421" s="2163"/>
      <c r="C2421" s="2524" t="s">
        <v>2657</v>
      </c>
      <c r="D2421" s="2524"/>
      <c r="E2421" s="2524"/>
      <c r="F2421" s="2524"/>
      <c r="G2421" s="2524"/>
      <c r="H2421" s="2524"/>
      <c r="I2421" s="2524"/>
      <c r="J2421" s="2163"/>
      <c r="K2421" s="2163"/>
      <c r="L2421" s="2163"/>
      <c r="M2421" s="2163"/>
    </row>
    <row r="2422" spans="1:15">
      <c r="A2422" s="2163"/>
      <c r="B2422" s="2163"/>
      <c r="C2422" s="2163"/>
      <c r="D2422" s="2163"/>
      <c r="E2422" s="2163"/>
      <c r="F2422" s="2163"/>
      <c r="G2422" s="2163"/>
      <c r="H2422" s="2163"/>
      <c r="I2422" s="2163"/>
      <c r="J2422" s="2163"/>
      <c r="K2422" s="2163"/>
      <c r="L2422" s="2163"/>
      <c r="M2422" s="2163"/>
    </row>
    <row r="2423" spans="1:15">
      <c r="A2423" s="2529"/>
      <c r="B2423" s="2529"/>
      <c r="C2423" s="2529"/>
      <c r="D2423" s="2166"/>
      <c r="E2423" s="2166"/>
      <c r="F2423" s="2166"/>
      <c r="G2423" s="2166"/>
      <c r="H2423" s="2525"/>
      <c r="I2423" s="2525"/>
      <c r="J2423" s="2525"/>
      <c r="K2423" s="2166"/>
      <c r="L2423" s="2167"/>
      <c r="M2423" s="2166"/>
    </row>
    <row r="2424" spans="1:15">
      <c r="A2424" s="2164"/>
      <c r="B2424" s="2164"/>
      <c r="C2424" s="2164"/>
      <c r="D2424" s="2164"/>
      <c r="E2424" s="2522" t="s">
        <v>2639</v>
      </c>
      <c r="F2424" s="2522"/>
      <c r="G2424" s="2164"/>
      <c r="H2424" s="2523">
        <v>0</v>
      </c>
      <c r="I2424" s="2523"/>
      <c r="J2424" s="2523"/>
      <c r="K2424" s="2163"/>
      <c r="L2424" s="2523">
        <v>0</v>
      </c>
      <c r="M2424" s="2163"/>
    </row>
    <row r="2425" spans="1:15">
      <c r="A2425" s="2164"/>
      <c r="B2425" s="2164"/>
      <c r="C2425" s="2164"/>
      <c r="D2425" s="2164"/>
      <c r="E2425" s="2164"/>
      <c r="F2425" s="2164"/>
      <c r="G2425" s="2164"/>
      <c r="H2425" s="2523"/>
      <c r="I2425" s="2523"/>
      <c r="J2425" s="2523"/>
      <c r="K2425" s="2163"/>
      <c r="L2425" s="2523"/>
      <c r="M2425" s="2163"/>
    </row>
    <row r="2426" spans="1:15">
      <c r="A2426" s="2160" t="s">
        <v>2738</v>
      </c>
      <c r="B2426" s="2161"/>
      <c r="C2426" s="2160" t="s">
        <v>2739</v>
      </c>
      <c r="D2426" s="2161"/>
      <c r="E2426" s="2160" t="s">
        <v>2640</v>
      </c>
      <c r="F2426" s="2161"/>
    </row>
    <row r="2427" spans="1:15">
      <c r="A2427" s="2163"/>
      <c r="B2427" s="2163"/>
      <c r="C2427" s="2163"/>
      <c r="D2427" s="2163"/>
      <c r="E2427" s="2163"/>
      <c r="F2427" s="2163"/>
      <c r="G2427" s="2163"/>
      <c r="H2427" s="2163"/>
      <c r="I2427" s="2163"/>
      <c r="J2427" s="2163"/>
      <c r="K2427" s="2163"/>
      <c r="L2427" s="2163"/>
      <c r="M2427" s="2163"/>
    </row>
    <row r="2428" spans="1:15">
      <c r="A2428" s="2164"/>
      <c r="H2428" s="2522" t="s">
        <v>2637</v>
      </c>
      <c r="I2428" s="2522"/>
      <c r="J2428" s="2163"/>
      <c r="K2428" s="2523">
        <v>0</v>
      </c>
      <c r="L2428" s="2523"/>
      <c r="M2428" s="2163"/>
      <c r="N2428" s="2527"/>
      <c r="O2428" s="2163"/>
    </row>
    <row r="2429" spans="1:15">
      <c r="H2429" s="2163"/>
      <c r="I2429" s="2163"/>
      <c r="J2429" s="2163"/>
      <c r="K2429" s="2523"/>
      <c r="L2429" s="2523"/>
      <c r="N2429" s="2527"/>
    </row>
    <row r="2430" spans="1:15">
      <c r="A2430" s="2165">
        <v>44234</v>
      </c>
      <c r="B2430" s="2163"/>
      <c r="C2430" s="2524" t="s">
        <v>2658</v>
      </c>
      <c r="D2430" s="2524"/>
      <c r="E2430" s="2524"/>
      <c r="F2430" s="2524"/>
      <c r="G2430" s="2524"/>
      <c r="H2430" s="2524"/>
      <c r="I2430" s="2524"/>
      <c r="J2430" s="2163"/>
      <c r="K2430" s="2163"/>
      <c r="L2430" s="2163"/>
      <c r="M2430" s="2163"/>
    </row>
    <row r="2431" spans="1:15">
      <c r="A2431" s="2163"/>
      <c r="B2431" s="2163"/>
      <c r="C2431" s="2163"/>
      <c r="D2431" s="2163"/>
      <c r="E2431" s="2163"/>
      <c r="F2431" s="2163"/>
      <c r="G2431" s="2163"/>
      <c r="H2431" s="2163"/>
      <c r="I2431" s="2163"/>
      <c r="J2431" s="2163"/>
      <c r="K2431" s="2163"/>
      <c r="L2431" s="2163"/>
      <c r="M2431" s="2163"/>
    </row>
    <row r="2432" spans="1:15">
      <c r="A2432" s="2529"/>
      <c r="B2432" s="2529"/>
      <c r="C2432" s="2529"/>
      <c r="D2432" s="2166"/>
      <c r="E2432" s="2166"/>
      <c r="F2432" s="2166"/>
      <c r="G2432" s="2166"/>
      <c r="H2432" s="2525"/>
      <c r="I2432" s="2525"/>
      <c r="J2432" s="2525"/>
      <c r="K2432" s="2166"/>
      <c r="L2432" s="2167"/>
      <c r="M2432" s="2166"/>
    </row>
    <row r="2433" spans="1:15">
      <c r="A2433" s="2164"/>
      <c r="B2433" s="2164"/>
      <c r="C2433" s="2164"/>
      <c r="D2433" s="2164"/>
      <c r="E2433" s="2522" t="s">
        <v>2639</v>
      </c>
      <c r="F2433" s="2522"/>
      <c r="G2433" s="2164"/>
      <c r="H2433" s="2523">
        <v>0</v>
      </c>
      <c r="I2433" s="2523"/>
      <c r="J2433" s="2523"/>
      <c r="K2433" s="2163"/>
      <c r="L2433" s="2523">
        <v>0</v>
      </c>
      <c r="M2433" s="2163"/>
    </row>
    <row r="2434" spans="1:15">
      <c r="A2434" s="2164"/>
      <c r="B2434" s="2164"/>
      <c r="C2434" s="2164"/>
      <c r="D2434" s="2164"/>
      <c r="E2434" s="2164"/>
      <c r="F2434" s="2164"/>
      <c r="G2434" s="2164"/>
      <c r="H2434" s="2523"/>
      <c r="I2434" s="2523"/>
      <c r="J2434" s="2523"/>
      <c r="K2434" s="2163"/>
      <c r="L2434" s="2523"/>
      <c r="M2434" s="2163"/>
    </row>
    <row r="2435" spans="1:15">
      <c r="A2435" s="2160" t="s">
        <v>2738</v>
      </c>
      <c r="B2435" s="2161"/>
      <c r="C2435" s="2160" t="s">
        <v>2739</v>
      </c>
      <c r="D2435" s="2161"/>
      <c r="E2435" s="2160" t="s">
        <v>2640</v>
      </c>
      <c r="F2435" s="2161"/>
    </row>
    <row r="2436" spans="1:15">
      <c r="A2436" s="2163"/>
      <c r="B2436" s="2163"/>
      <c r="C2436" s="2163"/>
      <c r="D2436" s="2163"/>
      <c r="E2436" s="2163"/>
      <c r="F2436" s="2163"/>
      <c r="G2436" s="2163"/>
      <c r="H2436" s="2163"/>
      <c r="I2436" s="2163"/>
      <c r="J2436" s="2163"/>
      <c r="K2436" s="2163"/>
      <c r="L2436" s="2163"/>
      <c r="M2436" s="2163"/>
    </row>
    <row r="2437" spans="1:15">
      <c r="A2437" s="2164"/>
      <c r="H2437" s="2522" t="s">
        <v>2637</v>
      </c>
      <c r="I2437" s="2522"/>
      <c r="J2437" s="2163"/>
      <c r="K2437" s="2523">
        <v>0</v>
      </c>
      <c r="L2437" s="2523"/>
      <c r="M2437" s="2163"/>
      <c r="N2437" s="2527"/>
      <c r="O2437" s="2163"/>
    </row>
    <row r="2438" spans="1:15">
      <c r="H2438" s="2163"/>
      <c r="I2438" s="2163"/>
      <c r="J2438" s="2163"/>
      <c r="K2438" s="2523"/>
      <c r="L2438" s="2523"/>
      <c r="N2438" s="2527"/>
    </row>
    <row r="2439" spans="1:15">
      <c r="A2439" s="2165">
        <v>41538</v>
      </c>
      <c r="B2439" s="2163"/>
      <c r="C2439" s="2524" t="s">
        <v>2977</v>
      </c>
      <c r="D2439" s="2524"/>
      <c r="E2439" s="2524"/>
      <c r="F2439" s="2524"/>
      <c r="G2439" s="2524"/>
      <c r="H2439" s="2524"/>
      <c r="I2439" s="2524"/>
      <c r="J2439" s="2163"/>
      <c r="K2439" s="2163"/>
      <c r="L2439" s="2163"/>
      <c r="M2439" s="2163"/>
    </row>
    <row r="2440" spans="1:15">
      <c r="A2440" s="2163"/>
      <c r="B2440" s="2163"/>
      <c r="C2440" s="2163"/>
      <c r="D2440" s="2163"/>
      <c r="E2440" s="2163"/>
      <c r="F2440" s="2163"/>
      <c r="G2440" s="2163"/>
      <c r="H2440" s="2163"/>
      <c r="I2440" s="2163"/>
      <c r="J2440" s="2163"/>
      <c r="K2440" s="2163"/>
      <c r="L2440" s="2163"/>
      <c r="M2440" s="2163"/>
    </row>
    <row r="2441" spans="1:15">
      <c r="A2441" s="2529"/>
      <c r="B2441" s="2529"/>
      <c r="C2441" s="2529"/>
      <c r="D2441" s="2166"/>
      <c r="E2441" s="2166"/>
      <c r="F2441" s="2166"/>
      <c r="G2441" s="2166"/>
      <c r="H2441" s="2525"/>
      <c r="I2441" s="2525"/>
      <c r="J2441" s="2525"/>
      <c r="K2441" s="2166"/>
      <c r="L2441" s="2167"/>
      <c r="M2441" s="2166"/>
    </row>
    <row r="2442" spans="1:15">
      <c r="A2442" s="2164"/>
      <c r="B2442" s="2164"/>
      <c r="C2442" s="2164"/>
      <c r="D2442" s="2164"/>
      <c r="E2442" s="2522" t="s">
        <v>2639</v>
      </c>
      <c r="F2442" s="2522"/>
      <c r="G2442" s="2164"/>
      <c r="H2442" s="2523">
        <v>0</v>
      </c>
      <c r="I2442" s="2523"/>
      <c r="J2442" s="2523"/>
      <c r="K2442" s="2163"/>
      <c r="L2442" s="2523">
        <v>0</v>
      </c>
      <c r="M2442" s="2163"/>
    </row>
    <row r="2443" spans="1:15">
      <c r="A2443" s="2164"/>
      <c r="B2443" s="2164"/>
      <c r="C2443" s="2164"/>
      <c r="D2443" s="2164"/>
      <c r="E2443" s="2164"/>
      <c r="F2443" s="2164"/>
      <c r="G2443" s="2164"/>
      <c r="H2443" s="2523"/>
      <c r="I2443" s="2523"/>
      <c r="J2443" s="2523"/>
      <c r="K2443" s="2163"/>
      <c r="L2443" s="2523"/>
      <c r="M2443" s="2163"/>
    </row>
    <row r="2444" spans="1:15">
      <c r="A2444" s="2160" t="s">
        <v>2738</v>
      </c>
      <c r="B2444" s="2161"/>
      <c r="C2444" s="2160" t="s">
        <v>2739</v>
      </c>
      <c r="D2444" s="2161"/>
      <c r="E2444" s="2160" t="s">
        <v>2640</v>
      </c>
      <c r="F2444" s="2161"/>
    </row>
    <row r="2445" spans="1:15">
      <c r="A2445" s="2163"/>
      <c r="B2445" s="2163"/>
      <c r="C2445" s="2163"/>
      <c r="D2445" s="2163"/>
      <c r="E2445" s="2163"/>
      <c r="F2445" s="2163"/>
      <c r="G2445" s="2163"/>
      <c r="H2445" s="2163"/>
      <c r="I2445" s="2163"/>
      <c r="J2445" s="2163"/>
      <c r="K2445" s="2163"/>
      <c r="L2445" s="2163"/>
      <c r="M2445" s="2163"/>
    </row>
    <row r="2446" spans="1:15">
      <c r="A2446" s="2164"/>
      <c r="H2446" s="2522" t="s">
        <v>2637</v>
      </c>
      <c r="I2446" s="2522"/>
      <c r="J2446" s="2163"/>
      <c r="K2446" s="2523">
        <v>0</v>
      </c>
      <c r="L2446" s="2523"/>
      <c r="M2446" s="2163"/>
      <c r="N2446" s="2527"/>
      <c r="O2446" s="2163"/>
    </row>
    <row r="2447" spans="1:15">
      <c r="H2447" s="2163"/>
      <c r="I2447" s="2163"/>
      <c r="J2447" s="2163"/>
      <c r="K2447" s="2523"/>
      <c r="L2447" s="2523"/>
      <c r="N2447" s="2527"/>
    </row>
    <row r="2448" spans="1:15">
      <c r="A2448" s="2165">
        <v>39845</v>
      </c>
      <c r="B2448" s="2163"/>
      <c r="C2448" s="2524" t="s">
        <v>2660</v>
      </c>
      <c r="D2448" s="2524"/>
      <c r="E2448" s="2524"/>
      <c r="F2448" s="2524"/>
      <c r="G2448" s="2524"/>
      <c r="H2448" s="2524"/>
      <c r="I2448" s="2524"/>
      <c r="J2448" s="2163"/>
      <c r="K2448" s="2163"/>
      <c r="L2448" s="2163"/>
      <c r="M2448" s="2163"/>
    </row>
    <row r="2449" spans="1:15">
      <c r="A2449" s="2163"/>
      <c r="B2449" s="2163"/>
      <c r="C2449" s="2163"/>
      <c r="D2449" s="2163"/>
      <c r="E2449" s="2163"/>
      <c r="F2449" s="2163"/>
      <c r="G2449" s="2163"/>
      <c r="H2449" s="2163"/>
      <c r="I2449" s="2163"/>
      <c r="J2449" s="2163"/>
      <c r="K2449" s="2163"/>
      <c r="L2449" s="2163"/>
      <c r="M2449" s="2163"/>
    </row>
    <row r="2450" spans="1:15">
      <c r="A2450" s="2529"/>
      <c r="B2450" s="2529"/>
      <c r="C2450" s="2529"/>
      <c r="D2450" s="2166"/>
      <c r="E2450" s="2166"/>
      <c r="F2450" s="2166"/>
      <c r="G2450" s="2166"/>
      <c r="H2450" s="2525"/>
      <c r="I2450" s="2525"/>
      <c r="J2450" s="2525"/>
      <c r="K2450" s="2166"/>
      <c r="L2450" s="2167"/>
      <c r="M2450" s="2166"/>
    </row>
    <row r="2451" spans="1:15">
      <c r="A2451" s="2164"/>
      <c r="B2451" s="2164"/>
      <c r="C2451" s="2164"/>
      <c r="D2451" s="2164"/>
      <c r="E2451" s="2522" t="s">
        <v>2639</v>
      </c>
      <c r="F2451" s="2522"/>
      <c r="G2451" s="2164"/>
      <c r="H2451" s="2523">
        <v>0</v>
      </c>
      <c r="I2451" s="2523"/>
      <c r="J2451" s="2523"/>
      <c r="K2451" s="2163"/>
      <c r="L2451" s="2523">
        <v>0</v>
      </c>
      <c r="M2451" s="2163"/>
    </row>
    <row r="2452" spans="1:15">
      <c r="A2452" s="2164"/>
      <c r="B2452" s="2164"/>
      <c r="C2452" s="2164"/>
      <c r="D2452" s="2164"/>
      <c r="E2452" s="2164"/>
      <c r="F2452" s="2164"/>
      <c r="G2452" s="2164"/>
      <c r="H2452" s="2523"/>
      <c r="I2452" s="2523"/>
      <c r="J2452" s="2523"/>
      <c r="K2452" s="2163"/>
      <c r="L2452" s="2523"/>
      <c r="M2452" s="2163"/>
    </row>
    <row r="2453" spans="1:15">
      <c r="A2453" s="2160" t="s">
        <v>2738</v>
      </c>
      <c r="B2453" s="2161"/>
      <c r="C2453" s="2160" t="s">
        <v>2739</v>
      </c>
      <c r="D2453" s="2161"/>
      <c r="E2453" s="2160" t="s">
        <v>2640</v>
      </c>
      <c r="F2453" s="2161"/>
    </row>
    <row r="2454" spans="1:15">
      <c r="A2454" s="2163"/>
      <c r="B2454" s="2163"/>
      <c r="C2454" s="2163"/>
      <c r="D2454" s="2163"/>
      <c r="E2454" s="2163"/>
      <c r="F2454" s="2163"/>
      <c r="G2454" s="2163"/>
      <c r="H2454" s="2163"/>
      <c r="I2454" s="2163"/>
      <c r="J2454" s="2163"/>
      <c r="K2454" s="2163"/>
      <c r="L2454" s="2163"/>
      <c r="M2454" s="2163"/>
    </row>
    <row r="2455" spans="1:15">
      <c r="A2455" s="2164"/>
      <c r="H2455" s="2522" t="s">
        <v>2637</v>
      </c>
      <c r="I2455" s="2522"/>
      <c r="J2455" s="2163"/>
      <c r="K2455" s="2523">
        <v>0</v>
      </c>
      <c r="L2455" s="2523"/>
      <c r="M2455" s="2163"/>
      <c r="N2455" s="2527"/>
      <c r="O2455" s="2163"/>
    </row>
    <row r="2456" spans="1:15">
      <c r="H2456" s="2163"/>
      <c r="I2456" s="2163"/>
      <c r="J2456" s="2163"/>
      <c r="K2456" s="2523"/>
      <c r="L2456" s="2523"/>
      <c r="N2456" s="2527"/>
    </row>
    <row r="2457" spans="1:15">
      <c r="A2457" s="2165">
        <v>46553</v>
      </c>
      <c r="B2457" s="2163"/>
      <c r="C2457" s="2524" t="s">
        <v>2662</v>
      </c>
      <c r="D2457" s="2524"/>
      <c r="E2457" s="2524"/>
      <c r="F2457" s="2524"/>
      <c r="G2457" s="2524"/>
      <c r="H2457" s="2524"/>
      <c r="I2457" s="2524"/>
      <c r="J2457" s="2163"/>
      <c r="K2457" s="2163"/>
      <c r="L2457" s="2163"/>
      <c r="M2457" s="2163"/>
    </row>
    <row r="2458" spans="1:15">
      <c r="A2458" s="2163"/>
      <c r="B2458" s="2163"/>
      <c r="C2458" s="2163"/>
      <c r="D2458" s="2163"/>
      <c r="E2458" s="2163"/>
      <c r="F2458" s="2163"/>
      <c r="G2458" s="2163"/>
      <c r="H2458" s="2163"/>
      <c r="I2458" s="2163"/>
      <c r="J2458" s="2163"/>
      <c r="K2458" s="2163"/>
      <c r="L2458" s="2163"/>
      <c r="M2458" s="2163"/>
    </row>
    <row r="2459" spans="1:15">
      <c r="A2459" s="2529"/>
      <c r="B2459" s="2529"/>
      <c r="C2459" s="2529"/>
      <c r="D2459" s="2166"/>
      <c r="E2459" s="2166"/>
      <c r="F2459" s="2166"/>
      <c r="G2459" s="2166"/>
      <c r="H2459" s="2525"/>
      <c r="I2459" s="2525"/>
      <c r="J2459" s="2525"/>
      <c r="K2459" s="2166"/>
      <c r="L2459" s="2167"/>
      <c r="M2459" s="2166"/>
    </row>
    <row r="2460" spans="1:15">
      <c r="A2460" s="2164"/>
      <c r="B2460" s="2164"/>
      <c r="C2460" s="2164"/>
      <c r="D2460" s="2164"/>
      <c r="E2460" s="2522" t="s">
        <v>2639</v>
      </c>
      <c r="F2460" s="2522"/>
      <c r="G2460" s="2164"/>
      <c r="H2460" s="2523">
        <v>0</v>
      </c>
      <c r="I2460" s="2523"/>
      <c r="J2460" s="2523"/>
      <c r="K2460" s="2163"/>
      <c r="L2460" s="2523">
        <v>0</v>
      </c>
      <c r="M2460" s="2163"/>
    </row>
    <row r="2461" spans="1:15">
      <c r="A2461" s="2164"/>
      <c r="B2461" s="2164"/>
      <c r="C2461" s="2164"/>
      <c r="D2461" s="2164"/>
      <c r="E2461" s="2164"/>
      <c r="F2461" s="2164"/>
      <c r="G2461" s="2164"/>
      <c r="H2461" s="2523"/>
      <c r="I2461" s="2523"/>
      <c r="J2461" s="2523"/>
      <c r="K2461" s="2163"/>
      <c r="L2461" s="2523"/>
      <c r="M2461" s="2163"/>
    </row>
    <row r="2462" spans="1:15">
      <c r="A2462" s="2160" t="s">
        <v>2738</v>
      </c>
      <c r="B2462" s="2161"/>
      <c r="C2462" s="2160" t="s">
        <v>2739</v>
      </c>
      <c r="D2462" s="2161"/>
      <c r="E2462" s="2160" t="s">
        <v>2640</v>
      </c>
      <c r="F2462" s="2161"/>
    </row>
    <row r="2463" spans="1:15">
      <c r="A2463" s="2163"/>
      <c r="B2463" s="2163"/>
      <c r="C2463" s="2163"/>
      <c r="D2463" s="2163"/>
      <c r="E2463" s="2163"/>
      <c r="F2463" s="2163"/>
      <c r="G2463" s="2163"/>
      <c r="H2463" s="2163"/>
      <c r="I2463" s="2163"/>
      <c r="J2463" s="2163"/>
      <c r="K2463" s="2163"/>
      <c r="L2463" s="2163"/>
      <c r="M2463" s="2163"/>
    </row>
    <row r="2464" spans="1:15">
      <c r="A2464" s="2164"/>
      <c r="H2464" s="2522" t="s">
        <v>2637</v>
      </c>
      <c r="I2464" s="2522"/>
      <c r="J2464" s="2163"/>
      <c r="K2464" s="2523">
        <v>0</v>
      </c>
      <c r="L2464" s="2523"/>
      <c r="M2464" s="2163"/>
      <c r="N2464" s="2527"/>
      <c r="O2464" s="2163"/>
    </row>
    <row r="2465" spans="1:15">
      <c r="H2465" s="2163"/>
      <c r="I2465" s="2163"/>
      <c r="J2465" s="2163"/>
      <c r="K2465" s="2523"/>
      <c r="L2465" s="2523"/>
      <c r="N2465" s="2527"/>
    </row>
    <row r="2466" spans="1:15">
      <c r="A2466" s="2165">
        <v>47667</v>
      </c>
      <c r="B2466" s="2163"/>
      <c r="C2466" s="2524" t="s">
        <v>2663</v>
      </c>
      <c r="D2466" s="2524"/>
      <c r="E2466" s="2524"/>
      <c r="F2466" s="2524"/>
      <c r="G2466" s="2524"/>
      <c r="H2466" s="2524"/>
      <c r="I2466" s="2524"/>
      <c r="J2466" s="2163"/>
      <c r="K2466" s="2163"/>
      <c r="L2466" s="2163"/>
      <c r="M2466" s="2163"/>
    </row>
    <row r="2467" spans="1:15">
      <c r="A2467" s="2163"/>
      <c r="B2467" s="2163"/>
      <c r="C2467" s="2163"/>
      <c r="D2467" s="2163"/>
      <c r="E2467" s="2163"/>
      <c r="F2467" s="2163"/>
      <c r="G2467" s="2163"/>
      <c r="H2467" s="2163"/>
      <c r="I2467" s="2163"/>
      <c r="J2467" s="2163"/>
      <c r="K2467" s="2163"/>
      <c r="L2467" s="2163"/>
      <c r="M2467" s="2163"/>
    </row>
    <row r="2468" spans="1:15">
      <c r="A2468" s="2529"/>
      <c r="B2468" s="2529"/>
      <c r="C2468" s="2529"/>
      <c r="D2468" s="2166"/>
      <c r="E2468" s="2166"/>
      <c r="F2468" s="2166"/>
      <c r="G2468" s="2166"/>
      <c r="H2468" s="2525"/>
      <c r="I2468" s="2525"/>
      <c r="J2468" s="2525"/>
      <c r="K2468" s="2166"/>
      <c r="L2468" s="2167"/>
      <c r="M2468" s="2166"/>
    </row>
    <row r="2469" spans="1:15">
      <c r="A2469" s="2164"/>
      <c r="B2469" s="2164"/>
      <c r="C2469" s="2164"/>
      <c r="D2469" s="2164"/>
      <c r="E2469" s="2522" t="s">
        <v>2639</v>
      </c>
      <c r="F2469" s="2522"/>
      <c r="G2469" s="2164"/>
      <c r="H2469" s="2523">
        <v>0</v>
      </c>
      <c r="I2469" s="2523"/>
      <c r="J2469" s="2523"/>
      <c r="K2469" s="2163"/>
      <c r="L2469" s="2523">
        <v>0</v>
      </c>
      <c r="M2469" s="2163"/>
    </row>
    <row r="2470" spans="1:15">
      <c r="A2470" s="2164"/>
      <c r="B2470" s="2164"/>
      <c r="C2470" s="2164"/>
      <c r="D2470" s="2164"/>
      <c r="E2470" s="2164"/>
      <c r="F2470" s="2164"/>
      <c r="G2470" s="2164"/>
      <c r="H2470" s="2523"/>
      <c r="I2470" s="2523"/>
      <c r="J2470" s="2523"/>
      <c r="K2470" s="2163"/>
      <c r="L2470" s="2523"/>
      <c r="M2470" s="2163"/>
    </row>
    <row r="2471" spans="1:15">
      <c r="A2471" s="2160" t="s">
        <v>2738</v>
      </c>
      <c r="B2471" s="2161"/>
      <c r="C2471" s="2160" t="s">
        <v>2739</v>
      </c>
      <c r="D2471" s="2161"/>
      <c r="E2471" s="2160" t="s">
        <v>2640</v>
      </c>
      <c r="F2471" s="2161"/>
    </row>
    <row r="2472" spans="1:15">
      <c r="A2472" s="2163"/>
      <c r="B2472" s="2163"/>
      <c r="C2472" s="2163"/>
      <c r="D2472" s="2163"/>
      <c r="E2472" s="2163"/>
      <c r="F2472" s="2163"/>
      <c r="G2472" s="2163"/>
      <c r="H2472" s="2163"/>
      <c r="I2472" s="2163"/>
      <c r="J2472" s="2163"/>
      <c r="K2472" s="2163"/>
      <c r="L2472" s="2163"/>
      <c r="M2472" s="2163"/>
    </row>
    <row r="2473" spans="1:15">
      <c r="A2473" s="2164"/>
      <c r="H2473" s="2522" t="s">
        <v>2637</v>
      </c>
      <c r="I2473" s="2522"/>
      <c r="J2473" s="2163"/>
      <c r="K2473" s="2523">
        <v>1.8700000000000001E-2</v>
      </c>
      <c r="L2473" s="2523"/>
      <c r="M2473" s="2163"/>
      <c r="N2473" s="2527">
        <v>1</v>
      </c>
      <c r="O2473" s="2163"/>
    </row>
    <row r="2474" spans="1:15">
      <c r="H2474" s="2163"/>
      <c r="I2474" s="2163"/>
      <c r="J2474" s="2163"/>
      <c r="K2474" s="2523"/>
      <c r="L2474" s="2523"/>
      <c r="N2474" s="2527"/>
    </row>
    <row r="2475" spans="1:15">
      <c r="A2475" s="2165">
        <v>47948</v>
      </c>
      <c r="B2475" s="2163"/>
      <c r="C2475" s="2524" t="s">
        <v>2683</v>
      </c>
      <c r="D2475" s="2524"/>
      <c r="E2475" s="2524"/>
      <c r="F2475" s="2524"/>
      <c r="G2475" s="2524"/>
      <c r="H2475" s="2524"/>
      <c r="I2475" s="2524"/>
      <c r="J2475" s="2163"/>
      <c r="K2475" s="2163"/>
      <c r="L2475" s="2163"/>
      <c r="M2475" s="2163"/>
    </row>
    <row r="2476" spans="1:15">
      <c r="A2476" s="2163"/>
      <c r="B2476" s="2163"/>
      <c r="C2476" s="2163"/>
      <c r="D2476" s="2163"/>
      <c r="E2476" s="2163"/>
      <c r="F2476" s="2163"/>
      <c r="G2476" s="2163"/>
      <c r="H2476" s="2163"/>
      <c r="I2476" s="2163"/>
      <c r="J2476" s="2163"/>
      <c r="K2476" s="2163"/>
      <c r="L2476" s="2163"/>
      <c r="M2476" s="2163"/>
    </row>
    <row r="2477" spans="1:15">
      <c r="A2477" s="2529"/>
      <c r="B2477" s="2529"/>
      <c r="C2477" s="2529"/>
      <c r="D2477" s="2166"/>
      <c r="E2477" s="2166"/>
      <c r="F2477" s="2166"/>
      <c r="G2477" s="2166"/>
      <c r="H2477" s="2525"/>
      <c r="I2477" s="2525"/>
      <c r="J2477" s="2525"/>
      <c r="K2477" s="2166"/>
      <c r="L2477" s="2167"/>
      <c r="M2477" s="2166"/>
    </row>
    <row r="2478" spans="1:15">
      <c r="A2478" s="2164"/>
      <c r="B2478" s="2164"/>
      <c r="C2478" s="2164"/>
      <c r="D2478" s="2164"/>
      <c r="E2478" s="2522" t="s">
        <v>2639</v>
      </c>
      <c r="F2478" s="2522"/>
      <c r="G2478" s="2164"/>
      <c r="H2478" s="2523">
        <v>1.8700000000000001E-2</v>
      </c>
      <c r="I2478" s="2523"/>
      <c r="J2478" s="2523"/>
      <c r="K2478" s="2163"/>
      <c r="L2478" s="2523">
        <v>1.01</v>
      </c>
      <c r="M2478" s="2163"/>
    </row>
    <row r="2479" spans="1:15">
      <c r="A2479" s="2164"/>
      <c r="B2479" s="2164"/>
      <c r="C2479" s="2164"/>
      <c r="D2479" s="2164"/>
      <c r="E2479" s="2164"/>
      <c r="F2479" s="2164"/>
      <c r="G2479" s="2164"/>
      <c r="H2479" s="2523"/>
      <c r="I2479" s="2523"/>
      <c r="J2479" s="2523"/>
      <c r="K2479" s="2163"/>
      <c r="L2479" s="2523"/>
      <c r="M2479" s="2163"/>
    </row>
    <row r="2480" spans="1:15">
      <c r="A2480" s="2160" t="s">
        <v>2738</v>
      </c>
      <c r="B2480" s="2161"/>
      <c r="C2480" s="2160" t="s">
        <v>2739</v>
      </c>
      <c r="D2480" s="2161"/>
      <c r="E2480" s="2160" t="s">
        <v>2640</v>
      </c>
      <c r="F2480" s="2161"/>
    </row>
    <row r="2481" spans="1:15">
      <c r="A2481" s="2163"/>
      <c r="B2481" s="2163"/>
      <c r="C2481" s="2163"/>
      <c r="D2481" s="2163"/>
      <c r="E2481" s="2163"/>
      <c r="F2481" s="2163"/>
      <c r="G2481" s="2163"/>
      <c r="H2481" s="2163"/>
      <c r="I2481" s="2163"/>
      <c r="J2481" s="2163"/>
      <c r="K2481" s="2163"/>
      <c r="L2481" s="2163"/>
      <c r="M2481" s="2163"/>
    </row>
    <row r="2482" spans="1:15">
      <c r="A2482" s="2164"/>
      <c r="H2482" s="2522" t="s">
        <v>2637</v>
      </c>
      <c r="I2482" s="2522"/>
      <c r="J2482" s="2163"/>
      <c r="K2482" s="2523">
        <v>0</v>
      </c>
      <c r="L2482" s="2523"/>
      <c r="M2482" s="2163"/>
      <c r="N2482" s="2527"/>
      <c r="O2482" s="2163"/>
    </row>
    <row r="2483" spans="1:15">
      <c r="H2483" s="2163"/>
      <c r="I2483" s="2163"/>
      <c r="J2483" s="2163"/>
      <c r="K2483" s="2523"/>
      <c r="L2483" s="2523"/>
      <c r="N2483" s="2527"/>
    </row>
    <row r="2484" spans="1:15">
      <c r="A2484" s="2165">
        <v>48483</v>
      </c>
      <c r="B2484" s="2163"/>
      <c r="C2484" s="2524" t="s">
        <v>2664</v>
      </c>
      <c r="D2484" s="2524"/>
      <c r="E2484" s="2524"/>
      <c r="F2484" s="2524"/>
      <c r="G2484" s="2524"/>
      <c r="H2484" s="2524"/>
      <c r="I2484" s="2524"/>
      <c r="J2484" s="2163"/>
      <c r="K2484" s="2163"/>
      <c r="L2484" s="2163"/>
      <c r="M2484" s="2163"/>
    </row>
    <row r="2485" spans="1:15">
      <c r="A2485" s="2163"/>
      <c r="B2485" s="2163"/>
      <c r="C2485" s="2163"/>
      <c r="D2485" s="2163"/>
      <c r="E2485" s="2163"/>
      <c r="F2485" s="2163"/>
      <c r="G2485" s="2163"/>
      <c r="H2485" s="2163"/>
      <c r="I2485" s="2163"/>
      <c r="J2485" s="2163"/>
      <c r="K2485" s="2163"/>
      <c r="L2485" s="2163"/>
      <c r="M2485" s="2163"/>
    </row>
    <row r="2486" spans="1:15">
      <c r="A2486" s="2529"/>
      <c r="B2486" s="2529"/>
      <c r="C2486" s="2529"/>
      <c r="D2486" s="2166"/>
      <c r="E2486" s="2166"/>
      <c r="F2486" s="2166"/>
      <c r="G2486" s="2166"/>
      <c r="H2486" s="2525"/>
      <c r="I2486" s="2525"/>
      <c r="J2486" s="2525"/>
      <c r="K2486" s="2166"/>
      <c r="L2486" s="2167"/>
      <c r="M2486" s="2166"/>
    </row>
    <row r="2487" spans="1:15">
      <c r="A2487" s="2164"/>
      <c r="B2487" s="2164"/>
      <c r="C2487" s="2164"/>
      <c r="D2487" s="2164"/>
      <c r="E2487" s="2522" t="s">
        <v>2639</v>
      </c>
      <c r="F2487" s="2522"/>
      <c r="G2487" s="2164"/>
      <c r="H2487" s="2523">
        <v>0</v>
      </c>
      <c r="I2487" s="2523"/>
      <c r="J2487" s="2523"/>
      <c r="K2487" s="2163"/>
      <c r="L2487" s="2523">
        <v>0</v>
      </c>
      <c r="M2487" s="2163"/>
    </row>
    <row r="2488" spans="1:15">
      <c r="A2488" s="2164"/>
      <c r="B2488" s="2164"/>
      <c r="C2488" s="2164"/>
      <c r="D2488" s="2164"/>
      <c r="E2488" s="2164"/>
      <c r="F2488" s="2164"/>
      <c r="G2488" s="2164"/>
      <c r="H2488" s="2523"/>
      <c r="I2488" s="2523"/>
      <c r="J2488" s="2523"/>
      <c r="K2488" s="2163"/>
      <c r="L2488" s="2523"/>
      <c r="M2488" s="2163"/>
    </row>
    <row r="2489" spans="1:15">
      <c r="A2489" s="2160" t="s">
        <v>2738</v>
      </c>
      <c r="B2489" s="2161"/>
      <c r="C2489" s="2160" t="s">
        <v>2739</v>
      </c>
      <c r="D2489" s="2161"/>
      <c r="E2489" s="2160" t="s">
        <v>2640</v>
      </c>
      <c r="F2489" s="2161"/>
    </row>
    <row r="2490" spans="1:15">
      <c r="A2490" s="2163"/>
      <c r="B2490" s="2163"/>
      <c r="C2490" s="2163"/>
      <c r="D2490" s="2163"/>
      <c r="E2490" s="2163"/>
      <c r="F2490" s="2163"/>
      <c r="G2490" s="2163"/>
      <c r="H2490" s="2163"/>
      <c r="I2490" s="2163"/>
      <c r="J2490" s="2163"/>
      <c r="K2490" s="2163"/>
      <c r="L2490" s="2163"/>
      <c r="M2490" s="2163"/>
    </row>
    <row r="2491" spans="1:15">
      <c r="A2491" s="2164"/>
      <c r="H2491" s="2522" t="s">
        <v>2637</v>
      </c>
      <c r="I2491" s="2522"/>
      <c r="J2491" s="2163"/>
      <c r="K2491" s="2523">
        <v>0</v>
      </c>
      <c r="L2491" s="2523"/>
      <c r="M2491" s="2163"/>
      <c r="N2491" s="2527"/>
      <c r="O2491" s="2163"/>
    </row>
    <row r="2492" spans="1:15">
      <c r="H2492" s="2163"/>
      <c r="I2492" s="2163"/>
      <c r="J2492" s="2163"/>
      <c r="K2492" s="2523"/>
      <c r="L2492" s="2523"/>
      <c r="N2492" s="2527"/>
    </row>
    <row r="2493" spans="1:15">
      <c r="A2493" s="2165">
        <v>48589</v>
      </c>
      <c r="B2493" s="2163"/>
      <c r="C2493" s="2524" t="s">
        <v>2978</v>
      </c>
      <c r="D2493" s="2524"/>
      <c r="E2493" s="2524"/>
      <c r="F2493" s="2524"/>
      <c r="G2493" s="2524"/>
      <c r="H2493" s="2524"/>
      <c r="I2493" s="2524"/>
      <c r="J2493" s="2163"/>
      <c r="K2493" s="2163"/>
      <c r="L2493" s="2163"/>
      <c r="M2493" s="2163"/>
    </row>
    <row r="2494" spans="1:15">
      <c r="A2494" s="2163"/>
      <c r="B2494" s="2163"/>
      <c r="C2494" s="2163"/>
      <c r="D2494" s="2163"/>
      <c r="E2494" s="2163"/>
      <c r="F2494" s="2163"/>
      <c r="G2494" s="2163"/>
      <c r="H2494" s="2163"/>
      <c r="I2494" s="2163"/>
      <c r="J2494" s="2163"/>
      <c r="K2494" s="2163"/>
      <c r="L2494" s="2163"/>
      <c r="M2494" s="2163"/>
    </row>
    <row r="2495" spans="1:15">
      <c r="A2495" s="2529"/>
      <c r="B2495" s="2529"/>
      <c r="C2495" s="2529"/>
      <c r="D2495" s="2166"/>
      <c r="E2495" s="2166"/>
      <c r="F2495" s="2166"/>
      <c r="G2495" s="2166"/>
      <c r="H2495" s="2525"/>
      <c r="I2495" s="2525"/>
      <c r="J2495" s="2525"/>
      <c r="K2495" s="2166"/>
      <c r="L2495" s="2167"/>
      <c r="M2495" s="2166"/>
    </row>
    <row r="2496" spans="1:15">
      <c r="A2496" s="2164"/>
      <c r="B2496" s="2164"/>
      <c r="C2496" s="2164"/>
      <c r="D2496" s="2164"/>
      <c r="E2496" s="2522" t="s">
        <v>2639</v>
      </c>
      <c r="F2496" s="2522"/>
      <c r="G2496" s="2164"/>
      <c r="H2496" s="2523">
        <v>0</v>
      </c>
      <c r="I2496" s="2523"/>
      <c r="J2496" s="2523"/>
      <c r="K2496" s="2163"/>
      <c r="L2496" s="2523">
        <v>0</v>
      </c>
      <c r="M2496" s="2163"/>
    </row>
    <row r="2497" spans="1:15">
      <c r="A2497" s="2164"/>
      <c r="B2497" s="2164"/>
      <c r="C2497" s="2164"/>
      <c r="D2497" s="2164"/>
      <c r="E2497" s="2164"/>
      <c r="F2497" s="2164"/>
      <c r="G2497" s="2164"/>
      <c r="H2497" s="2523"/>
      <c r="I2497" s="2523"/>
      <c r="J2497" s="2523"/>
      <c r="K2497" s="2163"/>
      <c r="L2497" s="2523"/>
      <c r="M2497" s="2163"/>
    </row>
    <row r="2498" spans="1:15">
      <c r="A2498" s="2160" t="s">
        <v>2738</v>
      </c>
      <c r="B2498" s="2161"/>
      <c r="C2498" s="2160" t="s">
        <v>2739</v>
      </c>
      <c r="D2498" s="2161"/>
      <c r="E2498" s="2160" t="s">
        <v>2640</v>
      </c>
      <c r="F2498" s="2161"/>
    </row>
    <row r="2499" spans="1:15">
      <c r="A2499" s="2163"/>
      <c r="B2499" s="2163"/>
      <c r="C2499" s="2163"/>
      <c r="D2499" s="2163"/>
      <c r="E2499" s="2163"/>
      <c r="F2499" s="2163"/>
      <c r="G2499" s="2163"/>
      <c r="H2499" s="2163"/>
      <c r="I2499" s="2163"/>
      <c r="J2499" s="2163"/>
      <c r="K2499" s="2163"/>
      <c r="L2499" s="2163"/>
      <c r="M2499" s="2163"/>
    </row>
    <row r="2500" spans="1:15">
      <c r="A2500" s="2164"/>
      <c r="H2500" s="2522" t="s">
        <v>2637</v>
      </c>
      <c r="I2500" s="2522"/>
      <c r="J2500" s="2163"/>
      <c r="K2500" s="2523">
        <v>7.1387</v>
      </c>
      <c r="L2500" s="2523"/>
      <c r="M2500" s="2163"/>
      <c r="N2500" s="2527" t="s">
        <v>3035</v>
      </c>
      <c r="O2500" s="2163"/>
    </row>
    <row r="2501" spans="1:15">
      <c r="H2501" s="2163"/>
      <c r="I2501" s="2163"/>
      <c r="J2501" s="2163"/>
      <c r="K2501" s="2523"/>
      <c r="L2501" s="2523"/>
      <c r="N2501" s="2527"/>
    </row>
    <row r="2502" spans="1:15">
      <c r="A2502" s="2165">
        <v>55863</v>
      </c>
      <c r="B2502" s="2163"/>
      <c r="C2502" s="2524" t="s">
        <v>2685</v>
      </c>
      <c r="D2502" s="2524"/>
      <c r="E2502" s="2524"/>
      <c r="F2502" s="2524"/>
      <c r="G2502" s="2524"/>
      <c r="H2502" s="2524"/>
      <c r="I2502" s="2524"/>
      <c r="J2502" s="2163"/>
      <c r="K2502" s="2163"/>
      <c r="L2502" s="2163"/>
      <c r="M2502" s="2163"/>
    </row>
    <row r="2503" spans="1:15">
      <c r="A2503" s="2163"/>
      <c r="B2503" s="2163"/>
      <c r="C2503" s="2163"/>
      <c r="D2503" s="2163"/>
      <c r="E2503" s="2163"/>
      <c r="F2503" s="2163"/>
      <c r="G2503" s="2163"/>
      <c r="H2503" s="2163"/>
      <c r="I2503" s="2163"/>
      <c r="J2503" s="2163"/>
      <c r="K2503" s="2163"/>
      <c r="L2503" s="2163"/>
      <c r="M2503" s="2163"/>
    </row>
    <row r="2504" spans="1:15">
      <c r="A2504" s="2529"/>
      <c r="B2504" s="2529"/>
      <c r="C2504" s="2529"/>
      <c r="D2504" s="2166"/>
      <c r="E2504" s="2166"/>
      <c r="F2504" s="2166"/>
      <c r="G2504" s="2166"/>
      <c r="H2504" s="2525"/>
      <c r="I2504" s="2525"/>
      <c r="J2504" s="2525"/>
      <c r="K2504" s="2166"/>
      <c r="L2504" s="2167"/>
      <c r="M2504" s="2166"/>
    </row>
    <row r="2505" spans="1:15">
      <c r="A2505" s="2164"/>
      <c r="B2505" s="2164"/>
      <c r="C2505" s="2164"/>
      <c r="D2505" s="2164"/>
      <c r="E2505" s="2522" t="s">
        <v>2639</v>
      </c>
      <c r="F2505" s="2522"/>
      <c r="G2505" s="2164"/>
      <c r="H2505" s="2523">
        <v>7.1387</v>
      </c>
      <c r="I2505" s="2523"/>
      <c r="J2505" s="2523"/>
      <c r="K2505" s="2163"/>
      <c r="L2505" s="2523">
        <v>384.99</v>
      </c>
      <c r="M2505" s="2163"/>
    </row>
    <row r="2506" spans="1:15">
      <c r="A2506" s="2164"/>
      <c r="B2506" s="2164"/>
      <c r="C2506" s="2164"/>
      <c r="D2506" s="2164"/>
      <c r="E2506" s="2164"/>
      <c r="F2506" s="2164"/>
      <c r="G2506" s="2164"/>
      <c r="H2506" s="2523"/>
      <c r="I2506" s="2523"/>
      <c r="J2506" s="2523"/>
      <c r="K2506" s="2163"/>
      <c r="L2506" s="2523"/>
      <c r="M2506" s="2163"/>
    </row>
    <row r="2507" spans="1:15">
      <c r="A2507" s="2160" t="s">
        <v>2738</v>
      </c>
      <c r="B2507" s="2161"/>
      <c r="C2507" s="2160" t="s">
        <v>2739</v>
      </c>
      <c r="D2507" s="2161"/>
      <c r="E2507" s="2160" t="s">
        <v>2640</v>
      </c>
      <c r="F2507" s="2161"/>
    </row>
    <row r="2508" spans="1:15">
      <c r="A2508" s="2163"/>
      <c r="B2508" s="2163"/>
      <c r="C2508" s="2163"/>
      <c r="D2508" s="2163"/>
      <c r="E2508" s="2163"/>
      <c r="F2508" s="2163"/>
      <c r="G2508" s="2163"/>
      <c r="H2508" s="2163"/>
      <c r="I2508" s="2163"/>
      <c r="J2508" s="2163"/>
      <c r="K2508" s="2163"/>
      <c r="L2508" s="2163"/>
      <c r="M2508" s="2163"/>
    </row>
    <row r="2509" spans="1:15">
      <c r="A2509" s="2164"/>
      <c r="H2509" s="2522" t="s">
        <v>2637</v>
      </c>
      <c r="I2509" s="2522"/>
      <c r="J2509" s="2163"/>
      <c r="K2509" s="2523">
        <v>0</v>
      </c>
      <c r="L2509" s="2523"/>
      <c r="M2509" s="2163"/>
      <c r="N2509" s="2527"/>
      <c r="O2509" s="2163"/>
    </row>
    <row r="2510" spans="1:15">
      <c r="H2510" s="2163"/>
      <c r="I2510" s="2163"/>
      <c r="J2510" s="2163"/>
      <c r="K2510" s="2523"/>
      <c r="L2510" s="2523"/>
      <c r="N2510" s="2527"/>
    </row>
    <row r="2511" spans="1:15">
      <c r="A2511" s="2165">
        <v>56965</v>
      </c>
      <c r="B2511" s="2163"/>
      <c r="C2511" s="2524" t="s">
        <v>2678</v>
      </c>
      <c r="D2511" s="2524"/>
      <c r="E2511" s="2524"/>
      <c r="F2511" s="2524"/>
      <c r="G2511" s="2524"/>
      <c r="H2511" s="2524"/>
      <c r="I2511" s="2524"/>
      <c r="J2511" s="2163"/>
      <c r="K2511" s="2163"/>
      <c r="L2511" s="2163"/>
      <c r="M2511" s="2163"/>
    </row>
    <row r="2512" spans="1:15">
      <c r="A2512" s="2163"/>
      <c r="B2512" s="2163"/>
      <c r="C2512" s="2163"/>
      <c r="D2512" s="2163"/>
      <c r="E2512" s="2163"/>
      <c r="F2512" s="2163"/>
      <c r="G2512" s="2163"/>
      <c r="H2512" s="2163"/>
      <c r="I2512" s="2163"/>
      <c r="J2512" s="2163"/>
      <c r="K2512" s="2163"/>
      <c r="L2512" s="2163"/>
      <c r="M2512" s="2163"/>
    </row>
    <row r="2513" spans="1:15">
      <c r="A2513" s="2529"/>
      <c r="B2513" s="2529"/>
      <c r="C2513" s="2529"/>
      <c r="D2513" s="2166"/>
      <c r="E2513" s="2166"/>
      <c r="F2513" s="2166"/>
      <c r="G2513" s="2166"/>
      <c r="H2513" s="2525"/>
      <c r="I2513" s="2525"/>
      <c r="J2513" s="2525"/>
      <c r="K2513" s="2166"/>
      <c r="L2513" s="2167"/>
      <c r="M2513" s="2166"/>
    </row>
    <row r="2514" spans="1:15">
      <c r="A2514" s="2164"/>
      <c r="B2514" s="2164"/>
      <c r="C2514" s="2164"/>
      <c r="D2514" s="2164"/>
      <c r="E2514" s="2522" t="s">
        <v>2639</v>
      </c>
      <c r="F2514" s="2522"/>
      <c r="G2514" s="2164"/>
      <c r="H2514" s="2523">
        <v>0</v>
      </c>
      <c r="I2514" s="2523"/>
      <c r="J2514" s="2523"/>
      <c r="K2514" s="2163"/>
      <c r="L2514" s="2523">
        <v>0</v>
      </c>
      <c r="M2514" s="2163"/>
    </row>
    <row r="2515" spans="1:15">
      <c r="A2515" s="2164"/>
      <c r="B2515" s="2164"/>
      <c r="C2515" s="2164"/>
      <c r="D2515" s="2164"/>
      <c r="E2515" s="2164"/>
      <c r="F2515" s="2164"/>
      <c r="G2515" s="2164"/>
      <c r="H2515" s="2523"/>
      <c r="I2515" s="2523"/>
      <c r="J2515" s="2523"/>
      <c r="K2515" s="2163"/>
      <c r="L2515" s="2523"/>
      <c r="M2515" s="2163"/>
    </row>
    <row r="2516" spans="1:15">
      <c r="A2516" s="2160" t="s">
        <v>2738</v>
      </c>
      <c r="B2516" s="2161"/>
      <c r="C2516" s="2160" t="s">
        <v>2739</v>
      </c>
      <c r="D2516" s="2161"/>
      <c r="E2516" s="2160" t="s">
        <v>2640</v>
      </c>
      <c r="F2516" s="2161"/>
    </row>
    <row r="2517" spans="1:15">
      <c r="A2517" s="2163"/>
      <c r="B2517" s="2163"/>
      <c r="C2517" s="2163"/>
      <c r="D2517" s="2163"/>
      <c r="E2517" s="2163"/>
      <c r="F2517" s="2163"/>
      <c r="G2517" s="2163"/>
      <c r="H2517" s="2163"/>
      <c r="I2517" s="2163"/>
      <c r="J2517" s="2163"/>
      <c r="K2517" s="2163"/>
      <c r="L2517" s="2163"/>
      <c r="M2517" s="2163"/>
    </row>
    <row r="2518" spans="1:15">
      <c r="A2518" s="2164"/>
      <c r="H2518" s="2522" t="s">
        <v>2637</v>
      </c>
      <c r="I2518" s="2522"/>
      <c r="J2518" s="2163"/>
      <c r="K2518" s="2523">
        <v>0</v>
      </c>
      <c r="L2518" s="2523"/>
      <c r="M2518" s="2163"/>
      <c r="N2518" s="2527"/>
      <c r="O2518" s="2163"/>
    </row>
    <row r="2519" spans="1:15">
      <c r="H2519" s="2163"/>
      <c r="I2519" s="2163"/>
      <c r="J2519" s="2163"/>
      <c r="K2519" s="2523"/>
      <c r="L2519" s="2523"/>
      <c r="N2519" s="2527"/>
    </row>
    <row r="2520" spans="1:15">
      <c r="A2520" s="2165">
        <v>60098</v>
      </c>
      <c r="B2520" s="2163"/>
      <c r="C2520" s="2524" t="s">
        <v>2686</v>
      </c>
      <c r="D2520" s="2524"/>
      <c r="E2520" s="2524"/>
      <c r="F2520" s="2524"/>
      <c r="G2520" s="2524"/>
      <c r="H2520" s="2524"/>
      <c r="I2520" s="2524"/>
      <c r="J2520" s="2163"/>
      <c r="K2520" s="2163"/>
      <c r="L2520" s="2163"/>
      <c r="M2520" s="2163"/>
    </row>
    <row r="2521" spans="1:15">
      <c r="A2521" s="2163"/>
      <c r="B2521" s="2163"/>
      <c r="C2521" s="2163"/>
      <c r="D2521" s="2163"/>
      <c r="E2521" s="2163"/>
      <c r="F2521" s="2163"/>
      <c r="G2521" s="2163"/>
      <c r="H2521" s="2163"/>
      <c r="I2521" s="2163"/>
      <c r="J2521" s="2163"/>
      <c r="K2521" s="2163"/>
      <c r="L2521" s="2163"/>
      <c r="M2521" s="2163"/>
    </row>
    <row r="2522" spans="1:15">
      <c r="A2522" s="2529"/>
      <c r="B2522" s="2529"/>
      <c r="C2522" s="2529"/>
      <c r="D2522" s="2166"/>
      <c r="E2522" s="2166"/>
      <c r="F2522" s="2166"/>
      <c r="G2522" s="2166"/>
      <c r="H2522" s="2525"/>
      <c r="I2522" s="2525"/>
      <c r="J2522" s="2525"/>
      <c r="K2522" s="2166"/>
      <c r="L2522" s="2167"/>
      <c r="M2522" s="2166"/>
    </row>
    <row r="2523" spans="1:15">
      <c r="A2523" s="2164"/>
      <c r="B2523" s="2164"/>
      <c r="C2523" s="2164"/>
      <c r="D2523" s="2164"/>
      <c r="E2523" s="2522" t="s">
        <v>2639</v>
      </c>
      <c r="F2523" s="2522"/>
      <c r="G2523" s="2164"/>
      <c r="H2523" s="2523">
        <v>0</v>
      </c>
      <c r="I2523" s="2523"/>
      <c r="J2523" s="2523"/>
      <c r="K2523" s="2163"/>
      <c r="L2523" s="2523">
        <v>0</v>
      </c>
      <c r="M2523" s="2163"/>
    </row>
    <row r="2524" spans="1:15">
      <c r="A2524" s="2164"/>
      <c r="B2524" s="2164"/>
      <c r="C2524" s="2164"/>
      <c r="D2524" s="2164"/>
      <c r="E2524" s="2164"/>
      <c r="F2524" s="2164"/>
      <c r="G2524" s="2164"/>
      <c r="H2524" s="2523"/>
      <c r="I2524" s="2523"/>
      <c r="J2524" s="2523"/>
      <c r="K2524" s="2163"/>
      <c r="L2524" s="2523"/>
      <c r="M2524" s="2163"/>
    </row>
    <row r="2525" spans="1:15">
      <c r="A2525" s="2160" t="s">
        <v>2738</v>
      </c>
      <c r="B2525" s="2161"/>
      <c r="C2525" s="2160" t="s">
        <v>2739</v>
      </c>
      <c r="D2525" s="2161"/>
      <c r="E2525" s="2160" t="s">
        <v>2640</v>
      </c>
      <c r="F2525" s="2161"/>
    </row>
    <row r="2526" spans="1:15">
      <c r="A2526" s="2163"/>
      <c r="B2526" s="2163"/>
      <c r="C2526" s="2163"/>
      <c r="D2526" s="2163"/>
      <c r="E2526" s="2163"/>
      <c r="F2526" s="2163"/>
      <c r="G2526" s="2163"/>
      <c r="H2526" s="2163"/>
      <c r="I2526" s="2163"/>
      <c r="J2526" s="2163"/>
      <c r="K2526" s="2163"/>
      <c r="L2526" s="2163"/>
      <c r="M2526" s="2163"/>
    </row>
    <row r="2527" spans="1:15">
      <c r="A2527" s="2164"/>
      <c r="H2527" s="2522" t="s">
        <v>2637</v>
      </c>
      <c r="I2527" s="2522"/>
      <c r="J2527" s="2163"/>
      <c r="K2527" s="2528">
        <v>100244.0814</v>
      </c>
      <c r="L2527" s="2528"/>
      <c r="M2527" s="2163"/>
      <c r="N2527" s="2527" t="s">
        <v>3036</v>
      </c>
      <c r="O2527" s="2163"/>
    </row>
    <row r="2528" spans="1:15">
      <c r="H2528" s="2163"/>
      <c r="I2528" s="2163"/>
      <c r="J2528" s="2163"/>
      <c r="K2528" s="2528"/>
      <c r="L2528" s="2528"/>
      <c r="N2528" s="2527"/>
    </row>
    <row r="2529" spans="1:15">
      <c r="A2529" s="2165">
        <v>66489</v>
      </c>
      <c r="B2529" s="2163"/>
      <c r="C2529" s="2524" t="s">
        <v>2687</v>
      </c>
      <c r="D2529" s="2524"/>
      <c r="E2529" s="2524"/>
      <c r="F2529" s="2524"/>
      <c r="G2529" s="2524"/>
      <c r="H2529" s="2524"/>
      <c r="I2529" s="2524"/>
      <c r="J2529" s="2163"/>
      <c r="K2529" s="2163"/>
      <c r="L2529" s="2163"/>
      <c r="M2529" s="2163"/>
    </row>
    <row r="2530" spans="1:15">
      <c r="A2530" s="2163"/>
      <c r="B2530" s="2163"/>
      <c r="C2530" s="2163"/>
      <c r="D2530" s="2163"/>
      <c r="E2530" s="2163"/>
      <c r="F2530" s="2163"/>
      <c r="G2530" s="2163"/>
      <c r="H2530" s="2163"/>
      <c r="I2530" s="2163"/>
      <c r="J2530" s="2163"/>
      <c r="K2530" s="2163"/>
      <c r="L2530" s="2163"/>
      <c r="M2530" s="2163"/>
    </row>
    <row r="2531" spans="1:15">
      <c r="A2531" s="2529"/>
      <c r="B2531" s="2529"/>
      <c r="C2531" s="2529"/>
      <c r="D2531" s="2166"/>
      <c r="E2531" s="2166"/>
      <c r="F2531" s="2166"/>
      <c r="G2531" s="2166"/>
      <c r="H2531" s="2525"/>
      <c r="I2531" s="2525"/>
      <c r="J2531" s="2525"/>
      <c r="K2531" s="2166"/>
      <c r="L2531" s="2167"/>
      <c r="M2531" s="2166"/>
    </row>
    <row r="2532" spans="1:15">
      <c r="A2532" s="2164"/>
      <c r="B2532" s="2164"/>
      <c r="C2532" s="2164"/>
      <c r="D2532" s="2164"/>
      <c r="E2532" s="2522" t="s">
        <v>2639</v>
      </c>
      <c r="F2532" s="2522"/>
      <c r="G2532" s="2164"/>
      <c r="H2532" s="2528">
        <v>100244.0814</v>
      </c>
      <c r="I2532" s="2528"/>
      <c r="J2532" s="2528"/>
      <c r="K2532" s="2163"/>
      <c r="L2532" s="2528">
        <v>5406163.3099999996</v>
      </c>
      <c r="M2532" s="2163"/>
    </row>
    <row r="2533" spans="1:15">
      <c r="A2533" s="2164"/>
      <c r="B2533" s="2164"/>
      <c r="C2533" s="2164"/>
      <c r="D2533" s="2164"/>
      <c r="E2533" s="2164"/>
      <c r="F2533" s="2164"/>
      <c r="G2533" s="2164"/>
      <c r="H2533" s="2528"/>
      <c r="I2533" s="2528"/>
      <c r="J2533" s="2528"/>
      <c r="K2533" s="2163"/>
      <c r="L2533" s="2528"/>
      <c r="M2533" s="2163"/>
    </row>
    <row r="2534" spans="1:15" ht="27.6">
      <c r="A2534" s="2160" t="s">
        <v>2742</v>
      </c>
      <c r="B2534" s="2161"/>
      <c r="C2534" s="2160" t="s">
        <v>2743</v>
      </c>
      <c r="D2534" s="2161"/>
      <c r="E2534" s="2160" t="s">
        <v>2640</v>
      </c>
      <c r="F2534" s="2161"/>
    </row>
    <row r="2535" spans="1:15">
      <c r="A2535" s="2163"/>
      <c r="B2535" s="2163"/>
      <c r="C2535" s="2163"/>
      <c r="D2535" s="2163"/>
      <c r="E2535" s="2163"/>
      <c r="F2535" s="2163"/>
      <c r="G2535" s="2163"/>
      <c r="H2535" s="2163"/>
      <c r="I2535" s="2163"/>
      <c r="J2535" s="2163"/>
      <c r="K2535" s="2163"/>
      <c r="L2535" s="2163"/>
      <c r="M2535" s="2163"/>
    </row>
    <row r="2536" spans="1:15">
      <c r="A2536" s="2164"/>
      <c r="H2536" s="2522" t="s">
        <v>2637</v>
      </c>
      <c r="I2536" s="2522"/>
      <c r="J2536" s="2163"/>
      <c r="K2536" s="2523">
        <v>0</v>
      </c>
      <c r="L2536" s="2523"/>
      <c r="M2536" s="2163"/>
      <c r="N2536" s="2527"/>
      <c r="O2536" s="2163"/>
    </row>
    <row r="2537" spans="1:15">
      <c r="H2537" s="2163"/>
      <c r="I2537" s="2163"/>
      <c r="J2537" s="2163"/>
      <c r="K2537" s="2523"/>
      <c r="L2537" s="2523"/>
      <c r="N2537" s="2527"/>
    </row>
    <row r="2538" spans="1:15">
      <c r="A2538" s="2165">
        <v>786</v>
      </c>
      <c r="B2538" s="2163"/>
      <c r="C2538" s="2524" t="s">
        <v>2744</v>
      </c>
      <c r="D2538" s="2524"/>
      <c r="E2538" s="2524"/>
      <c r="F2538" s="2524"/>
      <c r="G2538" s="2524"/>
      <c r="H2538" s="2524"/>
      <c r="I2538" s="2524"/>
      <c r="J2538" s="2163"/>
      <c r="K2538" s="2163"/>
      <c r="L2538" s="2163"/>
      <c r="M2538" s="2163"/>
    </row>
    <row r="2539" spans="1:15">
      <c r="A2539" s="2163"/>
      <c r="B2539" s="2163"/>
      <c r="C2539" s="2163"/>
      <c r="D2539" s="2163"/>
      <c r="E2539" s="2163"/>
      <c r="F2539" s="2163"/>
      <c r="G2539" s="2163"/>
      <c r="H2539" s="2163"/>
      <c r="I2539" s="2163"/>
      <c r="J2539" s="2163"/>
      <c r="K2539" s="2163"/>
      <c r="L2539" s="2163"/>
      <c r="M2539" s="2163"/>
    </row>
    <row r="2540" spans="1:15">
      <c r="A2540" s="2529"/>
      <c r="B2540" s="2529"/>
      <c r="C2540" s="2529"/>
      <c r="D2540" s="2166"/>
      <c r="E2540" s="2166"/>
      <c r="F2540" s="2166"/>
      <c r="G2540" s="2166"/>
      <c r="H2540" s="2525"/>
      <c r="I2540" s="2525"/>
      <c r="J2540" s="2525"/>
      <c r="K2540" s="2166"/>
      <c r="L2540" s="2167"/>
      <c r="M2540" s="2166"/>
    </row>
    <row r="2541" spans="1:15">
      <c r="A2541" s="2164"/>
      <c r="B2541" s="2164"/>
      <c r="C2541" s="2164"/>
      <c r="D2541" s="2164"/>
      <c r="E2541" s="2522" t="s">
        <v>2639</v>
      </c>
      <c r="F2541" s="2522"/>
      <c r="G2541" s="2164"/>
      <c r="H2541" s="2523">
        <v>0</v>
      </c>
      <c r="I2541" s="2523"/>
      <c r="J2541" s="2523"/>
      <c r="K2541" s="2163"/>
      <c r="L2541" s="2530"/>
      <c r="M2541" s="2163"/>
    </row>
    <row r="2542" spans="1:15">
      <c r="A2542" s="2164"/>
      <c r="B2542" s="2164"/>
      <c r="C2542" s="2164"/>
      <c r="D2542" s="2164"/>
      <c r="E2542" s="2164"/>
      <c r="F2542" s="2164"/>
      <c r="G2542" s="2164"/>
      <c r="H2542" s="2523"/>
      <c r="I2542" s="2523"/>
      <c r="J2542" s="2523"/>
      <c r="K2542" s="2163"/>
      <c r="L2542" s="2530"/>
      <c r="M2542" s="2163"/>
    </row>
    <row r="2543" spans="1:15" ht="27.6">
      <c r="A2543" s="2160" t="s">
        <v>2742</v>
      </c>
      <c r="B2543" s="2161"/>
      <c r="C2543" s="2160" t="s">
        <v>2743</v>
      </c>
      <c r="D2543" s="2161"/>
      <c r="E2543" s="2160" t="s">
        <v>2640</v>
      </c>
      <c r="F2543" s="2161"/>
    </row>
    <row r="2544" spans="1:15">
      <c r="A2544" s="2163"/>
      <c r="B2544" s="2163"/>
      <c r="C2544" s="2163"/>
      <c r="D2544" s="2163"/>
      <c r="E2544" s="2163"/>
      <c r="F2544" s="2163"/>
      <c r="G2544" s="2163"/>
      <c r="H2544" s="2163"/>
      <c r="I2544" s="2163"/>
      <c r="J2544" s="2163"/>
      <c r="K2544" s="2163"/>
      <c r="L2544" s="2163"/>
      <c r="M2544" s="2163"/>
    </row>
    <row r="2545" spans="1:15">
      <c r="A2545" s="2164"/>
      <c r="H2545" s="2522" t="s">
        <v>2637</v>
      </c>
      <c r="I2545" s="2522"/>
      <c r="J2545" s="2163"/>
      <c r="K2545" s="2523">
        <v>0</v>
      </c>
      <c r="L2545" s="2523"/>
      <c r="M2545" s="2163"/>
      <c r="N2545" s="2527"/>
      <c r="O2545" s="2163"/>
    </row>
    <row r="2546" spans="1:15">
      <c r="H2546" s="2163"/>
      <c r="I2546" s="2163"/>
      <c r="J2546" s="2163"/>
      <c r="K2546" s="2523"/>
      <c r="L2546" s="2523"/>
      <c r="N2546" s="2527"/>
    </row>
    <row r="2547" spans="1:15">
      <c r="A2547" s="2165">
        <v>7176</v>
      </c>
      <c r="B2547" s="2163"/>
      <c r="C2547" s="2524" t="s">
        <v>2714</v>
      </c>
      <c r="D2547" s="2524"/>
      <c r="E2547" s="2524"/>
      <c r="F2547" s="2524"/>
      <c r="G2547" s="2524"/>
      <c r="H2547" s="2524"/>
      <c r="I2547" s="2524"/>
      <c r="J2547" s="2163"/>
      <c r="K2547" s="2163"/>
      <c r="L2547" s="2163"/>
      <c r="M2547" s="2163"/>
    </row>
    <row r="2548" spans="1:15">
      <c r="A2548" s="2163"/>
      <c r="B2548" s="2163"/>
      <c r="C2548" s="2163"/>
      <c r="D2548" s="2163"/>
      <c r="E2548" s="2163"/>
      <c r="F2548" s="2163"/>
      <c r="G2548" s="2163"/>
      <c r="H2548" s="2163"/>
      <c r="I2548" s="2163"/>
      <c r="J2548" s="2163"/>
      <c r="K2548" s="2163"/>
      <c r="L2548" s="2163"/>
      <c r="M2548" s="2163"/>
    </row>
    <row r="2549" spans="1:15">
      <c r="A2549" s="2529"/>
      <c r="B2549" s="2529"/>
      <c r="C2549" s="2529"/>
      <c r="D2549" s="2166"/>
      <c r="E2549" s="2166"/>
      <c r="F2549" s="2166"/>
      <c r="G2549" s="2166"/>
      <c r="H2549" s="2525"/>
      <c r="I2549" s="2525"/>
      <c r="J2549" s="2525"/>
      <c r="K2549" s="2166"/>
      <c r="L2549" s="2167"/>
      <c r="M2549" s="2166"/>
    </row>
    <row r="2550" spans="1:15">
      <c r="A2550" s="2164"/>
      <c r="B2550" s="2164"/>
      <c r="C2550" s="2164"/>
      <c r="D2550" s="2164"/>
      <c r="E2550" s="2522" t="s">
        <v>2639</v>
      </c>
      <c r="F2550" s="2522"/>
      <c r="G2550" s="2164"/>
      <c r="H2550" s="2523">
        <v>0</v>
      </c>
      <c r="I2550" s="2523"/>
      <c r="J2550" s="2523"/>
      <c r="K2550" s="2163"/>
      <c r="L2550" s="2530"/>
      <c r="M2550" s="2163"/>
    </row>
    <row r="2551" spans="1:15">
      <c r="A2551" s="2164"/>
      <c r="B2551" s="2164"/>
      <c r="C2551" s="2164"/>
      <c r="D2551" s="2164"/>
      <c r="E2551" s="2164"/>
      <c r="F2551" s="2164"/>
      <c r="G2551" s="2164"/>
      <c r="H2551" s="2523"/>
      <c r="I2551" s="2523"/>
      <c r="J2551" s="2523"/>
      <c r="K2551" s="2163"/>
      <c r="L2551" s="2530"/>
      <c r="M2551" s="2163"/>
    </row>
    <row r="2552" spans="1:15" ht="27.6">
      <c r="A2552" s="2160" t="s">
        <v>2742</v>
      </c>
      <c r="B2552" s="2161"/>
      <c r="C2552" s="2160" t="s">
        <v>2743</v>
      </c>
      <c r="D2552" s="2161"/>
      <c r="E2552" s="2160" t="s">
        <v>2640</v>
      </c>
      <c r="F2552" s="2161"/>
    </row>
    <row r="2553" spans="1:15">
      <c r="A2553" s="2163"/>
      <c r="B2553" s="2163"/>
      <c r="C2553" s="2163"/>
      <c r="D2553" s="2163"/>
      <c r="E2553" s="2163"/>
      <c r="F2553" s="2163"/>
      <c r="G2553" s="2163"/>
      <c r="H2553" s="2163"/>
      <c r="I2553" s="2163"/>
      <c r="J2553" s="2163"/>
      <c r="K2553" s="2163"/>
      <c r="L2553" s="2163"/>
      <c r="M2553" s="2163"/>
    </row>
    <row r="2554" spans="1:15">
      <c r="A2554" s="2164"/>
      <c r="H2554" s="2522" t="s">
        <v>2637</v>
      </c>
      <c r="I2554" s="2522"/>
      <c r="J2554" s="2163"/>
      <c r="K2554" s="2523">
        <v>0</v>
      </c>
      <c r="L2554" s="2523"/>
      <c r="M2554" s="2163"/>
      <c r="N2554" s="2527"/>
      <c r="O2554" s="2163"/>
    </row>
    <row r="2555" spans="1:15">
      <c r="H2555" s="2163"/>
      <c r="I2555" s="2163"/>
      <c r="J2555" s="2163"/>
      <c r="K2555" s="2523"/>
      <c r="L2555" s="2523"/>
      <c r="N2555" s="2527"/>
    </row>
    <row r="2556" spans="1:15">
      <c r="A2556" s="2165">
        <v>18221</v>
      </c>
      <c r="B2556" s="2163"/>
      <c r="C2556" s="2524" t="s">
        <v>2732</v>
      </c>
      <c r="D2556" s="2524"/>
      <c r="E2556" s="2524"/>
      <c r="F2556" s="2524"/>
      <c r="G2556" s="2524"/>
      <c r="H2556" s="2524"/>
      <c r="I2556" s="2524"/>
      <c r="J2556" s="2163"/>
      <c r="K2556" s="2163"/>
      <c r="L2556" s="2163"/>
      <c r="M2556" s="2163"/>
    </row>
    <row r="2557" spans="1:15">
      <c r="A2557" s="2163"/>
      <c r="B2557" s="2163"/>
      <c r="C2557" s="2163"/>
      <c r="D2557" s="2163"/>
      <c r="E2557" s="2163"/>
      <c r="F2557" s="2163"/>
      <c r="G2557" s="2163"/>
      <c r="H2557" s="2163"/>
      <c r="I2557" s="2163"/>
      <c r="J2557" s="2163"/>
      <c r="K2557" s="2163"/>
      <c r="L2557" s="2163"/>
      <c r="M2557" s="2163"/>
    </row>
    <row r="2558" spans="1:15">
      <c r="A2558" s="2529"/>
      <c r="B2558" s="2529"/>
      <c r="C2558" s="2529"/>
      <c r="D2558" s="2166"/>
      <c r="E2558" s="2166"/>
      <c r="F2558" s="2166"/>
      <c r="G2558" s="2166"/>
      <c r="H2558" s="2525"/>
      <c r="I2558" s="2525"/>
      <c r="J2558" s="2525"/>
      <c r="K2558" s="2166"/>
      <c r="L2558" s="2167"/>
      <c r="M2558" s="2166"/>
    </row>
    <row r="2559" spans="1:15">
      <c r="A2559" s="2164"/>
      <c r="B2559" s="2164"/>
      <c r="C2559" s="2164"/>
      <c r="D2559" s="2164"/>
      <c r="E2559" s="2522" t="s">
        <v>2639</v>
      </c>
      <c r="F2559" s="2522"/>
      <c r="G2559" s="2164"/>
      <c r="H2559" s="2523">
        <v>0</v>
      </c>
      <c r="I2559" s="2523"/>
      <c r="J2559" s="2523"/>
      <c r="K2559" s="2163"/>
      <c r="L2559" s="2530"/>
      <c r="M2559" s="2163"/>
    </row>
    <row r="2560" spans="1:15">
      <c r="A2560" s="2164"/>
      <c r="B2560" s="2164"/>
      <c r="C2560" s="2164"/>
      <c r="D2560" s="2164"/>
      <c r="E2560" s="2164"/>
      <c r="F2560" s="2164"/>
      <c r="G2560" s="2164"/>
      <c r="H2560" s="2523"/>
      <c r="I2560" s="2523"/>
      <c r="J2560" s="2523"/>
      <c r="K2560" s="2163"/>
      <c r="L2560" s="2530"/>
      <c r="M2560" s="2163"/>
    </row>
    <row r="2561" spans="1:15" ht="27.6">
      <c r="A2561" s="2160" t="s">
        <v>2742</v>
      </c>
      <c r="B2561" s="2161"/>
      <c r="C2561" s="2160" t="s">
        <v>2743</v>
      </c>
      <c r="D2561" s="2161"/>
      <c r="E2561" s="2160" t="s">
        <v>2640</v>
      </c>
      <c r="F2561" s="2161"/>
    </row>
    <row r="2562" spans="1:15">
      <c r="A2562" s="2163"/>
      <c r="B2562" s="2163"/>
      <c r="C2562" s="2163"/>
      <c r="D2562" s="2163"/>
      <c r="E2562" s="2163"/>
      <c r="F2562" s="2163"/>
      <c r="G2562" s="2163"/>
      <c r="H2562" s="2163"/>
      <c r="I2562" s="2163"/>
      <c r="J2562" s="2163"/>
      <c r="K2562" s="2163"/>
      <c r="L2562" s="2163"/>
      <c r="M2562" s="2163"/>
    </row>
    <row r="2563" spans="1:15">
      <c r="A2563" s="2164"/>
      <c r="H2563" s="2522" t="s">
        <v>2637</v>
      </c>
      <c r="I2563" s="2522"/>
      <c r="J2563" s="2163"/>
      <c r="K2563" s="2523">
        <v>0</v>
      </c>
      <c r="L2563" s="2523"/>
      <c r="M2563" s="2163"/>
      <c r="N2563" s="2527"/>
      <c r="O2563" s="2163"/>
    </row>
    <row r="2564" spans="1:15">
      <c r="H2564" s="2163"/>
      <c r="I2564" s="2163"/>
      <c r="J2564" s="2163"/>
      <c r="K2564" s="2523"/>
      <c r="L2564" s="2523"/>
      <c r="N2564" s="2527"/>
    </row>
    <row r="2565" spans="1:15">
      <c r="A2565" s="2165">
        <v>24122</v>
      </c>
      <c r="B2565" s="2163"/>
      <c r="C2565" s="2524" t="s">
        <v>2745</v>
      </c>
      <c r="D2565" s="2524"/>
      <c r="E2565" s="2524"/>
      <c r="F2565" s="2524"/>
      <c r="G2565" s="2524"/>
      <c r="H2565" s="2524"/>
      <c r="I2565" s="2524"/>
      <c r="J2565" s="2163"/>
      <c r="K2565" s="2163"/>
      <c r="L2565" s="2163"/>
      <c r="M2565" s="2163"/>
    </row>
    <row r="2566" spans="1:15">
      <c r="A2566" s="2163"/>
      <c r="B2566" s="2163"/>
      <c r="C2566" s="2163"/>
      <c r="D2566" s="2163"/>
      <c r="E2566" s="2163"/>
      <c r="F2566" s="2163"/>
      <c r="G2566" s="2163"/>
      <c r="H2566" s="2163"/>
      <c r="I2566" s="2163"/>
      <c r="J2566" s="2163"/>
      <c r="K2566" s="2163"/>
      <c r="L2566" s="2163"/>
      <c r="M2566" s="2163"/>
    </row>
    <row r="2567" spans="1:15">
      <c r="A2567" s="2529"/>
      <c r="B2567" s="2529"/>
      <c r="C2567" s="2529"/>
      <c r="D2567" s="2166"/>
      <c r="E2567" s="2166"/>
      <c r="F2567" s="2166"/>
      <c r="G2567" s="2166"/>
      <c r="H2567" s="2525"/>
      <c r="I2567" s="2525"/>
      <c r="J2567" s="2525"/>
      <c r="K2567" s="2166"/>
      <c r="L2567" s="2167"/>
      <c r="M2567" s="2166"/>
    </row>
    <row r="2568" spans="1:15">
      <c r="A2568" s="2164"/>
      <c r="B2568" s="2164"/>
      <c r="C2568" s="2164"/>
      <c r="D2568" s="2164"/>
      <c r="E2568" s="2522" t="s">
        <v>2639</v>
      </c>
      <c r="F2568" s="2522"/>
      <c r="G2568" s="2164"/>
      <c r="H2568" s="2523">
        <v>0</v>
      </c>
      <c r="I2568" s="2523"/>
      <c r="J2568" s="2523"/>
      <c r="K2568" s="2163"/>
      <c r="L2568" s="2530"/>
      <c r="M2568" s="2163"/>
    </row>
    <row r="2569" spans="1:15">
      <c r="A2569" s="2164"/>
      <c r="B2569" s="2164"/>
      <c r="C2569" s="2164"/>
      <c r="D2569" s="2164"/>
      <c r="E2569" s="2164"/>
      <c r="F2569" s="2164"/>
      <c r="G2569" s="2164"/>
      <c r="H2569" s="2523"/>
      <c r="I2569" s="2523"/>
      <c r="J2569" s="2523"/>
      <c r="K2569" s="2163"/>
      <c r="L2569" s="2530"/>
      <c r="M2569" s="2163"/>
    </row>
    <row r="2570" spans="1:15" ht="27.6">
      <c r="A2570" s="2160" t="s">
        <v>2746</v>
      </c>
      <c r="B2570" s="2161"/>
      <c r="C2570" s="2160" t="s">
        <v>2747</v>
      </c>
      <c r="D2570" s="2161"/>
      <c r="E2570" s="2160" t="s">
        <v>2640</v>
      </c>
      <c r="F2570" s="2161"/>
    </row>
    <row r="2571" spans="1:15">
      <c r="A2571" s="2163"/>
      <c r="B2571" s="2163"/>
      <c r="C2571" s="2163"/>
      <c r="D2571" s="2163"/>
      <c r="E2571" s="2163"/>
      <c r="F2571" s="2163"/>
      <c r="G2571" s="2163"/>
      <c r="H2571" s="2163"/>
      <c r="I2571" s="2163"/>
      <c r="J2571" s="2163"/>
      <c r="K2571" s="2163"/>
      <c r="L2571" s="2163"/>
      <c r="M2571" s="2163"/>
    </row>
    <row r="2572" spans="1:15">
      <c r="A2572" s="2164"/>
      <c r="H2572" s="2522" t="s">
        <v>2637</v>
      </c>
      <c r="I2572" s="2522"/>
      <c r="J2572" s="2163"/>
      <c r="K2572" s="2523">
        <v>0</v>
      </c>
      <c r="L2572" s="2523"/>
      <c r="M2572" s="2163"/>
      <c r="N2572" s="2527"/>
      <c r="O2572" s="2163"/>
    </row>
    <row r="2573" spans="1:15">
      <c r="H2573" s="2163"/>
      <c r="I2573" s="2163"/>
      <c r="J2573" s="2163"/>
      <c r="K2573" s="2523"/>
      <c r="L2573" s="2523"/>
      <c r="N2573" s="2527"/>
    </row>
    <row r="2574" spans="1:15">
      <c r="A2574" s="2165">
        <v>786</v>
      </c>
      <c r="B2574" s="2163"/>
      <c r="C2574" s="2524" t="s">
        <v>2744</v>
      </c>
      <c r="D2574" s="2524"/>
      <c r="E2574" s="2524"/>
      <c r="F2574" s="2524"/>
      <c r="G2574" s="2524"/>
      <c r="H2574" s="2524"/>
      <c r="I2574" s="2524"/>
      <c r="J2574" s="2163"/>
      <c r="K2574" s="2163"/>
      <c r="L2574" s="2163"/>
      <c r="M2574" s="2163"/>
    </row>
    <row r="2575" spans="1:15">
      <c r="A2575" s="2163"/>
      <c r="B2575" s="2163"/>
      <c r="C2575" s="2163"/>
      <c r="D2575" s="2163"/>
      <c r="E2575" s="2163"/>
      <c r="F2575" s="2163"/>
      <c r="G2575" s="2163"/>
      <c r="H2575" s="2163"/>
      <c r="I2575" s="2163"/>
      <c r="J2575" s="2163"/>
      <c r="K2575" s="2163"/>
      <c r="L2575" s="2163"/>
      <c r="M2575" s="2163"/>
    </row>
    <row r="2576" spans="1:15">
      <c r="A2576" s="2529"/>
      <c r="B2576" s="2529"/>
      <c r="C2576" s="2529"/>
      <c r="D2576" s="2166"/>
      <c r="E2576" s="2166"/>
      <c r="F2576" s="2166"/>
      <c r="G2576" s="2166"/>
      <c r="H2576" s="2525"/>
      <c r="I2576" s="2525"/>
      <c r="J2576" s="2525"/>
      <c r="K2576" s="2166"/>
      <c r="L2576" s="2167"/>
      <c r="M2576" s="2166"/>
    </row>
    <row r="2577" spans="1:15">
      <c r="A2577" s="2164"/>
      <c r="B2577" s="2164"/>
      <c r="C2577" s="2164"/>
      <c r="D2577" s="2164"/>
      <c r="E2577" s="2522" t="s">
        <v>2639</v>
      </c>
      <c r="F2577" s="2522"/>
      <c r="G2577" s="2164"/>
      <c r="H2577" s="2523">
        <v>0</v>
      </c>
      <c r="I2577" s="2523"/>
      <c r="J2577" s="2523"/>
      <c r="K2577" s="2163"/>
      <c r="L2577" s="2530"/>
      <c r="M2577" s="2163"/>
    </row>
    <row r="2578" spans="1:15">
      <c r="A2578" s="2164"/>
      <c r="B2578" s="2164"/>
      <c r="C2578" s="2164"/>
      <c r="D2578" s="2164"/>
      <c r="E2578" s="2164"/>
      <c r="F2578" s="2164"/>
      <c r="G2578" s="2164"/>
      <c r="H2578" s="2523"/>
      <c r="I2578" s="2523"/>
      <c r="J2578" s="2523"/>
      <c r="K2578" s="2163"/>
      <c r="L2578" s="2530"/>
      <c r="M2578" s="2163"/>
    </row>
    <row r="2579" spans="1:15" ht="27.6">
      <c r="A2579" s="2160" t="s">
        <v>2748</v>
      </c>
      <c r="B2579" s="2161"/>
      <c r="C2579" s="2160" t="s">
        <v>2749</v>
      </c>
      <c r="D2579" s="2161"/>
      <c r="E2579" s="2160" t="s">
        <v>2640</v>
      </c>
      <c r="F2579" s="2161"/>
    </row>
    <row r="2580" spans="1:15">
      <c r="A2580" s="2163"/>
      <c r="B2580" s="2163"/>
      <c r="C2580" s="2163"/>
      <c r="D2580" s="2163"/>
      <c r="E2580" s="2163"/>
      <c r="F2580" s="2163"/>
      <c r="G2580" s="2163"/>
      <c r="H2580" s="2163"/>
      <c r="I2580" s="2163"/>
      <c r="J2580" s="2163"/>
      <c r="K2580" s="2163"/>
      <c r="L2580" s="2163"/>
      <c r="M2580" s="2163"/>
    </row>
    <row r="2581" spans="1:15">
      <c r="A2581" s="2164"/>
      <c r="H2581" s="2522" t="s">
        <v>2637</v>
      </c>
      <c r="I2581" s="2522"/>
      <c r="J2581" s="2163"/>
      <c r="K2581" s="2523">
        <v>0</v>
      </c>
      <c r="L2581" s="2523"/>
      <c r="M2581" s="2163"/>
      <c r="N2581" s="2527"/>
      <c r="O2581" s="2163"/>
    </row>
    <row r="2582" spans="1:15">
      <c r="H2582" s="2163"/>
      <c r="I2582" s="2163"/>
      <c r="J2582" s="2163"/>
      <c r="K2582" s="2523"/>
      <c r="L2582" s="2523"/>
      <c r="N2582" s="2527"/>
    </row>
    <row r="2583" spans="1:15">
      <c r="A2583" s="2165">
        <v>786</v>
      </c>
      <c r="B2583" s="2163"/>
      <c r="C2583" s="2524" t="s">
        <v>2744</v>
      </c>
      <c r="D2583" s="2524"/>
      <c r="E2583" s="2524"/>
      <c r="F2583" s="2524"/>
      <c r="G2583" s="2524"/>
      <c r="H2583" s="2524"/>
      <c r="I2583" s="2524"/>
      <c r="J2583" s="2163"/>
      <c r="K2583" s="2163"/>
      <c r="L2583" s="2163"/>
      <c r="M2583" s="2163"/>
    </row>
    <row r="2584" spans="1:15">
      <c r="A2584" s="2163"/>
      <c r="B2584" s="2163"/>
      <c r="C2584" s="2163"/>
      <c r="D2584" s="2163"/>
      <c r="E2584" s="2163"/>
      <c r="F2584" s="2163"/>
      <c r="G2584" s="2163"/>
      <c r="H2584" s="2163"/>
      <c r="I2584" s="2163"/>
      <c r="J2584" s="2163"/>
      <c r="K2584" s="2163"/>
      <c r="L2584" s="2163"/>
      <c r="M2584" s="2163"/>
    </row>
    <row r="2585" spans="1:15">
      <c r="A2585" s="2529"/>
      <c r="B2585" s="2529"/>
      <c r="C2585" s="2529"/>
      <c r="D2585" s="2166"/>
      <c r="E2585" s="2166"/>
      <c r="F2585" s="2166"/>
      <c r="G2585" s="2166"/>
      <c r="H2585" s="2525"/>
      <c r="I2585" s="2525"/>
      <c r="J2585" s="2525"/>
      <c r="K2585" s="2166"/>
      <c r="L2585" s="2167"/>
      <c r="M2585" s="2166"/>
    </row>
    <row r="2586" spans="1:15">
      <c r="A2586" s="2164"/>
      <c r="B2586" s="2164"/>
      <c r="C2586" s="2164"/>
      <c r="D2586" s="2164"/>
      <c r="E2586" s="2522" t="s">
        <v>2639</v>
      </c>
      <c r="F2586" s="2522"/>
      <c r="G2586" s="2164"/>
      <c r="H2586" s="2523">
        <v>0</v>
      </c>
      <c r="I2586" s="2523"/>
      <c r="J2586" s="2523"/>
      <c r="K2586" s="2163"/>
      <c r="L2586" s="2530"/>
      <c r="M2586" s="2163"/>
    </row>
    <row r="2587" spans="1:15">
      <c r="A2587" s="2164"/>
      <c r="B2587" s="2164"/>
      <c r="C2587" s="2164"/>
      <c r="D2587" s="2164"/>
      <c r="E2587" s="2164"/>
      <c r="F2587" s="2164"/>
      <c r="G2587" s="2164"/>
      <c r="H2587" s="2523"/>
      <c r="I2587" s="2523"/>
      <c r="J2587" s="2523"/>
      <c r="K2587" s="2163"/>
      <c r="L2587" s="2530"/>
      <c r="M2587" s="2163"/>
    </row>
    <row r="2588" spans="1:15" ht="27.6">
      <c r="A2588" s="2160" t="s">
        <v>2750</v>
      </c>
      <c r="B2588" s="2161"/>
      <c r="C2588" s="2160" t="s">
        <v>2751</v>
      </c>
      <c r="D2588" s="2161"/>
      <c r="E2588" s="2160" t="s">
        <v>2640</v>
      </c>
      <c r="F2588" s="2161"/>
    </row>
    <row r="2589" spans="1:15">
      <c r="A2589" s="2163"/>
      <c r="B2589" s="2163"/>
      <c r="C2589" s="2163"/>
      <c r="D2589" s="2163"/>
      <c r="E2589" s="2163"/>
      <c r="F2589" s="2163"/>
      <c r="G2589" s="2163"/>
      <c r="H2589" s="2163"/>
      <c r="I2589" s="2163"/>
      <c r="J2589" s="2163"/>
      <c r="K2589" s="2163"/>
      <c r="L2589" s="2163"/>
      <c r="M2589" s="2163"/>
    </row>
    <row r="2590" spans="1:15">
      <c r="A2590" s="2164"/>
      <c r="H2590" s="2522" t="s">
        <v>2637</v>
      </c>
      <c r="I2590" s="2522"/>
      <c r="J2590" s="2163"/>
      <c r="K2590" s="2523">
        <v>0</v>
      </c>
      <c r="L2590" s="2523"/>
      <c r="M2590" s="2163"/>
      <c r="N2590" s="2527"/>
      <c r="O2590" s="2163"/>
    </row>
    <row r="2591" spans="1:15">
      <c r="H2591" s="2163"/>
      <c r="I2591" s="2163"/>
      <c r="J2591" s="2163"/>
      <c r="K2591" s="2523"/>
      <c r="L2591" s="2523"/>
      <c r="N2591" s="2527"/>
    </row>
    <row r="2592" spans="1:15">
      <c r="A2592" s="2165">
        <v>786</v>
      </c>
      <c r="B2592" s="2163"/>
      <c r="C2592" s="2524" t="s">
        <v>2744</v>
      </c>
      <c r="D2592" s="2524"/>
      <c r="E2592" s="2524"/>
      <c r="F2592" s="2524"/>
      <c r="G2592" s="2524"/>
      <c r="H2592" s="2524"/>
      <c r="I2592" s="2524"/>
      <c r="J2592" s="2163"/>
      <c r="K2592" s="2163"/>
      <c r="L2592" s="2163"/>
      <c r="M2592" s="2163"/>
    </row>
    <row r="2593" spans="1:15">
      <c r="A2593" s="2163"/>
      <c r="B2593" s="2163"/>
      <c r="C2593" s="2163"/>
      <c r="D2593" s="2163"/>
      <c r="E2593" s="2163"/>
      <c r="F2593" s="2163"/>
      <c r="G2593" s="2163"/>
      <c r="H2593" s="2163"/>
      <c r="I2593" s="2163"/>
      <c r="J2593" s="2163"/>
      <c r="K2593" s="2163"/>
      <c r="L2593" s="2163"/>
      <c r="M2593" s="2163"/>
    </row>
    <row r="2594" spans="1:15">
      <c r="A2594" s="2529"/>
      <c r="B2594" s="2529"/>
      <c r="C2594" s="2529"/>
      <c r="D2594" s="2166"/>
      <c r="E2594" s="2166"/>
      <c r="F2594" s="2166"/>
      <c r="G2594" s="2166"/>
      <c r="H2594" s="2525"/>
      <c r="I2594" s="2525"/>
      <c r="J2594" s="2525"/>
      <c r="K2594" s="2166"/>
      <c r="L2594" s="2167"/>
      <c r="M2594" s="2166"/>
    </row>
    <row r="2595" spans="1:15">
      <c r="A2595" s="2164"/>
      <c r="B2595" s="2164"/>
      <c r="C2595" s="2164"/>
      <c r="D2595" s="2164"/>
      <c r="E2595" s="2522" t="s">
        <v>2639</v>
      </c>
      <c r="F2595" s="2522"/>
      <c r="G2595" s="2164"/>
      <c r="H2595" s="2523">
        <v>0</v>
      </c>
      <c r="I2595" s="2523"/>
      <c r="J2595" s="2523"/>
      <c r="K2595" s="2163"/>
      <c r="L2595" s="2530"/>
      <c r="M2595" s="2163"/>
    </row>
    <row r="2596" spans="1:15">
      <c r="A2596" s="2164"/>
      <c r="B2596" s="2164"/>
      <c r="C2596" s="2164"/>
      <c r="D2596" s="2164"/>
      <c r="E2596" s="2164"/>
      <c r="F2596" s="2164"/>
      <c r="G2596" s="2164"/>
      <c r="H2596" s="2523"/>
      <c r="I2596" s="2523"/>
      <c r="J2596" s="2523"/>
      <c r="K2596" s="2163"/>
      <c r="L2596" s="2530"/>
      <c r="M2596" s="2163"/>
    </row>
    <row r="2597" spans="1:15" ht="27.6">
      <c r="A2597" s="2160" t="s">
        <v>2752</v>
      </c>
      <c r="B2597" s="2161"/>
      <c r="C2597" s="2160" t="s">
        <v>2753</v>
      </c>
      <c r="D2597" s="2161"/>
      <c r="E2597" s="2160" t="s">
        <v>2640</v>
      </c>
      <c r="F2597" s="2161"/>
    </row>
    <row r="2598" spans="1:15">
      <c r="A2598" s="2163"/>
      <c r="B2598" s="2163"/>
      <c r="C2598" s="2163"/>
      <c r="D2598" s="2163"/>
      <c r="E2598" s="2163"/>
      <c r="F2598" s="2163"/>
      <c r="G2598" s="2163"/>
      <c r="H2598" s="2163"/>
      <c r="I2598" s="2163"/>
      <c r="J2598" s="2163"/>
      <c r="K2598" s="2163"/>
      <c r="L2598" s="2163"/>
      <c r="M2598" s="2163"/>
    </row>
    <row r="2599" spans="1:15">
      <c r="A2599" s="2164"/>
      <c r="H2599" s="2522" t="s">
        <v>2637</v>
      </c>
      <c r="I2599" s="2522"/>
      <c r="J2599" s="2163"/>
      <c r="K2599" s="2523">
        <v>0</v>
      </c>
      <c r="L2599" s="2523"/>
      <c r="M2599" s="2163"/>
      <c r="N2599" s="2527"/>
      <c r="O2599" s="2163"/>
    </row>
    <row r="2600" spans="1:15">
      <c r="H2600" s="2163"/>
      <c r="I2600" s="2163"/>
      <c r="J2600" s="2163"/>
      <c r="K2600" s="2523"/>
      <c r="L2600" s="2523"/>
      <c r="N2600" s="2527"/>
    </row>
    <row r="2601" spans="1:15">
      <c r="A2601" s="2165">
        <v>26</v>
      </c>
      <c r="B2601" s="2163"/>
      <c r="C2601" s="2524" t="s">
        <v>2845</v>
      </c>
      <c r="D2601" s="2524"/>
      <c r="E2601" s="2524"/>
      <c r="F2601" s="2524"/>
      <c r="G2601" s="2524"/>
      <c r="H2601" s="2524"/>
      <c r="I2601" s="2524"/>
      <c r="J2601" s="2163"/>
      <c r="K2601" s="2163"/>
      <c r="L2601" s="2163"/>
      <c r="M2601" s="2163"/>
    </row>
    <row r="2602" spans="1:15">
      <c r="A2602" s="2163"/>
      <c r="B2602" s="2163"/>
      <c r="C2602" s="2163"/>
      <c r="D2602" s="2163"/>
      <c r="E2602" s="2163"/>
      <c r="F2602" s="2163"/>
      <c r="G2602" s="2163"/>
      <c r="H2602" s="2163"/>
      <c r="I2602" s="2163"/>
      <c r="J2602" s="2163"/>
      <c r="K2602" s="2163"/>
      <c r="L2602" s="2163"/>
      <c r="M2602" s="2163"/>
    </row>
    <row r="2603" spans="1:15">
      <c r="A2603" s="2529"/>
      <c r="B2603" s="2529"/>
      <c r="C2603" s="2529"/>
      <c r="D2603" s="2166"/>
      <c r="E2603" s="2166"/>
      <c r="F2603" s="2166"/>
      <c r="G2603" s="2166"/>
      <c r="H2603" s="2525"/>
      <c r="I2603" s="2525"/>
      <c r="J2603" s="2525"/>
      <c r="K2603" s="2166"/>
      <c r="L2603" s="2167"/>
      <c r="M2603" s="2166"/>
    </row>
    <row r="2604" spans="1:15">
      <c r="A2604" s="2164"/>
      <c r="B2604" s="2164"/>
      <c r="C2604" s="2164"/>
      <c r="D2604" s="2164"/>
      <c r="E2604" s="2522" t="s">
        <v>2639</v>
      </c>
      <c r="F2604" s="2522"/>
      <c r="G2604" s="2164"/>
      <c r="H2604" s="2523">
        <v>0</v>
      </c>
      <c r="I2604" s="2523"/>
      <c r="J2604" s="2523"/>
      <c r="K2604" s="2163"/>
      <c r="L2604" s="2530"/>
      <c r="M2604" s="2163"/>
    </row>
    <row r="2605" spans="1:15">
      <c r="A2605" s="2164"/>
      <c r="B2605" s="2164"/>
      <c r="C2605" s="2164"/>
      <c r="D2605" s="2164"/>
      <c r="E2605" s="2164"/>
      <c r="F2605" s="2164"/>
      <c r="G2605" s="2164"/>
      <c r="H2605" s="2523"/>
      <c r="I2605" s="2523"/>
      <c r="J2605" s="2523"/>
      <c r="K2605" s="2163"/>
      <c r="L2605" s="2530"/>
      <c r="M2605" s="2163"/>
    </row>
    <row r="2606" spans="1:15" ht="27.6">
      <c r="A2606" s="2160" t="s">
        <v>2752</v>
      </c>
      <c r="B2606" s="2161"/>
      <c r="C2606" s="2160" t="s">
        <v>2753</v>
      </c>
      <c r="D2606" s="2161"/>
      <c r="E2606" s="2160" t="s">
        <v>2640</v>
      </c>
      <c r="F2606" s="2161"/>
    </row>
    <row r="2607" spans="1:15">
      <c r="A2607" s="2163"/>
      <c r="B2607" s="2163"/>
      <c r="C2607" s="2163"/>
      <c r="D2607" s="2163"/>
      <c r="E2607" s="2163"/>
      <c r="F2607" s="2163"/>
      <c r="G2607" s="2163"/>
      <c r="H2607" s="2163"/>
      <c r="I2607" s="2163"/>
      <c r="J2607" s="2163"/>
      <c r="K2607" s="2163"/>
      <c r="L2607" s="2163"/>
      <c r="M2607" s="2163"/>
    </row>
    <row r="2608" spans="1:15">
      <c r="A2608" s="2164"/>
      <c r="H2608" s="2522" t="s">
        <v>2637</v>
      </c>
      <c r="I2608" s="2522"/>
      <c r="J2608" s="2163"/>
      <c r="K2608" s="2523">
        <v>0</v>
      </c>
      <c r="L2608" s="2523"/>
      <c r="M2608" s="2163"/>
      <c r="N2608" s="2527"/>
      <c r="O2608" s="2163"/>
    </row>
    <row r="2609" spans="1:15">
      <c r="H2609" s="2163"/>
      <c r="I2609" s="2163"/>
      <c r="J2609" s="2163"/>
      <c r="K2609" s="2523"/>
      <c r="L2609" s="2523"/>
      <c r="N2609" s="2527"/>
    </row>
    <row r="2610" spans="1:15">
      <c r="A2610" s="2165">
        <v>425</v>
      </c>
      <c r="B2610" s="2163"/>
      <c r="C2610" s="2524" t="s">
        <v>2641</v>
      </c>
      <c r="D2610" s="2524"/>
      <c r="E2610" s="2524"/>
      <c r="F2610" s="2524"/>
      <c r="G2610" s="2524"/>
      <c r="H2610" s="2524"/>
      <c r="I2610" s="2524"/>
      <c r="J2610" s="2163"/>
      <c r="K2610" s="2163"/>
      <c r="L2610" s="2163"/>
      <c r="M2610" s="2163"/>
    </row>
    <row r="2611" spans="1:15">
      <c r="A2611" s="2163"/>
      <c r="B2611" s="2163"/>
      <c r="C2611" s="2163"/>
      <c r="D2611" s="2163"/>
      <c r="E2611" s="2163"/>
      <c r="F2611" s="2163"/>
      <c r="G2611" s="2163"/>
      <c r="H2611" s="2163"/>
      <c r="I2611" s="2163"/>
      <c r="J2611" s="2163"/>
      <c r="K2611" s="2163"/>
      <c r="L2611" s="2163"/>
      <c r="M2611" s="2163"/>
    </row>
    <row r="2612" spans="1:15">
      <c r="A2612" s="2529"/>
      <c r="B2612" s="2529"/>
      <c r="C2612" s="2529"/>
      <c r="D2612" s="2166"/>
      <c r="E2612" s="2166"/>
      <c r="F2612" s="2166"/>
      <c r="G2612" s="2166"/>
      <c r="H2612" s="2525"/>
      <c r="I2612" s="2525"/>
      <c r="J2612" s="2525"/>
      <c r="K2612" s="2166"/>
      <c r="L2612" s="2167"/>
      <c r="M2612" s="2166"/>
    </row>
    <row r="2613" spans="1:15">
      <c r="A2613" s="2164"/>
      <c r="B2613" s="2164"/>
      <c r="C2613" s="2164"/>
      <c r="D2613" s="2164"/>
      <c r="E2613" s="2522" t="s">
        <v>2639</v>
      </c>
      <c r="F2613" s="2522"/>
      <c r="G2613" s="2164"/>
      <c r="H2613" s="2523">
        <v>0</v>
      </c>
      <c r="I2613" s="2523"/>
      <c r="J2613" s="2523"/>
      <c r="K2613" s="2163"/>
      <c r="L2613" s="2530"/>
      <c r="M2613" s="2163"/>
    </row>
    <row r="2614" spans="1:15">
      <c r="A2614" s="2164"/>
      <c r="B2614" s="2164"/>
      <c r="C2614" s="2164"/>
      <c r="D2614" s="2164"/>
      <c r="E2614" s="2164"/>
      <c r="F2614" s="2164"/>
      <c r="G2614" s="2164"/>
      <c r="H2614" s="2523"/>
      <c r="I2614" s="2523"/>
      <c r="J2614" s="2523"/>
      <c r="K2614" s="2163"/>
      <c r="L2614" s="2530"/>
      <c r="M2614" s="2163"/>
    </row>
    <row r="2615" spans="1:15" ht="27.6">
      <c r="A2615" s="2160" t="s">
        <v>2754</v>
      </c>
      <c r="B2615" s="2161"/>
      <c r="C2615" s="2160" t="s">
        <v>2755</v>
      </c>
      <c r="D2615" s="2161"/>
      <c r="E2615" s="2160" t="s">
        <v>2636</v>
      </c>
      <c r="F2615" s="2161"/>
    </row>
    <row r="2616" spans="1:15">
      <c r="A2616" s="2163"/>
      <c r="B2616" s="2163"/>
      <c r="C2616" s="2163"/>
      <c r="D2616" s="2163"/>
      <c r="E2616" s="2163"/>
      <c r="F2616" s="2163"/>
      <c r="G2616" s="2163"/>
      <c r="H2616" s="2163"/>
      <c r="I2616" s="2163"/>
      <c r="J2616" s="2163"/>
      <c r="K2616" s="2163"/>
      <c r="L2616" s="2163"/>
      <c r="M2616" s="2163"/>
    </row>
    <row r="2617" spans="1:15">
      <c r="A2617" s="2164"/>
      <c r="H2617" s="2522" t="s">
        <v>2637</v>
      </c>
      <c r="I2617" s="2522"/>
      <c r="J2617" s="2163"/>
      <c r="K2617" s="2523">
        <v>0</v>
      </c>
      <c r="L2617" s="2523"/>
      <c r="M2617" s="2163"/>
      <c r="N2617" s="2527"/>
      <c r="O2617" s="2163"/>
    </row>
    <row r="2618" spans="1:15">
      <c r="H2618" s="2163"/>
      <c r="I2618" s="2163"/>
      <c r="J2618" s="2163"/>
      <c r="K2618" s="2523"/>
      <c r="L2618" s="2523"/>
      <c r="N2618" s="2527"/>
    </row>
    <row r="2619" spans="1:15">
      <c r="A2619" s="2165">
        <v>23774</v>
      </c>
      <c r="B2619" s="2163"/>
      <c r="C2619" s="2524" t="s">
        <v>2711</v>
      </c>
      <c r="D2619" s="2524"/>
      <c r="E2619" s="2524"/>
      <c r="F2619" s="2524"/>
      <c r="G2619" s="2524"/>
      <c r="H2619" s="2524"/>
      <c r="I2619" s="2524"/>
      <c r="J2619" s="2163"/>
      <c r="K2619" s="2163"/>
      <c r="L2619" s="2163"/>
      <c r="M2619" s="2163"/>
    </row>
    <row r="2620" spans="1:15">
      <c r="A2620" s="2163"/>
      <c r="B2620" s="2163"/>
      <c r="C2620" s="2163"/>
      <c r="D2620" s="2163"/>
      <c r="E2620" s="2163"/>
      <c r="F2620" s="2163"/>
      <c r="G2620" s="2163"/>
      <c r="H2620" s="2163"/>
      <c r="I2620" s="2163"/>
      <c r="J2620" s="2163"/>
      <c r="K2620" s="2163"/>
      <c r="L2620" s="2163"/>
      <c r="M2620" s="2163"/>
    </row>
    <row r="2621" spans="1:15">
      <c r="A2621" s="2529"/>
      <c r="B2621" s="2529"/>
      <c r="C2621" s="2529"/>
      <c r="D2621" s="2166"/>
      <c r="E2621" s="2166"/>
      <c r="F2621" s="2166"/>
      <c r="G2621" s="2166"/>
      <c r="H2621" s="2525"/>
      <c r="I2621" s="2525"/>
      <c r="J2621" s="2525"/>
      <c r="K2621" s="2166"/>
      <c r="L2621" s="2167"/>
      <c r="M2621" s="2166"/>
    </row>
    <row r="2622" spans="1:15">
      <c r="A2622" s="2164"/>
      <c r="B2622" s="2164"/>
      <c r="C2622" s="2164"/>
      <c r="D2622" s="2164"/>
      <c r="E2622" s="2522" t="s">
        <v>2639</v>
      </c>
      <c r="F2622" s="2522"/>
      <c r="G2622" s="2164"/>
      <c r="H2622" s="2523">
        <v>0</v>
      </c>
      <c r="I2622" s="2523"/>
      <c r="J2622" s="2523"/>
      <c r="K2622" s="2163"/>
      <c r="L2622" s="2523">
        <v>0</v>
      </c>
      <c r="M2622" s="2163"/>
    </row>
    <row r="2623" spans="1:15">
      <c r="A2623" s="2164"/>
      <c r="B2623" s="2164"/>
      <c r="C2623" s="2164"/>
      <c r="D2623" s="2164"/>
      <c r="E2623" s="2164"/>
      <c r="F2623" s="2164"/>
      <c r="G2623" s="2164"/>
      <c r="H2623" s="2523"/>
      <c r="I2623" s="2523"/>
      <c r="J2623" s="2523"/>
      <c r="K2623" s="2163"/>
      <c r="L2623" s="2523"/>
      <c r="M2623" s="2163"/>
    </row>
    <row r="2624" spans="1:15">
      <c r="A2624" s="2160" t="s">
        <v>2754</v>
      </c>
      <c r="B2624" s="2161"/>
      <c r="C2624" s="2160" t="s">
        <v>2755</v>
      </c>
      <c r="D2624" s="2161"/>
      <c r="E2624" s="2160" t="s">
        <v>2698</v>
      </c>
      <c r="F2624" s="2161"/>
    </row>
    <row r="2625" spans="1:15">
      <c r="A2625" s="2163"/>
      <c r="B2625" s="2163"/>
      <c r="C2625" s="2163"/>
      <c r="D2625" s="2163"/>
      <c r="E2625" s="2163"/>
      <c r="F2625" s="2163"/>
      <c r="G2625" s="2163"/>
      <c r="H2625" s="2163"/>
      <c r="I2625" s="2163"/>
      <c r="J2625" s="2163"/>
      <c r="K2625" s="2163"/>
      <c r="L2625" s="2163"/>
      <c r="M2625" s="2163"/>
    </row>
    <row r="2626" spans="1:15">
      <c r="A2626" s="2164"/>
      <c r="H2626" s="2522" t="s">
        <v>2637</v>
      </c>
      <c r="I2626" s="2522"/>
      <c r="J2626" s="2163"/>
      <c r="K2626" s="2523">
        <v>0</v>
      </c>
      <c r="L2626" s="2523"/>
      <c r="M2626" s="2163"/>
      <c r="N2626" s="2527"/>
      <c r="O2626" s="2163"/>
    </row>
    <row r="2627" spans="1:15">
      <c r="H2627" s="2163"/>
      <c r="I2627" s="2163"/>
      <c r="J2627" s="2163"/>
      <c r="K2627" s="2523"/>
      <c r="L2627" s="2523"/>
      <c r="N2627" s="2527"/>
    </row>
    <row r="2628" spans="1:15">
      <c r="A2628" s="2165">
        <v>26</v>
      </c>
      <c r="B2628" s="2163"/>
      <c r="C2628" s="2524" t="s">
        <v>2845</v>
      </c>
      <c r="D2628" s="2524"/>
      <c r="E2628" s="2524"/>
      <c r="F2628" s="2524"/>
      <c r="G2628" s="2524"/>
      <c r="H2628" s="2524"/>
      <c r="I2628" s="2524"/>
      <c r="J2628" s="2163"/>
      <c r="K2628" s="2163"/>
      <c r="L2628" s="2163"/>
      <c r="M2628" s="2163"/>
    </row>
    <row r="2629" spans="1:15">
      <c r="A2629" s="2163"/>
      <c r="B2629" s="2163"/>
      <c r="C2629" s="2163"/>
      <c r="D2629" s="2163"/>
      <c r="E2629" s="2163"/>
      <c r="F2629" s="2163"/>
      <c r="G2629" s="2163"/>
      <c r="H2629" s="2163"/>
      <c r="I2629" s="2163"/>
      <c r="J2629" s="2163"/>
      <c r="K2629" s="2163"/>
      <c r="L2629" s="2163"/>
      <c r="M2629" s="2163"/>
    </row>
    <row r="2630" spans="1:15">
      <c r="A2630" s="2529"/>
      <c r="B2630" s="2529"/>
      <c r="C2630" s="2529"/>
      <c r="D2630" s="2166"/>
      <c r="E2630" s="2166"/>
      <c r="F2630" s="2166"/>
      <c r="G2630" s="2166"/>
      <c r="H2630" s="2525"/>
      <c r="I2630" s="2525"/>
      <c r="J2630" s="2525"/>
      <c r="K2630" s="2166"/>
      <c r="L2630" s="2167"/>
      <c r="M2630" s="2166"/>
    </row>
    <row r="2631" spans="1:15">
      <c r="A2631" s="2164"/>
      <c r="B2631" s="2164"/>
      <c r="C2631" s="2164"/>
      <c r="D2631" s="2164"/>
      <c r="E2631" s="2522" t="s">
        <v>2639</v>
      </c>
      <c r="F2631" s="2522"/>
      <c r="G2631" s="2164"/>
      <c r="H2631" s="2523">
        <v>0</v>
      </c>
      <c r="I2631" s="2523"/>
      <c r="J2631" s="2523"/>
      <c r="K2631" s="2163"/>
      <c r="L2631" s="2523">
        <v>0</v>
      </c>
      <c r="M2631" s="2163"/>
    </row>
    <row r="2632" spans="1:15">
      <c r="A2632" s="2164"/>
      <c r="B2632" s="2164"/>
      <c r="C2632" s="2164"/>
      <c r="D2632" s="2164"/>
      <c r="E2632" s="2164"/>
      <c r="F2632" s="2164"/>
      <c r="G2632" s="2164"/>
      <c r="H2632" s="2523"/>
      <c r="I2632" s="2523"/>
      <c r="J2632" s="2523"/>
      <c r="K2632" s="2163"/>
      <c r="L2632" s="2523"/>
      <c r="M2632" s="2163"/>
    </row>
    <row r="2633" spans="1:15">
      <c r="A2633" s="2160" t="s">
        <v>2754</v>
      </c>
      <c r="B2633" s="2161"/>
      <c r="C2633" s="2160" t="s">
        <v>2755</v>
      </c>
      <c r="D2633" s="2161"/>
      <c r="E2633" s="2160" t="s">
        <v>2698</v>
      </c>
      <c r="F2633" s="2161"/>
    </row>
    <row r="2634" spans="1:15">
      <c r="A2634" s="2163"/>
      <c r="B2634" s="2163"/>
      <c r="C2634" s="2163"/>
      <c r="D2634" s="2163"/>
      <c r="E2634" s="2163"/>
      <c r="F2634" s="2163"/>
      <c r="G2634" s="2163"/>
      <c r="H2634" s="2163"/>
      <c r="I2634" s="2163"/>
      <c r="J2634" s="2163"/>
      <c r="K2634" s="2163"/>
      <c r="L2634" s="2163"/>
      <c r="M2634" s="2163"/>
    </row>
    <row r="2635" spans="1:15">
      <c r="A2635" s="2164"/>
      <c r="H2635" s="2522" t="s">
        <v>2637</v>
      </c>
      <c r="I2635" s="2522"/>
      <c r="J2635" s="2163"/>
      <c r="K2635" s="2523">
        <v>0</v>
      </c>
      <c r="L2635" s="2523"/>
      <c r="M2635" s="2163"/>
      <c r="N2635" s="2527"/>
      <c r="O2635" s="2163"/>
    </row>
    <row r="2636" spans="1:15">
      <c r="H2636" s="2163"/>
      <c r="I2636" s="2163"/>
      <c r="J2636" s="2163"/>
      <c r="K2636" s="2523"/>
      <c r="L2636" s="2523"/>
      <c r="N2636" s="2527"/>
    </row>
    <row r="2637" spans="1:15">
      <c r="A2637" s="2165">
        <v>425</v>
      </c>
      <c r="B2637" s="2163"/>
      <c r="C2637" s="2524" t="s">
        <v>2641</v>
      </c>
      <c r="D2637" s="2524"/>
      <c r="E2637" s="2524"/>
      <c r="F2637" s="2524"/>
      <c r="G2637" s="2524"/>
      <c r="H2637" s="2524"/>
      <c r="I2637" s="2524"/>
      <c r="J2637" s="2163"/>
      <c r="K2637" s="2163"/>
      <c r="L2637" s="2163"/>
      <c r="M2637" s="2163"/>
    </row>
    <row r="2638" spans="1:15">
      <c r="A2638" s="2163"/>
      <c r="B2638" s="2163"/>
      <c r="C2638" s="2163"/>
      <c r="D2638" s="2163"/>
      <c r="E2638" s="2163"/>
      <c r="F2638" s="2163"/>
      <c r="G2638" s="2163"/>
      <c r="H2638" s="2163"/>
      <c r="I2638" s="2163"/>
      <c r="J2638" s="2163"/>
      <c r="K2638" s="2163"/>
      <c r="L2638" s="2163"/>
      <c r="M2638" s="2163"/>
    </row>
    <row r="2639" spans="1:15">
      <c r="A2639" s="2529"/>
      <c r="B2639" s="2529"/>
      <c r="C2639" s="2529"/>
      <c r="D2639" s="2166"/>
      <c r="E2639" s="2166"/>
      <c r="F2639" s="2166"/>
      <c r="G2639" s="2166"/>
      <c r="H2639" s="2525"/>
      <c r="I2639" s="2525"/>
      <c r="J2639" s="2525"/>
      <c r="K2639" s="2166"/>
      <c r="L2639" s="2167"/>
      <c r="M2639" s="2166"/>
    </row>
    <row r="2640" spans="1:15">
      <c r="A2640" s="2164"/>
      <c r="B2640" s="2164"/>
      <c r="C2640" s="2164"/>
      <c r="D2640" s="2164"/>
      <c r="E2640" s="2522" t="s">
        <v>2639</v>
      </c>
      <c r="F2640" s="2522"/>
      <c r="G2640" s="2164"/>
      <c r="H2640" s="2523">
        <v>0</v>
      </c>
      <c r="I2640" s="2523"/>
      <c r="J2640" s="2523"/>
      <c r="K2640" s="2163"/>
      <c r="L2640" s="2523">
        <v>0</v>
      </c>
      <c r="M2640" s="2163"/>
    </row>
    <row r="2641" spans="1:15">
      <c r="A2641" s="2164"/>
      <c r="B2641" s="2164"/>
      <c r="C2641" s="2164"/>
      <c r="D2641" s="2164"/>
      <c r="E2641" s="2164"/>
      <c r="F2641" s="2164"/>
      <c r="G2641" s="2164"/>
      <c r="H2641" s="2523"/>
      <c r="I2641" s="2523"/>
      <c r="J2641" s="2523"/>
      <c r="K2641" s="2163"/>
      <c r="L2641" s="2523"/>
      <c r="M2641" s="2163"/>
    </row>
    <row r="2642" spans="1:15">
      <c r="A2642" s="2160" t="s">
        <v>2754</v>
      </c>
      <c r="B2642" s="2161"/>
      <c r="C2642" s="2160" t="s">
        <v>2755</v>
      </c>
      <c r="D2642" s="2161"/>
      <c r="E2642" s="2160" t="s">
        <v>2698</v>
      </c>
      <c r="F2642" s="2161"/>
    </row>
    <row r="2643" spans="1:15">
      <c r="A2643" s="2163"/>
      <c r="B2643" s="2163"/>
      <c r="C2643" s="2163"/>
      <c r="D2643" s="2163"/>
      <c r="E2643" s="2163"/>
      <c r="F2643" s="2163"/>
      <c r="G2643" s="2163"/>
      <c r="H2643" s="2163"/>
      <c r="I2643" s="2163"/>
      <c r="J2643" s="2163"/>
      <c r="K2643" s="2163"/>
      <c r="L2643" s="2163"/>
      <c r="M2643" s="2163"/>
    </row>
    <row r="2644" spans="1:15">
      <c r="A2644" s="2164"/>
      <c r="H2644" s="2522" t="s">
        <v>2637</v>
      </c>
      <c r="I2644" s="2522"/>
      <c r="J2644" s="2163"/>
      <c r="K2644" s="2523">
        <v>0</v>
      </c>
      <c r="L2644" s="2523"/>
      <c r="M2644" s="2163"/>
      <c r="N2644" s="2527"/>
      <c r="O2644" s="2163"/>
    </row>
    <row r="2645" spans="1:15">
      <c r="H2645" s="2163"/>
      <c r="I2645" s="2163"/>
      <c r="J2645" s="2163"/>
      <c r="K2645" s="2523"/>
      <c r="L2645" s="2523"/>
      <c r="N2645" s="2527"/>
    </row>
    <row r="2646" spans="1:15">
      <c r="A2646" s="2165">
        <v>125</v>
      </c>
      <c r="B2646" s="2163"/>
      <c r="C2646" s="2524" t="s">
        <v>2700</v>
      </c>
      <c r="D2646" s="2524"/>
      <c r="E2646" s="2524"/>
      <c r="F2646" s="2524"/>
      <c r="G2646" s="2524"/>
      <c r="H2646" s="2524"/>
      <c r="I2646" s="2524"/>
      <c r="J2646" s="2163"/>
      <c r="K2646" s="2163"/>
      <c r="L2646" s="2163"/>
      <c r="M2646" s="2163"/>
    </row>
    <row r="2647" spans="1:15">
      <c r="A2647" s="2163"/>
      <c r="B2647" s="2163"/>
      <c r="C2647" s="2163"/>
      <c r="D2647" s="2163"/>
      <c r="E2647" s="2163"/>
      <c r="F2647" s="2163"/>
      <c r="G2647" s="2163"/>
      <c r="H2647" s="2163"/>
      <c r="I2647" s="2163"/>
      <c r="J2647" s="2163"/>
      <c r="K2647" s="2163"/>
      <c r="L2647" s="2163"/>
      <c r="M2647" s="2163"/>
    </row>
    <row r="2648" spans="1:15">
      <c r="A2648" s="2529"/>
      <c r="B2648" s="2529"/>
      <c r="C2648" s="2529"/>
      <c r="D2648" s="2166"/>
      <c r="E2648" s="2166"/>
      <c r="F2648" s="2166"/>
      <c r="G2648" s="2166"/>
      <c r="H2648" s="2525"/>
      <c r="I2648" s="2525"/>
      <c r="J2648" s="2525"/>
      <c r="K2648" s="2166"/>
      <c r="L2648" s="2167"/>
      <c r="M2648" s="2166"/>
    </row>
    <row r="2649" spans="1:15">
      <c r="A2649" s="2164"/>
      <c r="B2649" s="2164"/>
      <c r="C2649" s="2164"/>
      <c r="D2649" s="2164"/>
      <c r="E2649" s="2522" t="s">
        <v>2639</v>
      </c>
      <c r="F2649" s="2522"/>
      <c r="G2649" s="2164"/>
      <c r="H2649" s="2523">
        <v>0</v>
      </c>
      <c r="I2649" s="2523"/>
      <c r="J2649" s="2523"/>
      <c r="K2649" s="2163"/>
      <c r="L2649" s="2523">
        <v>0</v>
      </c>
      <c r="M2649" s="2163"/>
    </row>
    <row r="2650" spans="1:15">
      <c r="A2650" s="2164"/>
      <c r="B2650" s="2164"/>
      <c r="C2650" s="2164"/>
      <c r="D2650" s="2164"/>
      <c r="E2650" s="2164"/>
      <c r="F2650" s="2164"/>
      <c r="G2650" s="2164"/>
      <c r="H2650" s="2523"/>
      <c r="I2650" s="2523"/>
      <c r="J2650" s="2523"/>
      <c r="K2650" s="2163"/>
      <c r="L2650" s="2523"/>
      <c r="M2650" s="2163"/>
    </row>
    <row r="2651" spans="1:15">
      <c r="A2651" s="2160" t="s">
        <v>2754</v>
      </c>
      <c r="B2651" s="2161"/>
      <c r="C2651" s="2160" t="s">
        <v>2755</v>
      </c>
      <c r="D2651" s="2161"/>
      <c r="E2651" s="2160" t="s">
        <v>2698</v>
      </c>
      <c r="F2651" s="2161"/>
    </row>
    <row r="2652" spans="1:15">
      <c r="A2652" s="2163"/>
      <c r="B2652" s="2163"/>
      <c r="C2652" s="2163"/>
      <c r="D2652" s="2163"/>
      <c r="E2652" s="2163"/>
      <c r="F2652" s="2163"/>
      <c r="G2652" s="2163"/>
      <c r="H2652" s="2163"/>
      <c r="I2652" s="2163"/>
      <c r="J2652" s="2163"/>
      <c r="K2652" s="2163"/>
      <c r="L2652" s="2163"/>
      <c r="M2652" s="2163"/>
    </row>
    <row r="2653" spans="1:15">
      <c r="A2653" s="2164"/>
      <c r="H2653" s="2522" t="s">
        <v>2637</v>
      </c>
      <c r="I2653" s="2522"/>
      <c r="J2653" s="2163"/>
      <c r="K2653" s="2523">
        <v>0</v>
      </c>
      <c r="L2653" s="2523"/>
      <c r="M2653" s="2163"/>
      <c r="N2653" s="2527"/>
      <c r="O2653" s="2163"/>
    </row>
    <row r="2654" spans="1:15">
      <c r="H2654" s="2163"/>
      <c r="I2654" s="2163"/>
      <c r="J2654" s="2163"/>
      <c r="K2654" s="2523"/>
      <c r="L2654" s="2523"/>
      <c r="N2654" s="2527"/>
    </row>
    <row r="2655" spans="1:15">
      <c r="A2655" s="2165">
        <v>21866</v>
      </c>
      <c r="B2655" s="2163"/>
      <c r="C2655" s="2524" t="s">
        <v>2710</v>
      </c>
      <c r="D2655" s="2524"/>
      <c r="E2655" s="2524"/>
      <c r="F2655" s="2524"/>
      <c r="G2655" s="2524"/>
      <c r="H2655" s="2524"/>
      <c r="I2655" s="2524"/>
      <c r="J2655" s="2163"/>
      <c r="K2655" s="2163"/>
      <c r="L2655" s="2163"/>
      <c r="M2655" s="2163"/>
    </row>
    <row r="2656" spans="1:15">
      <c r="A2656" s="2163"/>
      <c r="B2656" s="2163"/>
      <c r="C2656" s="2163"/>
      <c r="D2656" s="2163"/>
      <c r="E2656" s="2163"/>
      <c r="F2656" s="2163"/>
      <c r="G2656" s="2163"/>
      <c r="H2656" s="2163"/>
      <c r="I2656" s="2163"/>
      <c r="J2656" s="2163"/>
      <c r="K2656" s="2163"/>
      <c r="L2656" s="2163"/>
      <c r="M2656" s="2163"/>
    </row>
    <row r="2657" spans="1:15">
      <c r="A2657" s="2529"/>
      <c r="B2657" s="2529"/>
      <c r="C2657" s="2529"/>
      <c r="D2657" s="2166"/>
      <c r="E2657" s="2166"/>
      <c r="F2657" s="2166"/>
      <c r="G2657" s="2166"/>
      <c r="H2657" s="2525"/>
      <c r="I2657" s="2525"/>
      <c r="J2657" s="2525"/>
      <c r="K2657" s="2166"/>
      <c r="L2657" s="2167"/>
      <c r="M2657" s="2166"/>
    </row>
    <row r="2658" spans="1:15">
      <c r="A2658" s="2164"/>
      <c r="B2658" s="2164"/>
      <c r="C2658" s="2164"/>
      <c r="D2658" s="2164"/>
      <c r="E2658" s="2522" t="s">
        <v>2639</v>
      </c>
      <c r="F2658" s="2522"/>
      <c r="G2658" s="2164"/>
      <c r="H2658" s="2523">
        <v>0</v>
      </c>
      <c r="I2658" s="2523"/>
      <c r="J2658" s="2523"/>
      <c r="K2658" s="2163"/>
      <c r="L2658" s="2523">
        <v>0</v>
      </c>
      <c r="M2658" s="2163"/>
    </row>
    <row r="2659" spans="1:15">
      <c r="A2659" s="2164"/>
      <c r="B2659" s="2164"/>
      <c r="C2659" s="2164"/>
      <c r="D2659" s="2164"/>
      <c r="E2659" s="2164"/>
      <c r="F2659" s="2164"/>
      <c r="G2659" s="2164"/>
      <c r="H2659" s="2523"/>
      <c r="I2659" s="2523"/>
      <c r="J2659" s="2523"/>
      <c r="K2659" s="2163"/>
      <c r="L2659" s="2523"/>
      <c r="M2659" s="2163"/>
    </row>
    <row r="2660" spans="1:15">
      <c r="A2660" s="2160" t="s">
        <v>2754</v>
      </c>
      <c r="B2660" s="2161"/>
      <c r="C2660" s="2160" t="s">
        <v>2755</v>
      </c>
      <c r="D2660" s="2161"/>
      <c r="E2660" s="2160" t="s">
        <v>2698</v>
      </c>
      <c r="F2660" s="2161"/>
    </row>
    <row r="2661" spans="1:15">
      <c r="A2661" s="2163"/>
      <c r="B2661" s="2163"/>
      <c r="C2661" s="2163"/>
      <c r="D2661" s="2163"/>
      <c r="E2661" s="2163"/>
      <c r="F2661" s="2163"/>
      <c r="G2661" s="2163"/>
      <c r="H2661" s="2163"/>
      <c r="I2661" s="2163"/>
      <c r="J2661" s="2163"/>
      <c r="K2661" s="2163"/>
      <c r="L2661" s="2163"/>
      <c r="M2661" s="2163"/>
    </row>
    <row r="2662" spans="1:15">
      <c r="A2662" s="2164"/>
      <c r="H2662" s="2522" t="s">
        <v>2637</v>
      </c>
      <c r="I2662" s="2522"/>
      <c r="J2662" s="2163"/>
      <c r="K2662" s="2523">
        <v>-1E-4</v>
      </c>
      <c r="L2662" s="2523"/>
      <c r="M2662" s="2163"/>
      <c r="N2662" s="2527"/>
      <c r="O2662" s="2163"/>
    </row>
    <row r="2663" spans="1:15">
      <c r="H2663" s="2163"/>
      <c r="I2663" s="2163"/>
      <c r="J2663" s="2163"/>
      <c r="K2663" s="2523"/>
      <c r="L2663" s="2523"/>
      <c r="N2663" s="2527"/>
    </row>
    <row r="2664" spans="1:15">
      <c r="A2664" s="2165">
        <v>22030</v>
      </c>
      <c r="B2664" s="2163"/>
      <c r="C2664" s="2524" t="s">
        <v>2756</v>
      </c>
      <c r="D2664" s="2524"/>
      <c r="E2664" s="2524"/>
      <c r="F2664" s="2524"/>
      <c r="G2664" s="2524"/>
      <c r="H2664" s="2524"/>
      <c r="I2664" s="2524"/>
      <c r="J2664" s="2163"/>
      <c r="K2664" s="2163"/>
      <c r="L2664" s="2163"/>
      <c r="M2664" s="2163"/>
    </row>
    <row r="2665" spans="1:15">
      <c r="A2665" s="2163"/>
      <c r="B2665" s="2163"/>
      <c r="C2665" s="2163"/>
      <c r="D2665" s="2163"/>
      <c r="E2665" s="2163"/>
      <c r="F2665" s="2163"/>
      <c r="G2665" s="2163"/>
      <c r="H2665" s="2163"/>
      <c r="I2665" s="2163"/>
      <c r="J2665" s="2163"/>
      <c r="K2665" s="2163"/>
      <c r="L2665" s="2163"/>
      <c r="M2665" s="2163"/>
    </row>
    <row r="2666" spans="1:15">
      <c r="A2666" s="2529"/>
      <c r="B2666" s="2529"/>
      <c r="C2666" s="2529"/>
      <c r="D2666" s="2166"/>
      <c r="E2666" s="2166"/>
      <c r="F2666" s="2166"/>
      <c r="G2666" s="2166"/>
      <c r="H2666" s="2525"/>
      <c r="I2666" s="2525"/>
      <c r="J2666" s="2525"/>
      <c r="K2666" s="2166"/>
      <c r="L2666" s="2167"/>
      <c r="M2666" s="2166"/>
    </row>
    <row r="2667" spans="1:15">
      <c r="A2667" s="2164"/>
      <c r="B2667" s="2164"/>
      <c r="C2667" s="2164"/>
      <c r="D2667" s="2164"/>
      <c r="E2667" s="2522" t="s">
        <v>2639</v>
      </c>
      <c r="F2667" s="2522"/>
      <c r="G2667" s="2164"/>
      <c r="H2667" s="2523">
        <v>-1E-4</v>
      </c>
      <c r="I2667" s="2523"/>
      <c r="J2667" s="2523"/>
      <c r="K2667" s="2163"/>
      <c r="L2667" s="2523">
        <v>-0.01</v>
      </c>
      <c r="M2667" s="2163"/>
    </row>
    <row r="2668" spans="1:15">
      <c r="A2668" s="2164"/>
      <c r="B2668" s="2164"/>
      <c r="C2668" s="2164"/>
      <c r="D2668" s="2164"/>
      <c r="E2668" s="2164"/>
      <c r="F2668" s="2164"/>
      <c r="G2668" s="2164"/>
      <c r="H2668" s="2523"/>
      <c r="I2668" s="2523"/>
      <c r="J2668" s="2523"/>
      <c r="K2668" s="2163"/>
      <c r="L2668" s="2523"/>
      <c r="M2668" s="2163"/>
    </row>
    <row r="2669" spans="1:15">
      <c r="A2669" s="2160" t="s">
        <v>2754</v>
      </c>
      <c r="B2669" s="2161"/>
      <c r="C2669" s="2160" t="s">
        <v>2755</v>
      </c>
      <c r="D2669" s="2161"/>
      <c r="E2669" s="2160" t="s">
        <v>2698</v>
      </c>
      <c r="F2669" s="2161"/>
    </row>
    <row r="2670" spans="1:15">
      <c r="A2670" s="2163"/>
      <c r="B2670" s="2163"/>
      <c r="C2670" s="2163"/>
      <c r="D2670" s="2163"/>
      <c r="E2670" s="2163"/>
      <c r="F2670" s="2163"/>
      <c r="G2670" s="2163"/>
      <c r="H2670" s="2163"/>
      <c r="I2670" s="2163"/>
      <c r="J2670" s="2163"/>
      <c r="K2670" s="2163"/>
      <c r="L2670" s="2163"/>
      <c r="M2670" s="2163"/>
    </row>
    <row r="2671" spans="1:15">
      <c r="A2671" s="2164"/>
      <c r="H2671" s="2522" t="s">
        <v>2637</v>
      </c>
      <c r="I2671" s="2522"/>
      <c r="J2671" s="2163"/>
      <c r="K2671" s="2523">
        <v>0</v>
      </c>
      <c r="L2671" s="2523"/>
      <c r="M2671" s="2163"/>
      <c r="N2671" s="2527"/>
      <c r="O2671" s="2163"/>
    </row>
    <row r="2672" spans="1:15">
      <c r="H2672" s="2163"/>
      <c r="I2672" s="2163"/>
      <c r="J2672" s="2163"/>
      <c r="K2672" s="2523"/>
      <c r="L2672" s="2523"/>
      <c r="N2672" s="2527"/>
    </row>
    <row r="2673" spans="1:15">
      <c r="A2673" s="2165">
        <v>23949</v>
      </c>
      <c r="B2673" s="2163"/>
      <c r="C2673" s="2524" t="s">
        <v>2757</v>
      </c>
      <c r="D2673" s="2524"/>
      <c r="E2673" s="2524"/>
      <c r="F2673" s="2524"/>
      <c r="G2673" s="2524"/>
      <c r="H2673" s="2524"/>
      <c r="I2673" s="2524"/>
      <c r="J2673" s="2163"/>
      <c r="K2673" s="2163"/>
      <c r="L2673" s="2163"/>
      <c r="M2673" s="2163"/>
    </row>
    <row r="2674" spans="1:15">
      <c r="A2674" s="2163"/>
      <c r="B2674" s="2163"/>
      <c r="C2674" s="2163"/>
      <c r="D2674" s="2163"/>
      <c r="E2674" s="2163"/>
      <c r="F2674" s="2163"/>
      <c r="G2674" s="2163"/>
      <c r="H2674" s="2163"/>
      <c r="I2674" s="2163"/>
      <c r="J2674" s="2163"/>
      <c r="K2674" s="2163"/>
      <c r="L2674" s="2163"/>
      <c r="M2674" s="2163"/>
    </row>
    <row r="2675" spans="1:15">
      <c r="A2675" s="2529"/>
      <c r="B2675" s="2529"/>
      <c r="C2675" s="2529"/>
      <c r="D2675" s="2166"/>
      <c r="E2675" s="2166"/>
      <c r="F2675" s="2166"/>
      <c r="G2675" s="2166"/>
      <c r="H2675" s="2525"/>
      <c r="I2675" s="2525"/>
      <c r="J2675" s="2525"/>
      <c r="K2675" s="2166"/>
      <c r="L2675" s="2167"/>
      <c r="M2675" s="2166"/>
    </row>
    <row r="2676" spans="1:15">
      <c r="A2676" s="2164"/>
      <c r="B2676" s="2164"/>
      <c r="C2676" s="2164"/>
      <c r="D2676" s="2164"/>
      <c r="E2676" s="2522" t="s">
        <v>2639</v>
      </c>
      <c r="F2676" s="2522"/>
      <c r="G2676" s="2164"/>
      <c r="H2676" s="2523">
        <v>0</v>
      </c>
      <c r="I2676" s="2523"/>
      <c r="J2676" s="2523"/>
      <c r="K2676" s="2163"/>
      <c r="L2676" s="2523">
        <v>0</v>
      </c>
      <c r="M2676" s="2163"/>
    </row>
    <row r="2677" spans="1:15">
      <c r="A2677" s="2164"/>
      <c r="B2677" s="2164"/>
      <c r="C2677" s="2164"/>
      <c r="D2677" s="2164"/>
      <c r="E2677" s="2164"/>
      <c r="F2677" s="2164"/>
      <c r="G2677" s="2164"/>
      <c r="H2677" s="2523"/>
      <c r="I2677" s="2523"/>
      <c r="J2677" s="2523"/>
      <c r="K2677" s="2163"/>
      <c r="L2677" s="2523"/>
      <c r="M2677" s="2163"/>
    </row>
    <row r="2678" spans="1:15">
      <c r="A2678" s="2160" t="s">
        <v>2754</v>
      </c>
      <c r="B2678" s="2161"/>
      <c r="C2678" s="2160" t="s">
        <v>2755</v>
      </c>
      <c r="D2678" s="2161"/>
      <c r="E2678" s="2160" t="s">
        <v>2698</v>
      </c>
      <c r="F2678" s="2161"/>
    </row>
    <row r="2679" spans="1:15">
      <c r="A2679" s="2163"/>
      <c r="B2679" s="2163"/>
      <c r="C2679" s="2163"/>
      <c r="D2679" s="2163"/>
      <c r="E2679" s="2163"/>
      <c r="F2679" s="2163"/>
      <c r="G2679" s="2163"/>
      <c r="H2679" s="2163"/>
      <c r="I2679" s="2163"/>
      <c r="J2679" s="2163"/>
      <c r="K2679" s="2163"/>
      <c r="L2679" s="2163"/>
      <c r="M2679" s="2163"/>
    </row>
    <row r="2680" spans="1:15">
      <c r="A2680" s="2164"/>
      <c r="H2680" s="2522" t="s">
        <v>2637</v>
      </c>
      <c r="I2680" s="2522"/>
      <c r="J2680" s="2163"/>
      <c r="K2680" s="2523">
        <v>0</v>
      </c>
      <c r="L2680" s="2523"/>
      <c r="M2680" s="2163"/>
      <c r="N2680" s="2527"/>
      <c r="O2680" s="2163"/>
    </row>
    <row r="2681" spans="1:15">
      <c r="H2681" s="2163"/>
      <c r="I2681" s="2163"/>
      <c r="J2681" s="2163"/>
      <c r="K2681" s="2523"/>
      <c r="L2681" s="2523"/>
      <c r="N2681" s="2527"/>
    </row>
    <row r="2682" spans="1:15">
      <c r="A2682" s="2165">
        <v>24160</v>
      </c>
      <c r="B2682" s="2163"/>
      <c r="C2682" s="2524" t="s">
        <v>2732</v>
      </c>
      <c r="D2682" s="2524"/>
      <c r="E2682" s="2524"/>
      <c r="F2682" s="2524"/>
      <c r="G2682" s="2524"/>
      <c r="H2682" s="2524"/>
      <c r="I2682" s="2524"/>
      <c r="J2682" s="2163"/>
      <c r="K2682" s="2163"/>
      <c r="L2682" s="2163"/>
      <c r="M2682" s="2163"/>
    </row>
    <row r="2683" spans="1:15">
      <c r="A2683" s="2163"/>
      <c r="B2683" s="2163"/>
      <c r="C2683" s="2163"/>
      <c r="D2683" s="2163"/>
      <c r="E2683" s="2163"/>
      <c r="F2683" s="2163"/>
      <c r="G2683" s="2163"/>
      <c r="H2683" s="2163"/>
      <c r="I2683" s="2163"/>
      <c r="J2683" s="2163"/>
      <c r="K2683" s="2163"/>
      <c r="L2683" s="2163"/>
      <c r="M2683" s="2163"/>
    </row>
    <row r="2684" spans="1:15">
      <c r="A2684" s="2529"/>
      <c r="B2684" s="2529"/>
      <c r="C2684" s="2529"/>
      <c r="D2684" s="2166"/>
      <c r="E2684" s="2166"/>
      <c r="F2684" s="2166"/>
      <c r="G2684" s="2166"/>
      <c r="H2684" s="2525"/>
      <c r="I2684" s="2525"/>
      <c r="J2684" s="2525"/>
      <c r="K2684" s="2166"/>
      <c r="L2684" s="2167"/>
      <c r="M2684" s="2166"/>
    </row>
    <row r="2685" spans="1:15">
      <c r="A2685" s="2164"/>
      <c r="B2685" s="2164"/>
      <c r="C2685" s="2164"/>
      <c r="D2685" s="2164"/>
      <c r="E2685" s="2522" t="s">
        <v>2639</v>
      </c>
      <c r="F2685" s="2522"/>
      <c r="G2685" s="2164"/>
      <c r="H2685" s="2523">
        <v>0</v>
      </c>
      <c r="I2685" s="2523"/>
      <c r="J2685" s="2523"/>
      <c r="K2685" s="2163"/>
      <c r="L2685" s="2523">
        <v>0</v>
      </c>
      <c r="M2685" s="2163"/>
    </row>
    <row r="2686" spans="1:15">
      <c r="A2686" s="2164"/>
      <c r="B2686" s="2164"/>
      <c r="C2686" s="2164"/>
      <c r="D2686" s="2164"/>
      <c r="E2686" s="2164"/>
      <c r="F2686" s="2164"/>
      <c r="G2686" s="2164"/>
      <c r="H2686" s="2523"/>
      <c r="I2686" s="2523"/>
      <c r="J2686" s="2523"/>
      <c r="K2686" s="2163"/>
      <c r="L2686" s="2523"/>
      <c r="M2686" s="2163"/>
    </row>
    <row r="2687" spans="1:15">
      <c r="A2687" s="2160" t="s">
        <v>2754</v>
      </c>
      <c r="B2687" s="2161"/>
      <c r="C2687" s="2160" t="s">
        <v>2755</v>
      </c>
      <c r="D2687" s="2161"/>
      <c r="E2687" s="2160" t="s">
        <v>2698</v>
      </c>
      <c r="F2687" s="2161"/>
    </row>
    <row r="2688" spans="1:15">
      <c r="A2688" s="2163"/>
      <c r="B2688" s="2163"/>
      <c r="C2688" s="2163"/>
      <c r="D2688" s="2163"/>
      <c r="E2688" s="2163"/>
      <c r="F2688" s="2163"/>
      <c r="G2688" s="2163"/>
      <c r="H2688" s="2163"/>
      <c r="I2688" s="2163"/>
      <c r="J2688" s="2163"/>
      <c r="K2688" s="2163"/>
      <c r="L2688" s="2163"/>
      <c r="M2688" s="2163"/>
    </row>
    <row r="2689" spans="1:15">
      <c r="A2689" s="2164"/>
      <c r="H2689" s="2522" t="s">
        <v>2637</v>
      </c>
      <c r="I2689" s="2522"/>
      <c r="J2689" s="2163"/>
      <c r="K2689" s="2523">
        <v>0</v>
      </c>
      <c r="L2689" s="2523"/>
      <c r="M2689" s="2163"/>
      <c r="N2689" s="2527"/>
      <c r="O2689" s="2163"/>
    </row>
    <row r="2690" spans="1:15">
      <c r="H2690" s="2163"/>
      <c r="I2690" s="2163"/>
      <c r="J2690" s="2163"/>
      <c r="K2690" s="2523"/>
      <c r="L2690" s="2523"/>
      <c r="N2690" s="2527"/>
    </row>
    <row r="2691" spans="1:15">
      <c r="A2691" s="2165">
        <v>24462</v>
      </c>
      <c r="B2691" s="2163"/>
      <c r="C2691" s="2524" t="s">
        <v>2758</v>
      </c>
      <c r="D2691" s="2524"/>
      <c r="E2691" s="2524"/>
      <c r="F2691" s="2524"/>
      <c r="G2691" s="2524"/>
      <c r="H2691" s="2524"/>
      <c r="I2691" s="2524"/>
      <c r="J2691" s="2163"/>
      <c r="K2691" s="2163"/>
      <c r="L2691" s="2163"/>
      <c r="M2691" s="2163"/>
    </row>
    <row r="2692" spans="1:15">
      <c r="A2692" s="2163"/>
      <c r="B2692" s="2163"/>
      <c r="C2692" s="2163"/>
      <c r="D2692" s="2163"/>
      <c r="E2692" s="2163"/>
      <c r="F2692" s="2163"/>
      <c r="G2692" s="2163"/>
      <c r="H2692" s="2163"/>
      <c r="I2692" s="2163"/>
      <c r="J2692" s="2163"/>
      <c r="K2692" s="2163"/>
      <c r="L2692" s="2163"/>
      <c r="M2692" s="2163"/>
    </row>
    <row r="2693" spans="1:15">
      <c r="A2693" s="2529"/>
      <c r="B2693" s="2529"/>
      <c r="C2693" s="2529"/>
      <c r="D2693" s="2166"/>
      <c r="E2693" s="2166"/>
      <c r="F2693" s="2166"/>
      <c r="G2693" s="2166"/>
      <c r="H2693" s="2525"/>
      <c r="I2693" s="2525"/>
      <c r="J2693" s="2525"/>
      <c r="K2693" s="2166"/>
      <c r="L2693" s="2167"/>
      <c r="M2693" s="2166"/>
    </row>
    <row r="2694" spans="1:15">
      <c r="A2694" s="2164"/>
      <c r="B2694" s="2164"/>
      <c r="C2694" s="2164"/>
      <c r="D2694" s="2164"/>
      <c r="E2694" s="2522" t="s">
        <v>2639</v>
      </c>
      <c r="F2694" s="2522"/>
      <c r="G2694" s="2164"/>
      <c r="H2694" s="2523">
        <v>0</v>
      </c>
      <c r="I2694" s="2523"/>
      <c r="J2694" s="2523"/>
      <c r="K2694" s="2163"/>
      <c r="L2694" s="2523">
        <v>0</v>
      </c>
      <c r="M2694" s="2163"/>
    </row>
    <row r="2695" spans="1:15">
      <c r="A2695" s="2164"/>
      <c r="B2695" s="2164"/>
      <c r="C2695" s="2164"/>
      <c r="D2695" s="2164"/>
      <c r="E2695" s="2164"/>
      <c r="F2695" s="2164"/>
      <c r="G2695" s="2164"/>
      <c r="H2695" s="2523"/>
      <c r="I2695" s="2523"/>
      <c r="J2695" s="2523"/>
      <c r="K2695" s="2163"/>
      <c r="L2695" s="2523"/>
      <c r="M2695" s="2163"/>
    </row>
    <row r="2696" spans="1:15">
      <c r="A2696" s="2160" t="s">
        <v>2754</v>
      </c>
      <c r="B2696" s="2161"/>
      <c r="C2696" s="2160" t="s">
        <v>2755</v>
      </c>
      <c r="D2696" s="2161"/>
      <c r="E2696" s="2160" t="s">
        <v>2698</v>
      </c>
      <c r="F2696" s="2161"/>
    </row>
    <row r="2697" spans="1:15">
      <c r="A2697" s="2163"/>
      <c r="B2697" s="2163"/>
      <c r="C2697" s="2163"/>
      <c r="D2697" s="2163"/>
      <c r="E2697" s="2163"/>
      <c r="F2697" s="2163"/>
      <c r="G2697" s="2163"/>
      <c r="H2697" s="2163"/>
      <c r="I2697" s="2163"/>
      <c r="J2697" s="2163"/>
      <c r="K2697" s="2163"/>
      <c r="L2697" s="2163"/>
      <c r="M2697" s="2163"/>
    </row>
    <row r="2698" spans="1:15">
      <c r="A2698" s="2164"/>
      <c r="H2698" s="2522" t="s">
        <v>2637</v>
      </c>
      <c r="I2698" s="2522"/>
      <c r="J2698" s="2163"/>
      <c r="K2698" s="2523">
        <v>0</v>
      </c>
      <c r="L2698" s="2523"/>
      <c r="M2698" s="2163"/>
      <c r="N2698" s="2527"/>
      <c r="O2698" s="2163"/>
    </row>
    <row r="2699" spans="1:15">
      <c r="H2699" s="2163"/>
      <c r="I2699" s="2163"/>
      <c r="J2699" s="2163"/>
      <c r="K2699" s="2523"/>
      <c r="L2699" s="2523"/>
      <c r="N2699" s="2527"/>
    </row>
    <row r="2700" spans="1:15">
      <c r="A2700" s="2165">
        <v>24543</v>
      </c>
      <c r="B2700" s="2163"/>
      <c r="C2700" s="2524" t="s">
        <v>2642</v>
      </c>
      <c r="D2700" s="2524"/>
      <c r="E2700" s="2524"/>
      <c r="F2700" s="2524"/>
      <c r="G2700" s="2524"/>
      <c r="H2700" s="2524"/>
      <c r="I2700" s="2524"/>
      <c r="J2700" s="2163"/>
      <c r="K2700" s="2163"/>
      <c r="L2700" s="2163"/>
      <c r="M2700" s="2163"/>
    </row>
    <row r="2701" spans="1:15">
      <c r="A2701" s="2163"/>
      <c r="B2701" s="2163"/>
      <c r="C2701" s="2163"/>
      <c r="D2701" s="2163"/>
      <c r="E2701" s="2163"/>
      <c r="F2701" s="2163"/>
      <c r="G2701" s="2163"/>
      <c r="H2701" s="2163"/>
      <c r="I2701" s="2163"/>
      <c r="J2701" s="2163"/>
      <c r="K2701" s="2163"/>
      <c r="L2701" s="2163"/>
      <c r="M2701" s="2163"/>
    </row>
    <row r="2702" spans="1:15">
      <c r="A2702" s="2529"/>
      <c r="B2702" s="2529"/>
      <c r="C2702" s="2529"/>
      <c r="D2702" s="2166"/>
      <c r="E2702" s="2166"/>
      <c r="F2702" s="2166"/>
      <c r="G2702" s="2166"/>
      <c r="H2702" s="2525"/>
      <c r="I2702" s="2525"/>
      <c r="J2702" s="2525"/>
      <c r="K2702" s="2166"/>
      <c r="L2702" s="2167"/>
      <c r="M2702" s="2166"/>
    </row>
    <row r="2703" spans="1:15">
      <c r="A2703" s="2164"/>
      <c r="B2703" s="2164"/>
      <c r="C2703" s="2164"/>
      <c r="D2703" s="2164"/>
      <c r="E2703" s="2522" t="s">
        <v>2639</v>
      </c>
      <c r="F2703" s="2522"/>
      <c r="G2703" s="2164"/>
      <c r="H2703" s="2523">
        <v>0</v>
      </c>
      <c r="I2703" s="2523"/>
      <c r="J2703" s="2523"/>
      <c r="K2703" s="2163"/>
      <c r="L2703" s="2523">
        <v>0</v>
      </c>
      <c r="M2703" s="2163"/>
    </row>
    <row r="2704" spans="1:15">
      <c r="A2704" s="2164"/>
      <c r="B2704" s="2164"/>
      <c r="C2704" s="2164"/>
      <c r="D2704" s="2164"/>
      <c r="E2704" s="2164"/>
      <c r="F2704" s="2164"/>
      <c r="G2704" s="2164"/>
      <c r="H2704" s="2523"/>
      <c r="I2704" s="2523"/>
      <c r="J2704" s="2523"/>
      <c r="K2704" s="2163"/>
      <c r="L2704" s="2523"/>
      <c r="M2704" s="2163"/>
    </row>
    <row r="2705" spans="1:15">
      <c r="A2705" s="2160" t="s">
        <v>2754</v>
      </c>
      <c r="B2705" s="2161"/>
      <c r="C2705" s="2160" t="s">
        <v>2755</v>
      </c>
      <c r="D2705" s="2161"/>
      <c r="E2705" s="2160" t="s">
        <v>2698</v>
      </c>
      <c r="F2705" s="2161"/>
    </row>
    <row r="2706" spans="1:15">
      <c r="A2706" s="2163"/>
      <c r="B2706" s="2163"/>
      <c r="C2706" s="2163"/>
      <c r="D2706" s="2163"/>
      <c r="E2706" s="2163"/>
      <c r="F2706" s="2163"/>
      <c r="G2706" s="2163"/>
      <c r="H2706" s="2163"/>
      <c r="I2706" s="2163"/>
      <c r="J2706" s="2163"/>
      <c r="K2706" s="2163"/>
      <c r="L2706" s="2163"/>
      <c r="M2706" s="2163"/>
    </row>
    <row r="2707" spans="1:15">
      <c r="A2707" s="2164"/>
      <c r="H2707" s="2522" t="s">
        <v>2637</v>
      </c>
      <c r="I2707" s="2522"/>
      <c r="J2707" s="2163"/>
      <c r="K2707" s="2523">
        <v>-1E-4</v>
      </c>
      <c r="L2707" s="2523"/>
      <c r="M2707" s="2163"/>
      <c r="N2707" s="2527"/>
      <c r="O2707" s="2163"/>
    </row>
    <row r="2708" spans="1:15">
      <c r="H2708" s="2163"/>
      <c r="I2708" s="2163"/>
      <c r="J2708" s="2163"/>
      <c r="K2708" s="2523"/>
      <c r="L2708" s="2523"/>
      <c r="N2708" s="2527"/>
    </row>
    <row r="2709" spans="1:15">
      <c r="A2709" s="2165">
        <v>24752</v>
      </c>
      <c r="B2709" s="2163"/>
      <c r="C2709" s="2524" t="s">
        <v>2759</v>
      </c>
      <c r="D2709" s="2524"/>
      <c r="E2709" s="2524"/>
      <c r="F2709" s="2524"/>
      <c r="G2709" s="2524"/>
      <c r="H2709" s="2524"/>
      <c r="I2709" s="2524"/>
      <c r="J2709" s="2163"/>
      <c r="K2709" s="2163"/>
      <c r="L2709" s="2163"/>
      <c r="M2709" s="2163"/>
    </row>
    <row r="2710" spans="1:15">
      <c r="A2710" s="2163"/>
      <c r="B2710" s="2163"/>
      <c r="C2710" s="2163"/>
      <c r="D2710" s="2163"/>
      <c r="E2710" s="2163"/>
      <c r="F2710" s="2163"/>
      <c r="G2710" s="2163"/>
      <c r="H2710" s="2163"/>
      <c r="I2710" s="2163"/>
      <c r="J2710" s="2163"/>
      <c r="K2710" s="2163"/>
      <c r="L2710" s="2163"/>
      <c r="M2710" s="2163"/>
    </row>
    <row r="2711" spans="1:15">
      <c r="A2711" s="2529"/>
      <c r="B2711" s="2529"/>
      <c r="C2711" s="2529"/>
      <c r="D2711" s="2166"/>
      <c r="E2711" s="2166"/>
      <c r="F2711" s="2166"/>
      <c r="G2711" s="2166"/>
      <c r="H2711" s="2525"/>
      <c r="I2711" s="2525"/>
      <c r="J2711" s="2525"/>
      <c r="K2711" s="2166"/>
      <c r="L2711" s="2167"/>
      <c r="M2711" s="2166"/>
    </row>
    <row r="2712" spans="1:15">
      <c r="A2712" s="2164"/>
      <c r="B2712" s="2164"/>
      <c r="C2712" s="2164"/>
      <c r="D2712" s="2164"/>
      <c r="E2712" s="2522" t="s">
        <v>2639</v>
      </c>
      <c r="F2712" s="2522"/>
      <c r="G2712" s="2164"/>
      <c r="H2712" s="2523">
        <v>-1E-4</v>
      </c>
      <c r="I2712" s="2523"/>
      <c r="J2712" s="2523"/>
      <c r="K2712" s="2163"/>
      <c r="L2712" s="2523">
        <v>-0.01</v>
      </c>
      <c r="M2712" s="2163"/>
    </row>
    <row r="2713" spans="1:15">
      <c r="A2713" s="2164"/>
      <c r="B2713" s="2164"/>
      <c r="C2713" s="2164"/>
      <c r="D2713" s="2164"/>
      <c r="E2713" s="2164"/>
      <c r="F2713" s="2164"/>
      <c r="G2713" s="2164"/>
      <c r="H2713" s="2523"/>
      <c r="I2713" s="2523"/>
      <c r="J2713" s="2523"/>
      <c r="K2713" s="2163"/>
      <c r="L2713" s="2523"/>
      <c r="M2713" s="2163"/>
    </row>
    <row r="2714" spans="1:15">
      <c r="A2714" s="2160" t="s">
        <v>2754</v>
      </c>
      <c r="B2714" s="2161"/>
      <c r="C2714" s="2160" t="s">
        <v>2755</v>
      </c>
      <c r="D2714" s="2161"/>
      <c r="E2714" s="2160" t="s">
        <v>2698</v>
      </c>
      <c r="F2714" s="2161"/>
    </row>
    <row r="2715" spans="1:15">
      <c r="A2715" s="2163"/>
      <c r="B2715" s="2163"/>
      <c r="C2715" s="2163"/>
      <c r="D2715" s="2163"/>
      <c r="E2715" s="2163"/>
      <c r="F2715" s="2163"/>
      <c r="G2715" s="2163"/>
      <c r="H2715" s="2163"/>
      <c r="I2715" s="2163"/>
      <c r="J2715" s="2163"/>
      <c r="K2715" s="2163"/>
      <c r="L2715" s="2163"/>
      <c r="M2715" s="2163"/>
    </row>
    <row r="2716" spans="1:15">
      <c r="A2716" s="2164"/>
      <c r="H2716" s="2522" t="s">
        <v>2637</v>
      </c>
      <c r="I2716" s="2522"/>
      <c r="J2716" s="2163"/>
      <c r="K2716" s="2523">
        <v>0</v>
      </c>
      <c r="L2716" s="2523"/>
      <c r="M2716" s="2163"/>
      <c r="N2716" s="2527"/>
      <c r="O2716" s="2163"/>
    </row>
    <row r="2717" spans="1:15">
      <c r="H2717" s="2163"/>
      <c r="I2717" s="2163"/>
      <c r="J2717" s="2163"/>
      <c r="K2717" s="2523"/>
      <c r="L2717" s="2523"/>
      <c r="N2717" s="2527"/>
    </row>
    <row r="2718" spans="1:15">
      <c r="A2718" s="2165">
        <v>24899</v>
      </c>
      <c r="B2718" s="2163"/>
      <c r="C2718" s="2524" t="s">
        <v>2760</v>
      </c>
      <c r="D2718" s="2524"/>
      <c r="E2718" s="2524"/>
      <c r="F2718" s="2524"/>
      <c r="G2718" s="2524"/>
      <c r="H2718" s="2524"/>
      <c r="I2718" s="2524"/>
      <c r="J2718" s="2163"/>
      <c r="K2718" s="2163"/>
      <c r="L2718" s="2163"/>
      <c r="M2718" s="2163"/>
    </row>
    <row r="2719" spans="1:15">
      <c r="A2719" s="2163"/>
      <c r="B2719" s="2163"/>
      <c r="C2719" s="2163"/>
      <c r="D2719" s="2163"/>
      <c r="E2719" s="2163"/>
      <c r="F2719" s="2163"/>
      <c r="G2719" s="2163"/>
      <c r="H2719" s="2163"/>
      <c r="I2719" s="2163"/>
      <c r="J2719" s="2163"/>
      <c r="K2719" s="2163"/>
      <c r="L2719" s="2163"/>
      <c r="M2719" s="2163"/>
    </row>
    <row r="2720" spans="1:15">
      <c r="A2720" s="2529"/>
      <c r="B2720" s="2529"/>
      <c r="C2720" s="2529"/>
      <c r="D2720" s="2166"/>
      <c r="E2720" s="2166"/>
      <c r="F2720" s="2166"/>
      <c r="G2720" s="2166"/>
      <c r="H2720" s="2525"/>
      <c r="I2720" s="2525"/>
      <c r="J2720" s="2525"/>
      <c r="K2720" s="2166"/>
      <c r="L2720" s="2167"/>
      <c r="M2720" s="2166"/>
    </row>
    <row r="2721" spans="1:15">
      <c r="A2721" s="2164"/>
      <c r="B2721" s="2164"/>
      <c r="C2721" s="2164"/>
      <c r="D2721" s="2164"/>
      <c r="E2721" s="2522" t="s">
        <v>2639</v>
      </c>
      <c r="F2721" s="2522"/>
      <c r="G2721" s="2164"/>
      <c r="H2721" s="2523">
        <v>0</v>
      </c>
      <c r="I2721" s="2523"/>
      <c r="J2721" s="2523"/>
      <c r="K2721" s="2163"/>
      <c r="L2721" s="2523">
        <v>0</v>
      </c>
      <c r="M2721" s="2163"/>
    </row>
    <row r="2722" spans="1:15">
      <c r="A2722" s="2164"/>
      <c r="B2722" s="2164"/>
      <c r="C2722" s="2164"/>
      <c r="D2722" s="2164"/>
      <c r="E2722" s="2164"/>
      <c r="F2722" s="2164"/>
      <c r="G2722" s="2164"/>
      <c r="H2722" s="2523"/>
      <c r="I2722" s="2523"/>
      <c r="J2722" s="2523"/>
      <c r="K2722" s="2163"/>
      <c r="L2722" s="2523"/>
      <c r="M2722" s="2163"/>
    </row>
    <row r="2723" spans="1:15">
      <c r="A2723" s="2160" t="s">
        <v>2754</v>
      </c>
      <c r="B2723" s="2161"/>
      <c r="C2723" s="2160" t="s">
        <v>2755</v>
      </c>
      <c r="D2723" s="2161"/>
      <c r="E2723" s="2160" t="s">
        <v>2698</v>
      </c>
      <c r="F2723" s="2161"/>
    </row>
    <row r="2724" spans="1:15">
      <c r="A2724" s="2163"/>
      <c r="B2724" s="2163"/>
      <c r="C2724" s="2163"/>
      <c r="D2724" s="2163"/>
      <c r="E2724" s="2163"/>
      <c r="F2724" s="2163"/>
      <c r="G2724" s="2163"/>
      <c r="H2724" s="2163"/>
      <c r="I2724" s="2163"/>
      <c r="J2724" s="2163"/>
      <c r="K2724" s="2163"/>
      <c r="L2724" s="2163"/>
      <c r="M2724" s="2163"/>
    </row>
    <row r="2725" spans="1:15">
      <c r="A2725" s="2164"/>
      <c r="H2725" s="2522" t="s">
        <v>2637</v>
      </c>
      <c r="I2725" s="2522"/>
      <c r="J2725" s="2163"/>
      <c r="K2725" s="2523">
        <v>0</v>
      </c>
      <c r="L2725" s="2523"/>
      <c r="M2725" s="2163"/>
      <c r="N2725" s="2527"/>
      <c r="O2725" s="2163"/>
    </row>
    <row r="2726" spans="1:15">
      <c r="H2726" s="2163"/>
      <c r="I2726" s="2163"/>
      <c r="J2726" s="2163"/>
      <c r="K2726" s="2523"/>
      <c r="L2726" s="2523"/>
      <c r="N2726" s="2527"/>
    </row>
    <row r="2727" spans="1:15">
      <c r="A2727" s="2165">
        <v>26182</v>
      </c>
      <c r="B2727" s="2163"/>
      <c r="C2727" s="2524" t="s">
        <v>2642</v>
      </c>
      <c r="D2727" s="2524"/>
      <c r="E2727" s="2524"/>
      <c r="F2727" s="2524"/>
      <c r="G2727" s="2524"/>
      <c r="H2727" s="2524"/>
      <c r="I2727" s="2524"/>
      <c r="J2727" s="2163"/>
      <c r="K2727" s="2163"/>
      <c r="L2727" s="2163"/>
      <c r="M2727" s="2163"/>
    </row>
    <row r="2728" spans="1:15">
      <c r="A2728" s="2163"/>
      <c r="B2728" s="2163"/>
      <c r="C2728" s="2163"/>
      <c r="D2728" s="2163"/>
      <c r="E2728" s="2163"/>
      <c r="F2728" s="2163"/>
      <c r="G2728" s="2163"/>
      <c r="H2728" s="2163"/>
      <c r="I2728" s="2163"/>
      <c r="J2728" s="2163"/>
      <c r="K2728" s="2163"/>
      <c r="L2728" s="2163"/>
      <c r="M2728" s="2163"/>
    </row>
    <row r="2729" spans="1:15">
      <c r="A2729" s="2529"/>
      <c r="B2729" s="2529"/>
      <c r="C2729" s="2529"/>
      <c r="D2729" s="2166"/>
      <c r="E2729" s="2166"/>
      <c r="F2729" s="2166"/>
      <c r="G2729" s="2166"/>
      <c r="H2729" s="2525"/>
      <c r="I2729" s="2525"/>
      <c r="J2729" s="2525"/>
      <c r="K2729" s="2166"/>
      <c r="L2729" s="2167"/>
      <c r="M2729" s="2166"/>
    </row>
    <row r="2730" spans="1:15">
      <c r="A2730" s="2164"/>
      <c r="B2730" s="2164"/>
      <c r="C2730" s="2164"/>
      <c r="D2730" s="2164"/>
      <c r="E2730" s="2522" t="s">
        <v>2639</v>
      </c>
      <c r="F2730" s="2522"/>
      <c r="G2730" s="2164"/>
      <c r="H2730" s="2523">
        <v>0</v>
      </c>
      <c r="I2730" s="2523"/>
      <c r="J2730" s="2523"/>
      <c r="K2730" s="2163"/>
      <c r="L2730" s="2523">
        <v>0</v>
      </c>
      <c r="M2730" s="2163"/>
    </row>
    <row r="2731" spans="1:15">
      <c r="A2731" s="2164"/>
      <c r="B2731" s="2164"/>
      <c r="C2731" s="2164"/>
      <c r="D2731" s="2164"/>
      <c r="E2731" s="2164"/>
      <c r="F2731" s="2164"/>
      <c r="G2731" s="2164"/>
      <c r="H2731" s="2523"/>
      <c r="I2731" s="2523"/>
      <c r="J2731" s="2523"/>
      <c r="K2731" s="2163"/>
      <c r="L2731" s="2523"/>
      <c r="M2731" s="2163"/>
    </row>
    <row r="2732" spans="1:15">
      <c r="A2732" s="2160" t="s">
        <v>2754</v>
      </c>
      <c r="B2732" s="2161"/>
      <c r="C2732" s="2160" t="s">
        <v>2755</v>
      </c>
      <c r="D2732" s="2161"/>
      <c r="E2732" s="2160" t="s">
        <v>2698</v>
      </c>
      <c r="F2732" s="2161"/>
    </row>
    <row r="2733" spans="1:15">
      <c r="A2733" s="2163"/>
      <c r="B2733" s="2163"/>
      <c r="C2733" s="2163"/>
      <c r="D2733" s="2163"/>
      <c r="E2733" s="2163"/>
      <c r="F2733" s="2163"/>
      <c r="G2733" s="2163"/>
      <c r="H2733" s="2163"/>
      <c r="I2733" s="2163"/>
      <c r="J2733" s="2163"/>
      <c r="K2733" s="2163"/>
      <c r="L2733" s="2163"/>
      <c r="M2733" s="2163"/>
    </row>
    <row r="2734" spans="1:15">
      <c r="A2734" s="2164"/>
      <c r="H2734" s="2522" t="s">
        <v>2637</v>
      </c>
      <c r="I2734" s="2522"/>
      <c r="J2734" s="2163"/>
      <c r="K2734" s="2523">
        <v>0</v>
      </c>
      <c r="L2734" s="2523"/>
      <c r="M2734" s="2163"/>
      <c r="N2734" s="2527"/>
      <c r="O2734" s="2163"/>
    </row>
    <row r="2735" spans="1:15">
      <c r="H2735" s="2163"/>
      <c r="I2735" s="2163"/>
      <c r="J2735" s="2163"/>
      <c r="K2735" s="2523"/>
      <c r="L2735" s="2523"/>
      <c r="N2735" s="2527"/>
    </row>
    <row r="2736" spans="1:15">
      <c r="A2736" s="2165">
        <v>30823</v>
      </c>
      <c r="B2736" s="2163"/>
      <c r="C2736" s="2524" t="s">
        <v>2642</v>
      </c>
      <c r="D2736" s="2524"/>
      <c r="E2736" s="2524"/>
      <c r="F2736" s="2524"/>
      <c r="G2736" s="2524"/>
      <c r="H2736" s="2524"/>
      <c r="I2736" s="2524"/>
      <c r="J2736" s="2163"/>
      <c r="K2736" s="2163"/>
      <c r="L2736" s="2163"/>
      <c r="M2736" s="2163"/>
    </row>
    <row r="2737" spans="1:15">
      <c r="A2737" s="2163"/>
      <c r="B2737" s="2163"/>
      <c r="C2737" s="2163"/>
      <c r="D2737" s="2163"/>
      <c r="E2737" s="2163"/>
      <c r="F2737" s="2163"/>
      <c r="G2737" s="2163"/>
      <c r="H2737" s="2163"/>
      <c r="I2737" s="2163"/>
      <c r="J2737" s="2163"/>
      <c r="K2737" s="2163"/>
      <c r="L2737" s="2163"/>
      <c r="M2737" s="2163"/>
    </row>
    <row r="2738" spans="1:15">
      <c r="A2738" s="2529"/>
      <c r="B2738" s="2529"/>
      <c r="C2738" s="2529"/>
      <c r="D2738" s="2166"/>
      <c r="E2738" s="2166"/>
      <c r="F2738" s="2166"/>
      <c r="G2738" s="2166"/>
      <c r="H2738" s="2525"/>
      <c r="I2738" s="2525"/>
      <c r="J2738" s="2525"/>
      <c r="K2738" s="2166"/>
      <c r="L2738" s="2167"/>
      <c r="M2738" s="2166"/>
    </row>
    <row r="2739" spans="1:15">
      <c r="A2739" s="2164"/>
      <c r="B2739" s="2164"/>
      <c r="C2739" s="2164"/>
      <c r="D2739" s="2164"/>
      <c r="E2739" s="2522" t="s">
        <v>2639</v>
      </c>
      <c r="F2739" s="2522"/>
      <c r="G2739" s="2164"/>
      <c r="H2739" s="2523">
        <v>0</v>
      </c>
      <c r="I2739" s="2523"/>
      <c r="J2739" s="2523"/>
      <c r="K2739" s="2163"/>
      <c r="L2739" s="2523">
        <v>0</v>
      </c>
      <c r="M2739" s="2163"/>
    </row>
    <row r="2740" spans="1:15">
      <c r="A2740" s="2164"/>
      <c r="B2740" s="2164"/>
      <c r="C2740" s="2164"/>
      <c r="D2740" s="2164"/>
      <c r="E2740" s="2164"/>
      <c r="F2740" s="2164"/>
      <c r="G2740" s="2164"/>
      <c r="H2740" s="2523"/>
      <c r="I2740" s="2523"/>
      <c r="J2740" s="2523"/>
      <c r="K2740" s="2163"/>
      <c r="L2740" s="2523"/>
      <c r="M2740" s="2163"/>
    </row>
    <row r="2741" spans="1:15">
      <c r="A2741" s="2160" t="s">
        <v>2754</v>
      </c>
      <c r="B2741" s="2161"/>
      <c r="C2741" s="2160" t="s">
        <v>2755</v>
      </c>
      <c r="D2741" s="2161"/>
      <c r="E2741" s="2160" t="s">
        <v>2698</v>
      </c>
      <c r="F2741" s="2161"/>
    </row>
    <row r="2742" spans="1:15">
      <c r="A2742" s="2163"/>
      <c r="B2742" s="2163"/>
      <c r="C2742" s="2163"/>
      <c r="D2742" s="2163"/>
      <c r="E2742" s="2163"/>
      <c r="F2742" s="2163"/>
      <c r="G2742" s="2163"/>
      <c r="H2742" s="2163"/>
      <c r="I2742" s="2163"/>
      <c r="J2742" s="2163"/>
      <c r="K2742" s="2163"/>
      <c r="L2742" s="2163"/>
      <c r="M2742" s="2163"/>
    </row>
    <row r="2743" spans="1:15">
      <c r="A2743" s="2164"/>
      <c r="H2743" s="2522" t="s">
        <v>2637</v>
      </c>
      <c r="I2743" s="2522"/>
      <c r="J2743" s="2163"/>
      <c r="K2743" s="2523">
        <v>0</v>
      </c>
      <c r="L2743" s="2523"/>
      <c r="M2743" s="2163"/>
      <c r="N2743" s="2527"/>
      <c r="O2743" s="2163"/>
    </row>
    <row r="2744" spans="1:15">
      <c r="H2744" s="2163"/>
      <c r="I2744" s="2163"/>
      <c r="J2744" s="2163"/>
      <c r="K2744" s="2523"/>
      <c r="L2744" s="2523"/>
      <c r="N2744" s="2527"/>
    </row>
    <row r="2745" spans="1:15">
      <c r="A2745" s="2165">
        <v>32636</v>
      </c>
      <c r="B2745" s="2163"/>
      <c r="C2745" s="2524" t="s">
        <v>2641</v>
      </c>
      <c r="D2745" s="2524"/>
      <c r="E2745" s="2524"/>
      <c r="F2745" s="2524"/>
      <c r="G2745" s="2524"/>
      <c r="H2745" s="2524"/>
      <c r="I2745" s="2524"/>
      <c r="J2745" s="2163"/>
      <c r="K2745" s="2163"/>
      <c r="L2745" s="2163"/>
      <c r="M2745" s="2163"/>
    </row>
    <row r="2746" spans="1:15">
      <c r="A2746" s="2163"/>
      <c r="B2746" s="2163"/>
      <c r="C2746" s="2163"/>
      <c r="D2746" s="2163"/>
      <c r="E2746" s="2163"/>
      <c r="F2746" s="2163"/>
      <c r="G2746" s="2163"/>
      <c r="H2746" s="2163"/>
      <c r="I2746" s="2163"/>
      <c r="J2746" s="2163"/>
      <c r="K2746" s="2163"/>
      <c r="L2746" s="2163"/>
      <c r="M2746" s="2163"/>
    </row>
    <row r="2747" spans="1:15">
      <c r="A2747" s="2520" t="s">
        <v>2648</v>
      </c>
      <c r="B2747" s="2520"/>
      <c r="C2747" s="2520"/>
      <c r="D2747" s="2166"/>
      <c r="E2747" s="2166"/>
      <c r="F2747" s="2166"/>
      <c r="G2747" s="2166"/>
      <c r="H2747" s="2525">
        <v>-1.651</v>
      </c>
      <c r="I2747" s="2525"/>
      <c r="J2747" s="2525"/>
      <c r="K2747" s="2166"/>
      <c r="L2747" s="2167">
        <v>-84.07</v>
      </c>
      <c r="M2747" s="2166"/>
    </row>
    <row r="2748" spans="1:15">
      <c r="A2748" s="2520" t="s">
        <v>2649</v>
      </c>
      <c r="B2748" s="2520"/>
      <c r="C2748" s="2520"/>
      <c r="D2748" s="2166"/>
      <c r="E2748" s="2166"/>
      <c r="F2748" s="2166"/>
      <c r="G2748" s="2166"/>
      <c r="H2748" s="2525">
        <v>1.651</v>
      </c>
      <c r="I2748" s="2525"/>
      <c r="J2748" s="2525"/>
      <c r="K2748" s="2166"/>
      <c r="L2748" s="2167">
        <v>84</v>
      </c>
      <c r="M2748" s="2166"/>
    </row>
    <row r="2749" spans="1:15">
      <c r="A2749" s="2164"/>
      <c r="B2749" s="2164"/>
      <c r="C2749" s="2164"/>
      <c r="D2749" s="2164"/>
      <c r="E2749" s="2522" t="s">
        <v>2639</v>
      </c>
      <c r="F2749" s="2522"/>
      <c r="G2749" s="2164"/>
      <c r="H2749" s="2523">
        <v>0</v>
      </c>
      <c r="I2749" s="2523"/>
      <c r="J2749" s="2523"/>
      <c r="K2749" s="2163"/>
      <c r="L2749" s="2523">
        <v>0</v>
      </c>
      <c r="M2749" s="2163"/>
    </row>
    <row r="2750" spans="1:15">
      <c r="A2750" s="2164"/>
      <c r="B2750" s="2164"/>
      <c r="C2750" s="2164"/>
      <c r="D2750" s="2164"/>
      <c r="E2750" s="2164"/>
      <c r="F2750" s="2164"/>
      <c r="G2750" s="2164"/>
      <c r="H2750" s="2523"/>
      <c r="I2750" s="2523"/>
      <c r="J2750" s="2523"/>
      <c r="K2750" s="2163"/>
      <c r="L2750" s="2523"/>
      <c r="M2750" s="2163"/>
    </row>
    <row r="2751" spans="1:15">
      <c r="A2751" s="2160" t="s">
        <v>2754</v>
      </c>
      <c r="B2751" s="2161"/>
      <c r="C2751" s="2160" t="s">
        <v>2755</v>
      </c>
      <c r="D2751" s="2161"/>
      <c r="E2751" s="2160" t="s">
        <v>2698</v>
      </c>
      <c r="F2751" s="2161"/>
    </row>
    <row r="2752" spans="1:15">
      <c r="A2752" s="2163"/>
      <c r="B2752" s="2163"/>
      <c r="C2752" s="2163"/>
      <c r="D2752" s="2163"/>
      <c r="E2752" s="2163"/>
      <c r="F2752" s="2163"/>
      <c r="G2752" s="2163"/>
      <c r="H2752" s="2163"/>
      <c r="I2752" s="2163"/>
      <c r="J2752" s="2163"/>
      <c r="K2752" s="2163"/>
      <c r="L2752" s="2163"/>
      <c r="M2752" s="2163"/>
    </row>
    <row r="2753" spans="1:15">
      <c r="A2753" s="2164"/>
      <c r="H2753" s="2522" t="s">
        <v>2637</v>
      </c>
      <c r="I2753" s="2522"/>
      <c r="J2753" s="2163"/>
      <c r="K2753" s="2523">
        <v>0</v>
      </c>
      <c r="L2753" s="2523"/>
      <c r="M2753" s="2163"/>
      <c r="N2753" s="2527"/>
      <c r="O2753" s="2163"/>
    </row>
    <row r="2754" spans="1:15">
      <c r="H2754" s="2163"/>
      <c r="I2754" s="2163"/>
      <c r="J2754" s="2163"/>
      <c r="K2754" s="2523"/>
      <c r="L2754" s="2523"/>
      <c r="N2754" s="2527"/>
    </row>
    <row r="2755" spans="1:15">
      <c r="A2755" s="2165">
        <v>32143</v>
      </c>
      <c r="B2755" s="2163"/>
      <c r="C2755" s="2524" t="s">
        <v>2650</v>
      </c>
      <c r="D2755" s="2524"/>
      <c r="E2755" s="2524"/>
      <c r="F2755" s="2524"/>
      <c r="G2755" s="2524"/>
      <c r="H2755" s="2524"/>
      <c r="I2755" s="2524"/>
      <c r="J2755" s="2163"/>
      <c r="K2755" s="2163"/>
      <c r="L2755" s="2163"/>
      <c r="M2755" s="2163"/>
    </row>
    <row r="2756" spans="1:15">
      <c r="A2756" s="2163"/>
      <c r="B2756" s="2163"/>
      <c r="C2756" s="2163"/>
      <c r="D2756" s="2163"/>
      <c r="E2756" s="2163"/>
      <c r="F2756" s="2163"/>
      <c r="G2756" s="2163"/>
      <c r="H2756" s="2163"/>
      <c r="I2756" s="2163"/>
      <c r="J2756" s="2163"/>
      <c r="K2756" s="2163"/>
      <c r="L2756" s="2163"/>
      <c r="M2756" s="2163"/>
    </row>
    <row r="2757" spans="1:15">
      <c r="A2757" s="2529"/>
      <c r="B2757" s="2529"/>
      <c r="C2757" s="2529"/>
      <c r="D2757" s="2166"/>
      <c r="E2757" s="2166"/>
      <c r="F2757" s="2166"/>
      <c r="G2757" s="2166"/>
      <c r="H2757" s="2525"/>
      <c r="I2757" s="2525"/>
      <c r="J2757" s="2525"/>
      <c r="K2757" s="2166"/>
      <c r="L2757" s="2167"/>
      <c r="M2757" s="2166"/>
    </row>
    <row r="2758" spans="1:15">
      <c r="A2758" s="2164"/>
      <c r="B2758" s="2164"/>
      <c r="C2758" s="2164"/>
      <c r="D2758" s="2164"/>
      <c r="E2758" s="2522" t="s">
        <v>2639</v>
      </c>
      <c r="F2758" s="2522"/>
      <c r="G2758" s="2164"/>
      <c r="H2758" s="2523">
        <v>0</v>
      </c>
      <c r="I2758" s="2523"/>
      <c r="J2758" s="2523"/>
      <c r="K2758" s="2163"/>
      <c r="L2758" s="2523">
        <v>0</v>
      </c>
      <c r="M2758" s="2163"/>
    </row>
    <row r="2759" spans="1:15">
      <c r="A2759" s="2164"/>
      <c r="B2759" s="2164"/>
      <c r="C2759" s="2164"/>
      <c r="D2759" s="2164"/>
      <c r="E2759" s="2164"/>
      <c r="F2759" s="2164"/>
      <c r="G2759" s="2164"/>
      <c r="H2759" s="2523"/>
      <c r="I2759" s="2523"/>
      <c r="J2759" s="2523"/>
      <c r="K2759" s="2163"/>
      <c r="L2759" s="2523"/>
      <c r="M2759" s="2163"/>
    </row>
    <row r="2760" spans="1:15">
      <c r="A2760" s="2160" t="s">
        <v>2754</v>
      </c>
      <c r="B2760" s="2161"/>
      <c r="C2760" s="2160" t="s">
        <v>2755</v>
      </c>
      <c r="D2760" s="2161"/>
      <c r="E2760" s="2160" t="s">
        <v>2698</v>
      </c>
      <c r="F2760" s="2161"/>
    </row>
    <row r="2761" spans="1:15">
      <c r="A2761" s="2163"/>
      <c r="B2761" s="2163"/>
      <c r="C2761" s="2163"/>
      <c r="D2761" s="2163"/>
      <c r="E2761" s="2163"/>
      <c r="F2761" s="2163"/>
      <c r="G2761" s="2163"/>
      <c r="H2761" s="2163"/>
      <c r="I2761" s="2163"/>
      <c r="J2761" s="2163"/>
      <c r="K2761" s="2163"/>
      <c r="L2761" s="2163"/>
      <c r="M2761" s="2163"/>
    </row>
    <row r="2762" spans="1:15">
      <c r="A2762" s="2164"/>
      <c r="H2762" s="2522" t="s">
        <v>2637</v>
      </c>
      <c r="I2762" s="2522"/>
      <c r="J2762" s="2163"/>
      <c r="K2762" s="2523">
        <v>0</v>
      </c>
      <c r="L2762" s="2523"/>
      <c r="M2762" s="2163"/>
      <c r="N2762" s="2527"/>
      <c r="O2762" s="2163"/>
    </row>
    <row r="2763" spans="1:15">
      <c r="H2763" s="2163"/>
      <c r="I2763" s="2163"/>
      <c r="J2763" s="2163"/>
      <c r="K2763" s="2523"/>
      <c r="L2763" s="2523"/>
      <c r="N2763" s="2527"/>
    </row>
    <row r="2764" spans="1:15">
      <c r="A2764" s="2165">
        <v>31951</v>
      </c>
      <c r="B2764" s="2163"/>
      <c r="C2764" s="2524" t="s">
        <v>2761</v>
      </c>
      <c r="D2764" s="2524"/>
      <c r="E2764" s="2524"/>
      <c r="F2764" s="2524"/>
      <c r="G2764" s="2524"/>
      <c r="H2764" s="2524"/>
      <c r="I2764" s="2524"/>
      <c r="J2764" s="2163"/>
      <c r="K2764" s="2163"/>
      <c r="L2764" s="2163"/>
      <c r="M2764" s="2163"/>
    </row>
    <row r="2765" spans="1:15">
      <c r="A2765" s="2163"/>
      <c r="B2765" s="2163"/>
      <c r="C2765" s="2163"/>
      <c r="D2765" s="2163"/>
      <c r="E2765" s="2163"/>
      <c r="F2765" s="2163"/>
      <c r="G2765" s="2163"/>
      <c r="H2765" s="2163"/>
      <c r="I2765" s="2163"/>
      <c r="J2765" s="2163"/>
      <c r="K2765" s="2163"/>
      <c r="L2765" s="2163"/>
      <c r="M2765" s="2163"/>
    </row>
    <row r="2766" spans="1:15">
      <c r="A2766" s="2529"/>
      <c r="B2766" s="2529"/>
      <c r="C2766" s="2529"/>
      <c r="D2766" s="2166"/>
      <c r="E2766" s="2166"/>
      <c r="F2766" s="2166"/>
      <c r="G2766" s="2166"/>
      <c r="H2766" s="2525"/>
      <c r="I2766" s="2525"/>
      <c r="J2766" s="2525"/>
      <c r="K2766" s="2166"/>
      <c r="L2766" s="2167"/>
      <c r="M2766" s="2166"/>
    </row>
    <row r="2767" spans="1:15">
      <c r="A2767" s="2164"/>
      <c r="B2767" s="2164"/>
      <c r="C2767" s="2164"/>
      <c r="D2767" s="2164"/>
      <c r="E2767" s="2522" t="s">
        <v>2639</v>
      </c>
      <c r="F2767" s="2522"/>
      <c r="G2767" s="2164"/>
      <c r="H2767" s="2523">
        <v>0</v>
      </c>
      <c r="I2767" s="2523"/>
      <c r="J2767" s="2523"/>
      <c r="K2767" s="2163"/>
      <c r="L2767" s="2523">
        <v>0</v>
      </c>
      <c r="M2767" s="2163"/>
    </row>
    <row r="2768" spans="1:15">
      <c r="A2768" s="2164"/>
      <c r="B2768" s="2164"/>
      <c r="C2768" s="2164"/>
      <c r="D2768" s="2164"/>
      <c r="E2768" s="2164"/>
      <c r="F2768" s="2164"/>
      <c r="G2768" s="2164"/>
      <c r="H2768" s="2523"/>
      <c r="I2768" s="2523"/>
      <c r="J2768" s="2523"/>
      <c r="K2768" s="2163"/>
      <c r="L2768" s="2523"/>
      <c r="M2768" s="2163"/>
    </row>
    <row r="2769" spans="1:15">
      <c r="A2769" s="2160" t="s">
        <v>2754</v>
      </c>
      <c r="B2769" s="2161"/>
      <c r="C2769" s="2160" t="s">
        <v>2755</v>
      </c>
      <c r="D2769" s="2161"/>
      <c r="E2769" s="2160" t="s">
        <v>2698</v>
      </c>
      <c r="F2769" s="2161"/>
    </row>
    <row r="2770" spans="1:15">
      <c r="A2770" s="2163"/>
      <c r="B2770" s="2163"/>
      <c r="C2770" s="2163"/>
      <c r="D2770" s="2163"/>
      <c r="E2770" s="2163"/>
      <c r="F2770" s="2163"/>
      <c r="G2770" s="2163"/>
      <c r="H2770" s="2163"/>
      <c r="I2770" s="2163"/>
      <c r="J2770" s="2163"/>
      <c r="K2770" s="2163"/>
      <c r="L2770" s="2163"/>
      <c r="M2770" s="2163"/>
    </row>
    <row r="2771" spans="1:15">
      <c r="A2771" s="2164"/>
      <c r="H2771" s="2522" t="s">
        <v>2637</v>
      </c>
      <c r="I2771" s="2522"/>
      <c r="J2771" s="2163"/>
      <c r="K2771" s="2523">
        <v>0</v>
      </c>
      <c r="L2771" s="2523"/>
      <c r="M2771" s="2163"/>
      <c r="N2771" s="2527"/>
      <c r="O2771" s="2163"/>
    </row>
    <row r="2772" spans="1:15">
      <c r="H2772" s="2163"/>
      <c r="I2772" s="2163"/>
      <c r="J2772" s="2163"/>
      <c r="K2772" s="2523"/>
      <c r="L2772" s="2523"/>
      <c r="N2772" s="2527"/>
    </row>
    <row r="2773" spans="1:15">
      <c r="A2773" s="2165">
        <v>44234</v>
      </c>
      <c r="B2773" s="2163"/>
      <c r="C2773" s="2524" t="s">
        <v>2658</v>
      </c>
      <c r="D2773" s="2524"/>
      <c r="E2773" s="2524"/>
      <c r="F2773" s="2524"/>
      <c r="G2773" s="2524"/>
      <c r="H2773" s="2524"/>
      <c r="I2773" s="2524"/>
      <c r="J2773" s="2163"/>
      <c r="K2773" s="2163"/>
      <c r="L2773" s="2163"/>
      <c r="M2773" s="2163"/>
    </row>
    <row r="2774" spans="1:15">
      <c r="A2774" s="2163"/>
      <c r="B2774" s="2163"/>
      <c r="C2774" s="2163"/>
      <c r="D2774" s="2163"/>
      <c r="E2774" s="2163"/>
      <c r="F2774" s="2163"/>
      <c r="G2774" s="2163"/>
      <c r="H2774" s="2163"/>
      <c r="I2774" s="2163"/>
      <c r="J2774" s="2163"/>
      <c r="K2774" s="2163"/>
      <c r="L2774" s="2163"/>
      <c r="M2774" s="2163"/>
    </row>
    <row r="2775" spans="1:15">
      <c r="A2775" s="2529"/>
      <c r="B2775" s="2529"/>
      <c r="C2775" s="2529"/>
      <c r="D2775" s="2166"/>
      <c r="E2775" s="2166"/>
      <c r="F2775" s="2166"/>
      <c r="G2775" s="2166"/>
      <c r="H2775" s="2525"/>
      <c r="I2775" s="2525"/>
      <c r="J2775" s="2525"/>
      <c r="K2775" s="2166"/>
      <c r="L2775" s="2167"/>
      <c r="M2775" s="2166"/>
    </row>
    <row r="2776" spans="1:15">
      <c r="A2776" s="2164"/>
      <c r="B2776" s="2164"/>
      <c r="C2776" s="2164"/>
      <c r="D2776" s="2164"/>
      <c r="E2776" s="2522" t="s">
        <v>2639</v>
      </c>
      <c r="F2776" s="2522"/>
      <c r="G2776" s="2164"/>
      <c r="H2776" s="2523">
        <v>0</v>
      </c>
      <c r="I2776" s="2523"/>
      <c r="J2776" s="2523"/>
      <c r="K2776" s="2163"/>
      <c r="L2776" s="2523">
        <v>0</v>
      </c>
      <c r="M2776" s="2163"/>
    </row>
    <row r="2777" spans="1:15">
      <c r="A2777" s="2164"/>
      <c r="B2777" s="2164"/>
      <c r="C2777" s="2164"/>
      <c r="D2777" s="2164"/>
      <c r="E2777" s="2164"/>
      <c r="F2777" s="2164"/>
      <c r="G2777" s="2164"/>
      <c r="H2777" s="2523"/>
      <c r="I2777" s="2523"/>
      <c r="J2777" s="2523"/>
      <c r="K2777" s="2163"/>
      <c r="L2777" s="2523"/>
      <c r="M2777" s="2163"/>
    </row>
    <row r="2778" spans="1:15">
      <c r="A2778" s="2160" t="s">
        <v>2754</v>
      </c>
      <c r="B2778" s="2161"/>
      <c r="C2778" s="2160" t="s">
        <v>2755</v>
      </c>
      <c r="D2778" s="2161"/>
      <c r="E2778" s="2160" t="s">
        <v>2698</v>
      </c>
      <c r="F2778" s="2161"/>
    </row>
    <row r="2779" spans="1:15">
      <c r="A2779" s="2163"/>
      <c r="B2779" s="2163"/>
      <c r="C2779" s="2163"/>
      <c r="D2779" s="2163"/>
      <c r="E2779" s="2163"/>
      <c r="F2779" s="2163"/>
      <c r="G2779" s="2163"/>
      <c r="H2779" s="2163"/>
      <c r="I2779" s="2163"/>
      <c r="J2779" s="2163"/>
      <c r="K2779" s="2163"/>
      <c r="L2779" s="2163"/>
      <c r="M2779" s="2163"/>
    </row>
    <row r="2780" spans="1:15">
      <c r="A2780" s="2164"/>
      <c r="H2780" s="2522" t="s">
        <v>2637</v>
      </c>
      <c r="I2780" s="2522"/>
      <c r="J2780" s="2163"/>
      <c r="K2780" s="2523">
        <v>0</v>
      </c>
      <c r="L2780" s="2523"/>
      <c r="M2780" s="2163"/>
      <c r="N2780" s="2527"/>
      <c r="O2780" s="2163"/>
    </row>
    <row r="2781" spans="1:15">
      <c r="H2781" s="2163"/>
      <c r="I2781" s="2163"/>
      <c r="J2781" s="2163"/>
      <c r="K2781" s="2523"/>
      <c r="L2781" s="2523"/>
      <c r="N2781" s="2527"/>
    </row>
    <row r="2782" spans="1:15">
      <c r="A2782" s="2165">
        <v>46553</v>
      </c>
      <c r="B2782" s="2163"/>
      <c r="C2782" s="2524" t="s">
        <v>2662</v>
      </c>
      <c r="D2782" s="2524"/>
      <c r="E2782" s="2524"/>
      <c r="F2782" s="2524"/>
      <c r="G2782" s="2524"/>
      <c r="H2782" s="2524"/>
      <c r="I2782" s="2524"/>
      <c r="J2782" s="2163"/>
      <c r="K2782" s="2163"/>
      <c r="L2782" s="2163"/>
      <c r="M2782" s="2163"/>
    </row>
    <row r="2783" spans="1:15">
      <c r="A2783" s="2163"/>
      <c r="B2783" s="2163"/>
      <c r="C2783" s="2163"/>
      <c r="D2783" s="2163"/>
      <c r="E2783" s="2163"/>
      <c r="F2783" s="2163"/>
      <c r="G2783" s="2163"/>
      <c r="H2783" s="2163"/>
      <c r="I2783" s="2163"/>
      <c r="J2783" s="2163"/>
      <c r="K2783" s="2163"/>
      <c r="L2783" s="2163"/>
      <c r="M2783" s="2163"/>
    </row>
    <row r="2784" spans="1:15">
      <c r="A2784" s="2529"/>
      <c r="B2784" s="2529"/>
      <c r="C2784" s="2529"/>
      <c r="D2784" s="2166"/>
      <c r="E2784" s="2166"/>
      <c r="F2784" s="2166"/>
      <c r="G2784" s="2166"/>
      <c r="H2784" s="2525"/>
      <c r="I2784" s="2525"/>
      <c r="J2784" s="2525"/>
      <c r="K2784" s="2166"/>
      <c r="L2784" s="2167"/>
      <c r="M2784" s="2166"/>
    </row>
    <row r="2785" spans="1:15">
      <c r="A2785" s="2164"/>
      <c r="B2785" s="2164"/>
      <c r="C2785" s="2164"/>
      <c r="D2785" s="2164"/>
      <c r="E2785" s="2522" t="s">
        <v>2639</v>
      </c>
      <c r="F2785" s="2522"/>
      <c r="G2785" s="2164"/>
      <c r="H2785" s="2523">
        <v>0</v>
      </c>
      <c r="I2785" s="2523"/>
      <c r="J2785" s="2523"/>
      <c r="K2785" s="2163"/>
      <c r="L2785" s="2523">
        <v>0</v>
      </c>
      <c r="M2785" s="2163"/>
    </row>
    <row r="2786" spans="1:15">
      <c r="A2786" s="2164"/>
      <c r="B2786" s="2164"/>
      <c r="C2786" s="2164"/>
      <c r="D2786" s="2164"/>
      <c r="E2786" s="2164"/>
      <c r="F2786" s="2164"/>
      <c r="G2786" s="2164"/>
      <c r="H2786" s="2523"/>
      <c r="I2786" s="2523"/>
      <c r="J2786" s="2523"/>
      <c r="K2786" s="2163"/>
      <c r="L2786" s="2523"/>
      <c r="M2786" s="2163"/>
    </row>
    <row r="2787" spans="1:15">
      <c r="A2787" s="2160" t="s">
        <v>2754</v>
      </c>
      <c r="B2787" s="2161"/>
      <c r="C2787" s="2160" t="s">
        <v>2755</v>
      </c>
      <c r="D2787" s="2161"/>
      <c r="E2787" s="2160" t="s">
        <v>2698</v>
      </c>
      <c r="F2787" s="2161"/>
    </row>
    <row r="2788" spans="1:15">
      <c r="A2788" s="2163"/>
      <c r="B2788" s="2163"/>
      <c r="C2788" s="2163"/>
      <c r="D2788" s="2163"/>
      <c r="E2788" s="2163"/>
      <c r="F2788" s="2163"/>
      <c r="G2788" s="2163"/>
      <c r="H2788" s="2163"/>
      <c r="I2788" s="2163"/>
      <c r="J2788" s="2163"/>
      <c r="K2788" s="2163"/>
      <c r="L2788" s="2163"/>
      <c r="M2788" s="2163"/>
    </row>
    <row r="2789" spans="1:15">
      <c r="A2789" s="2164"/>
      <c r="H2789" s="2522" t="s">
        <v>2637</v>
      </c>
      <c r="I2789" s="2522"/>
      <c r="J2789" s="2163"/>
      <c r="K2789" s="2523">
        <v>0</v>
      </c>
      <c r="L2789" s="2523"/>
      <c r="M2789" s="2163"/>
      <c r="N2789" s="2527"/>
      <c r="O2789" s="2163"/>
    </row>
    <row r="2790" spans="1:15">
      <c r="H2790" s="2163"/>
      <c r="I2790" s="2163"/>
      <c r="J2790" s="2163"/>
      <c r="K2790" s="2523"/>
      <c r="L2790" s="2523"/>
      <c r="N2790" s="2527"/>
    </row>
    <row r="2791" spans="1:15">
      <c r="A2791" s="2165">
        <v>47948</v>
      </c>
      <c r="B2791" s="2163"/>
      <c r="C2791" s="2524" t="s">
        <v>2683</v>
      </c>
      <c r="D2791" s="2524"/>
      <c r="E2791" s="2524"/>
      <c r="F2791" s="2524"/>
      <c r="G2791" s="2524"/>
      <c r="H2791" s="2524"/>
      <c r="I2791" s="2524"/>
      <c r="J2791" s="2163"/>
      <c r="K2791" s="2163"/>
      <c r="L2791" s="2163"/>
      <c r="M2791" s="2163"/>
    </row>
    <row r="2792" spans="1:15">
      <c r="A2792" s="2163"/>
      <c r="B2792" s="2163"/>
      <c r="C2792" s="2163"/>
      <c r="D2792" s="2163"/>
      <c r="E2792" s="2163"/>
      <c r="F2792" s="2163"/>
      <c r="G2792" s="2163"/>
      <c r="H2792" s="2163"/>
      <c r="I2792" s="2163"/>
      <c r="J2792" s="2163"/>
      <c r="K2792" s="2163"/>
      <c r="L2792" s="2163"/>
      <c r="M2792" s="2163"/>
    </row>
    <row r="2793" spans="1:15">
      <c r="A2793" s="2529"/>
      <c r="B2793" s="2529"/>
      <c r="C2793" s="2529"/>
      <c r="D2793" s="2166"/>
      <c r="E2793" s="2166"/>
      <c r="F2793" s="2166"/>
      <c r="G2793" s="2166"/>
      <c r="H2793" s="2525"/>
      <c r="I2793" s="2525"/>
      <c r="J2793" s="2525"/>
      <c r="K2793" s="2166"/>
      <c r="L2793" s="2167"/>
      <c r="M2793" s="2166"/>
    </row>
    <row r="2794" spans="1:15">
      <c r="A2794" s="2164"/>
      <c r="B2794" s="2164"/>
      <c r="C2794" s="2164"/>
      <c r="D2794" s="2164"/>
      <c r="E2794" s="2522" t="s">
        <v>2639</v>
      </c>
      <c r="F2794" s="2522"/>
      <c r="G2794" s="2164"/>
      <c r="H2794" s="2523">
        <v>0</v>
      </c>
      <c r="I2794" s="2523"/>
      <c r="J2794" s="2523"/>
      <c r="K2794" s="2163"/>
      <c r="L2794" s="2523">
        <v>0</v>
      </c>
      <c r="M2794" s="2163"/>
    </row>
    <row r="2795" spans="1:15">
      <c r="A2795" s="2164"/>
      <c r="B2795" s="2164"/>
      <c r="C2795" s="2164"/>
      <c r="D2795" s="2164"/>
      <c r="E2795" s="2164"/>
      <c r="F2795" s="2164"/>
      <c r="G2795" s="2164"/>
      <c r="H2795" s="2523"/>
      <c r="I2795" s="2523"/>
      <c r="J2795" s="2523"/>
      <c r="K2795" s="2163"/>
      <c r="L2795" s="2523"/>
      <c r="M2795" s="2163"/>
    </row>
    <row r="2796" spans="1:15">
      <c r="A2796" s="2160" t="s">
        <v>2754</v>
      </c>
      <c r="B2796" s="2161"/>
      <c r="C2796" s="2160" t="s">
        <v>2755</v>
      </c>
      <c r="D2796" s="2161"/>
      <c r="E2796" s="2160" t="s">
        <v>2698</v>
      </c>
      <c r="F2796" s="2161"/>
    </row>
    <row r="2797" spans="1:15">
      <c r="A2797" s="2163"/>
      <c r="B2797" s="2163"/>
      <c r="C2797" s="2163"/>
      <c r="D2797" s="2163"/>
      <c r="E2797" s="2163"/>
      <c r="F2797" s="2163"/>
      <c r="G2797" s="2163"/>
      <c r="H2797" s="2163"/>
      <c r="I2797" s="2163"/>
      <c r="J2797" s="2163"/>
      <c r="K2797" s="2163"/>
      <c r="L2797" s="2163"/>
      <c r="M2797" s="2163"/>
    </row>
    <row r="2798" spans="1:15">
      <c r="A2798" s="2164"/>
      <c r="H2798" s="2522" t="s">
        <v>2637</v>
      </c>
      <c r="I2798" s="2522"/>
      <c r="J2798" s="2163"/>
      <c r="K2798" s="2523">
        <v>0</v>
      </c>
      <c r="L2798" s="2523"/>
      <c r="M2798" s="2163"/>
      <c r="N2798" s="2527"/>
      <c r="O2798" s="2163"/>
    </row>
    <row r="2799" spans="1:15">
      <c r="H2799" s="2163"/>
      <c r="I2799" s="2163"/>
      <c r="J2799" s="2163"/>
      <c r="K2799" s="2523"/>
      <c r="L2799" s="2523"/>
      <c r="N2799" s="2527"/>
    </row>
    <row r="2800" spans="1:15">
      <c r="A2800" s="2165">
        <v>48483</v>
      </c>
      <c r="B2800" s="2163"/>
      <c r="C2800" s="2524" t="s">
        <v>2664</v>
      </c>
      <c r="D2800" s="2524"/>
      <c r="E2800" s="2524"/>
      <c r="F2800" s="2524"/>
      <c r="G2800" s="2524"/>
      <c r="H2800" s="2524"/>
      <c r="I2800" s="2524"/>
      <c r="J2800" s="2163"/>
      <c r="K2800" s="2163"/>
      <c r="L2800" s="2163"/>
      <c r="M2800" s="2163"/>
    </row>
    <row r="2801" spans="1:15">
      <c r="A2801" s="2163"/>
      <c r="B2801" s="2163"/>
      <c r="C2801" s="2163"/>
      <c r="D2801" s="2163"/>
      <c r="E2801" s="2163"/>
      <c r="F2801" s="2163"/>
      <c r="G2801" s="2163"/>
      <c r="H2801" s="2163"/>
      <c r="I2801" s="2163"/>
      <c r="J2801" s="2163"/>
      <c r="K2801" s="2163"/>
      <c r="L2801" s="2163"/>
      <c r="M2801" s="2163"/>
    </row>
    <row r="2802" spans="1:15">
      <c r="A2802" s="2529"/>
      <c r="B2802" s="2529"/>
      <c r="C2802" s="2529"/>
      <c r="D2802" s="2166"/>
      <c r="E2802" s="2166"/>
      <c r="F2802" s="2166"/>
      <c r="G2802" s="2166"/>
      <c r="H2802" s="2525"/>
      <c r="I2802" s="2525"/>
      <c r="J2802" s="2525"/>
      <c r="K2802" s="2166"/>
      <c r="L2802" s="2167"/>
      <c r="M2802" s="2166"/>
    </row>
    <row r="2803" spans="1:15">
      <c r="A2803" s="2164"/>
      <c r="B2803" s="2164"/>
      <c r="C2803" s="2164"/>
      <c r="D2803" s="2164"/>
      <c r="E2803" s="2522" t="s">
        <v>2639</v>
      </c>
      <c r="F2803" s="2522"/>
      <c r="G2803" s="2164"/>
      <c r="H2803" s="2523">
        <v>0</v>
      </c>
      <c r="I2803" s="2523"/>
      <c r="J2803" s="2523"/>
      <c r="K2803" s="2163"/>
      <c r="L2803" s="2523">
        <v>0</v>
      </c>
      <c r="M2803" s="2163"/>
    </row>
    <row r="2804" spans="1:15">
      <c r="A2804" s="2164"/>
      <c r="B2804" s="2164"/>
      <c r="C2804" s="2164"/>
      <c r="D2804" s="2164"/>
      <c r="E2804" s="2164"/>
      <c r="F2804" s="2164"/>
      <c r="G2804" s="2164"/>
      <c r="H2804" s="2523"/>
      <c r="I2804" s="2523"/>
      <c r="J2804" s="2523"/>
      <c r="K2804" s="2163"/>
      <c r="L2804" s="2523"/>
      <c r="M2804" s="2163"/>
    </row>
    <row r="2805" spans="1:15">
      <c r="A2805" s="2160" t="s">
        <v>2754</v>
      </c>
      <c r="B2805" s="2161"/>
      <c r="C2805" s="2160" t="s">
        <v>2755</v>
      </c>
      <c r="D2805" s="2161"/>
      <c r="E2805" s="2160" t="s">
        <v>2698</v>
      </c>
      <c r="F2805" s="2161"/>
    </row>
    <row r="2806" spans="1:15">
      <c r="A2806" s="2163"/>
      <c r="B2806" s="2163"/>
      <c r="C2806" s="2163"/>
      <c r="D2806" s="2163"/>
      <c r="E2806" s="2163"/>
      <c r="F2806" s="2163"/>
      <c r="G2806" s="2163"/>
      <c r="H2806" s="2163"/>
      <c r="I2806" s="2163"/>
      <c r="J2806" s="2163"/>
      <c r="K2806" s="2163"/>
      <c r="L2806" s="2163"/>
      <c r="M2806" s="2163"/>
    </row>
    <row r="2807" spans="1:15">
      <c r="A2807" s="2164"/>
      <c r="H2807" s="2522" t="s">
        <v>2637</v>
      </c>
      <c r="I2807" s="2522"/>
      <c r="J2807" s="2163"/>
      <c r="K2807" s="2523">
        <v>0</v>
      </c>
      <c r="L2807" s="2523"/>
      <c r="M2807" s="2163"/>
      <c r="N2807" s="2527"/>
      <c r="O2807" s="2163"/>
    </row>
    <row r="2808" spans="1:15">
      <c r="H2808" s="2163"/>
      <c r="I2808" s="2163"/>
      <c r="J2808" s="2163"/>
      <c r="K2808" s="2523"/>
      <c r="L2808" s="2523"/>
      <c r="N2808" s="2527"/>
    </row>
    <row r="2809" spans="1:15">
      <c r="A2809" s="2165">
        <v>48589</v>
      </c>
      <c r="B2809" s="2163"/>
      <c r="C2809" s="2524" t="s">
        <v>2978</v>
      </c>
      <c r="D2809" s="2524"/>
      <c r="E2809" s="2524"/>
      <c r="F2809" s="2524"/>
      <c r="G2809" s="2524"/>
      <c r="H2809" s="2524"/>
      <c r="I2809" s="2524"/>
      <c r="J2809" s="2163"/>
      <c r="K2809" s="2163"/>
      <c r="L2809" s="2163"/>
      <c r="M2809" s="2163"/>
    </row>
    <row r="2810" spans="1:15">
      <c r="A2810" s="2163"/>
      <c r="B2810" s="2163"/>
      <c r="C2810" s="2163"/>
      <c r="D2810" s="2163"/>
      <c r="E2810" s="2163"/>
      <c r="F2810" s="2163"/>
      <c r="G2810" s="2163"/>
      <c r="H2810" s="2163"/>
      <c r="I2810" s="2163"/>
      <c r="J2810" s="2163"/>
      <c r="K2810" s="2163"/>
      <c r="L2810" s="2163"/>
      <c r="M2810" s="2163"/>
    </row>
    <row r="2811" spans="1:15">
      <c r="A2811" s="2529"/>
      <c r="B2811" s="2529"/>
      <c r="C2811" s="2529"/>
      <c r="D2811" s="2166"/>
      <c r="E2811" s="2166"/>
      <c r="F2811" s="2166"/>
      <c r="G2811" s="2166"/>
      <c r="H2811" s="2525"/>
      <c r="I2811" s="2525"/>
      <c r="J2811" s="2525"/>
      <c r="K2811" s="2166"/>
      <c r="L2811" s="2167"/>
      <c r="M2811" s="2166"/>
    </row>
    <row r="2812" spans="1:15">
      <c r="A2812" s="2164"/>
      <c r="B2812" s="2164"/>
      <c r="C2812" s="2164"/>
      <c r="D2812" s="2164"/>
      <c r="E2812" s="2522" t="s">
        <v>2639</v>
      </c>
      <c r="F2812" s="2522"/>
      <c r="G2812" s="2164"/>
      <c r="H2812" s="2523">
        <v>0</v>
      </c>
      <c r="I2812" s="2523"/>
      <c r="J2812" s="2523"/>
      <c r="K2812" s="2163"/>
      <c r="L2812" s="2523">
        <v>0</v>
      </c>
      <c r="M2812" s="2163"/>
    </row>
    <row r="2813" spans="1:15">
      <c r="A2813" s="2164"/>
      <c r="B2813" s="2164"/>
      <c r="C2813" s="2164"/>
      <c r="D2813" s="2164"/>
      <c r="E2813" s="2164"/>
      <c r="F2813" s="2164"/>
      <c r="G2813" s="2164"/>
      <c r="H2813" s="2523"/>
      <c r="I2813" s="2523"/>
      <c r="J2813" s="2523"/>
      <c r="K2813" s="2163"/>
      <c r="L2813" s="2523"/>
      <c r="M2813" s="2163"/>
    </row>
    <row r="2814" spans="1:15">
      <c r="A2814" s="2160" t="s">
        <v>2754</v>
      </c>
      <c r="B2814" s="2161"/>
      <c r="C2814" s="2160" t="s">
        <v>2755</v>
      </c>
      <c r="D2814" s="2161"/>
      <c r="E2814" s="2160" t="s">
        <v>2698</v>
      </c>
      <c r="F2814" s="2161"/>
    </row>
    <row r="2815" spans="1:15">
      <c r="A2815" s="2163"/>
      <c r="B2815" s="2163"/>
      <c r="C2815" s="2163"/>
      <c r="D2815" s="2163"/>
      <c r="E2815" s="2163"/>
      <c r="F2815" s="2163"/>
      <c r="G2815" s="2163"/>
      <c r="H2815" s="2163"/>
      <c r="I2815" s="2163"/>
      <c r="J2815" s="2163"/>
      <c r="K2815" s="2163"/>
      <c r="L2815" s="2163"/>
      <c r="M2815" s="2163"/>
    </row>
    <row r="2816" spans="1:15">
      <c r="A2816" s="2164"/>
      <c r="H2816" s="2522" t="s">
        <v>2637</v>
      </c>
      <c r="I2816" s="2522"/>
      <c r="J2816" s="2163"/>
      <c r="K2816" s="2523">
        <v>0</v>
      </c>
      <c r="L2816" s="2523"/>
      <c r="M2816" s="2163"/>
      <c r="N2816" s="2527"/>
      <c r="O2816" s="2163"/>
    </row>
    <row r="2817" spans="1:15">
      <c r="H2817" s="2163"/>
      <c r="I2817" s="2163"/>
      <c r="J2817" s="2163"/>
      <c r="K2817" s="2523"/>
      <c r="L2817" s="2523"/>
      <c r="N2817" s="2527"/>
    </row>
    <row r="2818" spans="1:15">
      <c r="A2818" s="2165">
        <v>52483</v>
      </c>
      <c r="B2818" s="2163"/>
      <c r="C2818" s="2524" t="s">
        <v>2762</v>
      </c>
      <c r="D2818" s="2524"/>
      <c r="E2818" s="2524"/>
      <c r="F2818" s="2524"/>
      <c r="G2818" s="2524"/>
      <c r="H2818" s="2524"/>
      <c r="I2818" s="2524"/>
      <c r="J2818" s="2163"/>
      <c r="K2818" s="2163"/>
      <c r="L2818" s="2163"/>
      <c r="M2818" s="2163"/>
    </row>
    <row r="2819" spans="1:15">
      <c r="A2819" s="2163"/>
      <c r="B2819" s="2163"/>
      <c r="C2819" s="2163"/>
      <c r="D2819" s="2163"/>
      <c r="E2819" s="2163"/>
      <c r="F2819" s="2163"/>
      <c r="G2819" s="2163"/>
      <c r="H2819" s="2163"/>
      <c r="I2819" s="2163"/>
      <c r="J2819" s="2163"/>
      <c r="K2819" s="2163"/>
      <c r="L2819" s="2163"/>
      <c r="M2819" s="2163"/>
    </row>
    <row r="2820" spans="1:15">
      <c r="A2820" s="2529"/>
      <c r="B2820" s="2529"/>
      <c r="C2820" s="2529"/>
      <c r="D2820" s="2166"/>
      <c r="E2820" s="2166"/>
      <c r="F2820" s="2166"/>
      <c r="G2820" s="2166"/>
      <c r="H2820" s="2525"/>
      <c r="I2820" s="2525"/>
      <c r="J2820" s="2525"/>
      <c r="K2820" s="2166"/>
      <c r="L2820" s="2167"/>
      <c r="M2820" s="2166"/>
    </row>
    <row r="2821" spans="1:15">
      <c r="A2821" s="2164"/>
      <c r="B2821" s="2164"/>
      <c r="C2821" s="2164"/>
      <c r="D2821" s="2164"/>
      <c r="E2821" s="2522" t="s">
        <v>2639</v>
      </c>
      <c r="F2821" s="2522"/>
      <c r="G2821" s="2164"/>
      <c r="H2821" s="2523">
        <v>0</v>
      </c>
      <c r="I2821" s="2523"/>
      <c r="J2821" s="2523"/>
      <c r="K2821" s="2163"/>
      <c r="L2821" s="2523">
        <v>0</v>
      </c>
      <c r="M2821" s="2163"/>
    </row>
    <row r="2822" spans="1:15">
      <c r="A2822" s="2164"/>
      <c r="B2822" s="2164"/>
      <c r="C2822" s="2164"/>
      <c r="D2822" s="2164"/>
      <c r="E2822" s="2164"/>
      <c r="F2822" s="2164"/>
      <c r="G2822" s="2164"/>
      <c r="H2822" s="2523"/>
      <c r="I2822" s="2523"/>
      <c r="J2822" s="2523"/>
      <c r="K2822" s="2163"/>
      <c r="L2822" s="2523"/>
      <c r="M2822" s="2163"/>
    </row>
    <row r="2823" spans="1:15">
      <c r="A2823" s="2160" t="s">
        <v>2754</v>
      </c>
      <c r="B2823" s="2161"/>
      <c r="C2823" s="2160" t="s">
        <v>2755</v>
      </c>
      <c r="D2823" s="2161"/>
      <c r="E2823" s="2160" t="s">
        <v>2698</v>
      </c>
      <c r="F2823" s="2161"/>
    </row>
    <row r="2824" spans="1:15">
      <c r="A2824" s="2163"/>
      <c r="B2824" s="2163"/>
      <c r="C2824" s="2163"/>
      <c r="D2824" s="2163"/>
      <c r="E2824" s="2163"/>
      <c r="F2824" s="2163"/>
      <c r="G2824" s="2163"/>
      <c r="H2824" s="2163"/>
      <c r="I2824" s="2163"/>
      <c r="J2824" s="2163"/>
      <c r="K2824" s="2163"/>
      <c r="L2824" s="2163"/>
      <c r="M2824" s="2163"/>
    </row>
    <row r="2825" spans="1:15">
      <c r="A2825" s="2164"/>
      <c r="H2825" s="2522" t="s">
        <v>2637</v>
      </c>
      <c r="I2825" s="2522"/>
      <c r="J2825" s="2163"/>
      <c r="K2825" s="2523">
        <v>1E-4</v>
      </c>
      <c r="L2825" s="2523"/>
      <c r="M2825" s="2163"/>
      <c r="N2825" s="2527"/>
      <c r="O2825" s="2163"/>
    </row>
    <row r="2826" spans="1:15">
      <c r="H2826" s="2163"/>
      <c r="I2826" s="2163"/>
      <c r="J2826" s="2163"/>
      <c r="K2826" s="2523"/>
      <c r="L2826" s="2523"/>
      <c r="N2826" s="2527"/>
    </row>
    <row r="2827" spans="1:15">
      <c r="A2827" s="2165">
        <v>53566</v>
      </c>
      <c r="B2827" s="2163"/>
      <c r="C2827" s="2524" t="s">
        <v>3037</v>
      </c>
      <c r="D2827" s="2524"/>
      <c r="E2827" s="2524"/>
      <c r="F2827" s="2524"/>
      <c r="G2827" s="2524"/>
      <c r="H2827" s="2524"/>
      <c r="I2827" s="2524"/>
      <c r="J2827" s="2163"/>
      <c r="K2827" s="2163"/>
      <c r="L2827" s="2163"/>
      <c r="M2827" s="2163"/>
    </row>
    <row r="2828" spans="1:15">
      <c r="A2828" s="2163"/>
      <c r="B2828" s="2163"/>
      <c r="C2828" s="2163"/>
      <c r="D2828" s="2163"/>
      <c r="E2828" s="2163"/>
      <c r="F2828" s="2163"/>
      <c r="G2828" s="2163"/>
      <c r="H2828" s="2163"/>
      <c r="I2828" s="2163"/>
      <c r="J2828" s="2163"/>
      <c r="K2828" s="2163"/>
      <c r="L2828" s="2163"/>
      <c r="M2828" s="2163"/>
    </row>
    <row r="2829" spans="1:15">
      <c r="A2829" s="2529"/>
      <c r="B2829" s="2529"/>
      <c r="C2829" s="2529"/>
      <c r="D2829" s="2166"/>
      <c r="E2829" s="2166"/>
      <c r="F2829" s="2166"/>
      <c r="G2829" s="2166"/>
      <c r="H2829" s="2525"/>
      <c r="I2829" s="2525"/>
      <c r="J2829" s="2525"/>
      <c r="K2829" s="2166"/>
      <c r="L2829" s="2167"/>
      <c r="M2829" s="2166"/>
    </row>
    <row r="2830" spans="1:15">
      <c r="A2830" s="2164"/>
      <c r="B2830" s="2164"/>
      <c r="C2830" s="2164"/>
      <c r="D2830" s="2164"/>
      <c r="E2830" s="2522" t="s">
        <v>2639</v>
      </c>
      <c r="F2830" s="2522"/>
      <c r="G2830" s="2164"/>
      <c r="H2830" s="2523">
        <v>1E-4</v>
      </c>
      <c r="I2830" s="2523"/>
      <c r="J2830" s="2523"/>
      <c r="K2830" s="2163"/>
      <c r="L2830" s="2523">
        <v>0.01</v>
      </c>
      <c r="M2830" s="2163"/>
    </row>
    <row r="2831" spans="1:15">
      <c r="A2831" s="2164"/>
      <c r="B2831" s="2164"/>
      <c r="C2831" s="2164"/>
      <c r="D2831" s="2164"/>
      <c r="E2831" s="2164"/>
      <c r="F2831" s="2164"/>
      <c r="G2831" s="2164"/>
      <c r="H2831" s="2523"/>
      <c r="I2831" s="2523"/>
      <c r="J2831" s="2523"/>
      <c r="K2831" s="2163"/>
      <c r="L2831" s="2523"/>
      <c r="M2831" s="2163"/>
    </row>
    <row r="2832" spans="1:15">
      <c r="A2832" s="2160" t="s">
        <v>2754</v>
      </c>
      <c r="B2832" s="2161"/>
      <c r="C2832" s="2160" t="s">
        <v>2755</v>
      </c>
      <c r="D2832" s="2161"/>
      <c r="E2832" s="2160" t="s">
        <v>2698</v>
      </c>
      <c r="F2832" s="2161"/>
    </row>
    <row r="2833" spans="1:15">
      <c r="A2833" s="2163"/>
      <c r="B2833" s="2163"/>
      <c r="C2833" s="2163"/>
      <c r="D2833" s="2163"/>
      <c r="E2833" s="2163"/>
      <c r="F2833" s="2163"/>
      <c r="G2833" s="2163"/>
      <c r="H2833" s="2163"/>
      <c r="I2833" s="2163"/>
      <c r="J2833" s="2163"/>
      <c r="K2833" s="2163"/>
      <c r="L2833" s="2163"/>
      <c r="M2833" s="2163"/>
    </row>
    <row r="2834" spans="1:15">
      <c r="A2834" s="2164"/>
      <c r="H2834" s="2522" t="s">
        <v>2637</v>
      </c>
      <c r="I2834" s="2522"/>
      <c r="J2834" s="2163"/>
      <c r="K2834" s="2523">
        <v>0</v>
      </c>
      <c r="L2834" s="2523"/>
      <c r="M2834" s="2163"/>
      <c r="N2834" s="2527"/>
      <c r="O2834" s="2163"/>
    </row>
    <row r="2835" spans="1:15">
      <c r="H2835" s="2163"/>
      <c r="I2835" s="2163"/>
      <c r="J2835" s="2163"/>
      <c r="K2835" s="2523"/>
      <c r="L2835" s="2523"/>
      <c r="N2835" s="2527"/>
    </row>
    <row r="2836" spans="1:15">
      <c r="A2836" s="2165">
        <v>55863</v>
      </c>
      <c r="B2836" s="2163"/>
      <c r="C2836" s="2524" t="s">
        <v>2685</v>
      </c>
      <c r="D2836" s="2524"/>
      <c r="E2836" s="2524"/>
      <c r="F2836" s="2524"/>
      <c r="G2836" s="2524"/>
      <c r="H2836" s="2524"/>
      <c r="I2836" s="2524"/>
      <c r="J2836" s="2163"/>
      <c r="K2836" s="2163"/>
      <c r="L2836" s="2163"/>
      <c r="M2836" s="2163"/>
    </row>
    <row r="2837" spans="1:15">
      <c r="A2837" s="2163"/>
      <c r="B2837" s="2163"/>
      <c r="C2837" s="2163"/>
      <c r="D2837" s="2163"/>
      <c r="E2837" s="2163"/>
      <c r="F2837" s="2163"/>
      <c r="G2837" s="2163"/>
      <c r="H2837" s="2163"/>
      <c r="I2837" s="2163"/>
      <c r="J2837" s="2163"/>
      <c r="K2837" s="2163"/>
      <c r="L2837" s="2163"/>
      <c r="M2837" s="2163"/>
    </row>
    <row r="2838" spans="1:15">
      <c r="A2838" s="2529"/>
      <c r="B2838" s="2529"/>
      <c r="C2838" s="2529"/>
      <c r="D2838" s="2166"/>
      <c r="E2838" s="2166"/>
      <c r="F2838" s="2166"/>
      <c r="G2838" s="2166"/>
      <c r="H2838" s="2525"/>
      <c r="I2838" s="2525"/>
      <c r="J2838" s="2525"/>
      <c r="K2838" s="2166"/>
      <c r="L2838" s="2167"/>
      <c r="M2838" s="2166"/>
    </row>
    <row r="2839" spans="1:15">
      <c r="A2839" s="2164"/>
      <c r="B2839" s="2164"/>
      <c r="C2839" s="2164"/>
      <c r="D2839" s="2164"/>
      <c r="E2839" s="2522" t="s">
        <v>2639</v>
      </c>
      <c r="F2839" s="2522"/>
      <c r="G2839" s="2164"/>
      <c r="H2839" s="2523">
        <v>0</v>
      </c>
      <c r="I2839" s="2523"/>
      <c r="J2839" s="2523"/>
      <c r="K2839" s="2163"/>
      <c r="L2839" s="2523">
        <v>0</v>
      </c>
      <c r="M2839" s="2163"/>
    </row>
    <row r="2840" spans="1:15">
      <c r="A2840" s="2164"/>
      <c r="B2840" s="2164"/>
      <c r="C2840" s="2164"/>
      <c r="D2840" s="2164"/>
      <c r="E2840" s="2164"/>
      <c r="F2840" s="2164"/>
      <c r="G2840" s="2164"/>
      <c r="H2840" s="2523"/>
      <c r="I2840" s="2523"/>
      <c r="J2840" s="2523"/>
      <c r="K2840" s="2163"/>
      <c r="L2840" s="2523"/>
      <c r="M2840" s="2163"/>
    </row>
    <row r="2841" spans="1:15">
      <c r="A2841" s="2160" t="s">
        <v>2754</v>
      </c>
      <c r="B2841" s="2161"/>
      <c r="C2841" s="2160" t="s">
        <v>2755</v>
      </c>
      <c r="D2841" s="2161"/>
      <c r="E2841" s="2160" t="s">
        <v>2698</v>
      </c>
      <c r="F2841" s="2161"/>
    </row>
    <row r="2842" spans="1:15">
      <c r="A2842" s="2163"/>
      <c r="B2842" s="2163"/>
      <c r="C2842" s="2163"/>
      <c r="D2842" s="2163"/>
      <c r="E2842" s="2163"/>
      <c r="F2842" s="2163"/>
      <c r="G2842" s="2163"/>
      <c r="H2842" s="2163"/>
      <c r="I2842" s="2163"/>
      <c r="J2842" s="2163"/>
      <c r="K2842" s="2163"/>
      <c r="L2842" s="2163"/>
      <c r="M2842" s="2163"/>
    </row>
    <row r="2843" spans="1:15">
      <c r="A2843" s="2164"/>
      <c r="H2843" s="2522" t="s">
        <v>2637</v>
      </c>
      <c r="I2843" s="2522"/>
      <c r="J2843" s="2163"/>
      <c r="K2843" s="2523">
        <v>0</v>
      </c>
      <c r="L2843" s="2523"/>
      <c r="M2843" s="2163"/>
      <c r="N2843" s="2527"/>
      <c r="O2843" s="2163"/>
    </row>
    <row r="2844" spans="1:15">
      <c r="H2844" s="2163"/>
      <c r="I2844" s="2163"/>
      <c r="J2844" s="2163"/>
      <c r="K2844" s="2523"/>
      <c r="L2844" s="2523"/>
      <c r="N2844" s="2527"/>
    </row>
    <row r="2845" spans="1:15">
      <c r="A2845" s="2165">
        <v>60098</v>
      </c>
      <c r="B2845" s="2163"/>
      <c r="C2845" s="2524" t="s">
        <v>2686</v>
      </c>
      <c r="D2845" s="2524"/>
      <c r="E2845" s="2524"/>
      <c r="F2845" s="2524"/>
      <c r="G2845" s="2524"/>
      <c r="H2845" s="2524"/>
      <c r="I2845" s="2524"/>
      <c r="J2845" s="2163"/>
      <c r="K2845" s="2163"/>
      <c r="L2845" s="2163"/>
      <c r="M2845" s="2163"/>
    </row>
    <row r="2846" spans="1:15">
      <c r="A2846" s="2163"/>
      <c r="B2846" s="2163"/>
      <c r="C2846" s="2163"/>
      <c r="D2846" s="2163"/>
      <c r="E2846" s="2163"/>
      <c r="F2846" s="2163"/>
      <c r="G2846" s="2163"/>
      <c r="H2846" s="2163"/>
      <c r="I2846" s="2163"/>
      <c r="J2846" s="2163"/>
      <c r="K2846" s="2163"/>
      <c r="L2846" s="2163"/>
      <c r="M2846" s="2163"/>
    </row>
    <row r="2847" spans="1:15">
      <c r="A2847" s="2529"/>
      <c r="B2847" s="2529"/>
      <c r="C2847" s="2529"/>
      <c r="D2847" s="2166"/>
      <c r="E2847" s="2166"/>
      <c r="F2847" s="2166"/>
      <c r="G2847" s="2166"/>
      <c r="H2847" s="2525"/>
      <c r="I2847" s="2525"/>
      <c r="J2847" s="2525"/>
      <c r="K2847" s="2166"/>
      <c r="L2847" s="2167"/>
      <c r="M2847" s="2166"/>
    </row>
    <row r="2848" spans="1:15">
      <c r="A2848" s="2164"/>
      <c r="B2848" s="2164"/>
      <c r="C2848" s="2164"/>
      <c r="D2848" s="2164"/>
      <c r="E2848" s="2522" t="s">
        <v>2639</v>
      </c>
      <c r="F2848" s="2522"/>
      <c r="G2848" s="2164"/>
      <c r="H2848" s="2523">
        <v>0</v>
      </c>
      <c r="I2848" s="2523"/>
      <c r="J2848" s="2523"/>
      <c r="K2848" s="2163"/>
      <c r="L2848" s="2523">
        <v>0</v>
      </c>
      <c r="M2848" s="2163"/>
    </row>
    <row r="2849" spans="1:15">
      <c r="A2849" s="2164"/>
      <c r="B2849" s="2164"/>
      <c r="C2849" s="2164"/>
      <c r="D2849" s="2164"/>
      <c r="E2849" s="2164"/>
      <c r="F2849" s="2164"/>
      <c r="G2849" s="2164"/>
      <c r="H2849" s="2523"/>
      <c r="I2849" s="2523"/>
      <c r="J2849" s="2523"/>
      <c r="K2849" s="2163"/>
      <c r="L2849" s="2523"/>
      <c r="M2849" s="2163"/>
    </row>
    <row r="2850" spans="1:15">
      <c r="A2850" s="2160" t="s">
        <v>2754</v>
      </c>
      <c r="B2850" s="2161"/>
      <c r="C2850" s="2160" t="s">
        <v>2755</v>
      </c>
      <c r="D2850" s="2161"/>
      <c r="E2850" s="2160" t="s">
        <v>2698</v>
      </c>
      <c r="F2850" s="2161"/>
    </row>
    <row r="2851" spans="1:15">
      <c r="A2851" s="2163"/>
      <c r="B2851" s="2163"/>
      <c r="C2851" s="2163"/>
      <c r="D2851" s="2163"/>
      <c r="E2851" s="2163"/>
      <c r="F2851" s="2163"/>
      <c r="G2851" s="2163"/>
      <c r="H2851" s="2163"/>
      <c r="I2851" s="2163"/>
      <c r="J2851" s="2163"/>
      <c r="K2851" s="2163"/>
      <c r="L2851" s="2163"/>
      <c r="M2851" s="2163"/>
    </row>
    <row r="2852" spans="1:15">
      <c r="A2852" s="2164"/>
      <c r="H2852" s="2522" t="s">
        <v>2637</v>
      </c>
      <c r="I2852" s="2522"/>
      <c r="J2852" s="2163"/>
      <c r="K2852" s="2523">
        <v>0</v>
      </c>
      <c r="L2852" s="2523"/>
      <c r="M2852" s="2163"/>
      <c r="N2852" s="2527"/>
      <c r="O2852" s="2163"/>
    </row>
    <row r="2853" spans="1:15">
      <c r="H2853" s="2163"/>
      <c r="I2853" s="2163"/>
      <c r="J2853" s="2163"/>
      <c r="K2853" s="2523"/>
      <c r="L2853" s="2523"/>
      <c r="N2853" s="2527"/>
    </row>
    <row r="2854" spans="1:15">
      <c r="A2854" s="2165">
        <v>66113</v>
      </c>
      <c r="B2854" s="2163"/>
      <c r="C2854" s="2524" t="s">
        <v>2669</v>
      </c>
      <c r="D2854" s="2524"/>
      <c r="E2854" s="2524"/>
      <c r="F2854" s="2524"/>
      <c r="G2854" s="2524"/>
      <c r="H2854" s="2524"/>
      <c r="I2854" s="2524"/>
      <c r="J2854" s="2163"/>
      <c r="K2854" s="2163"/>
      <c r="L2854" s="2163"/>
      <c r="M2854" s="2163"/>
    </row>
    <row r="2855" spans="1:15">
      <c r="A2855" s="2163"/>
      <c r="B2855" s="2163"/>
      <c r="C2855" s="2163"/>
      <c r="D2855" s="2163"/>
      <c r="E2855" s="2163"/>
      <c r="F2855" s="2163"/>
      <c r="G2855" s="2163"/>
      <c r="H2855" s="2163"/>
      <c r="I2855" s="2163"/>
      <c r="J2855" s="2163"/>
      <c r="K2855" s="2163"/>
      <c r="L2855" s="2163"/>
      <c r="M2855" s="2163"/>
    </row>
    <row r="2856" spans="1:15">
      <c r="A2856" s="2529"/>
      <c r="B2856" s="2529"/>
      <c r="C2856" s="2529"/>
      <c r="D2856" s="2166"/>
      <c r="E2856" s="2166"/>
      <c r="F2856" s="2166"/>
      <c r="G2856" s="2166"/>
      <c r="H2856" s="2525"/>
      <c r="I2856" s="2525"/>
      <c r="J2856" s="2525"/>
      <c r="K2856" s="2166"/>
      <c r="L2856" s="2167"/>
      <c r="M2856" s="2166"/>
    </row>
    <row r="2857" spans="1:15">
      <c r="A2857" s="2164"/>
      <c r="B2857" s="2164"/>
      <c r="C2857" s="2164"/>
      <c r="D2857" s="2164"/>
      <c r="E2857" s="2522" t="s">
        <v>2639</v>
      </c>
      <c r="F2857" s="2522"/>
      <c r="G2857" s="2164"/>
      <c r="H2857" s="2523">
        <v>0</v>
      </c>
      <c r="I2857" s="2523"/>
      <c r="J2857" s="2523"/>
      <c r="K2857" s="2163"/>
      <c r="L2857" s="2523">
        <v>0</v>
      </c>
      <c r="M2857" s="2163"/>
    </row>
    <row r="2858" spans="1:15">
      <c r="A2858" s="2164"/>
      <c r="B2858" s="2164"/>
      <c r="C2858" s="2164"/>
      <c r="D2858" s="2164"/>
      <c r="E2858" s="2164"/>
      <c r="F2858" s="2164"/>
      <c r="G2858" s="2164"/>
      <c r="H2858" s="2523"/>
      <c r="I2858" s="2523"/>
      <c r="J2858" s="2523"/>
      <c r="K2858" s="2163"/>
      <c r="L2858" s="2523"/>
      <c r="M2858" s="2163"/>
    </row>
    <row r="2859" spans="1:15">
      <c r="A2859" s="2160" t="s">
        <v>2754</v>
      </c>
      <c r="B2859" s="2161"/>
      <c r="C2859" s="2160" t="s">
        <v>2755</v>
      </c>
      <c r="D2859" s="2161"/>
      <c r="E2859" s="2160" t="s">
        <v>2698</v>
      </c>
      <c r="F2859" s="2161"/>
    </row>
    <row r="2860" spans="1:15">
      <c r="A2860" s="2163"/>
      <c r="B2860" s="2163"/>
      <c r="C2860" s="2163"/>
      <c r="D2860" s="2163"/>
      <c r="E2860" s="2163"/>
      <c r="F2860" s="2163"/>
      <c r="G2860" s="2163"/>
      <c r="H2860" s="2163"/>
      <c r="I2860" s="2163"/>
      <c r="J2860" s="2163"/>
      <c r="K2860" s="2163"/>
      <c r="L2860" s="2163"/>
      <c r="M2860" s="2163"/>
    </row>
    <row r="2861" spans="1:15">
      <c r="A2861" s="2164"/>
      <c r="H2861" s="2522" t="s">
        <v>2637</v>
      </c>
      <c r="I2861" s="2522"/>
      <c r="J2861" s="2163"/>
      <c r="K2861" s="2523">
        <v>0</v>
      </c>
      <c r="L2861" s="2523"/>
      <c r="M2861" s="2163"/>
      <c r="N2861" s="2527"/>
      <c r="O2861" s="2163"/>
    </row>
    <row r="2862" spans="1:15">
      <c r="H2862" s="2163"/>
      <c r="I2862" s="2163"/>
      <c r="J2862" s="2163"/>
      <c r="K2862" s="2523"/>
      <c r="L2862" s="2523"/>
      <c r="N2862" s="2527"/>
    </row>
    <row r="2863" spans="1:15">
      <c r="A2863" s="2165">
        <v>66112</v>
      </c>
      <c r="B2863" s="2163"/>
      <c r="C2863" s="2524" t="s">
        <v>2670</v>
      </c>
      <c r="D2863" s="2524"/>
      <c r="E2863" s="2524"/>
      <c r="F2863" s="2524"/>
      <c r="G2863" s="2524"/>
      <c r="H2863" s="2524"/>
      <c r="I2863" s="2524"/>
      <c r="J2863" s="2163"/>
      <c r="K2863" s="2163"/>
      <c r="L2863" s="2163"/>
      <c r="M2863" s="2163"/>
    </row>
    <row r="2864" spans="1:15">
      <c r="A2864" s="2163"/>
      <c r="B2864" s="2163"/>
      <c r="C2864" s="2163"/>
      <c r="D2864" s="2163"/>
      <c r="E2864" s="2163"/>
      <c r="F2864" s="2163"/>
      <c r="G2864" s="2163"/>
      <c r="H2864" s="2163"/>
      <c r="I2864" s="2163"/>
      <c r="J2864" s="2163"/>
      <c r="K2864" s="2163"/>
      <c r="L2864" s="2163"/>
      <c r="M2864" s="2163"/>
    </row>
    <row r="2865" spans="1:15">
      <c r="A2865" s="2529"/>
      <c r="B2865" s="2529"/>
      <c r="C2865" s="2529"/>
      <c r="D2865" s="2166"/>
      <c r="E2865" s="2166"/>
      <c r="F2865" s="2166"/>
      <c r="G2865" s="2166"/>
      <c r="H2865" s="2525"/>
      <c r="I2865" s="2525"/>
      <c r="J2865" s="2525"/>
      <c r="K2865" s="2166"/>
      <c r="L2865" s="2167"/>
      <c r="M2865" s="2166"/>
    </row>
    <row r="2866" spans="1:15">
      <c r="A2866" s="2164"/>
      <c r="B2866" s="2164"/>
      <c r="C2866" s="2164"/>
      <c r="D2866" s="2164"/>
      <c r="E2866" s="2522" t="s">
        <v>2639</v>
      </c>
      <c r="F2866" s="2522"/>
      <c r="G2866" s="2164"/>
      <c r="H2866" s="2523">
        <v>0</v>
      </c>
      <c r="I2866" s="2523"/>
      <c r="J2866" s="2523"/>
      <c r="K2866" s="2163"/>
      <c r="L2866" s="2523">
        <v>0</v>
      </c>
      <c r="M2866" s="2163"/>
    </row>
    <row r="2867" spans="1:15">
      <c r="A2867" s="2164"/>
      <c r="B2867" s="2164"/>
      <c r="C2867" s="2164"/>
      <c r="D2867" s="2164"/>
      <c r="E2867" s="2164"/>
      <c r="F2867" s="2164"/>
      <c r="G2867" s="2164"/>
      <c r="H2867" s="2523"/>
      <c r="I2867" s="2523"/>
      <c r="J2867" s="2523"/>
      <c r="K2867" s="2163"/>
      <c r="L2867" s="2523"/>
      <c r="M2867" s="2163"/>
    </row>
    <row r="2868" spans="1:15">
      <c r="A2868" s="2160" t="s">
        <v>2754</v>
      </c>
      <c r="B2868" s="2161"/>
      <c r="C2868" s="2160" t="s">
        <v>2755</v>
      </c>
      <c r="D2868" s="2161"/>
      <c r="E2868" s="2160" t="s">
        <v>2698</v>
      </c>
      <c r="F2868" s="2161"/>
    </row>
    <row r="2869" spans="1:15">
      <c r="A2869" s="2163"/>
      <c r="B2869" s="2163"/>
      <c r="C2869" s="2163"/>
      <c r="D2869" s="2163"/>
      <c r="E2869" s="2163"/>
      <c r="F2869" s="2163"/>
      <c r="G2869" s="2163"/>
      <c r="H2869" s="2163"/>
      <c r="I2869" s="2163"/>
      <c r="J2869" s="2163"/>
      <c r="K2869" s="2163"/>
      <c r="L2869" s="2163"/>
      <c r="M2869" s="2163"/>
    </row>
    <row r="2870" spans="1:15">
      <c r="A2870" s="2164"/>
      <c r="H2870" s="2522" t="s">
        <v>2637</v>
      </c>
      <c r="I2870" s="2522"/>
      <c r="J2870" s="2163"/>
      <c r="K2870" s="2528">
        <v>44238.917099999999</v>
      </c>
      <c r="L2870" s="2528"/>
      <c r="M2870" s="2163"/>
      <c r="N2870" s="2527" t="s">
        <v>3038</v>
      </c>
      <c r="O2870" s="2163"/>
    </row>
    <row r="2871" spans="1:15">
      <c r="H2871" s="2163"/>
      <c r="I2871" s="2163"/>
      <c r="J2871" s="2163"/>
      <c r="K2871" s="2528"/>
      <c r="L2871" s="2528"/>
      <c r="N2871" s="2527"/>
    </row>
    <row r="2872" spans="1:15">
      <c r="A2872" s="2165">
        <v>85738</v>
      </c>
      <c r="B2872" s="2163"/>
      <c r="C2872" s="2524" t="s">
        <v>2848</v>
      </c>
      <c r="D2872" s="2524"/>
      <c r="E2872" s="2524"/>
      <c r="F2872" s="2524"/>
      <c r="G2872" s="2524"/>
      <c r="H2872" s="2524"/>
      <c r="I2872" s="2524"/>
      <c r="J2872" s="2163"/>
      <c r="K2872" s="2163"/>
      <c r="L2872" s="2163"/>
      <c r="M2872" s="2163"/>
    </row>
    <row r="2873" spans="1:15">
      <c r="A2873" s="2163"/>
      <c r="B2873" s="2163"/>
      <c r="C2873" s="2163"/>
      <c r="D2873" s="2163"/>
      <c r="E2873" s="2163"/>
      <c r="F2873" s="2163"/>
      <c r="G2873" s="2163"/>
      <c r="H2873" s="2163"/>
      <c r="I2873" s="2163"/>
      <c r="J2873" s="2163"/>
      <c r="K2873" s="2163"/>
      <c r="L2873" s="2163"/>
      <c r="M2873" s="2163"/>
    </row>
    <row r="2874" spans="1:15">
      <c r="A2874" s="2520" t="s">
        <v>2645</v>
      </c>
      <c r="B2874" s="2520"/>
      <c r="C2874" s="2520"/>
      <c r="D2874" s="2166"/>
      <c r="E2874" s="2166"/>
      <c r="F2874" s="2166"/>
      <c r="G2874" s="2166"/>
      <c r="H2874" s="2525"/>
      <c r="I2874" s="2525"/>
      <c r="J2874" s="2525"/>
      <c r="K2874" s="2166"/>
      <c r="L2874" s="2167"/>
      <c r="M2874" s="2166"/>
    </row>
    <row r="2875" spans="1:15">
      <c r="A2875" s="2520" t="s">
        <v>2645</v>
      </c>
      <c r="B2875" s="2520"/>
      <c r="C2875" s="2520"/>
      <c r="D2875" s="2166"/>
      <c r="E2875" s="2166"/>
      <c r="F2875" s="2166"/>
      <c r="G2875" s="2166"/>
      <c r="H2875" s="2525">
        <v>165.245</v>
      </c>
      <c r="I2875" s="2525"/>
      <c r="J2875" s="2525"/>
      <c r="K2875" s="2166"/>
      <c r="L2875" s="2168">
        <v>8325.77</v>
      </c>
      <c r="M2875" s="2166"/>
    </row>
    <row r="2876" spans="1:15">
      <c r="A2876" s="2164"/>
      <c r="B2876" s="2164"/>
      <c r="C2876" s="2164"/>
      <c r="D2876" s="2164"/>
      <c r="E2876" s="2522" t="s">
        <v>2639</v>
      </c>
      <c r="F2876" s="2522"/>
      <c r="G2876" s="2164"/>
      <c r="H2876" s="2528">
        <v>44404.162400000001</v>
      </c>
      <c r="I2876" s="2528"/>
      <c r="J2876" s="2528"/>
      <c r="K2876" s="2163"/>
      <c r="L2876" s="2528">
        <v>2262489.7599999998</v>
      </c>
      <c r="M2876" s="2163"/>
    </row>
    <row r="2877" spans="1:15">
      <c r="A2877" s="2164"/>
      <c r="B2877" s="2164"/>
      <c r="C2877" s="2164"/>
      <c r="D2877" s="2164"/>
      <c r="E2877" s="2164"/>
      <c r="F2877" s="2164"/>
      <c r="G2877" s="2164"/>
      <c r="H2877" s="2528"/>
      <c r="I2877" s="2528"/>
      <c r="J2877" s="2528"/>
      <c r="K2877" s="2163"/>
      <c r="L2877" s="2528"/>
      <c r="M2877" s="2163"/>
    </row>
    <row r="2878" spans="1:15" ht="27.6">
      <c r="A2878" s="2160" t="s">
        <v>2763</v>
      </c>
      <c r="B2878" s="2161"/>
      <c r="C2878" s="2160" t="s">
        <v>2764</v>
      </c>
      <c r="D2878" s="2161"/>
      <c r="E2878" s="2160" t="s">
        <v>2640</v>
      </c>
      <c r="F2878" s="2161"/>
    </row>
    <row r="2879" spans="1:15">
      <c r="A2879" s="2163"/>
      <c r="B2879" s="2163"/>
      <c r="C2879" s="2163"/>
      <c r="D2879" s="2163"/>
      <c r="E2879" s="2163"/>
      <c r="F2879" s="2163"/>
      <c r="G2879" s="2163"/>
      <c r="H2879" s="2163"/>
      <c r="I2879" s="2163"/>
      <c r="J2879" s="2163"/>
      <c r="K2879" s="2163"/>
      <c r="L2879" s="2163"/>
      <c r="M2879" s="2163"/>
    </row>
    <row r="2880" spans="1:15">
      <c r="A2880" s="2164"/>
      <c r="H2880" s="2522" t="s">
        <v>2637</v>
      </c>
      <c r="I2880" s="2522"/>
      <c r="J2880" s="2163"/>
      <c r="K2880" s="2523">
        <v>5.9999999999999995E-4</v>
      </c>
      <c r="L2880" s="2523"/>
      <c r="M2880" s="2163"/>
      <c r="N2880" s="2527"/>
      <c r="O2880" s="2163"/>
    </row>
    <row r="2881" spans="1:15">
      <c r="H2881" s="2163"/>
      <c r="I2881" s="2163"/>
      <c r="J2881" s="2163"/>
      <c r="K2881" s="2523"/>
      <c r="L2881" s="2523"/>
      <c r="N2881" s="2527"/>
    </row>
    <row r="2882" spans="1:15">
      <c r="A2882" s="2165">
        <v>18803</v>
      </c>
      <c r="B2882" s="2163"/>
      <c r="C2882" s="2524" t="s">
        <v>2850</v>
      </c>
      <c r="D2882" s="2524"/>
      <c r="E2882" s="2524"/>
      <c r="F2882" s="2524"/>
      <c r="G2882" s="2524"/>
      <c r="H2882" s="2524"/>
      <c r="I2882" s="2524"/>
      <c r="J2882" s="2163"/>
      <c r="K2882" s="2163"/>
      <c r="L2882" s="2163"/>
      <c r="M2882" s="2163"/>
    </row>
    <row r="2883" spans="1:15">
      <c r="A2883" s="2163"/>
      <c r="B2883" s="2163"/>
      <c r="C2883" s="2163"/>
      <c r="D2883" s="2163"/>
      <c r="E2883" s="2163"/>
      <c r="F2883" s="2163"/>
      <c r="G2883" s="2163"/>
      <c r="H2883" s="2163"/>
      <c r="I2883" s="2163"/>
      <c r="J2883" s="2163"/>
      <c r="K2883" s="2163"/>
      <c r="L2883" s="2163"/>
      <c r="M2883" s="2163"/>
    </row>
    <row r="2884" spans="1:15">
      <c r="A2884" s="2529"/>
      <c r="B2884" s="2529"/>
      <c r="C2884" s="2529"/>
      <c r="D2884" s="2166"/>
      <c r="E2884" s="2166"/>
      <c r="F2884" s="2166"/>
      <c r="G2884" s="2166"/>
      <c r="H2884" s="2525"/>
      <c r="I2884" s="2525"/>
      <c r="J2884" s="2525"/>
      <c r="K2884" s="2166"/>
      <c r="L2884" s="2167"/>
      <c r="M2884" s="2166"/>
    </row>
    <row r="2885" spans="1:15">
      <c r="A2885" s="2164"/>
      <c r="B2885" s="2164"/>
      <c r="C2885" s="2164"/>
      <c r="D2885" s="2164"/>
      <c r="E2885" s="2522" t="s">
        <v>2639</v>
      </c>
      <c r="F2885" s="2522"/>
      <c r="G2885" s="2164"/>
      <c r="H2885" s="2523">
        <v>5.9999999999999995E-4</v>
      </c>
      <c r="I2885" s="2523"/>
      <c r="J2885" s="2523"/>
      <c r="K2885" s="2163"/>
      <c r="L2885" s="2530"/>
      <c r="M2885" s="2163"/>
    </row>
    <row r="2886" spans="1:15">
      <c r="A2886" s="2164"/>
      <c r="B2886" s="2164"/>
      <c r="C2886" s="2164"/>
      <c r="D2886" s="2164"/>
      <c r="E2886" s="2164"/>
      <c r="F2886" s="2164"/>
      <c r="G2886" s="2164"/>
      <c r="H2886" s="2523"/>
      <c r="I2886" s="2523"/>
      <c r="J2886" s="2523"/>
      <c r="K2886" s="2163"/>
      <c r="L2886" s="2530"/>
      <c r="M2886" s="2163"/>
    </row>
    <row r="2887" spans="1:15" ht="27.6">
      <c r="A2887" s="2160" t="s">
        <v>2763</v>
      </c>
      <c r="B2887" s="2161"/>
      <c r="C2887" s="2160" t="s">
        <v>2764</v>
      </c>
      <c r="D2887" s="2161"/>
      <c r="E2887" s="2160" t="s">
        <v>2640</v>
      </c>
      <c r="F2887" s="2161"/>
    </row>
    <row r="2888" spans="1:15">
      <c r="A2888" s="2163"/>
      <c r="B2888" s="2163"/>
      <c r="C2888" s="2163"/>
      <c r="D2888" s="2163"/>
      <c r="E2888" s="2163"/>
      <c r="F2888" s="2163"/>
      <c r="G2888" s="2163"/>
      <c r="H2888" s="2163"/>
      <c r="I2888" s="2163"/>
      <c r="J2888" s="2163"/>
      <c r="K2888" s="2163"/>
      <c r="L2888" s="2163"/>
      <c r="M2888" s="2163"/>
    </row>
    <row r="2889" spans="1:15">
      <c r="A2889" s="2164"/>
      <c r="H2889" s="2522" t="s">
        <v>2637</v>
      </c>
      <c r="I2889" s="2522"/>
      <c r="J2889" s="2163"/>
      <c r="K2889" s="2523">
        <v>0</v>
      </c>
      <c r="L2889" s="2523"/>
      <c r="M2889" s="2163"/>
      <c r="N2889" s="2527"/>
      <c r="O2889" s="2163"/>
    </row>
    <row r="2890" spans="1:15">
      <c r="H2890" s="2163"/>
      <c r="I2890" s="2163"/>
      <c r="J2890" s="2163"/>
      <c r="K2890" s="2523"/>
      <c r="L2890" s="2523"/>
      <c r="N2890" s="2527"/>
    </row>
    <row r="2891" spans="1:15">
      <c r="A2891" s="2165">
        <v>19099</v>
      </c>
      <c r="B2891" s="2163"/>
      <c r="C2891" s="2524" t="s">
        <v>2721</v>
      </c>
      <c r="D2891" s="2524"/>
      <c r="E2891" s="2524"/>
      <c r="F2891" s="2524"/>
      <c r="G2891" s="2524"/>
      <c r="H2891" s="2524"/>
      <c r="I2891" s="2524"/>
      <c r="J2891" s="2163"/>
      <c r="K2891" s="2163"/>
      <c r="L2891" s="2163"/>
      <c r="M2891" s="2163"/>
    </row>
    <row r="2892" spans="1:15">
      <c r="A2892" s="2163"/>
      <c r="B2892" s="2163"/>
      <c r="C2892" s="2163"/>
      <c r="D2892" s="2163"/>
      <c r="E2892" s="2163"/>
      <c r="F2892" s="2163"/>
      <c r="G2892" s="2163"/>
      <c r="H2892" s="2163"/>
      <c r="I2892" s="2163"/>
      <c r="J2892" s="2163"/>
      <c r="K2892" s="2163"/>
      <c r="L2892" s="2163"/>
      <c r="M2892" s="2163"/>
    </row>
    <row r="2893" spans="1:15">
      <c r="A2893" s="2529"/>
      <c r="B2893" s="2529"/>
      <c r="C2893" s="2529"/>
      <c r="D2893" s="2166"/>
      <c r="E2893" s="2166"/>
      <c r="F2893" s="2166"/>
      <c r="G2893" s="2166"/>
      <c r="H2893" s="2525"/>
      <c r="I2893" s="2525"/>
      <c r="J2893" s="2525"/>
      <c r="K2893" s="2166"/>
      <c r="L2893" s="2167"/>
      <c r="M2893" s="2166"/>
    </row>
    <row r="2894" spans="1:15">
      <c r="A2894" s="2164"/>
      <c r="B2894" s="2164"/>
      <c r="C2894" s="2164"/>
      <c r="D2894" s="2164"/>
      <c r="E2894" s="2522" t="s">
        <v>2639</v>
      </c>
      <c r="F2894" s="2522"/>
      <c r="G2894" s="2164"/>
      <c r="H2894" s="2523">
        <v>0</v>
      </c>
      <c r="I2894" s="2523"/>
      <c r="J2894" s="2523"/>
      <c r="K2894" s="2163"/>
      <c r="L2894" s="2530"/>
      <c r="M2894" s="2163"/>
    </row>
    <row r="2895" spans="1:15">
      <c r="A2895" s="2164"/>
      <c r="B2895" s="2164"/>
      <c r="C2895" s="2164"/>
      <c r="D2895" s="2164"/>
      <c r="E2895" s="2164"/>
      <c r="F2895" s="2164"/>
      <c r="G2895" s="2164"/>
      <c r="H2895" s="2523"/>
      <c r="I2895" s="2523"/>
      <c r="J2895" s="2523"/>
      <c r="K2895" s="2163"/>
      <c r="L2895" s="2530"/>
      <c r="M2895" s="2163"/>
    </row>
    <row r="2896" spans="1:15" ht="27.6">
      <c r="A2896" s="2160" t="s">
        <v>2763</v>
      </c>
      <c r="B2896" s="2161"/>
      <c r="C2896" s="2160" t="s">
        <v>2764</v>
      </c>
      <c r="D2896" s="2161"/>
      <c r="E2896" s="2160" t="s">
        <v>2640</v>
      </c>
      <c r="F2896" s="2161"/>
    </row>
    <row r="2897" spans="1:15">
      <c r="A2897" s="2163"/>
      <c r="B2897" s="2163"/>
      <c r="C2897" s="2163"/>
      <c r="D2897" s="2163"/>
      <c r="E2897" s="2163"/>
      <c r="F2897" s="2163"/>
      <c r="G2897" s="2163"/>
      <c r="H2897" s="2163"/>
      <c r="I2897" s="2163"/>
      <c r="J2897" s="2163"/>
      <c r="K2897" s="2163"/>
      <c r="L2897" s="2163"/>
      <c r="M2897" s="2163"/>
    </row>
    <row r="2898" spans="1:15">
      <c r="A2898" s="2164"/>
      <c r="H2898" s="2522" t="s">
        <v>2637</v>
      </c>
      <c r="I2898" s="2522"/>
      <c r="J2898" s="2163"/>
      <c r="K2898" s="2523">
        <v>4.0000000000000002E-4</v>
      </c>
      <c r="L2898" s="2523"/>
      <c r="M2898" s="2163"/>
      <c r="N2898" s="2527"/>
      <c r="O2898" s="2163"/>
    </row>
    <row r="2899" spans="1:15">
      <c r="H2899" s="2163"/>
      <c r="I2899" s="2163"/>
      <c r="J2899" s="2163"/>
      <c r="K2899" s="2523"/>
      <c r="L2899" s="2523"/>
      <c r="N2899" s="2527"/>
    </row>
    <row r="2900" spans="1:15">
      <c r="A2900" s="2165">
        <v>19101</v>
      </c>
      <c r="B2900" s="2163"/>
      <c r="C2900" s="2524" t="s">
        <v>2765</v>
      </c>
      <c r="D2900" s="2524"/>
      <c r="E2900" s="2524"/>
      <c r="F2900" s="2524"/>
      <c r="G2900" s="2524"/>
      <c r="H2900" s="2524"/>
      <c r="I2900" s="2524"/>
      <c r="J2900" s="2163"/>
      <c r="K2900" s="2163"/>
      <c r="L2900" s="2163"/>
      <c r="M2900" s="2163"/>
    </row>
    <row r="2901" spans="1:15">
      <c r="A2901" s="2163"/>
      <c r="B2901" s="2163"/>
      <c r="C2901" s="2163"/>
      <c r="D2901" s="2163"/>
      <c r="E2901" s="2163"/>
      <c r="F2901" s="2163"/>
      <c r="G2901" s="2163"/>
      <c r="H2901" s="2163"/>
      <c r="I2901" s="2163"/>
      <c r="J2901" s="2163"/>
      <c r="K2901" s="2163"/>
      <c r="L2901" s="2163"/>
      <c r="M2901" s="2163"/>
    </row>
    <row r="2902" spans="1:15">
      <c r="A2902" s="2529"/>
      <c r="B2902" s="2529"/>
      <c r="C2902" s="2529"/>
      <c r="D2902" s="2166"/>
      <c r="E2902" s="2166"/>
      <c r="F2902" s="2166"/>
      <c r="G2902" s="2166"/>
      <c r="H2902" s="2525"/>
      <c r="I2902" s="2525"/>
      <c r="J2902" s="2525"/>
      <c r="K2902" s="2166"/>
      <c r="L2902" s="2167"/>
      <c r="M2902" s="2166"/>
    </row>
    <row r="2903" spans="1:15">
      <c r="A2903" s="2164"/>
      <c r="B2903" s="2164"/>
      <c r="C2903" s="2164"/>
      <c r="D2903" s="2164"/>
      <c r="E2903" s="2522" t="s">
        <v>2639</v>
      </c>
      <c r="F2903" s="2522"/>
      <c r="G2903" s="2164"/>
      <c r="H2903" s="2523">
        <v>4.0000000000000002E-4</v>
      </c>
      <c r="I2903" s="2523"/>
      <c r="J2903" s="2523"/>
      <c r="K2903" s="2163"/>
      <c r="L2903" s="2530"/>
      <c r="M2903" s="2163"/>
    </row>
    <row r="2904" spans="1:15">
      <c r="A2904" s="2164"/>
      <c r="B2904" s="2164"/>
      <c r="C2904" s="2164"/>
      <c r="D2904" s="2164"/>
      <c r="E2904" s="2164"/>
      <c r="F2904" s="2164"/>
      <c r="G2904" s="2164"/>
      <c r="H2904" s="2523"/>
      <c r="I2904" s="2523"/>
      <c r="J2904" s="2523"/>
      <c r="K2904" s="2163"/>
      <c r="L2904" s="2530"/>
      <c r="M2904" s="2163"/>
    </row>
    <row r="2905" spans="1:15" ht="27.6">
      <c r="A2905" s="2160" t="s">
        <v>2766</v>
      </c>
      <c r="B2905" s="2161"/>
      <c r="C2905" s="2160" t="s">
        <v>2767</v>
      </c>
      <c r="D2905" s="2161"/>
      <c r="E2905" s="2161"/>
      <c r="F2905" s="2161"/>
    </row>
    <row r="2906" spans="1:15">
      <c r="A2906" s="2163"/>
      <c r="B2906" s="2163"/>
      <c r="C2906" s="2163"/>
      <c r="D2906" s="2163"/>
      <c r="E2906" s="2163"/>
      <c r="F2906" s="2163"/>
      <c r="G2906" s="2163"/>
      <c r="H2906" s="2163"/>
      <c r="I2906" s="2163"/>
      <c r="J2906" s="2163"/>
      <c r="K2906" s="2163"/>
      <c r="L2906" s="2163"/>
      <c r="M2906" s="2163"/>
    </row>
    <row r="2907" spans="1:15">
      <c r="A2907" s="2164"/>
      <c r="H2907" s="2522" t="s">
        <v>2637</v>
      </c>
      <c r="I2907" s="2522"/>
      <c r="J2907" s="2163"/>
      <c r="K2907" s="2523">
        <v>0</v>
      </c>
      <c r="L2907" s="2523"/>
      <c r="M2907" s="2163"/>
      <c r="N2907" s="2527"/>
      <c r="O2907" s="2163"/>
    </row>
    <row r="2908" spans="1:15">
      <c r="H2908" s="2163"/>
      <c r="I2908" s="2163"/>
      <c r="J2908" s="2163"/>
      <c r="K2908" s="2523"/>
      <c r="L2908" s="2523"/>
      <c r="N2908" s="2527"/>
    </row>
    <row r="2909" spans="1:15">
      <c r="A2909" s="2165">
        <v>24160</v>
      </c>
      <c r="B2909" s="2163"/>
      <c r="C2909" s="2524" t="s">
        <v>2732</v>
      </c>
      <c r="D2909" s="2524"/>
      <c r="E2909" s="2524"/>
      <c r="F2909" s="2524"/>
      <c r="G2909" s="2524"/>
      <c r="H2909" s="2524"/>
      <c r="I2909" s="2524"/>
      <c r="J2909" s="2163"/>
      <c r="K2909" s="2163"/>
      <c r="L2909" s="2163"/>
      <c r="M2909" s="2163"/>
    </row>
    <row r="2910" spans="1:15">
      <c r="A2910" s="2163"/>
      <c r="B2910" s="2163"/>
      <c r="C2910" s="2163"/>
      <c r="D2910" s="2163"/>
      <c r="E2910" s="2163"/>
      <c r="F2910" s="2163"/>
      <c r="G2910" s="2163"/>
      <c r="H2910" s="2163"/>
      <c r="I2910" s="2163"/>
      <c r="J2910" s="2163"/>
      <c r="K2910" s="2163"/>
      <c r="L2910" s="2163"/>
      <c r="M2910" s="2163"/>
    </row>
    <row r="2911" spans="1:15">
      <c r="A2911" s="2529"/>
      <c r="B2911" s="2529"/>
      <c r="C2911" s="2529"/>
      <c r="D2911" s="2166"/>
      <c r="E2911" s="2166"/>
      <c r="F2911" s="2166"/>
      <c r="G2911" s="2166"/>
      <c r="H2911" s="2525"/>
      <c r="I2911" s="2525"/>
      <c r="J2911" s="2525"/>
      <c r="K2911" s="2166"/>
      <c r="L2911" s="2167"/>
      <c r="M2911" s="2166"/>
    </row>
    <row r="2912" spans="1:15">
      <c r="A2912" s="2164"/>
      <c r="B2912" s="2164"/>
      <c r="C2912" s="2164"/>
      <c r="D2912" s="2164"/>
      <c r="E2912" s="2522" t="s">
        <v>2639</v>
      </c>
      <c r="F2912" s="2522"/>
      <c r="G2912" s="2164"/>
      <c r="H2912" s="2523">
        <v>0</v>
      </c>
      <c r="I2912" s="2523"/>
      <c r="J2912" s="2523"/>
      <c r="K2912" s="2163"/>
      <c r="L2912" s="2530"/>
      <c r="M2912" s="2163"/>
    </row>
    <row r="2913" spans="1:15">
      <c r="A2913" s="2164"/>
      <c r="B2913" s="2164"/>
      <c r="C2913" s="2164"/>
      <c r="D2913" s="2164"/>
      <c r="E2913" s="2164"/>
      <c r="F2913" s="2164"/>
      <c r="G2913" s="2164"/>
      <c r="H2913" s="2523"/>
      <c r="I2913" s="2523"/>
      <c r="J2913" s="2523"/>
      <c r="K2913" s="2163"/>
      <c r="L2913" s="2530"/>
      <c r="M2913" s="2163"/>
    </row>
    <row r="2914" spans="1:15">
      <c r="A2914" s="2160" t="s">
        <v>2768</v>
      </c>
      <c r="B2914" s="2161"/>
      <c r="C2914" s="2160" t="s">
        <v>2769</v>
      </c>
      <c r="D2914" s="2161"/>
      <c r="E2914" s="2160" t="s">
        <v>2698</v>
      </c>
      <c r="F2914" s="2161"/>
    </row>
    <row r="2915" spans="1:15">
      <c r="A2915" s="2163"/>
      <c r="B2915" s="2163"/>
      <c r="C2915" s="2163"/>
      <c r="D2915" s="2163"/>
      <c r="E2915" s="2163"/>
      <c r="F2915" s="2163"/>
      <c r="G2915" s="2163"/>
      <c r="H2915" s="2163"/>
      <c r="I2915" s="2163"/>
      <c r="J2915" s="2163"/>
      <c r="K2915" s="2163"/>
      <c r="L2915" s="2163"/>
      <c r="M2915" s="2163"/>
    </row>
    <row r="2916" spans="1:15">
      <c r="A2916" s="2164"/>
      <c r="H2916" s="2522" t="s">
        <v>2637</v>
      </c>
      <c r="I2916" s="2522"/>
      <c r="J2916" s="2163"/>
      <c r="K2916" s="2523">
        <v>0</v>
      </c>
      <c r="L2916" s="2523"/>
      <c r="M2916" s="2163"/>
      <c r="N2916" s="2527"/>
      <c r="O2916" s="2163"/>
    </row>
    <row r="2917" spans="1:15">
      <c r="H2917" s="2163"/>
      <c r="I2917" s="2163"/>
      <c r="J2917" s="2163"/>
      <c r="K2917" s="2523"/>
      <c r="L2917" s="2523"/>
      <c r="N2917" s="2527"/>
    </row>
    <row r="2918" spans="1:15">
      <c r="A2918" s="2165">
        <v>57179</v>
      </c>
      <c r="B2918" s="2163"/>
      <c r="C2918" s="2524" t="s">
        <v>2668</v>
      </c>
      <c r="D2918" s="2524"/>
      <c r="E2918" s="2524"/>
      <c r="F2918" s="2524"/>
      <c r="G2918" s="2524"/>
      <c r="H2918" s="2524"/>
      <c r="I2918" s="2524"/>
      <c r="J2918" s="2163"/>
      <c r="K2918" s="2163"/>
      <c r="L2918" s="2163"/>
      <c r="M2918" s="2163"/>
    </row>
    <row r="2919" spans="1:15">
      <c r="A2919" s="2163"/>
      <c r="B2919" s="2163"/>
      <c r="C2919" s="2163"/>
      <c r="D2919" s="2163"/>
      <c r="E2919" s="2163"/>
      <c r="F2919" s="2163"/>
      <c r="G2919" s="2163"/>
      <c r="H2919" s="2163"/>
      <c r="I2919" s="2163"/>
      <c r="J2919" s="2163"/>
      <c r="K2919" s="2163"/>
      <c r="L2919" s="2163"/>
      <c r="M2919" s="2163"/>
    </row>
    <row r="2920" spans="1:15">
      <c r="A2920" s="2529"/>
      <c r="B2920" s="2529"/>
      <c r="C2920" s="2529"/>
      <c r="D2920" s="2166"/>
      <c r="E2920" s="2166"/>
      <c r="F2920" s="2166"/>
      <c r="G2920" s="2166"/>
      <c r="H2920" s="2525"/>
      <c r="I2920" s="2525"/>
      <c r="J2920" s="2525"/>
      <c r="K2920" s="2166"/>
      <c r="L2920" s="2167"/>
      <c r="M2920" s="2166"/>
    </row>
    <row r="2921" spans="1:15">
      <c r="A2921" s="2164"/>
      <c r="B2921" s="2164"/>
      <c r="C2921" s="2164"/>
      <c r="D2921" s="2164"/>
      <c r="E2921" s="2522" t="s">
        <v>2639</v>
      </c>
      <c r="F2921" s="2522"/>
      <c r="G2921" s="2164"/>
      <c r="H2921" s="2523">
        <v>0</v>
      </c>
      <c r="I2921" s="2523"/>
      <c r="J2921" s="2523"/>
      <c r="K2921" s="2163"/>
      <c r="L2921" s="2523">
        <v>0</v>
      </c>
      <c r="M2921" s="2163"/>
    </row>
    <row r="2922" spans="1:15">
      <c r="A2922" s="2164"/>
      <c r="B2922" s="2164"/>
      <c r="C2922" s="2164"/>
      <c r="D2922" s="2164"/>
      <c r="E2922" s="2164"/>
      <c r="F2922" s="2164"/>
      <c r="G2922" s="2164"/>
      <c r="H2922" s="2523"/>
      <c r="I2922" s="2523"/>
      <c r="J2922" s="2523"/>
      <c r="K2922" s="2163"/>
      <c r="L2922" s="2523"/>
      <c r="M2922" s="2163"/>
    </row>
    <row r="2923" spans="1:15">
      <c r="A2923" s="2160" t="s">
        <v>2768</v>
      </c>
      <c r="B2923" s="2161"/>
      <c r="C2923" s="2160" t="s">
        <v>2769</v>
      </c>
      <c r="D2923" s="2161"/>
      <c r="E2923" s="2160" t="s">
        <v>2722</v>
      </c>
      <c r="F2923" s="2161"/>
    </row>
    <row r="2924" spans="1:15">
      <c r="A2924" s="2163"/>
      <c r="B2924" s="2163"/>
      <c r="C2924" s="2163"/>
      <c r="D2924" s="2163"/>
      <c r="E2924" s="2163"/>
      <c r="F2924" s="2163"/>
      <c r="G2924" s="2163"/>
      <c r="H2924" s="2163"/>
      <c r="I2924" s="2163"/>
      <c r="J2924" s="2163"/>
      <c r="K2924" s="2163"/>
      <c r="L2924" s="2163"/>
      <c r="M2924" s="2163"/>
    </row>
    <row r="2925" spans="1:15">
      <c r="A2925" s="2164"/>
      <c r="H2925" s="2522" t="s">
        <v>2637</v>
      </c>
      <c r="I2925" s="2522"/>
      <c r="J2925" s="2163"/>
      <c r="K2925" s="2523">
        <v>0</v>
      </c>
      <c r="L2925" s="2523"/>
      <c r="M2925" s="2163"/>
      <c r="N2925" s="2527"/>
      <c r="O2925" s="2163"/>
    </row>
    <row r="2926" spans="1:15">
      <c r="H2926" s="2163"/>
      <c r="I2926" s="2163"/>
      <c r="J2926" s="2163"/>
      <c r="K2926" s="2523"/>
      <c r="L2926" s="2523"/>
      <c r="N2926" s="2527"/>
    </row>
    <row r="2927" spans="1:15">
      <c r="A2927" s="2165">
        <v>32149</v>
      </c>
      <c r="B2927" s="2163"/>
      <c r="C2927" s="2524" t="s">
        <v>2646</v>
      </c>
      <c r="D2927" s="2524"/>
      <c r="E2927" s="2524"/>
      <c r="F2927" s="2524"/>
      <c r="G2927" s="2524"/>
      <c r="H2927" s="2524"/>
      <c r="I2927" s="2524"/>
      <c r="J2927" s="2163"/>
      <c r="K2927" s="2163"/>
      <c r="L2927" s="2163"/>
      <c r="M2927" s="2163"/>
    </row>
    <row r="2928" spans="1:15">
      <c r="A2928" s="2163"/>
      <c r="B2928" s="2163"/>
      <c r="C2928" s="2163"/>
      <c r="D2928" s="2163"/>
      <c r="E2928" s="2163"/>
      <c r="F2928" s="2163"/>
      <c r="G2928" s="2163"/>
      <c r="H2928" s="2163"/>
      <c r="I2928" s="2163"/>
      <c r="J2928" s="2163"/>
      <c r="K2928" s="2163"/>
      <c r="L2928" s="2163"/>
      <c r="M2928" s="2163"/>
    </row>
    <row r="2929" spans="1:15">
      <c r="A2929" s="2529"/>
      <c r="B2929" s="2529"/>
      <c r="C2929" s="2529"/>
      <c r="D2929" s="2166"/>
      <c r="E2929" s="2166"/>
      <c r="F2929" s="2166"/>
      <c r="G2929" s="2166"/>
      <c r="H2929" s="2525"/>
      <c r="I2929" s="2525"/>
      <c r="J2929" s="2525"/>
      <c r="K2929" s="2166"/>
      <c r="L2929" s="2167"/>
      <c r="M2929" s="2166"/>
    </row>
    <row r="2930" spans="1:15">
      <c r="A2930" s="2164"/>
      <c r="B2930" s="2164"/>
      <c r="C2930" s="2164"/>
      <c r="D2930" s="2164"/>
      <c r="E2930" s="2522" t="s">
        <v>2639</v>
      </c>
      <c r="F2930" s="2522"/>
      <c r="G2930" s="2164"/>
      <c r="H2930" s="2523">
        <v>0</v>
      </c>
      <c r="I2930" s="2523"/>
      <c r="J2930" s="2523"/>
      <c r="K2930" s="2163"/>
      <c r="L2930" s="2523">
        <v>0</v>
      </c>
      <c r="M2930" s="2163"/>
    </row>
    <row r="2931" spans="1:15">
      <c r="A2931" s="2164"/>
      <c r="B2931" s="2164"/>
      <c r="C2931" s="2164"/>
      <c r="D2931" s="2164"/>
      <c r="E2931" s="2164"/>
      <c r="F2931" s="2164"/>
      <c r="G2931" s="2164"/>
      <c r="H2931" s="2523"/>
      <c r="I2931" s="2523"/>
      <c r="J2931" s="2523"/>
      <c r="K2931" s="2163"/>
      <c r="L2931" s="2523"/>
      <c r="M2931" s="2163"/>
    </row>
    <row r="2932" spans="1:15">
      <c r="A2932" s="2160" t="s">
        <v>2768</v>
      </c>
      <c r="B2932" s="2161"/>
      <c r="C2932" s="2160" t="s">
        <v>2769</v>
      </c>
      <c r="D2932" s="2161"/>
      <c r="E2932" s="2160" t="s">
        <v>2722</v>
      </c>
      <c r="F2932" s="2161"/>
    </row>
    <row r="2933" spans="1:15">
      <c r="A2933" s="2163"/>
      <c r="B2933" s="2163"/>
      <c r="C2933" s="2163"/>
      <c r="D2933" s="2163"/>
      <c r="E2933" s="2163"/>
      <c r="F2933" s="2163"/>
      <c r="G2933" s="2163"/>
      <c r="H2933" s="2163"/>
      <c r="I2933" s="2163"/>
      <c r="J2933" s="2163"/>
      <c r="K2933" s="2163"/>
      <c r="L2933" s="2163"/>
      <c r="M2933" s="2163"/>
    </row>
    <row r="2934" spans="1:15">
      <c r="A2934" s="2164"/>
      <c r="H2934" s="2522" t="s">
        <v>2637</v>
      </c>
      <c r="I2934" s="2522"/>
      <c r="J2934" s="2163"/>
      <c r="K2934" s="2523">
        <v>0</v>
      </c>
      <c r="L2934" s="2523"/>
      <c r="M2934" s="2163"/>
      <c r="N2934" s="2527"/>
      <c r="O2934" s="2163"/>
    </row>
    <row r="2935" spans="1:15">
      <c r="H2935" s="2163"/>
      <c r="I2935" s="2163"/>
      <c r="J2935" s="2163"/>
      <c r="K2935" s="2523"/>
      <c r="L2935" s="2523"/>
      <c r="N2935" s="2527"/>
    </row>
    <row r="2936" spans="1:15">
      <c r="A2936" s="2165">
        <v>39845</v>
      </c>
      <c r="B2936" s="2163"/>
      <c r="C2936" s="2524" t="s">
        <v>2660</v>
      </c>
      <c r="D2936" s="2524"/>
      <c r="E2936" s="2524"/>
      <c r="F2936" s="2524"/>
      <c r="G2936" s="2524"/>
      <c r="H2936" s="2524"/>
      <c r="I2936" s="2524"/>
      <c r="J2936" s="2163"/>
      <c r="K2936" s="2163"/>
      <c r="L2936" s="2163"/>
      <c r="M2936" s="2163"/>
    </row>
    <row r="2937" spans="1:15">
      <c r="A2937" s="2163"/>
      <c r="B2937" s="2163"/>
      <c r="C2937" s="2163"/>
      <c r="D2937" s="2163"/>
      <c r="E2937" s="2163"/>
      <c r="F2937" s="2163"/>
      <c r="G2937" s="2163"/>
      <c r="H2937" s="2163"/>
      <c r="I2937" s="2163"/>
      <c r="J2937" s="2163"/>
      <c r="K2937" s="2163"/>
      <c r="L2937" s="2163"/>
      <c r="M2937" s="2163"/>
    </row>
    <row r="2938" spans="1:15">
      <c r="A2938" s="2529"/>
      <c r="B2938" s="2529"/>
      <c r="C2938" s="2529"/>
      <c r="D2938" s="2166"/>
      <c r="E2938" s="2166"/>
      <c r="F2938" s="2166"/>
      <c r="G2938" s="2166"/>
      <c r="H2938" s="2525"/>
      <c r="I2938" s="2525"/>
      <c r="J2938" s="2525"/>
      <c r="K2938" s="2166"/>
      <c r="L2938" s="2167"/>
      <c r="M2938" s="2166"/>
    </row>
    <row r="2939" spans="1:15">
      <c r="A2939" s="2164"/>
      <c r="B2939" s="2164"/>
      <c r="C2939" s="2164"/>
      <c r="D2939" s="2164"/>
      <c r="E2939" s="2522" t="s">
        <v>2639</v>
      </c>
      <c r="F2939" s="2522"/>
      <c r="G2939" s="2164"/>
      <c r="H2939" s="2523">
        <v>0</v>
      </c>
      <c r="I2939" s="2523"/>
      <c r="J2939" s="2523"/>
      <c r="K2939" s="2163"/>
      <c r="L2939" s="2523">
        <v>0</v>
      </c>
      <c r="M2939" s="2163"/>
    </row>
    <row r="2940" spans="1:15">
      <c r="A2940" s="2164"/>
      <c r="B2940" s="2164"/>
      <c r="C2940" s="2164"/>
      <c r="D2940" s="2164"/>
      <c r="E2940" s="2164"/>
      <c r="F2940" s="2164"/>
      <c r="G2940" s="2164"/>
      <c r="H2940" s="2523"/>
      <c r="I2940" s="2523"/>
      <c r="J2940" s="2523"/>
      <c r="K2940" s="2163"/>
      <c r="L2940" s="2523"/>
      <c r="M2940" s="2163"/>
    </row>
    <row r="2941" spans="1:15" ht="27.6">
      <c r="A2941" s="2160" t="s">
        <v>3039</v>
      </c>
      <c r="B2941" s="2161"/>
      <c r="C2941" s="2160" t="s">
        <v>3040</v>
      </c>
      <c r="D2941" s="2161"/>
      <c r="E2941" s="2160" t="s">
        <v>2640</v>
      </c>
      <c r="F2941" s="2161"/>
    </row>
    <row r="2942" spans="1:15">
      <c r="A2942" s="2163"/>
      <c r="B2942" s="2163"/>
      <c r="C2942" s="2163"/>
      <c r="D2942" s="2163"/>
      <c r="E2942" s="2163"/>
      <c r="F2942" s="2163"/>
      <c r="G2942" s="2163"/>
      <c r="H2942" s="2163"/>
      <c r="I2942" s="2163"/>
      <c r="J2942" s="2163"/>
      <c r="K2942" s="2163"/>
      <c r="L2942" s="2163"/>
      <c r="M2942" s="2163"/>
    </row>
    <row r="2943" spans="1:15">
      <c r="A2943" s="2164"/>
      <c r="H2943" s="2522" t="s">
        <v>2637</v>
      </c>
      <c r="I2943" s="2522"/>
      <c r="J2943" s="2163"/>
      <c r="K2943" s="2523">
        <v>0</v>
      </c>
      <c r="L2943" s="2523"/>
      <c r="M2943" s="2163"/>
      <c r="N2943" s="2527"/>
      <c r="O2943" s="2163"/>
    </row>
    <row r="2944" spans="1:15">
      <c r="H2944" s="2163"/>
      <c r="I2944" s="2163"/>
      <c r="J2944" s="2163"/>
      <c r="K2944" s="2523"/>
      <c r="L2944" s="2523"/>
      <c r="N2944" s="2527"/>
    </row>
    <row r="2945" spans="1:15">
      <c r="A2945" s="2165">
        <v>32636</v>
      </c>
      <c r="B2945" s="2163"/>
      <c r="C2945" s="2524" t="s">
        <v>2641</v>
      </c>
      <c r="D2945" s="2524"/>
      <c r="E2945" s="2524"/>
      <c r="F2945" s="2524"/>
      <c r="G2945" s="2524"/>
      <c r="H2945" s="2524"/>
      <c r="I2945" s="2524"/>
      <c r="J2945" s="2163"/>
      <c r="K2945" s="2163"/>
      <c r="L2945" s="2163"/>
      <c r="M2945" s="2163"/>
    </row>
    <row r="2946" spans="1:15">
      <c r="A2946" s="2163"/>
      <c r="B2946" s="2163"/>
      <c r="C2946" s="2163"/>
      <c r="D2946" s="2163"/>
      <c r="E2946" s="2163"/>
      <c r="F2946" s="2163"/>
      <c r="G2946" s="2163"/>
      <c r="H2946" s="2163"/>
      <c r="I2946" s="2163"/>
      <c r="J2946" s="2163"/>
      <c r="K2946" s="2163"/>
      <c r="L2946" s="2163"/>
      <c r="M2946" s="2163"/>
    </row>
    <row r="2947" spans="1:15">
      <c r="A2947" s="2520" t="s">
        <v>2647</v>
      </c>
      <c r="B2947" s="2520"/>
      <c r="C2947" s="2520"/>
      <c r="D2947" s="2166"/>
      <c r="E2947" s="2166"/>
      <c r="F2947" s="2166"/>
      <c r="G2947" s="2166"/>
      <c r="H2947" s="2526">
        <v>4509639.7410000004</v>
      </c>
      <c r="I2947" s="2526"/>
      <c r="J2947" s="2526"/>
      <c r="K2947" s="2166"/>
      <c r="L2947" s="2168">
        <v>446403826.38</v>
      </c>
      <c r="M2947" s="2166"/>
    </row>
    <row r="2948" spans="1:15">
      <c r="A2948" s="2520" t="s">
        <v>2648</v>
      </c>
      <c r="B2948" s="2520"/>
      <c r="C2948" s="2520"/>
      <c r="D2948" s="2166"/>
      <c r="E2948" s="2166"/>
      <c r="F2948" s="2166"/>
      <c r="G2948" s="2166"/>
      <c r="H2948" s="2526">
        <v>-4509639.7410000004</v>
      </c>
      <c r="I2948" s="2526"/>
      <c r="J2948" s="2526"/>
      <c r="K2948" s="2166"/>
      <c r="L2948" s="2168">
        <v>-446555350.27999997</v>
      </c>
      <c r="M2948" s="2166"/>
    </row>
    <row r="2949" spans="1:15">
      <c r="A2949" s="2164"/>
      <c r="B2949" s="2164"/>
      <c r="C2949" s="2164"/>
      <c r="D2949" s="2164"/>
      <c r="E2949" s="2522" t="s">
        <v>2639</v>
      </c>
      <c r="F2949" s="2522"/>
      <c r="G2949" s="2164"/>
      <c r="H2949" s="2523">
        <v>0</v>
      </c>
      <c r="I2949" s="2523"/>
      <c r="J2949" s="2523"/>
      <c r="K2949" s="2163"/>
      <c r="L2949" s="2523">
        <v>0</v>
      </c>
      <c r="M2949" s="2163"/>
    </row>
    <row r="2950" spans="1:15">
      <c r="A2950" s="2164"/>
      <c r="B2950" s="2164"/>
      <c r="C2950" s="2164"/>
      <c r="D2950" s="2164"/>
      <c r="E2950" s="2164"/>
      <c r="F2950" s="2164"/>
      <c r="G2950" s="2164"/>
      <c r="H2950" s="2523"/>
      <c r="I2950" s="2523"/>
      <c r="J2950" s="2523"/>
      <c r="K2950" s="2163"/>
      <c r="L2950" s="2523"/>
      <c r="M2950" s="2163"/>
    </row>
    <row r="2951" spans="1:15" ht="27.6">
      <c r="A2951" s="2160" t="s">
        <v>2770</v>
      </c>
      <c r="B2951" s="2161"/>
      <c r="C2951" s="2160" t="s">
        <v>2771</v>
      </c>
      <c r="D2951" s="2161"/>
      <c r="E2951" s="2160" t="s">
        <v>2698</v>
      </c>
      <c r="F2951" s="2161"/>
    </row>
    <row r="2952" spans="1:15">
      <c r="A2952" s="2163"/>
      <c r="B2952" s="2163"/>
      <c r="C2952" s="2163"/>
      <c r="D2952" s="2163"/>
      <c r="E2952" s="2163"/>
      <c r="F2952" s="2163"/>
      <c r="G2952" s="2163"/>
      <c r="H2952" s="2163"/>
      <c r="I2952" s="2163"/>
      <c r="J2952" s="2163"/>
      <c r="K2952" s="2163"/>
      <c r="L2952" s="2163"/>
      <c r="M2952" s="2163"/>
    </row>
    <row r="2953" spans="1:15">
      <c r="A2953" s="2164"/>
      <c r="H2953" s="2522" t="s">
        <v>2637</v>
      </c>
      <c r="I2953" s="2522"/>
      <c r="J2953" s="2163"/>
      <c r="K2953" s="2528">
        <v>581865.56000000006</v>
      </c>
      <c r="L2953" s="2528"/>
      <c r="M2953" s="2163"/>
      <c r="N2953" s="2527" t="s">
        <v>3041</v>
      </c>
      <c r="O2953" s="2163"/>
    </row>
    <row r="2954" spans="1:15">
      <c r="H2954" s="2163"/>
      <c r="I2954" s="2163"/>
      <c r="J2954" s="2163"/>
      <c r="K2954" s="2528"/>
      <c r="L2954" s="2528"/>
      <c r="N2954" s="2527"/>
    </row>
    <row r="2955" spans="1:15">
      <c r="A2955" s="2165">
        <v>32149</v>
      </c>
      <c r="B2955" s="2163"/>
      <c r="C2955" s="2524" t="s">
        <v>2646</v>
      </c>
      <c r="D2955" s="2524"/>
      <c r="E2955" s="2524"/>
      <c r="F2955" s="2524"/>
      <c r="G2955" s="2524"/>
      <c r="H2955" s="2524"/>
      <c r="I2955" s="2524"/>
      <c r="J2955" s="2163"/>
      <c r="K2955" s="2163"/>
      <c r="L2955" s="2163"/>
      <c r="M2955" s="2163"/>
    </row>
    <row r="2956" spans="1:15">
      <c r="A2956" s="2163"/>
      <c r="B2956" s="2163"/>
      <c r="C2956" s="2163"/>
      <c r="D2956" s="2163"/>
      <c r="E2956" s="2163"/>
      <c r="F2956" s="2163"/>
      <c r="G2956" s="2163"/>
      <c r="H2956" s="2163"/>
      <c r="I2956" s="2163"/>
      <c r="J2956" s="2163"/>
      <c r="K2956" s="2163"/>
      <c r="L2956" s="2163"/>
      <c r="M2956" s="2163"/>
    </row>
    <row r="2957" spans="1:15">
      <c r="A2957" s="2529"/>
      <c r="B2957" s="2529"/>
      <c r="C2957" s="2529"/>
      <c r="D2957" s="2166"/>
      <c r="E2957" s="2166"/>
      <c r="F2957" s="2166"/>
      <c r="G2957" s="2166"/>
      <c r="H2957" s="2525"/>
      <c r="I2957" s="2525"/>
      <c r="J2957" s="2525"/>
      <c r="K2957" s="2166"/>
      <c r="L2957" s="2167"/>
      <c r="M2957" s="2166"/>
    </row>
    <row r="2958" spans="1:15">
      <c r="A2958" s="2164"/>
      <c r="B2958" s="2164"/>
      <c r="C2958" s="2164"/>
      <c r="D2958" s="2164"/>
      <c r="E2958" s="2522" t="s">
        <v>2639</v>
      </c>
      <c r="F2958" s="2522"/>
      <c r="G2958" s="2164"/>
      <c r="H2958" s="2528">
        <v>581865.56000000006</v>
      </c>
      <c r="I2958" s="2528"/>
      <c r="J2958" s="2528"/>
      <c r="K2958" s="2163"/>
      <c r="L2958" s="2528">
        <v>53320705.25</v>
      </c>
      <c r="M2958" s="2163"/>
    </row>
    <row r="2959" spans="1:15">
      <c r="A2959" s="2164"/>
      <c r="B2959" s="2164"/>
      <c r="C2959" s="2164"/>
      <c r="D2959" s="2164"/>
      <c r="E2959" s="2164"/>
      <c r="F2959" s="2164"/>
      <c r="G2959" s="2164"/>
      <c r="H2959" s="2528"/>
      <c r="I2959" s="2528"/>
      <c r="J2959" s="2528"/>
      <c r="K2959" s="2163"/>
      <c r="L2959" s="2528"/>
      <c r="M2959" s="2163"/>
    </row>
    <row r="2960" spans="1:15" ht="27.6">
      <c r="A2960" s="2160" t="s">
        <v>2770</v>
      </c>
      <c r="B2960" s="2161"/>
      <c r="C2960" s="2160" t="s">
        <v>2771</v>
      </c>
      <c r="D2960" s="2161"/>
      <c r="E2960" s="2160" t="s">
        <v>2737</v>
      </c>
      <c r="F2960" s="2161"/>
    </row>
    <row r="2961" spans="1:15">
      <c r="A2961" s="2163"/>
      <c r="B2961" s="2163"/>
      <c r="C2961" s="2163"/>
      <c r="D2961" s="2163"/>
      <c r="E2961" s="2163"/>
      <c r="F2961" s="2163"/>
      <c r="G2961" s="2163"/>
      <c r="H2961" s="2163"/>
      <c r="I2961" s="2163"/>
      <c r="J2961" s="2163"/>
      <c r="K2961" s="2163"/>
      <c r="L2961" s="2163"/>
      <c r="M2961" s="2163"/>
    </row>
    <row r="2962" spans="1:15">
      <c r="A2962" s="2164"/>
      <c r="H2962" s="2522" t="s">
        <v>2637</v>
      </c>
      <c r="I2962" s="2522"/>
      <c r="J2962" s="2163"/>
      <c r="K2962" s="2528">
        <v>34606.590100000001</v>
      </c>
      <c r="L2962" s="2528"/>
      <c r="M2962" s="2163"/>
      <c r="N2962" s="2527" t="s">
        <v>3042</v>
      </c>
      <c r="O2962" s="2163"/>
    </row>
    <row r="2963" spans="1:15">
      <c r="H2963" s="2163"/>
      <c r="I2963" s="2163"/>
      <c r="J2963" s="2163"/>
      <c r="K2963" s="2528"/>
      <c r="L2963" s="2528"/>
      <c r="N2963" s="2527"/>
    </row>
    <row r="2964" spans="1:15">
      <c r="A2964" s="2165">
        <v>32149</v>
      </c>
      <c r="B2964" s="2163"/>
      <c r="C2964" s="2524" t="s">
        <v>2646</v>
      </c>
      <c r="D2964" s="2524"/>
      <c r="E2964" s="2524"/>
      <c r="F2964" s="2524"/>
      <c r="G2964" s="2524"/>
      <c r="H2964" s="2524"/>
      <c r="I2964" s="2524"/>
      <c r="J2964" s="2163"/>
      <c r="K2964" s="2163"/>
      <c r="L2964" s="2163"/>
      <c r="M2964" s="2163"/>
    </row>
    <row r="2965" spans="1:15">
      <c r="A2965" s="2163"/>
      <c r="B2965" s="2163"/>
      <c r="C2965" s="2163"/>
      <c r="D2965" s="2163"/>
      <c r="E2965" s="2163"/>
      <c r="F2965" s="2163"/>
      <c r="G2965" s="2163"/>
      <c r="H2965" s="2163"/>
      <c r="I2965" s="2163"/>
      <c r="J2965" s="2163"/>
      <c r="K2965" s="2163"/>
      <c r="L2965" s="2163"/>
      <c r="M2965" s="2163"/>
    </row>
    <row r="2966" spans="1:15">
      <c r="A2966" s="2529"/>
      <c r="B2966" s="2529"/>
      <c r="C2966" s="2529"/>
      <c r="D2966" s="2166"/>
      <c r="E2966" s="2166"/>
      <c r="F2966" s="2166"/>
      <c r="G2966" s="2166"/>
      <c r="H2966" s="2525"/>
      <c r="I2966" s="2525"/>
      <c r="J2966" s="2525"/>
      <c r="K2966" s="2166"/>
      <c r="L2966" s="2167"/>
      <c r="M2966" s="2166"/>
    </row>
    <row r="2967" spans="1:15">
      <c r="A2967" s="2164"/>
      <c r="B2967" s="2164"/>
      <c r="C2967" s="2164"/>
      <c r="D2967" s="2164"/>
      <c r="E2967" s="2522" t="s">
        <v>2639</v>
      </c>
      <c r="F2967" s="2522"/>
      <c r="G2967" s="2164"/>
      <c r="H2967" s="2528">
        <v>34606.590100000001</v>
      </c>
      <c r="I2967" s="2528"/>
      <c r="J2967" s="2528"/>
      <c r="K2967" s="2163"/>
      <c r="L2967" s="2528">
        <v>3171261.4</v>
      </c>
      <c r="M2967" s="2163"/>
    </row>
    <row r="2968" spans="1:15">
      <c r="A2968" s="2164"/>
      <c r="B2968" s="2164"/>
      <c r="C2968" s="2164"/>
      <c r="D2968" s="2164"/>
      <c r="E2968" s="2164"/>
      <c r="F2968" s="2164"/>
      <c r="G2968" s="2164"/>
      <c r="H2968" s="2528"/>
      <c r="I2968" s="2528"/>
      <c r="J2968" s="2528"/>
      <c r="K2968" s="2163"/>
      <c r="L2968" s="2528"/>
      <c r="M2968" s="2163"/>
    </row>
    <row r="2969" spans="1:15" ht="27.6">
      <c r="A2969" s="2160" t="s">
        <v>2772</v>
      </c>
      <c r="B2969" s="2161"/>
      <c r="C2969" s="2160" t="s">
        <v>2694</v>
      </c>
      <c r="D2969" s="2161"/>
      <c r="E2969" s="2160" t="s">
        <v>2722</v>
      </c>
      <c r="F2969" s="2161"/>
    </row>
    <row r="2970" spans="1:15">
      <c r="A2970" s="2163"/>
      <c r="B2970" s="2163"/>
      <c r="C2970" s="2163"/>
      <c r="D2970" s="2163"/>
      <c r="E2970" s="2163"/>
      <c r="F2970" s="2163"/>
      <c r="G2970" s="2163"/>
      <c r="H2970" s="2163"/>
      <c r="I2970" s="2163"/>
      <c r="J2970" s="2163"/>
      <c r="K2970" s="2163"/>
      <c r="L2970" s="2163"/>
      <c r="M2970" s="2163"/>
    </row>
    <row r="2971" spans="1:15">
      <c r="A2971" s="2164"/>
      <c r="H2971" s="2522" t="s">
        <v>2637</v>
      </c>
      <c r="I2971" s="2522"/>
      <c r="J2971" s="2163"/>
      <c r="K2971" s="2528">
        <v>750000</v>
      </c>
      <c r="L2971" s="2528"/>
      <c r="M2971" s="2163"/>
      <c r="N2971" s="2527" t="s">
        <v>3043</v>
      </c>
      <c r="O2971" s="2163"/>
    </row>
    <row r="2972" spans="1:15">
      <c r="H2972" s="2163"/>
      <c r="I2972" s="2163"/>
      <c r="J2972" s="2163"/>
      <c r="K2972" s="2528"/>
      <c r="L2972" s="2528"/>
      <c r="N2972" s="2527"/>
    </row>
    <row r="2973" spans="1:15">
      <c r="A2973" s="2165">
        <v>32149</v>
      </c>
      <c r="B2973" s="2163"/>
      <c r="C2973" s="2524" t="s">
        <v>2646</v>
      </c>
      <c r="D2973" s="2524"/>
      <c r="E2973" s="2524"/>
      <c r="F2973" s="2524"/>
      <c r="G2973" s="2524"/>
      <c r="H2973" s="2524"/>
      <c r="I2973" s="2524"/>
      <c r="J2973" s="2163"/>
      <c r="K2973" s="2163"/>
      <c r="L2973" s="2163"/>
      <c r="M2973" s="2163"/>
    </row>
    <row r="2974" spans="1:15">
      <c r="A2974" s="2163"/>
      <c r="B2974" s="2163"/>
      <c r="C2974" s="2163"/>
      <c r="D2974" s="2163"/>
      <c r="E2974" s="2163"/>
      <c r="F2974" s="2163"/>
      <c r="G2974" s="2163"/>
      <c r="H2974" s="2163"/>
      <c r="I2974" s="2163"/>
      <c r="J2974" s="2163"/>
      <c r="K2974" s="2163"/>
      <c r="L2974" s="2163"/>
      <c r="M2974" s="2163"/>
    </row>
    <row r="2975" spans="1:15">
      <c r="A2975" s="2529"/>
      <c r="B2975" s="2529"/>
      <c r="C2975" s="2529"/>
      <c r="D2975" s="2166"/>
      <c r="E2975" s="2166"/>
      <c r="F2975" s="2166"/>
      <c r="G2975" s="2166"/>
      <c r="H2975" s="2525"/>
      <c r="I2975" s="2525"/>
      <c r="J2975" s="2525"/>
      <c r="K2975" s="2166"/>
      <c r="L2975" s="2167"/>
      <c r="M2975" s="2166"/>
    </row>
    <row r="2976" spans="1:15">
      <c r="A2976" s="2164"/>
      <c r="B2976" s="2164"/>
      <c r="C2976" s="2164"/>
      <c r="D2976" s="2164"/>
      <c r="E2976" s="2522" t="s">
        <v>2639</v>
      </c>
      <c r="F2976" s="2522"/>
      <c r="G2976" s="2164"/>
      <c r="H2976" s="2528">
        <v>750000</v>
      </c>
      <c r="I2976" s="2528"/>
      <c r="J2976" s="2528"/>
      <c r="K2976" s="2163"/>
      <c r="L2976" s="2528">
        <v>72668925</v>
      </c>
      <c r="M2976" s="2163"/>
    </row>
    <row r="2977" spans="1:15">
      <c r="A2977" s="2164"/>
      <c r="B2977" s="2164"/>
      <c r="C2977" s="2164"/>
      <c r="D2977" s="2164"/>
      <c r="E2977" s="2164"/>
      <c r="F2977" s="2164"/>
      <c r="G2977" s="2164"/>
      <c r="H2977" s="2528"/>
      <c r="I2977" s="2528"/>
      <c r="J2977" s="2528"/>
      <c r="K2977" s="2163"/>
      <c r="L2977" s="2528"/>
      <c r="M2977" s="2163"/>
    </row>
    <row r="2978" spans="1:15" ht="27.6">
      <c r="A2978" s="2160" t="s">
        <v>2772</v>
      </c>
      <c r="B2978" s="2161"/>
      <c r="C2978" s="2160" t="s">
        <v>2694</v>
      </c>
      <c r="D2978" s="2161"/>
      <c r="E2978" s="2160" t="s">
        <v>2737</v>
      </c>
      <c r="F2978" s="2161"/>
    </row>
    <row r="2979" spans="1:15">
      <c r="A2979" s="2163"/>
      <c r="B2979" s="2163"/>
      <c r="C2979" s="2163"/>
      <c r="D2979" s="2163"/>
      <c r="E2979" s="2163"/>
      <c r="F2979" s="2163"/>
      <c r="G2979" s="2163"/>
      <c r="H2979" s="2163"/>
      <c r="I2979" s="2163"/>
      <c r="J2979" s="2163"/>
      <c r="K2979" s="2163"/>
      <c r="L2979" s="2163"/>
      <c r="M2979" s="2163"/>
    </row>
    <row r="2980" spans="1:15">
      <c r="A2980" s="2164"/>
      <c r="H2980" s="2522" t="s">
        <v>2637</v>
      </c>
      <c r="I2980" s="2522"/>
      <c r="J2980" s="2163"/>
      <c r="K2980" s="2528">
        <v>75997.000199999995</v>
      </c>
      <c r="L2980" s="2528"/>
      <c r="M2980" s="2163"/>
      <c r="N2980" s="2527" t="s">
        <v>3044</v>
      </c>
      <c r="O2980" s="2163"/>
    </row>
    <row r="2981" spans="1:15">
      <c r="H2981" s="2163"/>
      <c r="I2981" s="2163"/>
      <c r="J2981" s="2163"/>
      <c r="K2981" s="2528"/>
      <c r="L2981" s="2528"/>
      <c r="N2981" s="2527"/>
    </row>
    <row r="2982" spans="1:15">
      <c r="A2982" s="2165">
        <v>32149</v>
      </c>
      <c r="B2982" s="2163"/>
      <c r="C2982" s="2524" t="s">
        <v>2646</v>
      </c>
      <c r="D2982" s="2524"/>
      <c r="E2982" s="2524"/>
      <c r="F2982" s="2524"/>
      <c r="G2982" s="2524"/>
      <c r="H2982" s="2524"/>
      <c r="I2982" s="2524"/>
      <c r="J2982" s="2163"/>
      <c r="K2982" s="2163"/>
      <c r="L2982" s="2163"/>
      <c r="M2982" s="2163"/>
    </row>
    <row r="2983" spans="1:15">
      <c r="A2983" s="2163"/>
      <c r="B2983" s="2163"/>
      <c r="C2983" s="2163"/>
      <c r="D2983" s="2163"/>
      <c r="E2983" s="2163"/>
      <c r="F2983" s="2163"/>
      <c r="G2983" s="2163"/>
      <c r="H2983" s="2163"/>
      <c r="I2983" s="2163"/>
      <c r="J2983" s="2163"/>
      <c r="K2983" s="2163"/>
      <c r="L2983" s="2163"/>
      <c r="M2983" s="2163"/>
    </row>
    <row r="2984" spans="1:15">
      <c r="A2984" s="2529"/>
      <c r="B2984" s="2529"/>
      <c r="C2984" s="2529"/>
      <c r="D2984" s="2166"/>
      <c r="E2984" s="2166"/>
      <c r="F2984" s="2166"/>
      <c r="G2984" s="2166"/>
      <c r="H2984" s="2525"/>
      <c r="I2984" s="2525"/>
      <c r="J2984" s="2525"/>
      <c r="K2984" s="2166"/>
      <c r="L2984" s="2167"/>
      <c r="M2984" s="2166"/>
    </row>
    <row r="2985" spans="1:15">
      <c r="A2985" s="2164"/>
      <c r="B2985" s="2164"/>
      <c r="C2985" s="2164"/>
      <c r="D2985" s="2164"/>
      <c r="E2985" s="2522" t="s">
        <v>2639</v>
      </c>
      <c r="F2985" s="2522"/>
      <c r="G2985" s="2164"/>
      <c r="H2985" s="2528">
        <v>75997.000199999995</v>
      </c>
      <c r="I2985" s="2528"/>
      <c r="J2985" s="2528"/>
      <c r="K2985" s="2163"/>
      <c r="L2985" s="2528">
        <v>7363493.7400000002</v>
      </c>
      <c r="M2985" s="2163"/>
    </row>
    <row r="2986" spans="1:15">
      <c r="A2986" s="2164"/>
      <c r="B2986" s="2164"/>
      <c r="C2986" s="2164"/>
      <c r="D2986" s="2164"/>
      <c r="E2986" s="2164"/>
      <c r="F2986" s="2164"/>
      <c r="G2986" s="2164"/>
      <c r="H2986" s="2528"/>
      <c r="I2986" s="2528"/>
      <c r="J2986" s="2528"/>
      <c r="K2986" s="2163"/>
      <c r="L2986" s="2528"/>
      <c r="M2986" s="2163"/>
    </row>
    <row r="2987" spans="1:15">
      <c r="A2987" s="2160" t="s">
        <v>2773</v>
      </c>
      <c r="B2987" s="2161"/>
      <c r="C2987" s="2160" t="s">
        <v>2774</v>
      </c>
      <c r="D2987" s="2161"/>
      <c r="E2987" s="2160" t="s">
        <v>2722</v>
      </c>
      <c r="F2987" s="2161"/>
    </row>
    <row r="2988" spans="1:15">
      <c r="A2988" s="2163"/>
      <c r="B2988" s="2163"/>
      <c r="C2988" s="2163"/>
      <c r="D2988" s="2163"/>
      <c r="E2988" s="2163"/>
      <c r="F2988" s="2163"/>
      <c r="G2988" s="2163"/>
      <c r="H2988" s="2163"/>
      <c r="I2988" s="2163"/>
      <c r="J2988" s="2163"/>
      <c r="K2988" s="2163"/>
      <c r="L2988" s="2163"/>
      <c r="M2988" s="2163"/>
    </row>
    <row r="2989" spans="1:15">
      <c r="A2989" s="2164"/>
      <c r="H2989" s="2522" t="s">
        <v>2637</v>
      </c>
      <c r="I2989" s="2522"/>
      <c r="J2989" s="2163"/>
      <c r="K2989" s="2523">
        <v>0</v>
      </c>
      <c r="L2989" s="2523"/>
      <c r="M2989" s="2163"/>
      <c r="N2989" s="2527"/>
      <c r="O2989" s="2163"/>
    </row>
    <row r="2990" spans="1:15">
      <c r="H2990" s="2163"/>
      <c r="I2990" s="2163"/>
      <c r="J2990" s="2163"/>
      <c r="K2990" s="2523"/>
      <c r="L2990" s="2523"/>
      <c r="N2990" s="2527"/>
    </row>
    <row r="2991" spans="1:15">
      <c r="A2991" s="2165">
        <v>32636</v>
      </c>
      <c r="B2991" s="2163"/>
      <c r="C2991" s="2524" t="s">
        <v>2641</v>
      </c>
      <c r="D2991" s="2524"/>
      <c r="E2991" s="2524"/>
      <c r="F2991" s="2524"/>
      <c r="G2991" s="2524"/>
      <c r="H2991" s="2524"/>
      <c r="I2991" s="2524"/>
      <c r="J2991" s="2163"/>
      <c r="K2991" s="2163"/>
      <c r="L2991" s="2163"/>
      <c r="M2991" s="2163"/>
    </row>
    <row r="2992" spans="1:15">
      <c r="A2992" s="2163"/>
      <c r="B2992" s="2163"/>
      <c r="C2992" s="2163"/>
      <c r="D2992" s="2163"/>
      <c r="E2992" s="2163"/>
      <c r="F2992" s="2163"/>
      <c r="G2992" s="2163"/>
      <c r="H2992" s="2163"/>
      <c r="I2992" s="2163"/>
      <c r="J2992" s="2163"/>
      <c r="K2992" s="2163"/>
      <c r="L2992" s="2163"/>
      <c r="M2992" s="2163"/>
    </row>
    <row r="2993" spans="1:15">
      <c r="A2993" s="2520" t="s">
        <v>2647</v>
      </c>
      <c r="B2993" s="2520"/>
      <c r="C2993" s="2520"/>
      <c r="D2993" s="2166"/>
      <c r="E2993" s="2166"/>
      <c r="F2993" s="2166"/>
      <c r="G2993" s="2166"/>
      <c r="H2993" s="2521">
        <v>3500000</v>
      </c>
      <c r="I2993" s="2521"/>
      <c r="J2993" s="2521"/>
      <c r="K2993" s="2166"/>
      <c r="L2993" s="2177">
        <v>350000000</v>
      </c>
      <c r="M2993" s="2166"/>
    </row>
    <row r="2994" spans="1:15">
      <c r="A2994" s="2520" t="s">
        <v>2648</v>
      </c>
      <c r="B2994" s="2520"/>
      <c r="C2994" s="2520"/>
      <c r="D2994" s="2166"/>
      <c r="E2994" s="2166"/>
      <c r="F2994" s="2166"/>
      <c r="G2994" s="2166"/>
      <c r="H2994" s="2526">
        <v>-3502354.1889999998</v>
      </c>
      <c r="I2994" s="2526"/>
      <c r="J2994" s="2526"/>
      <c r="K2994" s="2166"/>
      <c r="L2994" s="2168">
        <v>-350235418.88999999</v>
      </c>
      <c r="M2994" s="2166"/>
    </row>
    <row r="2995" spans="1:15">
      <c r="A2995" s="2520" t="s">
        <v>2645</v>
      </c>
      <c r="B2995" s="2520"/>
      <c r="C2995" s="2520"/>
      <c r="D2995" s="2166"/>
      <c r="E2995" s="2166"/>
      <c r="F2995" s="2166"/>
      <c r="G2995" s="2166"/>
      <c r="H2995" s="2525"/>
      <c r="I2995" s="2525"/>
      <c r="J2995" s="2525"/>
      <c r="K2995" s="2166"/>
      <c r="L2995" s="2167"/>
      <c r="M2995" s="2166"/>
    </row>
    <row r="2996" spans="1:15">
      <c r="A2996" s="2520" t="s">
        <v>2645</v>
      </c>
      <c r="B2996" s="2520"/>
      <c r="C2996" s="2520"/>
      <c r="D2996" s="2166"/>
      <c r="E2996" s="2166"/>
      <c r="F2996" s="2166"/>
      <c r="G2996" s="2166"/>
      <c r="H2996" s="2526">
        <v>2354.1889999999999</v>
      </c>
      <c r="I2996" s="2526"/>
      <c r="J2996" s="2526"/>
      <c r="K2996" s="2166"/>
      <c r="L2996" s="2168">
        <v>235418.89</v>
      </c>
      <c r="M2996" s="2166"/>
    </row>
    <row r="2997" spans="1:15">
      <c r="A2997" s="2164"/>
      <c r="B2997" s="2164"/>
      <c r="C2997" s="2164"/>
      <c r="D2997" s="2164"/>
      <c r="E2997" s="2522" t="s">
        <v>2639</v>
      </c>
      <c r="F2997" s="2522"/>
      <c r="G2997" s="2164"/>
      <c r="H2997" s="2523">
        <v>0</v>
      </c>
      <c r="I2997" s="2523"/>
      <c r="J2997" s="2523"/>
      <c r="K2997" s="2163"/>
      <c r="L2997" s="2523">
        <v>0</v>
      </c>
      <c r="M2997" s="2163"/>
    </row>
    <row r="2998" spans="1:15">
      <c r="A2998" s="2164"/>
      <c r="B2998" s="2164"/>
      <c r="C2998" s="2164"/>
      <c r="D2998" s="2164"/>
      <c r="E2998" s="2164"/>
      <c r="F2998" s="2164"/>
      <c r="G2998" s="2164"/>
      <c r="H2998" s="2523"/>
      <c r="I2998" s="2523"/>
      <c r="J2998" s="2523"/>
      <c r="K2998" s="2163"/>
      <c r="L2998" s="2523"/>
      <c r="M2998" s="2163"/>
    </row>
    <row r="2999" spans="1:15">
      <c r="A2999" s="2160" t="s">
        <v>2773</v>
      </c>
      <c r="B2999" s="2161"/>
      <c r="C2999" s="2160" t="s">
        <v>2774</v>
      </c>
      <c r="D2999" s="2161"/>
      <c r="E2999" s="2160" t="s">
        <v>2722</v>
      </c>
      <c r="F2999" s="2161"/>
    </row>
    <row r="3000" spans="1:15">
      <c r="A3000" s="2163"/>
      <c r="B3000" s="2163"/>
      <c r="C3000" s="2163"/>
      <c r="D3000" s="2163"/>
      <c r="E3000" s="2163"/>
      <c r="F3000" s="2163"/>
      <c r="G3000" s="2163"/>
      <c r="H3000" s="2163"/>
      <c r="I3000" s="2163"/>
      <c r="J3000" s="2163"/>
      <c r="K3000" s="2163"/>
      <c r="L3000" s="2163"/>
      <c r="M3000" s="2163"/>
    </row>
    <row r="3001" spans="1:15">
      <c r="A3001" s="2164"/>
      <c r="H3001" s="2522" t="s">
        <v>2637</v>
      </c>
      <c r="I3001" s="2522"/>
      <c r="J3001" s="2163"/>
      <c r="K3001" s="2523">
        <v>0</v>
      </c>
      <c r="L3001" s="2523"/>
      <c r="M3001" s="2163"/>
      <c r="N3001" s="2527"/>
      <c r="O3001" s="2163"/>
    </row>
    <row r="3002" spans="1:15">
      <c r="H3002" s="2163"/>
      <c r="I3002" s="2163"/>
      <c r="J3002" s="2163"/>
      <c r="K3002" s="2523"/>
      <c r="L3002" s="2523"/>
      <c r="N3002" s="2527"/>
    </row>
    <row r="3003" spans="1:15">
      <c r="A3003" s="2165">
        <v>39845</v>
      </c>
      <c r="B3003" s="2163"/>
      <c r="C3003" s="2524" t="s">
        <v>2660</v>
      </c>
      <c r="D3003" s="2524"/>
      <c r="E3003" s="2524"/>
      <c r="F3003" s="2524"/>
      <c r="G3003" s="2524"/>
      <c r="H3003" s="2524"/>
      <c r="I3003" s="2524"/>
      <c r="J3003" s="2163"/>
      <c r="K3003" s="2163"/>
      <c r="L3003" s="2163"/>
      <c r="M3003" s="2163"/>
    </row>
    <row r="3004" spans="1:15">
      <c r="A3004" s="2163"/>
      <c r="B3004" s="2163"/>
      <c r="C3004" s="2163"/>
      <c r="D3004" s="2163"/>
      <c r="E3004" s="2163"/>
      <c r="F3004" s="2163"/>
      <c r="G3004" s="2163"/>
      <c r="H3004" s="2163"/>
      <c r="I3004" s="2163"/>
      <c r="J3004" s="2163"/>
      <c r="K3004" s="2163"/>
      <c r="L3004" s="2163"/>
      <c r="M3004" s="2163"/>
    </row>
    <row r="3005" spans="1:15">
      <c r="A3005" s="2529"/>
      <c r="B3005" s="2529"/>
      <c r="C3005" s="2529"/>
      <c r="D3005" s="2166"/>
      <c r="E3005" s="2166"/>
      <c r="F3005" s="2166"/>
      <c r="G3005" s="2166"/>
      <c r="H3005" s="2525"/>
      <c r="I3005" s="2525"/>
      <c r="J3005" s="2525"/>
      <c r="K3005" s="2166"/>
      <c r="L3005" s="2167"/>
      <c r="M3005" s="2166"/>
    </row>
    <row r="3006" spans="1:15">
      <c r="A3006" s="2164"/>
      <c r="B3006" s="2164"/>
      <c r="C3006" s="2164"/>
      <c r="D3006" s="2164"/>
      <c r="E3006" s="2522" t="s">
        <v>2639</v>
      </c>
      <c r="F3006" s="2522"/>
      <c r="G3006" s="2164"/>
      <c r="H3006" s="2523">
        <v>0</v>
      </c>
      <c r="I3006" s="2523"/>
      <c r="J3006" s="2523"/>
      <c r="K3006" s="2163"/>
      <c r="L3006" s="2523">
        <v>0</v>
      </c>
      <c r="M3006" s="2163"/>
    </row>
    <row r="3007" spans="1:15">
      <c r="A3007" s="2164"/>
      <c r="B3007" s="2164"/>
      <c r="C3007" s="2164"/>
      <c r="D3007" s="2164"/>
      <c r="E3007" s="2164"/>
      <c r="F3007" s="2164"/>
      <c r="G3007" s="2164"/>
      <c r="H3007" s="2523"/>
      <c r="I3007" s="2523"/>
      <c r="J3007" s="2523"/>
      <c r="K3007" s="2163"/>
      <c r="L3007" s="2523"/>
      <c r="M3007" s="2163"/>
    </row>
    <row r="3008" spans="1:15">
      <c r="A3008" s="2160" t="s">
        <v>2773</v>
      </c>
      <c r="B3008" s="2161"/>
      <c r="C3008" s="2160" t="s">
        <v>2774</v>
      </c>
      <c r="D3008" s="2161"/>
      <c r="E3008" s="2160" t="s">
        <v>2722</v>
      </c>
      <c r="F3008" s="2161"/>
    </row>
    <row r="3009" spans="1:15">
      <c r="A3009" s="2163"/>
      <c r="B3009" s="2163"/>
      <c r="C3009" s="2163"/>
      <c r="D3009" s="2163"/>
      <c r="E3009" s="2163"/>
      <c r="F3009" s="2163"/>
      <c r="G3009" s="2163"/>
      <c r="H3009" s="2163"/>
      <c r="I3009" s="2163"/>
      <c r="J3009" s="2163"/>
      <c r="K3009" s="2163"/>
      <c r="L3009" s="2163"/>
      <c r="M3009" s="2163"/>
    </row>
    <row r="3010" spans="1:15">
      <c r="A3010" s="2164"/>
      <c r="H3010" s="2522" t="s">
        <v>2637</v>
      </c>
      <c r="I3010" s="2522"/>
      <c r="J3010" s="2163"/>
      <c r="K3010" s="2523">
        <v>0</v>
      </c>
      <c r="L3010" s="2523"/>
      <c r="M3010" s="2163"/>
      <c r="N3010" s="2527"/>
      <c r="O3010" s="2163"/>
    </row>
    <row r="3011" spans="1:15">
      <c r="H3011" s="2163"/>
      <c r="I3011" s="2163"/>
      <c r="J3011" s="2163"/>
      <c r="K3011" s="2523"/>
      <c r="L3011" s="2523"/>
      <c r="N3011" s="2527"/>
    </row>
    <row r="3012" spans="1:15">
      <c r="A3012" s="2165">
        <v>56965</v>
      </c>
      <c r="B3012" s="2163"/>
      <c r="C3012" s="2524" t="s">
        <v>2678</v>
      </c>
      <c r="D3012" s="2524"/>
      <c r="E3012" s="2524"/>
      <c r="F3012" s="2524"/>
      <c r="G3012" s="2524"/>
      <c r="H3012" s="2524"/>
      <c r="I3012" s="2524"/>
      <c r="J3012" s="2163"/>
      <c r="K3012" s="2163"/>
      <c r="L3012" s="2163"/>
      <c r="M3012" s="2163"/>
    </row>
    <row r="3013" spans="1:15">
      <c r="A3013" s="2163"/>
      <c r="B3013" s="2163"/>
      <c r="C3013" s="2163"/>
      <c r="D3013" s="2163"/>
      <c r="E3013" s="2163"/>
      <c r="F3013" s="2163"/>
      <c r="G3013" s="2163"/>
      <c r="H3013" s="2163"/>
      <c r="I3013" s="2163"/>
      <c r="J3013" s="2163"/>
      <c r="K3013" s="2163"/>
      <c r="L3013" s="2163"/>
      <c r="M3013" s="2163"/>
    </row>
    <row r="3014" spans="1:15">
      <c r="A3014" s="2529"/>
      <c r="B3014" s="2529"/>
      <c r="C3014" s="2529"/>
      <c r="D3014" s="2166"/>
      <c r="E3014" s="2166"/>
      <c r="F3014" s="2166"/>
      <c r="G3014" s="2166"/>
      <c r="H3014" s="2525"/>
      <c r="I3014" s="2525"/>
      <c r="J3014" s="2525"/>
      <c r="K3014" s="2166"/>
      <c r="L3014" s="2167"/>
      <c r="M3014" s="2166"/>
    </row>
    <row r="3015" spans="1:15">
      <c r="A3015" s="2164"/>
      <c r="B3015" s="2164"/>
      <c r="C3015" s="2164"/>
      <c r="D3015" s="2164"/>
      <c r="E3015" s="2522" t="s">
        <v>2639</v>
      </c>
      <c r="F3015" s="2522"/>
      <c r="G3015" s="2164"/>
      <c r="H3015" s="2523">
        <v>0</v>
      </c>
      <c r="I3015" s="2523"/>
      <c r="J3015" s="2523"/>
      <c r="K3015" s="2163"/>
      <c r="L3015" s="2523">
        <v>0</v>
      </c>
      <c r="M3015" s="2163"/>
    </row>
    <row r="3016" spans="1:15">
      <c r="A3016" s="2164"/>
      <c r="B3016" s="2164"/>
      <c r="C3016" s="2164"/>
      <c r="D3016" s="2164"/>
      <c r="E3016" s="2164"/>
      <c r="F3016" s="2164"/>
      <c r="G3016" s="2164"/>
      <c r="H3016" s="2523"/>
      <c r="I3016" s="2523"/>
      <c r="J3016" s="2523"/>
      <c r="K3016" s="2163"/>
      <c r="L3016" s="2523"/>
      <c r="M3016" s="2163"/>
    </row>
    <row r="3017" spans="1:15">
      <c r="A3017" s="2160" t="s">
        <v>2773</v>
      </c>
      <c r="B3017" s="2161"/>
      <c r="C3017" s="2160" t="s">
        <v>2774</v>
      </c>
      <c r="D3017" s="2161"/>
      <c r="E3017" s="2160" t="s">
        <v>2722</v>
      </c>
      <c r="F3017" s="2161"/>
    </row>
    <row r="3018" spans="1:15">
      <c r="A3018" s="2163"/>
      <c r="B3018" s="2163"/>
      <c r="C3018" s="2163"/>
      <c r="D3018" s="2163"/>
      <c r="E3018" s="2163"/>
      <c r="F3018" s="2163"/>
      <c r="G3018" s="2163"/>
      <c r="H3018" s="2163"/>
      <c r="I3018" s="2163"/>
      <c r="J3018" s="2163"/>
      <c r="K3018" s="2163"/>
      <c r="L3018" s="2163"/>
      <c r="M3018" s="2163"/>
    </row>
    <row r="3019" spans="1:15">
      <c r="A3019" s="2164"/>
      <c r="H3019" s="2522" t="s">
        <v>2637</v>
      </c>
      <c r="I3019" s="2522"/>
      <c r="J3019" s="2163"/>
      <c r="K3019" s="2523">
        <v>0</v>
      </c>
      <c r="L3019" s="2523"/>
      <c r="M3019" s="2163"/>
      <c r="N3019" s="2527"/>
      <c r="O3019" s="2163"/>
    </row>
    <row r="3020" spans="1:15">
      <c r="H3020" s="2163"/>
      <c r="I3020" s="2163"/>
      <c r="J3020" s="2163"/>
      <c r="K3020" s="2523"/>
      <c r="L3020" s="2523"/>
      <c r="N3020" s="2527"/>
    </row>
    <row r="3021" spans="1:15">
      <c r="A3021" s="2165">
        <v>57179</v>
      </c>
      <c r="B3021" s="2163"/>
      <c r="C3021" s="2524" t="s">
        <v>2668</v>
      </c>
      <c r="D3021" s="2524"/>
      <c r="E3021" s="2524"/>
      <c r="F3021" s="2524"/>
      <c r="G3021" s="2524"/>
      <c r="H3021" s="2524"/>
      <c r="I3021" s="2524"/>
      <c r="J3021" s="2163"/>
      <c r="K3021" s="2163"/>
      <c r="L3021" s="2163"/>
      <c r="M3021" s="2163"/>
    </row>
    <row r="3022" spans="1:15">
      <c r="A3022" s="2163"/>
      <c r="B3022" s="2163"/>
      <c r="C3022" s="2163"/>
      <c r="D3022" s="2163"/>
      <c r="E3022" s="2163"/>
      <c r="F3022" s="2163"/>
      <c r="G3022" s="2163"/>
      <c r="H3022" s="2163"/>
      <c r="I3022" s="2163"/>
      <c r="J3022" s="2163"/>
      <c r="K3022" s="2163"/>
      <c r="L3022" s="2163"/>
      <c r="M3022" s="2163"/>
    </row>
    <row r="3023" spans="1:15">
      <c r="A3023" s="2529"/>
      <c r="B3023" s="2529"/>
      <c r="C3023" s="2529"/>
      <c r="D3023" s="2166"/>
      <c r="E3023" s="2166"/>
      <c r="F3023" s="2166"/>
      <c r="G3023" s="2166"/>
      <c r="H3023" s="2525"/>
      <c r="I3023" s="2525"/>
      <c r="J3023" s="2525"/>
      <c r="K3023" s="2166"/>
      <c r="L3023" s="2167"/>
      <c r="M3023" s="2166"/>
    </row>
    <row r="3024" spans="1:15">
      <c r="A3024" s="2164"/>
      <c r="B3024" s="2164"/>
      <c r="C3024" s="2164"/>
      <c r="D3024" s="2164"/>
      <c r="E3024" s="2522" t="s">
        <v>2639</v>
      </c>
      <c r="F3024" s="2522"/>
      <c r="G3024" s="2164"/>
      <c r="H3024" s="2523">
        <v>0</v>
      </c>
      <c r="I3024" s="2523"/>
      <c r="J3024" s="2523"/>
      <c r="K3024" s="2163"/>
      <c r="L3024" s="2523">
        <v>0</v>
      </c>
      <c r="M3024" s="2163"/>
    </row>
    <row r="3025" spans="1:15">
      <c r="A3025" s="2164"/>
      <c r="B3025" s="2164"/>
      <c r="C3025" s="2164"/>
      <c r="D3025" s="2164"/>
      <c r="E3025" s="2164"/>
      <c r="F3025" s="2164"/>
      <c r="G3025" s="2164"/>
      <c r="H3025" s="2523"/>
      <c r="I3025" s="2523"/>
      <c r="J3025" s="2523"/>
      <c r="K3025" s="2163"/>
      <c r="L3025" s="2523"/>
      <c r="M3025" s="2163"/>
    </row>
    <row r="3026" spans="1:15">
      <c r="A3026" s="2160" t="s">
        <v>2773</v>
      </c>
      <c r="B3026" s="2161"/>
      <c r="C3026" s="2160" t="s">
        <v>2774</v>
      </c>
      <c r="D3026" s="2161"/>
      <c r="E3026" s="2160" t="s">
        <v>2722</v>
      </c>
      <c r="F3026" s="2161"/>
    </row>
    <row r="3027" spans="1:15">
      <c r="A3027" s="2163"/>
      <c r="B3027" s="2163"/>
      <c r="C3027" s="2163"/>
      <c r="D3027" s="2163"/>
      <c r="E3027" s="2163"/>
      <c r="F3027" s="2163"/>
      <c r="G3027" s="2163"/>
      <c r="H3027" s="2163"/>
      <c r="I3027" s="2163"/>
      <c r="J3027" s="2163"/>
      <c r="K3027" s="2163"/>
      <c r="L3027" s="2163"/>
      <c r="M3027" s="2163"/>
    </row>
    <row r="3028" spans="1:15">
      <c r="A3028" s="2164"/>
      <c r="H3028" s="2522" t="s">
        <v>2637</v>
      </c>
      <c r="I3028" s="2522"/>
      <c r="J3028" s="2163"/>
      <c r="K3028" s="2523">
        <v>0</v>
      </c>
      <c r="L3028" s="2523"/>
      <c r="M3028" s="2163"/>
      <c r="N3028" s="2527"/>
      <c r="O3028" s="2163"/>
    </row>
    <row r="3029" spans="1:15">
      <c r="H3029" s="2163"/>
      <c r="I3029" s="2163"/>
      <c r="J3029" s="2163"/>
      <c r="K3029" s="2523"/>
      <c r="L3029" s="2523"/>
      <c r="N3029" s="2527"/>
    </row>
    <row r="3030" spans="1:15">
      <c r="A3030" s="2165">
        <v>65266</v>
      </c>
      <c r="B3030" s="2163"/>
      <c r="C3030" s="2524" t="s">
        <v>2692</v>
      </c>
      <c r="D3030" s="2524"/>
      <c r="E3030" s="2524"/>
      <c r="F3030" s="2524"/>
      <c r="G3030" s="2524"/>
      <c r="H3030" s="2524"/>
      <c r="I3030" s="2524"/>
      <c r="J3030" s="2163"/>
      <c r="K3030" s="2163"/>
      <c r="L3030" s="2163"/>
      <c r="M3030" s="2163"/>
    </row>
    <row r="3031" spans="1:15">
      <c r="A3031" s="2163"/>
      <c r="B3031" s="2163"/>
      <c r="C3031" s="2163"/>
      <c r="D3031" s="2163"/>
      <c r="E3031" s="2163"/>
      <c r="F3031" s="2163"/>
      <c r="G3031" s="2163"/>
      <c r="H3031" s="2163"/>
      <c r="I3031" s="2163"/>
      <c r="J3031" s="2163"/>
      <c r="K3031" s="2163"/>
      <c r="L3031" s="2163"/>
      <c r="M3031" s="2163"/>
    </row>
    <row r="3032" spans="1:15">
      <c r="A3032" s="2529"/>
      <c r="B3032" s="2529"/>
      <c r="C3032" s="2529"/>
      <c r="D3032" s="2166"/>
      <c r="E3032" s="2166"/>
      <c r="F3032" s="2166"/>
      <c r="G3032" s="2166"/>
      <c r="H3032" s="2525"/>
      <c r="I3032" s="2525"/>
      <c r="J3032" s="2525"/>
      <c r="K3032" s="2166"/>
      <c r="L3032" s="2167"/>
      <c r="M3032" s="2166"/>
    </row>
    <row r="3033" spans="1:15">
      <c r="A3033" s="2164"/>
      <c r="B3033" s="2164"/>
      <c r="C3033" s="2164"/>
      <c r="D3033" s="2164"/>
      <c r="E3033" s="2522" t="s">
        <v>2639</v>
      </c>
      <c r="F3033" s="2522"/>
      <c r="G3033" s="2164"/>
      <c r="H3033" s="2523">
        <v>0</v>
      </c>
      <c r="I3033" s="2523"/>
      <c r="J3033" s="2523"/>
      <c r="K3033" s="2163"/>
      <c r="L3033" s="2523">
        <v>0</v>
      </c>
      <c r="M3033" s="2163"/>
    </row>
    <row r="3034" spans="1:15">
      <c r="A3034" s="2164"/>
      <c r="B3034" s="2164"/>
      <c r="C3034" s="2164"/>
      <c r="D3034" s="2164"/>
      <c r="E3034" s="2164"/>
      <c r="F3034" s="2164"/>
      <c r="G3034" s="2164"/>
      <c r="H3034" s="2523"/>
      <c r="I3034" s="2523"/>
      <c r="J3034" s="2523"/>
      <c r="K3034" s="2163"/>
      <c r="L3034" s="2523"/>
      <c r="M3034" s="2163"/>
    </row>
    <row r="3035" spans="1:15">
      <c r="A3035" s="2160" t="s">
        <v>2773</v>
      </c>
      <c r="B3035" s="2161"/>
      <c r="C3035" s="2160" t="s">
        <v>2774</v>
      </c>
      <c r="D3035" s="2161"/>
      <c r="E3035" s="2160" t="s">
        <v>2722</v>
      </c>
      <c r="F3035" s="2161"/>
    </row>
    <row r="3036" spans="1:15">
      <c r="A3036" s="2163"/>
      <c r="B3036" s="2163"/>
      <c r="C3036" s="2163"/>
      <c r="D3036" s="2163"/>
      <c r="E3036" s="2163"/>
      <c r="F3036" s="2163"/>
      <c r="G3036" s="2163"/>
      <c r="H3036" s="2163"/>
      <c r="I3036" s="2163"/>
      <c r="J3036" s="2163"/>
      <c r="K3036" s="2163"/>
      <c r="L3036" s="2163"/>
      <c r="M3036" s="2163"/>
    </row>
    <row r="3037" spans="1:15">
      <c r="A3037" s="2164"/>
      <c r="H3037" s="2522" t="s">
        <v>2637</v>
      </c>
      <c r="I3037" s="2522"/>
      <c r="J3037" s="2163"/>
      <c r="K3037" s="2523">
        <v>0</v>
      </c>
      <c r="L3037" s="2523"/>
      <c r="M3037" s="2163"/>
      <c r="N3037" s="2527"/>
      <c r="O3037" s="2163"/>
    </row>
    <row r="3038" spans="1:15">
      <c r="H3038" s="2163"/>
      <c r="I3038" s="2163"/>
      <c r="J3038" s="2163"/>
      <c r="K3038" s="2523"/>
      <c r="L3038" s="2523"/>
      <c r="N3038" s="2527"/>
    </row>
    <row r="3039" spans="1:15">
      <c r="A3039" s="2165">
        <v>70356</v>
      </c>
      <c r="B3039" s="2163"/>
      <c r="C3039" s="2524" t="s">
        <v>2695</v>
      </c>
      <c r="D3039" s="2524"/>
      <c r="E3039" s="2524"/>
      <c r="F3039" s="2524"/>
      <c r="G3039" s="2524"/>
      <c r="H3039" s="2524"/>
      <c r="I3039" s="2524"/>
      <c r="J3039" s="2163"/>
      <c r="K3039" s="2163"/>
      <c r="L3039" s="2163"/>
      <c r="M3039" s="2163"/>
    </row>
    <row r="3040" spans="1:15">
      <c r="A3040" s="2163"/>
      <c r="B3040" s="2163"/>
      <c r="C3040" s="2163"/>
      <c r="D3040" s="2163"/>
      <c r="E3040" s="2163"/>
      <c r="F3040" s="2163"/>
      <c r="G3040" s="2163"/>
      <c r="H3040" s="2163"/>
      <c r="I3040" s="2163"/>
      <c r="J3040" s="2163"/>
      <c r="K3040" s="2163"/>
      <c r="L3040" s="2163"/>
      <c r="M3040" s="2163"/>
    </row>
    <row r="3041" spans="1:15">
      <c r="A3041" s="2529"/>
      <c r="B3041" s="2529"/>
      <c r="C3041" s="2529"/>
      <c r="D3041" s="2166"/>
      <c r="E3041" s="2166"/>
      <c r="F3041" s="2166"/>
      <c r="G3041" s="2166"/>
      <c r="H3041" s="2525"/>
      <c r="I3041" s="2525"/>
      <c r="J3041" s="2525"/>
      <c r="K3041" s="2166"/>
      <c r="L3041" s="2167"/>
      <c r="M3041" s="2166"/>
    </row>
    <row r="3042" spans="1:15">
      <c r="A3042" s="2164"/>
      <c r="B3042" s="2164"/>
      <c r="C3042" s="2164"/>
      <c r="D3042" s="2164"/>
      <c r="E3042" s="2522" t="s">
        <v>2639</v>
      </c>
      <c r="F3042" s="2522"/>
      <c r="G3042" s="2164"/>
      <c r="H3042" s="2523">
        <v>0</v>
      </c>
      <c r="I3042" s="2523"/>
      <c r="J3042" s="2523"/>
      <c r="K3042" s="2163"/>
      <c r="L3042" s="2523">
        <v>0</v>
      </c>
      <c r="M3042" s="2163"/>
    </row>
    <row r="3043" spans="1:15">
      <c r="A3043" s="2164"/>
      <c r="B3043" s="2164"/>
      <c r="C3043" s="2164"/>
      <c r="D3043" s="2164"/>
      <c r="E3043" s="2164"/>
      <c r="F3043" s="2164"/>
      <c r="G3043" s="2164"/>
      <c r="H3043" s="2523"/>
      <c r="I3043" s="2523"/>
      <c r="J3043" s="2523"/>
      <c r="K3043" s="2163"/>
      <c r="L3043" s="2523"/>
      <c r="M3043" s="2163"/>
    </row>
    <row r="3044" spans="1:15">
      <c r="A3044" s="2160" t="s">
        <v>2773</v>
      </c>
      <c r="B3044" s="2161"/>
      <c r="C3044" s="2160" t="s">
        <v>2774</v>
      </c>
      <c r="D3044" s="2161"/>
      <c r="E3044" s="2160" t="s">
        <v>2722</v>
      </c>
      <c r="F3044" s="2161"/>
    </row>
    <row r="3045" spans="1:15">
      <c r="A3045" s="2163"/>
      <c r="B3045" s="2163"/>
      <c r="C3045" s="2163"/>
      <c r="D3045" s="2163"/>
      <c r="E3045" s="2163"/>
      <c r="F3045" s="2163"/>
      <c r="G3045" s="2163"/>
      <c r="H3045" s="2163"/>
      <c r="I3045" s="2163"/>
      <c r="J3045" s="2163"/>
      <c r="K3045" s="2163"/>
      <c r="L3045" s="2163"/>
      <c r="M3045" s="2163"/>
    </row>
    <row r="3046" spans="1:15">
      <c r="A3046" s="2164"/>
      <c r="H3046" s="2522" t="s">
        <v>2637</v>
      </c>
      <c r="I3046" s="2522"/>
      <c r="J3046" s="2163"/>
      <c r="K3046" s="2528">
        <v>27767.535800000001</v>
      </c>
      <c r="L3046" s="2528"/>
      <c r="M3046" s="2163"/>
      <c r="N3046" s="2527" t="s">
        <v>3045</v>
      </c>
      <c r="O3046" s="2163"/>
    </row>
    <row r="3047" spans="1:15">
      <c r="H3047" s="2163"/>
      <c r="I3047" s="2163"/>
      <c r="J3047" s="2163"/>
      <c r="K3047" s="2528"/>
      <c r="L3047" s="2528"/>
      <c r="N3047" s="2527"/>
    </row>
    <row r="3048" spans="1:15">
      <c r="A3048" s="2165">
        <v>85738</v>
      </c>
      <c r="B3048" s="2163"/>
      <c r="C3048" s="2524" t="s">
        <v>2848</v>
      </c>
      <c r="D3048" s="2524"/>
      <c r="E3048" s="2524"/>
      <c r="F3048" s="2524"/>
      <c r="G3048" s="2524"/>
      <c r="H3048" s="2524"/>
      <c r="I3048" s="2524"/>
      <c r="J3048" s="2163"/>
      <c r="K3048" s="2163"/>
      <c r="L3048" s="2163"/>
      <c r="M3048" s="2163"/>
    </row>
    <row r="3049" spans="1:15">
      <c r="A3049" s="2163"/>
      <c r="B3049" s="2163"/>
      <c r="C3049" s="2163"/>
      <c r="D3049" s="2163"/>
      <c r="E3049" s="2163"/>
      <c r="F3049" s="2163"/>
      <c r="G3049" s="2163"/>
      <c r="H3049" s="2163"/>
      <c r="I3049" s="2163"/>
      <c r="J3049" s="2163"/>
      <c r="K3049" s="2163"/>
      <c r="L3049" s="2163"/>
      <c r="M3049" s="2163"/>
    </row>
    <row r="3050" spans="1:15">
      <c r="A3050" s="2520" t="s">
        <v>2645</v>
      </c>
      <c r="B3050" s="2520"/>
      <c r="C3050" s="2520"/>
      <c r="D3050" s="2166"/>
      <c r="E3050" s="2166"/>
      <c r="F3050" s="2166"/>
      <c r="G3050" s="2166"/>
      <c r="H3050" s="2525"/>
      <c r="I3050" s="2525"/>
      <c r="J3050" s="2525"/>
      <c r="K3050" s="2166"/>
      <c r="L3050" s="2167"/>
      <c r="M3050" s="2166"/>
    </row>
    <row r="3051" spans="1:15">
      <c r="A3051" s="2520" t="s">
        <v>2645</v>
      </c>
      <c r="B3051" s="2520"/>
      <c r="C3051" s="2520"/>
      <c r="D3051" s="2166"/>
      <c r="E3051" s="2166"/>
      <c r="F3051" s="2166"/>
      <c r="G3051" s="2166"/>
      <c r="H3051" s="2525">
        <v>426.08800000000002</v>
      </c>
      <c r="I3051" s="2525"/>
      <c r="J3051" s="2525"/>
      <c r="K3051" s="2166"/>
      <c r="L3051" s="2168">
        <v>42608.76</v>
      </c>
      <c r="M3051" s="2166"/>
    </row>
    <row r="3052" spans="1:15">
      <c r="A3052" s="2164"/>
      <c r="B3052" s="2164"/>
      <c r="C3052" s="2164"/>
      <c r="D3052" s="2164"/>
      <c r="E3052" s="2522" t="s">
        <v>2639</v>
      </c>
      <c r="F3052" s="2522"/>
      <c r="G3052" s="2164"/>
      <c r="H3052" s="2528">
        <v>28193.6234</v>
      </c>
      <c r="I3052" s="2528"/>
      <c r="J3052" s="2528"/>
      <c r="K3052" s="2163"/>
      <c r="L3052" s="2528">
        <v>2819362.34</v>
      </c>
      <c r="M3052" s="2163"/>
    </row>
    <row r="3053" spans="1:15">
      <c r="A3053" s="2164"/>
      <c r="B3053" s="2164"/>
      <c r="C3053" s="2164"/>
      <c r="D3053" s="2164"/>
      <c r="E3053" s="2164"/>
      <c r="F3053" s="2164"/>
      <c r="G3053" s="2164"/>
      <c r="H3053" s="2528"/>
      <c r="I3053" s="2528"/>
      <c r="J3053" s="2528"/>
      <c r="K3053" s="2163"/>
      <c r="L3053" s="2528"/>
      <c r="M3053" s="2163"/>
    </row>
    <row r="3054" spans="1:15">
      <c r="A3054" s="2160" t="s">
        <v>2773</v>
      </c>
      <c r="B3054" s="2161"/>
      <c r="C3054" s="2160" t="s">
        <v>2774</v>
      </c>
      <c r="D3054" s="2161"/>
      <c r="E3054" s="2160" t="s">
        <v>2722</v>
      </c>
      <c r="F3054" s="2161"/>
    </row>
    <row r="3055" spans="1:15">
      <c r="A3055" s="2163"/>
      <c r="B3055" s="2163"/>
      <c r="C3055" s="2163"/>
      <c r="D3055" s="2163"/>
      <c r="E3055" s="2163"/>
      <c r="F3055" s="2163"/>
      <c r="G3055" s="2163"/>
      <c r="H3055" s="2163"/>
      <c r="I3055" s="2163"/>
      <c r="J3055" s="2163"/>
      <c r="K3055" s="2163"/>
      <c r="L3055" s="2163"/>
      <c r="M3055" s="2163"/>
    </row>
    <row r="3056" spans="1:15">
      <c r="A3056" s="2164"/>
      <c r="H3056" s="2522" t="s">
        <v>2637</v>
      </c>
      <c r="I3056" s="2522"/>
      <c r="J3056" s="2163"/>
      <c r="K3056" s="2528">
        <v>54220.209000000003</v>
      </c>
      <c r="L3056" s="2528"/>
      <c r="M3056" s="2163"/>
      <c r="N3056" s="2527" t="s">
        <v>3046</v>
      </c>
      <c r="O3056" s="2163"/>
    </row>
    <row r="3057" spans="1:15">
      <c r="H3057" s="2163"/>
      <c r="I3057" s="2163"/>
      <c r="J3057" s="2163"/>
      <c r="K3057" s="2528"/>
      <c r="L3057" s="2528"/>
      <c r="N3057" s="2527"/>
    </row>
    <row r="3058" spans="1:15">
      <c r="A3058" s="2165">
        <v>93695</v>
      </c>
      <c r="B3058" s="2163"/>
      <c r="C3058" s="2524" t="s">
        <v>3004</v>
      </c>
      <c r="D3058" s="2524"/>
      <c r="E3058" s="2524"/>
      <c r="F3058" s="2524"/>
      <c r="G3058" s="2524"/>
      <c r="H3058" s="2524"/>
      <c r="I3058" s="2524"/>
      <c r="J3058" s="2163"/>
      <c r="K3058" s="2163"/>
      <c r="L3058" s="2163"/>
      <c r="M3058" s="2163"/>
    </row>
    <row r="3059" spans="1:15">
      <c r="A3059" s="2163"/>
      <c r="B3059" s="2163"/>
      <c r="C3059" s="2163"/>
      <c r="D3059" s="2163"/>
      <c r="E3059" s="2163"/>
      <c r="F3059" s="2163"/>
      <c r="G3059" s="2163"/>
      <c r="H3059" s="2163"/>
      <c r="I3059" s="2163"/>
      <c r="J3059" s="2163"/>
      <c r="K3059" s="2163"/>
      <c r="L3059" s="2163"/>
      <c r="M3059" s="2163"/>
    </row>
    <row r="3060" spans="1:15">
      <c r="A3060" s="2520" t="s">
        <v>2645</v>
      </c>
      <c r="B3060" s="2520"/>
      <c r="C3060" s="2520"/>
      <c r="D3060" s="2166"/>
      <c r="E3060" s="2166"/>
      <c r="F3060" s="2166"/>
      <c r="G3060" s="2166"/>
      <c r="H3060" s="2525"/>
      <c r="I3060" s="2525"/>
      <c r="J3060" s="2525"/>
      <c r="K3060" s="2166"/>
      <c r="L3060" s="2167"/>
      <c r="M3060" s="2166"/>
    </row>
    <row r="3061" spans="1:15">
      <c r="A3061" s="2520" t="s">
        <v>2645</v>
      </c>
      <c r="B3061" s="2520"/>
      <c r="C3061" s="2520"/>
      <c r="D3061" s="2166"/>
      <c r="E3061" s="2166"/>
      <c r="F3061" s="2166"/>
      <c r="G3061" s="2166"/>
      <c r="H3061" s="2525">
        <v>760.99400000000003</v>
      </c>
      <c r="I3061" s="2525"/>
      <c r="J3061" s="2525"/>
      <c r="K3061" s="2166"/>
      <c r="L3061" s="2168">
        <v>76099.360000000001</v>
      </c>
      <c r="M3061" s="2166"/>
    </row>
    <row r="3062" spans="1:15">
      <c r="A3062" s="2164"/>
      <c r="B3062" s="2164"/>
      <c r="C3062" s="2164"/>
      <c r="D3062" s="2164"/>
      <c r="E3062" s="2522" t="s">
        <v>2639</v>
      </c>
      <c r="F3062" s="2522"/>
      <c r="G3062" s="2164"/>
      <c r="H3062" s="2528">
        <v>54981.202599999997</v>
      </c>
      <c r="I3062" s="2528"/>
      <c r="J3062" s="2528"/>
      <c r="K3062" s="2163"/>
      <c r="L3062" s="2528">
        <v>5498120.2599999998</v>
      </c>
      <c r="M3062" s="2163"/>
    </row>
    <row r="3063" spans="1:15">
      <c r="A3063" s="2164"/>
      <c r="B3063" s="2164"/>
      <c r="C3063" s="2164"/>
      <c r="D3063" s="2164"/>
      <c r="E3063" s="2164"/>
      <c r="F3063" s="2164"/>
      <c r="G3063" s="2164"/>
      <c r="H3063" s="2528"/>
      <c r="I3063" s="2528"/>
      <c r="J3063" s="2528"/>
      <c r="K3063" s="2163"/>
      <c r="L3063" s="2528"/>
      <c r="M3063" s="2163"/>
    </row>
    <row r="3064" spans="1:15">
      <c r="A3064" s="2160" t="s">
        <v>2773</v>
      </c>
      <c r="B3064" s="2161"/>
      <c r="C3064" s="2160" t="s">
        <v>2774</v>
      </c>
      <c r="D3064" s="2161"/>
      <c r="E3064" s="2160" t="s">
        <v>2722</v>
      </c>
      <c r="F3064" s="2161"/>
    </row>
    <row r="3065" spans="1:15">
      <c r="A3065" s="2163"/>
      <c r="B3065" s="2163"/>
      <c r="C3065" s="2163"/>
      <c r="D3065" s="2163"/>
      <c r="E3065" s="2163"/>
      <c r="F3065" s="2163"/>
      <c r="G3065" s="2163"/>
      <c r="H3065" s="2163"/>
      <c r="I3065" s="2163"/>
      <c r="J3065" s="2163"/>
      <c r="K3065" s="2163"/>
      <c r="L3065" s="2163"/>
      <c r="M3065" s="2163"/>
    </row>
    <row r="3066" spans="1:15">
      <c r="A3066" s="2164"/>
      <c r="H3066" s="2522" t="s">
        <v>2637</v>
      </c>
      <c r="I3066" s="2522"/>
      <c r="J3066" s="2163"/>
      <c r="K3066" s="2528">
        <v>69447.941200000001</v>
      </c>
      <c r="L3066" s="2528"/>
      <c r="M3066" s="2163"/>
      <c r="N3066" s="2527" t="s">
        <v>3047</v>
      </c>
      <c r="O3066" s="2163"/>
    </row>
    <row r="3067" spans="1:15">
      <c r="H3067" s="2163"/>
      <c r="I3067" s="2163"/>
      <c r="J3067" s="2163"/>
      <c r="K3067" s="2528"/>
      <c r="L3067" s="2528"/>
      <c r="N3067" s="2527"/>
    </row>
    <row r="3068" spans="1:15">
      <c r="A3068" s="2165">
        <v>102212</v>
      </c>
      <c r="B3068" s="2163"/>
      <c r="C3068" s="2524" t="s">
        <v>3005</v>
      </c>
      <c r="D3068" s="2524"/>
      <c r="E3068" s="2524"/>
      <c r="F3068" s="2524"/>
      <c r="G3068" s="2524"/>
      <c r="H3068" s="2524"/>
      <c r="I3068" s="2524"/>
      <c r="J3068" s="2163"/>
      <c r="K3068" s="2163"/>
      <c r="L3068" s="2163"/>
      <c r="M3068" s="2163"/>
    </row>
    <row r="3069" spans="1:15">
      <c r="A3069" s="2163"/>
      <c r="B3069" s="2163"/>
      <c r="C3069" s="2163"/>
      <c r="D3069" s="2163"/>
      <c r="E3069" s="2163"/>
      <c r="F3069" s="2163"/>
      <c r="G3069" s="2163"/>
      <c r="H3069" s="2163"/>
      <c r="I3069" s="2163"/>
      <c r="J3069" s="2163"/>
      <c r="K3069" s="2163"/>
      <c r="L3069" s="2163"/>
      <c r="M3069" s="2163"/>
    </row>
    <row r="3070" spans="1:15">
      <c r="A3070" s="2520" t="s">
        <v>2648</v>
      </c>
      <c r="B3070" s="2520"/>
      <c r="C3070" s="2520"/>
      <c r="D3070" s="2166"/>
      <c r="E3070" s="2166"/>
      <c r="F3070" s="2166"/>
      <c r="G3070" s="2166"/>
      <c r="H3070" s="2526">
        <v>-69459.199999999997</v>
      </c>
      <c r="I3070" s="2526"/>
      <c r="J3070" s="2526"/>
      <c r="K3070" s="2166"/>
      <c r="L3070" s="2168">
        <v>-6945919.9800000004</v>
      </c>
      <c r="M3070" s="2166"/>
    </row>
    <row r="3071" spans="1:15">
      <c r="A3071" s="2520" t="s">
        <v>2645</v>
      </c>
      <c r="B3071" s="2520"/>
      <c r="C3071" s="2520"/>
      <c r="D3071" s="2166"/>
      <c r="E3071" s="2166"/>
      <c r="F3071" s="2166"/>
      <c r="G3071" s="2166"/>
      <c r="H3071" s="2525"/>
      <c r="I3071" s="2525"/>
      <c r="J3071" s="2525"/>
      <c r="K3071" s="2166"/>
      <c r="L3071" s="2167"/>
      <c r="M3071" s="2166"/>
    </row>
    <row r="3072" spans="1:15">
      <c r="A3072" s="2520" t="s">
        <v>2645</v>
      </c>
      <c r="B3072" s="2520"/>
      <c r="C3072" s="2520"/>
      <c r="D3072" s="2166"/>
      <c r="E3072" s="2166"/>
      <c r="F3072" s="2166"/>
      <c r="G3072" s="2166"/>
      <c r="H3072" s="2525">
        <v>11.259</v>
      </c>
      <c r="I3072" s="2525"/>
      <c r="J3072" s="2525"/>
      <c r="K3072" s="2166"/>
      <c r="L3072" s="2168">
        <v>1125.8599999999999</v>
      </c>
      <c r="M3072" s="2166"/>
    </row>
    <row r="3073" spans="1:15">
      <c r="A3073" s="2164"/>
      <c r="B3073" s="2164"/>
      <c r="C3073" s="2164"/>
      <c r="D3073" s="2164"/>
      <c r="E3073" s="2522" t="s">
        <v>2639</v>
      </c>
      <c r="F3073" s="2522"/>
      <c r="G3073" s="2164"/>
      <c r="H3073" s="2523">
        <v>0</v>
      </c>
      <c r="I3073" s="2523"/>
      <c r="J3073" s="2523"/>
      <c r="K3073" s="2163"/>
      <c r="L3073" s="2523">
        <v>0</v>
      </c>
      <c r="M3073" s="2163"/>
    </row>
    <row r="3074" spans="1:15">
      <c r="A3074" s="2164"/>
      <c r="B3074" s="2164"/>
      <c r="C3074" s="2164"/>
      <c r="D3074" s="2164"/>
      <c r="E3074" s="2164"/>
      <c r="F3074" s="2164"/>
      <c r="G3074" s="2164"/>
      <c r="H3074" s="2523"/>
      <c r="I3074" s="2523"/>
      <c r="J3074" s="2523"/>
      <c r="K3074" s="2163"/>
      <c r="L3074" s="2523"/>
      <c r="M3074" s="2163"/>
    </row>
    <row r="3075" spans="1:15">
      <c r="A3075" s="2160" t="s">
        <v>2773</v>
      </c>
      <c r="B3075" s="2161"/>
      <c r="C3075" s="2160" t="s">
        <v>2774</v>
      </c>
      <c r="D3075" s="2161"/>
      <c r="E3075" s="2160" t="s">
        <v>2722</v>
      </c>
      <c r="F3075" s="2161"/>
    </row>
    <row r="3076" spans="1:15">
      <c r="A3076" s="2163"/>
      <c r="B3076" s="2163"/>
      <c r="C3076" s="2163"/>
      <c r="D3076" s="2163"/>
      <c r="E3076" s="2163"/>
      <c r="F3076" s="2163"/>
      <c r="G3076" s="2163"/>
      <c r="H3076" s="2163"/>
      <c r="I3076" s="2163"/>
      <c r="J3076" s="2163"/>
      <c r="K3076" s="2163"/>
      <c r="L3076" s="2163"/>
      <c r="M3076" s="2163"/>
    </row>
    <row r="3077" spans="1:15">
      <c r="A3077" s="2164"/>
      <c r="H3077" s="2522" t="s">
        <v>2637</v>
      </c>
      <c r="I3077" s="2522"/>
      <c r="J3077" s="2163"/>
      <c r="K3077" s="2523">
        <v>0</v>
      </c>
      <c r="L3077" s="2523"/>
      <c r="M3077" s="2163"/>
      <c r="N3077" s="2527"/>
      <c r="O3077" s="2163"/>
    </row>
    <row r="3078" spans="1:15">
      <c r="H3078" s="2163"/>
      <c r="I3078" s="2163"/>
      <c r="J3078" s="2163"/>
      <c r="K3078" s="2523"/>
      <c r="L3078" s="2523"/>
      <c r="N3078" s="2527"/>
    </row>
    <row r="3079" spans="1:15">
      <c r="A3079" s="2165">
        <v>107021</v>
      </c>
      <c r="B3079" s="2163"/>
      <c r="C3079" s="2524" t="s">
        <v>3006</v>
      </c>
      <c r="D3079" s="2524"/>
      <c r="E3079" s="2524"/>
      <c r="F3079" s="2524"/>
      <c r="G3079" s="2524"/>
      <c r="H3079" s="2524"/>
      <c r="I3079" s="2524"/>
      <c r="J3079" s="2163"/>
      <c r="K3079" s="2163"/>
      <c r="L3079" s="2163"/>
      <c r="M3079" s="2163"/>
    </row>
    <row r="3080" spans="1:15">
      <c r="A3080" s="2163"/>
      <c r="B3080" s="2163"/>
      <c r="C3080" s="2163"/>
      <c r="D3080" s="2163"/>
      <c r="E3080" s="2163"/>
      <c r="F3080" s="2163"/>
      <c r="G3080" s="2163"/>
      <c r="H3080" s="2163"/>
      <c r="I3080" s="2163"/>
      <c r="J3080" s="2163"/>
      <c r="K3080" s="2163"/>
      <c r="L3080" s="2163"/>
      <c r="M3080" s="2163"/>
    </row>
    <row r="3081" spans="1:15">
      <c r="A3081" s="2520" t="s">
        <v>2645</v>
      </c>
      <c r="B3081" s="2520"/>
      <c r="C3081" s="2520"/>
      <c r="D3081" s="2166"/>
      <c r="E3081" s="2166"/>
      <c r="F3081" s="2166"/>
      <c r="G3081" s="2166"/>
      <c r="H3081" s="2525"/>
      <c r="I3081" s="2525"/>
      <c r="J3081" s="2525"/>
      <c r="K3081" s="2166"/>
      <c r="L3081" s="2167"/>
      <c r="M3081" s="2166"/>
    </row>
    <row r="3082" spans="1:15">
      <c r="A3082" s="2520" t="s">
        <v>2645</v>
      </c>
      <c r="B3082" s="2520"/>
      <c r="C3082" s="2520"/>
      <c r="D3082" s="2166"/>
      <c r="E3082" s="2166"/>
      <c r="F3082" s="2166"/>
      <c r="G3082" s="2166"/>
      <c r="H3082" s="2526">
        <v>4759.0370000000003</v>
      </c>
      <c r="I3082" s="2526"/>
      <c r="J3082" s="2526"/>
      <c r="K3082" s="2166"/>
      <c r="L3082" s="2168">
        <v>475903.73</v>
      </c>
      <c r="M3082" s="2166"/>
    </row>
    <row r="3083" spans="1:15">
      <c r="A3083" s="2520" t="s">
        <v>2679</v>
      </c>
      <c r="B3083" s="2520"/>
      <c r="C3083" s="2520"/>
      <c r="D3083" s="2166"/>
      <c r="E3083" s="2166"/>
      <c r="F3083" s="2166"/>
      <c r="G3083" s="2166"/>
      <c r="H3083" s="2526">
        <v>-2254759.037</v>
      </c>
      <c r="I3083" s="2526"/>
      <c r="J3083" s="2526"/>
      <c r="K3083" s="2166"/>
      <c r="L3083" s="2168">
        <v>-225475903.72999999</v>
      </c>
      <c r="M3083" s="2166"/>
    </row>
    <row r="3084" spans="1:15">
      <c r="A3084" s="2520" t="s">
        <v>2649</v>
      </c>
      <c r="B3084" s="2520"/>
      <c r="C3084" s="2520"/>
      <c r="D3084" s="2166"/>
      <c r="E3084" s="2166"/>
      <c r="F3084" s="2166"/>
      <c r="G3084" s="2166"/>
      <c r="H3084" s="2521">
        <v>2250000</v>
      </c>
      <c r="I3084" s="2521"/>
      <c r="J3084" s="2521"/>
      <c r="K3084" s="2166"/>
      <c r="L3084" s="2177">
        <v>225000000</v>
      </c>
      <c r="M3084" s="2166"/>
    </row>
    <row r="3085" spans="1:15">
      <c r="A3085" s="2164"/>
      <c r="B3085" s="2164"/>
      <c r="C3085" s="2164"/>
      <c r="D3085" s="2164"/>
      <c r="E3085" s="2522" t="s">
        <v>2639</v>
      </c>
      <c r="F3085" s="2522"/>
      <c r="G3085" s="2164"/>
      <c r="H3085" s="2523">
        <v>0</v>
      </c>
      <c r="I3085" s="2523"/>
      <c r="J3085" s="2523"/>
      <c r="K3085" s="2163"/>
      <c r="L3085" s="2523">
        <v>0</v>
      </c>
      <c r="M3085" s="2163"/>
    </row>
    <row r="3086" spans="1:15">
      <c r="A3086" s="2164"/>
      <c r="B3086" s="2164"/>
      <c r="C3086" s="2164"/>
      <c r="D3086" s="2164"/>
      <c r="E3086" s="2164"/>
      <c r="F3086" s="2164"/>
      <c r="G3086" s="2164"/>
      <c r="H3086" s="2523"/>
      <c r="I3086" s="2523"/>
      <c r="J3086" s="2523"/>
      <c r="K3086" s="2163"/>
      <c r="L3086" s="2523"/>
      <c r="M3086" s="2163"/>
    </row>
  </sheetData>
  <mergeCells count="3139">
    <mergeCell ref="E8:F8"/>
    <mergeCell ref="H8:J9"/>
    <mergeCell ref="L8:L9"/>
    <mergeCell ref="H12:I12"/>
    <mergeCell ref="K12:L13"/>
    <mergeCell ref="N12:N13"/>
    <mergeCell ref="H3:I3"/>
    <mergeCell ref="K3:L4"/>
    <mergeCell ref="N3:N4"/>
    <mergeCell ref="C5:I5"/>
    <mergeCell ref="A7:C7"/>
    <mergeCell ref="H7:J7"/>
    <mergeCell ref="E26:F26"/>
    <mergeCell ref="H26:J27"/>
    <mergeCell ref="L26:L27"/>
    <mergeCell ref="H30:I30"/>
    <mergeCell ref="K30:L31"/>
    <mergeCell ref="N30:N31"/>
    <mergeCell ref="H21:I21"/>
    <mergeCell ref="K21:L22"/>
    <mergeCell ref="N21:N22"/>
    <mergeCell ref="C23:I23"/>
    <mergeCell ref="A25:C25"/>
    <mergeCell ref="H25:J25"/>
    <mergeCell ref="C14:I14"/>
    <mergeCell ref="A16:C16"/>
    <mergeCell ref="H16:J16"/>
    <mergeCell ref="E17:F17"/>
    <mergeCell ref="H17:J18"/>
    <mergeCell ref="L17:L18"/>
    <mergeCell ref="E44:F44"/>
    <mergeCell ref="H44:J45"/>
    <mergeCell ref="L44:L45"/>
    <mergeCell ref="H48:I48"/>
    <mergeCell ref="K48:L49"/>
    <mergeCell ref="N48:N49"/>
    <mergeCell ref="H39:I39"/>
    <mergeCell ref="K39:L40"/>
    <mergeCell ref="N39:N40"/>
    <mergeCell ref="C41:I41"/>
    <mergeCell ref="A43:C43"/>
    <mergeCell ref="H43:J43"/>
    <mergeCell ref="C32:I32"/>
    <mergeCell ref="A34:C34"/>
    <mergeCell ref="H34:J34"/>
    <mergeCell ref="E35:F35"/>
    <mergeCell ref="H35:J36"/>
    <mergeCell ref="L35:L36"/>
    <mergeCell ref="A62:C62"/>
    <mergeCell ref="H62:J62"/>
    <mergeCell ref="E63:F63"/>
    <mergeCell ref="H63:J64"/>
    <mergeCell ref="L63:L64"/>
    <mergeCell ref="H67:I67"/>
    <mergeCell ref="K67:L68"/>
    <mergeCell ref="H57:I57"/>
    <mergeCell ref="K57:L58"/>
    <mergeCell ref="N57:N58"/>
    <mergeCell ref="C59:I59"/>
    <mergeCell ref="A61:C61"/>
    <mergeCell ref="H61:J61"/>
    <mergeCell ref="C50:I50"/>
    <mergeCell ref="A52:C52"/>
    <mergeCell ref="H52:J52"/>
    <mergeCell ref="E53:F53"/>
    <mergeCell ref="H53:J54"/>
    <mergeCell ref="L53:L54"/>
    <mergeCell ref="E81:F81"/>
    <mergeCell ref="H81:J82"/>
    <mergeCell ref="L81:L82"/>
    <mergeCell ref="H85:I85"/>
    <mergeCell ref="K85:L86"/>
    <mergeCell ref="N85:N86"/>
    <mergeCell ref="H76:I76"/>
    <mergeCell ref="K76:L77"/>
    <mergeCell ref="N76:N77"/>
    <mergeCell ref="C78:I78"/>
    <mergeCell ref="A80:C80"/>
    <mergeCell ref="H80:J80"/>
    <mergeCell ref="N67:N68"/>
    <mergeCell ref="C69:I69"/>
    <mergeCell ref="A71:C71"/>
    <mergeCell ref="H71:J71"/>
    <mergeCell ref="E72:F72"/>
    <mergeCell ref="H72:J73"/>
    <mergeCell ref="L72:L73"/>
    <mergeCell ref="E99:F99"/>
    <mergeCell ref="H99:J100"/>
    <mergeCell ref="L99:L100"/>
    <mergeCell ref="H103:I103"/>
    <mergeCell ref="K103:L104"/>
    <mergeCell ref="N103:N104"/>
    <mergeCell ref="H94:I94"/>
    <mergeCell ref="K94:L95"/>
    <mergeCell ref="N94:N95"/>
    <mergeCell ref="C96:I96"/>
    <mergeCell ref="A98:C98"/>
    <mergeCell ref="H98:J98"/>
    <mergeCell ref="C87:I87"/>
    <mergeCell ref="A89:C89"/>
    <mergeCell ref="H89:J89"/>
    <mergeCell ref="E90:F90"/>
    <mergeCell ref="H90:J91"/>
    <mergeCell ref="L90:L91"/>
    <mergeCell ref="E117:F117"/>
    <mergeCell ref="H117:J118"/>
    <mergeCell ref="L117:L118"/>
    <mergeCell ref="H121:I121"/>
    <mergeCell ref="K121:L122"/>
    <mergeCell ref="N121:N122"/>
    <mergeCell ref="H112:I112"/>
    <mergeCell ref="K112:L113"/>
    <mergeCell ref="N112:N113"/>
    <mergeCell ref="C114:I114"/>
    <mergeCell ref="A116:C116"/>
    <mergeCell ref="H116:J116"/>
    <mergeCell ref="C105:I105"/>
    <mergeCell ref="A107:C107"/>
    <mergeCell ref="H107:J107"/>
    <mergeCell ref="E108:F108"/>
    <mergeCell ref="H108:J109"/>
    <mergeCell ref="L108:L109"/>
    <mergeCell ref="E135:F135"/>
    <mergeCell ref="H135:J136"/>
    <mergeCell ref="L135:L136"/>
    <mergeCell ref="H139:I139"/>
    <mergeCell ref="K139:L140"/>
    <mergeCell ref="N139:N140"/>
    <mergeCell ref="H130:I130"/>
    <mergeCell ref="K130:L131"/>
    <mergeCell ref="N130:N131"/>
    <mergeCell ref="C132:I132"/>
    <mergeCell ref="A134:C134"/>
    <mergeCell ref="H134:J134"/>
    <mergeCell ref="C123:I123"/>
    <mergeCell ref="A125:C125"/>
    <mergeCell ref="H125:J125"/>
    <mergeCell ref="E126:F126"/>
    <mergeCell ref="H126:J127"/>
    <mergeCell ref="L126:L127"/>
    <mergeCell ref="E153:F153"/>
    <mergeCell ref="H153:J154"/>
    <mergeCell ref="L153:L154"/>
    <mergeCell ref="H157:I157"/>
    <mergeCell ref="K157:L158"/>
    <mergeCell ref="N157:N158"/>
    <mergeCell ref="H148:I148"/>
    <mergeCell ref="K148:L149"/>
    <mergeCell ref="N148:N149"/>
    <mergeCell ref="C150:I150"/>
    <mergeCell ref="A152:C152"/>
    <mergeCell ref="H152:J152"/>
    <mergeCell ref="C141:I141"/>
    <mergeCell ref="A143:C143"/>
    <mergeCell ref="H143:J143"/>
    <mergeCell ref="E144:F144"/>
    <mergeCell ref="H144:J145"/>
    <mergeCell ref="L144:L145"/>
    <mergeCell ref="E171:F171"/>
    <mergeCell ref="H171:J172"/>
    <mergeCell ref="L171:L172"/>
    <mergeCell ref="H175:I175"/>
    <mergeCell ref="K175:L176"/>
    <mergeCell ref="N175:N176"/>
    <mergeCell ref="H166:I166"/>
    <mergeCell ref="K166:L167"/>
    <mergeCell ref="N166:N167"/>
    <mergeCell ref="C168:I168"/>
    <mergeCell ref="A170:C170"/>
    <mergeCell ref="H170:J170"/>
    <mergeCell ref="C159:I159"/>
    <mergeCell ref="A161:C161"/>
    <mergeCell ref="H161:J161"/>
    <mergeCell ref="E162:F162"/>
    <mergeCell ref="H162:J163"/>
    <mergeCell ref="L162:L163"/>
    <mergeCell ref="E189:F189"/>
    <mergeCell ref="H189:J190"/>
    <mergeCell ref="L189:L190"/>
    <mergeCell ref="H193:I193"/>
    <mergeCell ref="K193:L194"/>
    <mergeCell ref="N193:N194"/>
    <mergeCell ref="H184:I184"/>
    <mergeCell ref="K184:L185"/>
    <mergeCell ref="N184:N185"/>
    <mergeCell ref="C186:I186"/>
    <mergeCell ref="A188:C188"/>
    <mergeCell ref="H188:J188"/>
    <mergeCell ref="C177:I177"/>
    <mergeCell ref="A179:C179"/>
    <mergeCell ref="H179:J179"/>
    <mergeCell ref="E180:F180"/>
    <mergeCell ref="H180:J181"/>
    <mergeCell ref="L180:L181"/>
    <mergeCell ref="E207:F207"/>
    <mergeCell ref="H207:J208"/>
    <mergeCell ref="L207:L208"/>
    <mergeCell ref="H211:I211"/>
    <mergeCell ref="K211:L212"/>
    <mergeCell ref="N211:N212"/>
    <mergeCell ref="H202:I202"/>
    <mergeCell ref="K202:L203"/>
    <mergeCell ref="N202:N203"/>
    <mergeCell ref="C204:I204"/>
    <mergeCell ref="A206:C206"/>
    <mergeCell ref="H206:J206"/>
    <mergeCell ref="C195:I195"/>
    <mergeCell ref="A197:C197"/>
    <mergeCell ref="H197:J197"/>
    <mergeCell ref="E198:F198"/>
    <mergeCell ref="H198:J199"/>
    <mergeCell ref="L198:L199"/>
    <mergeCell ref="E225:F225"/>
    <mergeCell ref="H225:J226"/>
    <mergeCell ref="L225:L226"/>
    <mergeCell ref="H229:I229"/>
    <mergeCell ref="K229:L230"/>
    <mergeCell ref="N229:N230"/>
    <mergeCell ref="H220:I220"/>
    <mergeCell ref="K220:L221"/>
    <mergeCell ref="N220:N221"/>
    <mergeCell ref="C222:I222"/>
    <mergeCell ref="A224:C224"/>
    <mergeCell ref="H224:J224"/>
    <mergeCell ref="C213:I213"/>
    <mergeCell ref="A215:C215"/>
    <mergeCell ref="H215:J215"/>
    <mergeCell ref="E216:F216"/>
    <mergeCell ref="H216:J217"/>
    <mergeCell ref="L216:L217"/>
    <mergeCell ref="E243:F243"/>
    <mergeCell ref="H243:J244"/>
    <mergeCell ref="L243:L244"/>
    <mergeCell ref="H247:I247"/>
    <mergeCell ref="K247:L248"/>
    <mergeCell ref="N247:N248"/>
    <mergeCell ref="H238:I238"/>
    <mergeCell ref="K238:L239"/>
    <mergeCell ref="N238:N239"/>
    <mergeCell ref="C240:I240"/>
    <mergeCell ref="A242:C242"/>
    <mergeCell ref="H242:J242"/>
    <mergeCell ref="C231:I231"/>
    <mergeCell ref="A233:C233"/>
    <mergeCell ref="H233:J233"/>
    <mergeCell ref="E234:F234"/>
    <mergeCell ref="H234:J235"/>
    <mergeCell ref="L234:L235"/>
    <mergeCell ref="E261:F261"/>
    <mergeCell ref="H261:J262"/>
    <mergeCell ref="L261:L262"/>
    <mergeCell ref="H265:I265"/>
    <mergeCell ref="K265:L266"/>
    <mergeCell ref="N265:N266"/>
    <mergeCell ref="H256:I256"/>
    <mergeCell ref="K256:L257"/>
    <mergeCell ref="N256:N257"/>
    <mergeCell ref="C258:I258"/>
    <mergeCell ref="A260:C260"/>
    <mergeCell ref="H260:J260"/>
    <mergeCell ref="C249:I249"/>
    <mergeCell ref="A251:C251"/>
    <mergeCell ref="H251:J251"/>
    <mergeCell ref="E252:F252"/>
    <mergeCell ref="H252:J253"/>
    <mergeCell ref="L252:L253"/>
    <mergeCell ref="E279:F279"/>
    <mergeCell ref="H279:J280"/>
    <mergeCell ref="L279:L280"/>
    <mergeCell ref="H283:I283"/>
    <mergeCell ref="K283:L284"/>
    <mergeCell ref="N283:N284"/>
    <mergeCell ref="H274:I274"/>
    <mergeCell ref="K274:L275"/>
    <mergeCell ref="N274:N275"/>
    <mergeCell ref="C276:I276"/>
    <mergeCell ref="A278:C278"/>
    <mergeCell ref="H278:J278"/>
    <mergeCell ref="C267:I267"/>
    <mergeCell ref="A269:C269"/>
    <mergeCell ref="H269:J269"/>
    <mergeCell ref="E270:F270"/>
    <mergeCell ref="H270:J271"/>
    <mergeCell ref="L270:L271"/>
    <mergeCell ref="E297:F297"/>
    <mergeCell ref="H297:J298"/>
    <mergeCell ref="L297:L298"/>
    <mergeCell ref="H301:I301"/>
    <mergeCell ref="K301:L302"/>
    <mergeCell ref="N301:N302"/>
    <mergeCell ref="H292:I292"/>
    <mergeCell ref="K292:L293"/>
    <mergeCell ref="N292:N293"/>
    <mergeCell ref="C294:I294"/>
    <mergeCell ref="A296:C296"/>
    <mergeCell ref="H296:J296"/>
    <mergeCell ref="C285:I285"/>
    <mergeCell ref="A287:C287"/>
    <mergeCell ref="H287:J287"/>
    <mergeCell ref="E288:F288"/>
    <mergeCell ref="H288:J289"/>
    <mergeCell ref="L288:L289"/>
    <mergeCell ref="E315:F315"/>
    <mergeCell ref="H315:J316"/>
    <mergeCell ref="L315:L316"/>
    <mergeCell ref="H319:I319"/>
    <mergeCell ref="K319:L320"/>
    <mergeCell ref="N319:N320"/>
    <mergeCell ref="H310:I310"/>
    <mergeCell ref="K310:L311"/>
    <mergeCell ref="N310:N311"/>
    <mergeCell ref="C312:I312"/>
    <mergeCell ref="A314:C314"/>
    <mergeCell ref="H314:J314"/>
    <mergeCell ref="C303:I303"/>
    <mergeCell ref="A305:C305"/>
    <mergeCell ref="H305:J305"/>
    <mergeCell ref="E306:F306"/>
    <mergeCell ref="H306:J307"/>
    <mergeCell ref="L306:L307"/>
    <mergeCell ref="E333:F333"/>
    <mergeCell ref="H333:J334"/>
    <mergeCell ref="L333:L334"/>
    <mergeCell ref="H337:I337"/>
    <mergeCell ref="K337:L338"/>
    <mergeCell ref="N337:N338"/>
    <mergeCell ref="H328:I328"/>
    <mergeCell ref="K328:L329"/>
    <mergeCell ref="N328:N329"/>
    <mergeCell ref="C330:I330"/>
    <mergeCell ref="A332:C332"/>
    <mergeCell ref="H332:J332"/>
    <mergeCell ref="C321:I321"/>
    <mergeCell ref="A323:C323"/>
    <mergeCell ref="H323:J323"/>
    <mergeCell ref="E324:F324"/>
    <mergeCell ref="H324:J325"/>
    <mergeCell ref="L324:L325"/>
    <mergeCell ref="E351:F351"/>
    <mergeCell ref="H351:J352"/>
    <mergeCell ref="L351:L352"/>
    <mergeCell ref="H355:I355"/>
    <mergeCell ref="K355:L356"/>
    <mergeCell ref="N355:N356"/>
    <mergeCell ref="H346:I346"/>
    <mergeCell ref="K346:L347"/>
    <mergeCell ref="N346:N347"/>
    <mergeCell ref="C348:I348"/>
    <mergeCell ref="A350:C350"/>
    <mergeCell ref="H350:J350"/>
    <mergeCell ref="C339:I339"/>
    <mergeCell ref="A341:C341"/>
    <mergeCell ref="H341:J341"/>
    <mergeCell ref="E342:F342"/>
    <mergeCell ref="H342:J343"/>
    <mergeCell ref="L342:L343"/>
    <mergeCell ref="E369:F369"/>
    <mergeCell ref="H369:J370"/>
    <mergeCell ref="L369:L370"/>
    <mergeCell ref="H373:I373"/>
    <mergeCell ref="K373:L374"/>
    <mergeCell ref="N373:N374"/>
    <mergeCell ref="H364:I364"/>
    <mergeCell ref="K364:L365"/>
    <mergeCell ref="N364:N365"/>
    <mergeCell ref="C366:I366"/>
    <mergeCell ref="A368:C368"/>
    <mergeCell ref="H368:J368"/>
    <mergeCell ref="C357:I357"/>
    <mergeCell ref="A359:C359"/>
    <mergeCell ref="H359:J359"/>
    <mergeCell ref="E360:F360"/>
    <mergeCell ref="H360:J361"/>
    <mergeCell ref="L360:L361"/>
    <mergeCell ref="E387:F387"/>
    <mergeCell ref="H387:J388"/>
    <mergeCell ref="L387:L388"/>
    <mergeCell ref="H391:I391"/>
    <mergeCell ref="K391:L392"/>
    <mergeCell ref="N391:N392"/>
    <mergeCell ref="H382:I382"/>
    <mergeCell ref="K382:L383"/>
    <mergeCell ref="N382:N383"/>
    <mergeCell ref="C384:I384"/>
    <mergeCell ref="A386:C386"/>
    <mergeCell ref="H386:J386"/>
    <mergeCell ref="C375:I375"/>
    <mergeCell ref="A377:C377"/>
    <mergeCell ref="H377:J377"/>
    <mergeCell ref="E378:F378"/>
    <mergeCell ref="H378:J379"/>
    <mergeCell ref="L378:L379"/>
    <mergeCell ref="E405:F405"/>
    <mergeCell ref="H405:J406"/>
    <mergeCell ref="L405:L406"/>
    <mergeCell ref="H409:I409"/>
    <mergeCell ref="K409:L410"/>
    <mergeCell ref="N409:N410"/>
    <mergeCell ref="H400:I400"/>
    <mergeCell ref="K400:L401"/>
    <mergeCell ref="N400:N401"/>
    <mergeCell ref="C402:I402"/>
    <mergeCell ref="A404:C404"/>
    <mergeCell ref="H404:J404"/>
    <mergeCell ref="C393:I393"/>
    <mergeCell ref="A395:C395"/>
    <mergeCell ref="H395:J395"/>
    <mergeCell ref="E396:F396"/>
    <mergeCell ref="H396:J397"/>
    <mergeCell ref="L396:L397"/>
    <mergeCell ref="E423:F423"/>
    <mergeCell ref="H423:J424"/>
    <mergeCell ref="L423:L424"/>
    <mergeCell ref="H427:I427"/>
    <mergeCell ref="K427:L428"/>
    <mergeCell ref="N427:N428"/>
    <mergeCell ref="H418:I418"/>
    <mergeCell ref="K418:L419"/>
    <mergeCell ref="N418:N419"/>
    <mergeCell ref="C420:I420"/>
    <mergeCell ref="A422:C422"/>
    <mergeCell ref="H422:J422"/>
    <mergeCell ref="C411:I411"/>
    <mergeCell ref="A413:C413"/>
    <mergeCell ref="H413:J413"/>
    <mergeCell ref="E414:F414"/>
    <mergeCell ref="H414:J415"/>
    <mergeCell ref="L414:L415"/>
    <mergeCell ref="E441:F441"/>
    <mergeCell ref="H441:J442"/>
    <mergeCell ref="L441:L442"/>
    <mergeCell ref="H445:I445"/>
    <mergeCell ref="K445:L446"/>
    <mergeCell ref="N445:N446"/>
    <mergeCell ref="H436:I436"/>
    <mergeCell ref="K436:L437"/>
    <mergeCell ref="N436:N437"/>
    <mergeCell ref="C438:I438"/>
    <mergeCell ref="A440:C440"/>
    <mergeCell ref="H440:J440"/>
    <mergeCell ref="C429:I429"/>
    <mergeCell ref="A431:C431"/>
    <mergeCell ref="H431:J431"/>
    <mergeCell ref="E432:F432"/>
    <mergeCell ref="H432:J433"/>
    <mergeCell ref="L432:L433"/>
    <mergeCell ref="E459:F459"/>
    <mergeCell ref="H459:J460"/>
    <mergeCell ref="L459:L460"/>
    <mergeCell ref="H463:I463"/>
    <mergeCell ref="K463:L464"/>
    <mergeCell ref="N463:N464"/>
    <mergeCell ref="H454:I454"/>
    <mergeCell ref="K454:L455"/>
    <mergeCell ref="N454:N455"/>
    <mergeCell ref="C456:I456"/>
    <mergeCell ref="A458:C458"/>
    <mergeCell ref="H458:J458"/>
    <mergeCell ref="C447:I447"/>
    <mergeCell ref="A449:C449"/>
    <mergeCell ref="H449:J449"/>
    <mergeCell ref="E450:F450"/>
    <mergeCell ref="H450:J451"/>
    <mergeCell ref="L450:L451"/>
    <mergeCell ref="E477:F477"/>
    <mergeCell ref="H477:J478"/>
    <mergeCell ref="L477:L478"/>
    <mergeCell ref="H481:I481"/>
    <mergeCell ref="K481:L482"/>
    <mergeCell ref="N481:N482"/>
    <mergeCell ref="H472:I472"/>
    <mergeCell ref="K472:L473"/>
    <mergeCell ref="N472:N473"/>
    <mergeCell ref="C474:I474"/>
    <mergeCell ref="A476:C476"/>
    <mergeCell ref="H476:J476"/>
    <mergeCell ref="C465:I465"/>
    <mergeCell ref="A467:C467"/>
    <mergeCell ref="H467:J467"/>
    <mergeCell ref="E468:F468"/>
    <mergeCell ref="H468:J469"/>
    <mergeCell ref="L468:L469"/>
    <mergeCell ref="E495:F495"/>
    <mergeCell ref="H495:J496"/>
    <mergeCell ref="L495:L496"/>
    <mergeCell ref="H499:I499"/>
    <mergeCell ref="K499:L500"/>
    <mergeCell ref="N499:N500"/>
    <mergeCell ref="H490:I490"/>
    <mergeCell ref="K490:L491"/>
    <mergeCell ref="N490:N491"/>
    <mergeCell ref="C492:I492"/>
    <mergeCell ref="A494:C494"/>
    <mergeCell ref="H494:J494"/>
    <mergeCell ref="C483:I483"/>
    <mergeCell ref="A485:C485"/>
    <mergeCell ref="H485:J485"/>
    <mergeCell ref="E486:F486"/>
    <mergeCell ref="H486:J487"/>
    <mergeCell ref="L486:L487"/>
    <mergeCell ref="E513:F513"/>
    <mergeCell ref="H513:J514"/>
    <mergeCell ref="L513:L514"/>
    <mergeCell ref="H517:I517"/>
    <mergeCell ref="K517:L518"/>
    <mergeCell ref="N517:N518"/>
    <mergeCell ref="H508:I508"/>
    <mergeCell ref="K508:L509"/>
    <mergeCell ref="N508:N509"/>
    <mergeCell ref="C510:I510"/>
    <mergeCell ref="A512:C512"/>
    <mergeCell ref="H512:J512"/>
    <mergeCell ref="C501:I501"/>
    <mergeCell ref="A503:C503"/>
    <mergeCell ref="H503:J503"/>
    <mergeCell ref="E504:F504"/>
    <mergeCell ref="H504:J505"/>
    <mergeCell ref="L504:L505"/>
    <mergeCell ref="E531:F531"/>
    <mergeCell ref="H531:J532"/>
    <mergeCell ref="L531:L532"/>
    <mergeCell ref="H535:I535"/>
    <mergeCell ref="K535:L536"/>
    <mergeCell ref="N535:N536"/>
    <mergeCell ref="H526:I526"/>
    <mergeCell ref="K526:L527"/>
    <mergeCell ref="N526:N527"/>
    <mergeCell ref="C528:I528"/>
    <mergeCell ref="A530:C530"/>
    <mergeCell ref="H530:J530"/>
    <mergeCell ref="C519:I519"/>
    <mergeCell ref="A521:C521"/>
    <mergeCell ref="H521:J521"/>
    <mergeCell ref="E522:F522"/>
    <mergeCell ref="H522:J523"/>
    <mergeCell ref="L522:L523"/>
    <mergeCell ref="E549:F549"/>
    <mergeCell ref="H549:J550"/>
    <mergeCell ref="L549:L550"/>
    <mergeCell ref="H553:I553"/>
    <mergeCell ref="K553:L554"/>
    <mergeCell ref="N553:N554"/>
    <mergeCell ref="H544:I544"/>
    <mergeCell ref="K544:L545"/>
    <mergeCell ref="N544:N545"/>
    <mergeCell ref="C546:I546"/>
    <mergeCell ref="A548:C548"/>
    <mergeCell ref="H548:J548"/>
    <mergeCell ref="C537:I537"/>
    <mergeCell ref="A539:C539"/>
    <mergeCell ref="H539:J539"/>
    <mergeCell ref="E540:F540"/>
    <mergeCell ref="H540:J541"/>
    <mergeCell ref="L540:L541"/>
    <mergeCell ref="N565:N566"/>
    <mergeCell ref="C567:I567"/>
    <mergeCell ref="A569:C569"/>
    <mergeCell ref="H569:J569"/>
    <mergeCell ref="E570:F570"/>
    <mergeCell ref="H570:J571"/>
    <mergeCell ref="L570:L571"/>
    <mergeCell ref="A560:C560"/>
    <mergeCell ref="H560:J560"/>
    <mergeCell ref="E561:F561"/>
    <mergeCell ref="H561:J562"/>
    <mergeCell ref="L561:L562"/>
    <mergeCell ref="H565:I565"/>
    <mergeCell ref="K565:L566"/>
    <mergeCell ref="C555:I555"/>
    <mergeCell ref="A557:C557"/>
    <mergeCell ref="H557:J557"/>
    <mergeCell ref="A558:C558"/>
    <mergeCell ref="H558:J558"/>
    <mergeCell ref="A559:C559"/>
    <mergeCell ref="H559:J559"/>
    <mergeCell ref="E582:F582"/>
    <mergeCell ref="H582:J583"/>
    <mergeCell ref="L582:L583"/>
    <mergeCell ref="H586:I586"/>
    <mergeCell ref="K586:L587"/>
    <mergeCell ref="N586:N587"/>
    <mergeCell ref="A579:C579"/>
    <mergeCell ref="H579:J579"/>
    <mergeCell ref="A580:C580"/>
    <mergeCell ref="H580:J580"/>
    <mergeCell ref="A581:C581"/>
    <mergeCell ref="H581:J581"/>
    <mergeCell ref="H574:I574"/>
    <mergeCell ref="K574:L575"/>
    <mergeCell ref="N574:N575"/>
    <mergeCell ref="C576:I576"/>
    <mergeCell ref="A578:C578"/>
    <mergeCell ref="H578:J578"/>
    <mergeCell ref="E600:F600"/>
    <mergeCell ref="H600:J601"/>
    <mergeCell ref="L600:L601"/>
    <mergeCell ref="H604:I604"/>
    <mergeCell ref="K604:L605"/>
    <mergeCell ref="N604:N605"/>
    <mergeCell ref="H595:I595"/>
    <mergeCell ref="K595:L596"/>
    <mergeCell ref="N595:N596"/>
    <mergeCell ref="C597:I597"/>
    <mergeCell ref="A599:C599"/>
    <mergeCell ref="H599:J599"/>
    <mergeCell ref="C588:I588"/>
    <mergeCell ref="A590:C590"/>
    <mergeCell ref="H590:J590"/>
    <mergeCell ref="E591:F591"/>
    <mergeCell ref="H591:J592"/>
    <mergeCell ref="L591:L592"/>
    <mergeCell ref="E614:F614"/>
    <mergeCell ref="H614:J615"/>
    <mergeCell ref="L614:L615"/>
    <mergeCell ref="H618:I618"/>
    <mergeCell ref="K618:L619"/>
    <mergeCell ref="N618:N619"/>
    <mergeCell ref="A611:C611"/>
    <mergeCell ref="H611:J611"/>
    <mergeCell ref="A612:C612"/>
    <mergeCell ref="H612:J612"/>
    <mergeCell ref="A613:C613"/>
    <mergeCell ref="H613:J613"/>
    <mergeCell ref="C606:I606"/>
    <mergeCell ref="A608:C608"/>
    <mergeCell ref="H608:J608"/>
    <mergeCell ref="A609:C609"/>
    <mergeCell ref="H609:J609"/>
    <mergeCell ref="A610:C610"/>
    <mergeCell ref="H610:J610"/>
    <mergeCell ref="E632:F632"/>
    <mergeCell ref="H632:J633"/>
    <mergeCell ref="L632:L633"/>
    <mergeCell ref="H636:I636"/>
    <mergeCell ref="K636:L637"/>
    <mergeCell ref="N636:N637"/>
    <mergeCell ref="H627:I627"/>
    <mergeCell ref="K627:L628"/>
    <mergeCell ref="N627:N628"/>
    <mergeCell ref="C629:I629"/>
    <mergeCell ref="A631:C631"/>
    <mergeCell ref="H631:J631"/>
    <mergeCell ref="C620:I620"/>
    <mergeCell ref="A622:C622"/>
    <mergeCell ref="H622:J622"/>
    <mergeCell ref="E623:F623"/>
    <mergeCell ref="H623:J624"/>
    <mergeCell ref="L623:L624"/>
    <mergeCell ref="E650:F650"/>
    <mergeCell ref="H650:J651"/>
    <mergeCell ref="L650:L651"/>
    <mergeCell ref="H654:I654"/>
    <mergeCell ref="K654:L655"/>
    <mergeCell ref="N654:N655"/>
    <mergeCell ref="H645:I645"/>
    <mergeCell ref="K645:L646"/>
    <mergeCell ref="N645:N646"/>
    <mergeCell ref="C647:I647"/>
    <mergeCell ref="A649:C649"/>
    <mergeCell ref="H649:J649"/>
    <mergeCell ref="C638:I638"/>
    <mergeCell ref="A640:C640"/>
    <mergeCell ref="H640:J640"/>
    <mergeCell ref="E641:F641"/>
    <mergeCell ref="H641:J642"/>
    <mergeCell ref="L641:L642"/>
    <mergeCell ref="E668:F668"/>
    <mergeCell ref="H668:J669"/>
    <mergeCell ref="L668:L669"/>
    <mergeCell ref="H672:I672"/>
    <mergeCell ref="K672:L673"/>
    <mergeCell ref="N672:N673"/>
    <mergeCell ref="H663:I663"/>
    <mergeCell ref="K663:L664"/>
    <mergeCell ref="N663:N664"/>
    <mergeCell ref="C665:I665"/>
    <mergeCell ref="A667:C667"/>
    <mergeCell ref="H667:J667"/>
    <mergeCell ref="C656:I656"/>
    <mergeCell ref="A658:C658"/>
    <mergeCell ref="H658:J658"/>
    <mergeCell ref="E659:F659"/>
    <mergeCell ref="H659:J660"/>
    <mergeCell ref="L659:L660"/>
    <mergeCell ref="E686:F686"/>
    <mergeCell ref="H686:J687"/>
    <mergeCell ref="L686:L687"/>
    <mergeCell ref="H690:I690"/>
    <mergeCell ref="K690:L691"/>
    <mergeCell ref="N690:N691"/>
    <mergeCell ref="H681:I681"/>
    <mergeCell ref="K681:L682"/>
    <mergeCell ref="N681:N682"/>
    <mergeCell ref="C683:I683"/>
    <mergeCell ref="A685:C685"/>
    <mergeCell ref="H685:J685"/>
    <mergeCell ref="C674:I674"/>
    <mergeCell ref="A676:C676"/>
    <mergeCell ref="H676:J676"/>
    <mergeCell ref="E677:F677"/>
    <mergeCell ref="H677:J678"/>
    <mergeCell ref="L677:L678"/>
    <mergeCell ref="E704:F704"/>
    <mergeCell ref="H704:J705"/>
    <mergeCell ref="L704:L705"/>
    <mergeCell ref="H708:I708"/>
    <mergeCell ref="K708:L709"/>
    <mergeCell ref="N708:N709"/>
    <mergeCell ref="H699:I699"/>
    <mergeCell ref="K699:L700"/>
    <mergeCell ref="N699:N700"/>
    <mergeCell ref="C701:I701"/>
    <mergeCell ref="A703:C703"/>
    <mergeCell ref="H703:J703"/>
    <mergeCell ref="C692:I692"/>
    <mergeCell ref="A694:C694"/>
    <mergeCell ref="H694:J694"/>
    <mergeCell ref="E695:F695"/>
    <mergeCell ref="H695:J696"/>
    <mergeCell ref="L695:L696"/>
    <mergeCell ref="E723:F723"/>
    <mergeCell ref="H723:J724"/>
    <mergeCell ref="L723:L724"/>
    <mergeCell ref="H727:I727"/>
    <mergeCell ref="K727:L728"/>
    <mergeCell ref="N727:N728"/>
    <mergeCell ref="L714:L715"/>
    <mergeCell ref="H718:I718"/>
    <mergeCell ref="K718:L719"/>
    <mergeCell ref="N718:N719"/>
    <mergeCell ref="C720:I720"/>
    <mergeCell ref="A722:C722"/>
    <mergeCell ref="H722:J722"/>
    <mergeCell ref="C710:I710"/>
    <mergeCell ref="A712:C712"/>
    <mergeCell ref="H712:J712"/>
    <mergeCell ref="A713:C713"/>
    <mergeCell ref="H713:J713"/>
    <mergeCell ref="E714:F714"/>
    <mergeCell ref="H714:J715"/>
    <mergeCell ref="A741:C741"/>
    <mergeCell ref="H741:J741"/>
    <mergeCell ref="E742:F742"/>
    <mergeCell ref="H742:J743"/>
    <mergeCell ref="L742:L743"/>
    <mergeCell ref="H746:I746"/>
    <mergeCell ref="K746:L747"/>
    <mergeCell ref="H736:I736"/>
    <mergeCell ref="K736:L737"/>
    <mergeCell ref="N736:N737"/>
    <mergeCell ref="C738:I738"/>
    <mergeCell ref="A740:C740"/>
    <mergeCell ref="H740:J740"/>
    <mergeCell ref="C729:I729"/>
    <mergeCell ref="A731:C731"/>
    <mergeCell ref="H731:J731"/>
    <mergeCell ref="E732:F732"/>
    <mergeCell ref="H732:J733"/>
    <mergeCell ref="L732:L733"/>
    <mergeCell ref="E760:F760"/>
    <mergeCell ref="H760:J761"/>
    <mergeCell ref="L760:L761"/>
    <mergeCell ref="H764:I764"/>
    <mergeCell ref="K764:L765"/>
    <mergeCell ref="N764:N765"/>
    <mergeCell ref="H755:I755"/>
    <mergeCell ref="K755:L756"/>
    <mergeCell ref="N755:N756"/>
    <mergeCell ref="C757:I757"/>
    <mergeCell ref="A759:C759"/>
    <mergeCell ref="H759:J759"/>
    <mergeCell ref="N746:N747"/>
    <mergeCell ref="C748:I748"/>
    <mergeCell ref="A750:C750"/>
    <mergeCell ref="H750:J750"/>
    <mergeCell ref="E751:F751"/>
    <mergeCell ref="H751:J752"/>
    <mergeCell ref="L751:L752"/>
    <mergeCell ref="A779:C779"/>
    <mergeCell ref="H779:J779"/>
    <mergeCell ref="E780:F780"/>
    <mergeCell ref="H780:J781"/>
    <mergeCell ref="L780:L781"/>
    <mergeCell ref="H784:I784"/>
    <mergeCell ref="K784:L785"/>
    <mergeCell ref="L770:L771"/>
    <mergeCell ref="H774:I774"/>
    <mergeCell ref="K774:L775"/>
    <mergeCell ref="N774:N775"/>
    <mergeCell ref="C776:I776"/>
    <mergeCell ref="A778:C778"/>
    <mergeCell ref="H778:J778"/>
    <mergeCell ref="C766:I766"/>
    <mergeCell ref="A768:C768"/>
    <mergeCell ref="H768:J768"/>
    <mergeCell ref="A769:C769"/>
    <mergeCell ref="H769:J769"/>
    <mergeCell ref="E770:F770"/>
    <mergeCell ref="H770:J771"/>
    <mergeCell ref="N795:N796"/>
    <mergeCell ref="C797:I797"/>
    <mergeCell ref="A799:C799"/>
    <mergeCell ref="H799:J799"/>
    <mergeCell ref="E800:F800"/>
    <mergeCell ref="H800:J801"/>
    <mergeCell ref="L800:L801"/>
    <mergeCell ref="A790:C790"/>
    <mergeCell ref="H790:J790"/>
    <mergeCell ref="E791:F791"/>
    <mergeCell ref="H791:J792"/>
    <mergeCell ref="L791:L792"/>
    <mergeCell ref="H795:I795"/>
    <mergeCell ref="K795:L796"/>
    <mergeCell ref="N784:N785"/>
    <mergeCell ref="C786:I786"/>
    <mergeCell ref="A788:C788"/>
    <mergeCell ref="H788:J788"/>
    <mergeCell ref="A789:C789"/>
    <mergeCell ref="H789:J789"/>
    <mergeCell ref="L811:L812"/>
    <mergeCell ref="H815:I815"/>
    <mergeCell ref="K815:L816"/>
    <mergeCell ref="N815:N816"/>
    <mergeCell ref="C817:I817"/>
    <mergeCell ref="A819:C819"/>
    <mergeCell ref="H819:J819"/>
    <mergeCell ref="A809:C809"/>
    <mergeCell ref="H809:J809"/>
    <mergeCell ref="A810:C810"/>
    <mergeCell ref="H810:J810"/>
    <mergeCell ref="E811:F811"/>
    <mergeCell ref="H811:J812"/>
    <mergeCell ref="H804:I804"/>
    <mergeCell ref="K804:L805"/>
    <mergeCell ref="N804:N805"/>
    <mergeCell ref="C806:I806"/>
    <mergeCell ref="A808:C808"/>
    <mergeCell ref="H808:J808"/>
    <mergeCell ref="E831:F831"/>
    <mergeCell ref="H831:J832"/>
    <mergeCell ref="L831:L832"/>
    <mergeCell ref="H835:I835"/>
    <mergeCell ref="K835:L836"/>
    <mergeCell ref="N835:N836"/>
    <mergeCell ref="L822:L823"/>
    <mergeCell ref="H826:I826"/>
    <mergeCell ref="K826:L827"/>
    <mergeCell ref="N826:N827"/>
    <mergeCell ref="C828:I828"/>
    <mergeCell ref="A830:C830"/>
    <mergeCell ref="H830:J830"/>
    <mergeCell ref="A820:C820"/>
    <mergeCell ref="H820:J820"/>
    <mergeCell ref="A821:C821"/>
    <mergeCell ref="H821:J821"/>
    <mergeCell ref="E822:F822"/>
    <mergeCell ref="H822:J823"/>
    <mergeCell ref="A850:C850"/>
    <mergeCell ref="H850:J850"/>
    <mergeCell ref="E851:F851"/>
    <mergeCell ref="H851:J852"/>
    <mergeCell ref="L851:L852"/>
    <mergeCell ref="H855:I855"/>
    <mergeCell ref="K855:L856"/>
    <mergeCell ref="L841:L842"/>
    <mergeCell ref="H845:I845"/>
    <mergeCell ref="K845:L846"/>
    <mergeCell ref="N845:N846"/>
    <mergeCell ref="C847:I847"/>
    <mergeCell ref="A849:C849"/>
    <mergeCell ref="H849:J849"/>
    <mergeCell ref="C837:I837"/>
    <mergeCell ref="A839:C839"/>
    <mergeCell ref="H839:J839"/>
    <mergeCell ref="A840:C840"/>
    <mergeCell ref="H840:J840"/>
    <mergeCell ref="E841:F841"/>
    <mergeCell ref="H841:J842"/>
    <mergeCell ref="C867:I867"/>
    <mergeCell ref="A869:C869"/>
    <mergeCell ref="H869:J869"/>
    <mergeCell ref="A870:C870"/>
    <mergeCell ref="H870:J870"/>
    <mergeCell ref="E871:F871"/>
    <mergeCell ref="H871:J872"/>
    <mergeCell ref="E861:F861"/>
    <mergeCell ref="H861:J862"/>
    <mergeCell ref="L861:L862"/>
    <mergeCell ref="H865:I865"/>
    <mergeCell ref="K865:L866"/>
    <mergeCell ref="N865:N866"/>
    <mergeCell ref="N855:N856"/>
    <mergeCell ref="C857:I857"/>
    <mergeCell ref="A859:C859"/>
    <mergeCell ref="H859:J859"/>
    <mergeCell ref="A860:C860"/>
    <mergeCell ref="H860:J860"/>
    <mergeCell ref="N885:N886"/>
    <mergeCell ref="C887:I887"/>
    <mergeCell ref="A889:C889"/>
    <mergeCell ref="H889:J889"/>
    <mergeCell ref="A890:C890"/>
    <mergeCell ref="H890:J890"/>
    <mergeCell ref="A880:C880"/>
    <mergeCell ref="H880:J880"/>
    <mergeCell ref="E881:F881"/>
    <mergeCell ref="H881:J882"/>
    <mergeCell ref="L881:L882"/>
    <mergeCell ref="H885:I885"/>
    <mergeCell ref="K885:L886"/>
    <mergeCell ref="L871:L872"/>
    <mergeCell ref="H875:I875"/>
    <mergeCell ref="K875:L876"/>
    <mergeCell ref="N875:N876"/>
    <mergeCell ref="C877:I877"/>
    <mergeCell ref="A879:C879"/>
    <mergeCell ref="H879:J879"/>
    <mergeCell ref="A902:C902"/>
    <mergeCell ref="H902:J902"/>
    <mergeCell ref="E903:F903"/>
    <mergeCell ref="H903:J904"/>
    <mergeCell ref="L903:L904"/>
    <mergeCell ref="H907:I907"/>
    <mergeCell ref="K907:L908"/>
    <mergeCell ref="L893:L894"/>
    <mergeCell ref="H897:I897"/>
    <mergeCell ref="K897:L898"/>
    <mergeCell ref="N897:N898"/>
    <mergeCell ref="C899:I899"/>
    <mergeCell ref="A901:C901"/>
    <mergeCell ref="H901:J901"/>
    <mergeCell ref="A891:C891"/>
    <mergeCell ref="H891:J891"/>
    <mergeCell ref="A892:C892"/>
    <mergeCell ref="H892:J892"/>
    <mergeCell ref="E893:F893"/>
    <mergeCell ref="H893:J894"/>
    <mergeCell ref="E921:F921"/>
    <mergeCell ref="H921:J922"/>
    <mergeCell ref="L921:L922"/>
    <mergeCell ref="H925:I925"/>
    <mergeCell ref="K925:L926"/>
    <mergeCell ref="N925:N926"/>
    <mergeCell ref="H916:I916"/>
    <mergeCell ref="K916:L917"/>
    <mergeCell ref="N916:N917"/>
    <mergeCell ref="C918:I918"/>
    <mergeCell ref="A920:C920"/>
    <mergeCell ref="H920:J920"/>
    <mergeCell ref="N907:N908"/>
    <mergeCell ref="C909:I909"/>
    <mergeCell ref="A911:C911"/>
    <mergeCell ref="H911:J911"/>
    <mergeCell ref="E912:F912"/>
    <mergeCell ref="H912:J913"/>
    <mergeCell ref="L912:L913"/>
    <mergeCell ref="E939:F939"/>
    <mergeCell ref="H939:J940"/>
    <mergeCell ref="L939:L940"/>
    <mergeCell ref="H943:I943"/>
    <mergeCell ref="K943:L944"/>
    <mergeCell ref="N943:N944"/>
    <mergeCell ref="H934:I934"/>
    <mergeCell ref="K934:L935"/>
    <mergeCell ref="N934:N935"/>
    <mergeCell ref="C936:I936"/>
    <mergeCell ref="A938:C938"/>
    <mergeCell ref="H938:J938"/>
    <mergeCell ref="C927:I927"/>
    <mergeCell ref="A929:C929"/>
    <mergeCell ref="H929:J929"/>
    <mergeCell ref="E930:F930"/>
    <mergeCell ref="H930:J931"/>
    <mergeCell ref="L930:L931"/>
    <mergeCell ref="A957:C957"/>
    <mergeCell ref="H957:J957"/>
    <mergeCell ref="E958:F958"/>
    <mergeCell ref="H958:J959"/>
    <mergeCell ref="L958:L959"/>
    <mergeCell ref="H962:I962"/>
    <mergeCell ref="K962:L963"/>
    <mergeCell ref="H952:I952"/>
    <mergeCell ref="K952:L953"/>
    <mergeCell ref="N952:N953"/>
    <mergeCell ref="C954:I954"/>
    <mergeCell ref="A956:C956"/>
    <mergeCell ref="H956:J956"/>
    <mergeCell ref="C945:I945"/>
    <mergeCell ref="A947:C947"/>
    <mergeCell ref="H947:J947"/>
    <mergeCell ref="E948:F948"/>
    <mergeCell ref="H948:J949"/>
    <mergeCell ref="L948:L949"/>
    <mergeCell ref="C974:I974"/>
    <mergeCell ref="A976:C976"/>
    <mergeCell ref="H976:J976"/>
    <mergeCell ref="A977:C977"/>
    <mergeCell ref="H977:J977"/>
    <mergeCell ref="E978:F978"/>
    <mergeCell ref="H978:J979"/>
    <mergeCell ref="E968:F968"/>
    <mergeCell ref="H968:J969"/>
    <mergeCell ref="L968:L969"/>
    <mergeCell ref="H972:I972"/>
    <mergeCell ref="K972:L973"/>
    <mergeCell ref="N972:N973"/>
    <mergeCell ref="N962:N963"/>
    <mergeCell ref="C964:I964"/>
    <mergeCell ref="A966:C966"/>
    <mergeCell ref="H966:J966"/>
    <mergeCell ref="A967:C967"/>
    <mergeCell ref="H967:J967"/>
    <mergeCell ref="C993:I993"/>
    <mergeCell ref="A995:C995"/>
    <mergeCell ref="H995:J995"/>
    <mergeCell ref="E996:F996"/>
    <mergeCell ref="H996:J997"/>
    <mergeCell ref="L996:L997"/>
    <mergeCell ref="E987:F987"/>
    <mergeCell ref="H987:J988"/>
    <mergeCell ref="L987:L988"/>
    <mergeCell ref="H991:I991"/>
    <mergeCell ref="K991:L992"/>
    <mergeCell ref="N991:N992"/>
    <mergeCell ref="L978:L979"/>
    <mergeCell ref="H982:I982"/>
    <mergeCell ref="K982:L983"/>
    <mergeCell ref="N982:N983"/>
    <mergeCell ref="C984:I984"/>
    <mergeCell ref="A986:C986"/>
    <mergeCell ref="H986:J986"/>
    <mergeCell ref="N1010:N1011"/>
    <mergeCell ref="C1012:I1012"/>
    <mergeCell ref="A1014:C1014"/>
    <mergeCell ref="H1014:J1014"/>
    <mergeCell ref="E1015:F1015"/>
    <mergeCell ref="H1015:J1016"/>
    <mergeCell ref="L1015:L1016"/>
    <mergeCell ref="A1005:C1005"/>
    <mergeCell ref="H1005:J1005"/>
    <mergeCell ref="E1006:F1006"/>
    <mergeCell ref="H1006:J1007"/>
    <mergeCell ref="L1006:L1007"/>
    <mergeCell ref="H1010:I1010"/>
    <mergeCell ref="K1010:L1011"/>
    <mergeCell ref="H1000:I1000"/>
    <mergeCell ref="K1000:L1001"/>
    <mergeCell ref="N1000:N1001"/>
    <mergeCell ref="C1002:I1002"/>
    <mergeCell ref="A1004:C1004"/>
    <mergeCell ref="H1004:J1004"/>
    <mergeCell ref="C1030:I1030"/>
    <mergeCell ref="A1032:C1032"/>
    <mergeCell ref="H1032:J1032"/>
    <mergeCell ref="E1033:F1033"/>
    <mergeCell ref="H1033:J1034"/>
    <mergeCell ref="L1033:L1034"/>
    <mergeCell ref="E1024:F1024"/>
    <mergeCell ref="H1024:J1025"/>
    <mergeCell ref="L1024:L1025"/>
    <mergeCell ref="H1028:I1028"/>
    <mergeCell ref="K1028:L1029"/>
    <mergeCell ref="N1028:N1029"/>
    <mergeCell ref="H1019:I1019"/>
    <mergeCell ref="K1019:L1020"/>
    <mergeCell ref="N1019:N1020"/>
    <mergeCell ref="C1021:I1021"/>
    <mergeCell ref="A1023:C1023"/>
    <mergeCell ref="H1023:J1023"/>
    <mergeCell ref="C1048:I1048"/>
    <mergeCell ref="A1050:C1050"/>
    <mergeCell ref="H1050:J1050"/>
    <mergeCell ref="E1051:F1051"/>
    <mergeCell ref="H1051:J1052"/>
    <mergeCell ref="L1051:L1052"/>
    <mergeCell ref="E1042:F1042"/>
    <mergeCell ref="H1042:J1043"/>
    <mergeCell ref="L1042:L1043"/>
    <mergeCell ref="H1046:I1046"/>
    <mergeCell ref="K1046:L1047"/>
    <mergeCell ref="N1046:N1047"/>
    <mergeCell ref="H1037:I1037"/>
    <mergeCell ref="K1037:L1038"/>
    <mergeCell ref="N1037:N1038"/>
    <mergeCell ref="C1039:I1039"/>
    <mergeCell ref="A1041:C1041"/>
    <mergeCell ref="H1041:J1041"/>
    <mergeCell ref="C1066:I1066"/>
    <mergeCell ref="A1068:C1068"/>
    <mergeCell ref="H1068:J1068"/>
    <mergeCell ref="E1069:F1069"/>
    <mergeCell ref="H1069:J1070"/>
    <mergeCell ref="L1069:L1070"/>
    <mergeCell ref="E1060:F1060"/>
    <mergeCell ref="H1060:J1061"/>
    <mergeCell ref="L1060:L1061"/>
    <mergeCell ref="H1064:I1064"/>
    <mergeCell ref="K1064:L1065"/>
    <mergeCell ref="N1064:N1065"/>
    <mergeCell ref="H1055:I1055"/>
    <mergeCell ref="K1055:L1056"/>
    <mergeCell ref="N1055:N1056"/>
    <mergeCell ref="C1057:I1057"/>
    <mergeCell ref="A1059:C1059"/>
    <mergeCell ref="H1059:J1059"/>
    <mergeCell ref="C1084:I1084"/>
    <mergeCell ref="A1086:C1086"/>
    <mergeCell ref="H1086:J1086"/>
    <mergeCell ref="E1087:F1087"/>
    <mergeCell ref="H1087:J1088"/>
    <mergeCell ref="L1087:L1088"/>
    <mergeCell ref="E1078:F1078"/>
    <mergeCell ref="H1078:J1079"/>
    <mergeCell ref="L1078:L1079"/>
    <mergeCell ref="H1082:I1082"/>
    <mergeCell ref="K1082:L1083"/>
    <mergeCell ref="N1082:N1083"/>
    <mergeCell ref="H1073:I1073"/>
    <mergeCell ref="K1073:L1074"/>
    <mergeCell ref="N1073:N1074"/>
    <mergeCell ref="C1075:I1075"/>
    <mergeCell ref="A1077:C1077"/>
    <mergeCell ref="H1077:J1077"/>
    <mergeCell ref="C1102:I1102"/>
    <mergeCell ref="A1104:C1104"/>
    <mergeCell ref="H1104:J1104"/>
    <mergeCell ref="E1105:F1105"/>
    <mergeCell ref="H1105:J1106"/>
    <mergeCell ref="L1105:L1106"/>
    <mergeCell ref="E1096:F1096"/>
    <mergeCell ref="H1096:J1097"/>
    <mergeCell ref="L1096:L1097"/>
    <mergeCell ref="H1100:I1100"/>
    <mergeCell ref="K1100:L1101"/>
    <mergeCell ref="N1100:N1101"/>
    <mergeCell ref="H1091:I1091"/>
    <mergeCell ref="K1091:L1092"/>
    <mergeCell ref="N1091:N1092"/>
    <mergeCell ref="C1093:I1093"/>
    <mergeCell ref="A1095:C1095"/>
    <mergeCell ref="H1095:J1095"/>
    <mergeCell ref="C1120:I1120"/>
    <mergeCell ref="A1122:C1122"/>
    <mergeCell ref="H1122:J1122"/>
    <mergeCell ref="E1123:F1123"/>
    <mergeCell ref="H1123:J1124"/>
    <mergeCell ref="L1123:L1124"/>
    <mergeCell ref="E1114:F1114"/>
    <mergeCell ref="H1114:J1115"/>
    <mergeCell ref="L1114:L1115"/>
    <mergeCell ref="H1118:I1118"/>
    <mergeCell ref="K1118:L1119"/>
    <mergeCell ref="N1118:N1119"/>
    <mergeCell ref="H1109:I1109"/>
    <mergeCell ref="K1109:L1110"/>
    <mergeCell ref="N1109:N1110"/>
    <mergeCell ref="C1111:I1111"/>
    <mergeCell ref="A1113:C1113"/>
    <mergeCell ref="H1113:J1113"/>
    <mergeCell ref="C1138:I1138"/>
    <mergeCell ref="A1140:C1140"/>
    <mergeCell ref="H1140:J1140"/>
    <mergeCell ref="E1141:F1141"/>
    <mergeCell ref="H1141:J1142"/>
    <mergeCell ref="L1141:L1142"/>
    <mergeCell ref="E1132:F1132"/>
    <mergeCell ref="H1132:J1133"/>
    <mergeCell ref="L1132:L1133"/>
    <mergeCell ref="H1136:I1136"/>
    <mergeCell ref="K1136:L1137"/>
    <mergeCell ref="N1136:N1137"/>
    <mergeCell ref="H1127:I1127"/>
    <mergeCell ref="K1127:L1128"/>
    <mergeCell ref="N1127:N1128"/>
    <mergeCell ref="C1129:I1129"/>
    <mergeCell ref="A1131:C1131"/>
    <mergeCell ref="H1131:J1131"/>
    <mergeCell ref="C1156:I1156"/>
    <mergeCell ref="A1158:C1158"/>
    <mergeCell ref="H1158:J1158"/>
    <mergeCell ref="E1159:F1159"/>
    <mergeCell ref="H1159:J1160"/>
    <mergeCell ref="L1159:L1160"/>
    <mergeCell ref="E1150:F1150"/>
    <mergeCell ref="H1150:J1151"/>
    <mergeCell ref="L1150:L1151"/>
    <mergeCell ref="H1154:I1154"/>
    <mergeCell ref="K1154:L1155"/>
    <mergeCell ref="N1154:N1155"/>
    <mergeCell ref="H1145:I1145"/>
    <mergeCell ref="K1145:L1146"/>
    <mergeCell ref="N1145:N1146"/>
    <mergeCell ref="C1147:I1147"/>
    <mergeCell ref="A1149:C1149"/>
    <mergeCell ref="H1149:J1149"/>
    <mergeCell ref="C1174:I1174"/>
    <mergeCell ref="A1176:C1176"/>
    <mergeCell ref="H1176:J1176"/>
    <mergeCell ref="E1177:F1177"/>
    <mergeCell ref="H1177:J1178"/>
    <mergeCell ref="L1177:L1178"/>
    <mergeCell ref="E1168:F1168"/>
    <mergeCell ref="H1168:J1169"/>
    <mergeCell ref="L1168:L1169"/>
    <mergeCell ref="H1172:I1172"/>
    <mergeCell ref="K1172:L1173"/>
    <mergeCell ref="N1172:N1173"/>
    <mergeCell ref="H1163:I1163"/>
    <mergeCell ref="K1163:L1164"/>
    <mergeCell ref="N1163:N1164"/>
    <mergeCell ref="C1165:I1165"/>
    <mergeCell ref="A1167:C1167"/>
    <mergeCell ref="H1167:J1167"/>
    <mergeCell ref="C1192:I1192"/>
    <mergeCell ref="A1194:C1194"/>
    <mergeCell ref="H1194:J1194"/>
    <mergeCell ref="E1195:F1195"/>
    <mergeCell ref="H1195:J1196"/>
    <mergeCell ref="L1195:L1196"/>
    <mergeCell ref="E1186:F1186"/>
    <mergeCell ref="H1186:J1187"/>
    <mergeCell ref="L1186:L1187"/>
    <mergeCell ref="H1190:I1190"/>
    <mergeCell ref="K1190:L1191"/>
    <mergeCell ref="N1190:N1191"/>
    <mergeCell ref="H1181:I1181"/>
    <mergeCell ref="K1181:L1182"/>
    <mergeCell ref="N1181:N1182"/>
    <mergeCell ref="C1183:I1183"/>
    <mergeCell ref="A1185:C1185"/>
    <mergeCell ref="H1185:J1185"/>
    <mergeCell ref="C1210:I1210"/>
    <mergeCell ref="A1212:C1212"/>
    <mergeCell ref="H1212:J1212"/>
    <mergeCell ref="E1213:F1213"/>
    <mergeCell ref="H1213:J1214"/>
    <mergeCell ref="L1213:L1214"/>
    <mergeCell ref="E1204:F1204"/>
    <mergeCell ref="H1204:J1205"/>
    <mergeCell ref="L1204:L1205"/>
    <mergeCell ref="H1208:I1208"/>
    <mergeCell ref="K1208:L1209"/>
    <mergeCell ref="N1208:N1209"/>
    <mergeCell ref="H1199:I1199"/>
    <mergeCell ref="K1199:L1200"/>
    <mergeCell ref="N1199:N1200"/>
    <mergeCell ref="C1201:I1201"/>
    <mergeCell ref="A1203:C1203"/>
    <mergeCell ref="H1203:J1203"/>
    <mergeCell ref="C1228:I1228"/>
    <mergeCell ref="A1230:C1230"/>
    <mergeCell ref="H1230:J1230"/>
    <mergeCell ref="E1231:F1231"/>
    <mergeCell ref="H1231:J1232"/>
    <mergeCell ref="L1231:L1232"/>
    <mergeCell ref="E1222:F1222"/>
    <mergeCell ref="H1222:J1223"/>
    <mergeCell ref="L1222:L1223"/>
    <mergeCell ref="H1226:I1226"/>
    <mergeCell ref="K1226:L1227"/>
    <mergeCell ref="N1226:N1227"/>
    <mergeCell ref="H1217:I1217"/>
    <mergeCell ref="K1217:L1218"/>
    <mergeCell ref="N1217:N1218"/>
    <mergeCell ref="C1219:I1219"/>
    <mergeCell ref="A1221:C1221"/>
    <mergeCell ref="H1221:J1221"/>
    <mergeCell ref="C1246:I1246"/>
    <mergeCell ref="A1248:C1248"/>
    <mergeCell ref="H1248:J1248"/>
    <mergeCell ref="E1249:F1249"/>
    <mergeCell ref="H1249:J1250"/>
    <mergeCell ref="L1249:L1250"/>
    <mergeCell ref="E1240:F1240"/>
    <mergeCell ref="H1240:J1241"/>
    <mergeCell ref="L1240:L1241"/>
    <mergeCell ref="H1244:I1244"/>
    <mergeCell ref="K1244:L1245"/>
    <mergeCell ref="N1244:N1245"/>
    <mergeCell ref="H1235:I1235"/>
    <mergeCell ref="K1235:L1236"/>
    <mergeCell ref="N1235:N1236"/>
    <mergeCell ref="C1237:I1237"/>
    <mergeCell ref="A1239:C1239"/>
    <mergeCell ref="H1239:J1239"/>
    <mergeCell ref="L1260:L1261"/>
    <mergeCell ref="H1264:I1264"/>
    <mergeCell ref="K1264:L1265"/>
    <mergeCell ref="N1264:N1265"/>
    <mergeCell ref="C1266:I1266"/>
    <mergeCell ref="A1268:C1268"/>
    <mergeCell ref="H1268:J1268"/>
    <mergeCell ref="A1258:C1258"/>
    <mergeCell ref="H1258:J1258"/>
    <mergeCell ref="A1259:C1259"/>
    <mergeCell ref="H1259:J1259"/>
    <mergeCell ref="E1260:F1260"/>
    <mergeCell ref="H1260:J1261"/>
    <mergeCell ref="H1253:I1253"/>
    <mergeCell ref="K1253:L1254"/>
    <mergeCell ref="N1253:N1254"/>
    <mergeCell ref="C1255:I1255"/>
    <mergeCell ref="A1257:C1257"/>
    <mergeCell ref="H1257:J1257"/>
    <mergeCell ref="H1282:I1282"/>
    <mergeCell ref="K1282:L1283"/>
    <mergeCell ref="N1282:N1283"/>
    <mergeCell ref="C1284:I1284"/>
    <mergeCell ref="A1286:C1286"/>
    <mergeCell ref="H1286:J1286"/>
    <mergeCell ref="C1275:I1275"/>
    <mergeCell ref="A1277:C1277"/>
    <mergeCell ref="H1277:J1277"/>
    <mergeCell ref="E1278:F1278"/>
    <mergeCell ref="H1278:J1279"/>
    <mergeCell ref="L1278:L1279"/>
    <mergeCell ref="E1269:F1269"/>
    <mergeCell ref="H1269:J1270"/>
    <mergeCell ref="L1269:L1270"/>
    <mergeCell ref="H1273:I1273"/>
    <mergeCell ref="K1273:L1274"/>
    <mergeCell ref="N1273:N1274"/>
    <mergeCell ref="H1301:I1301"/>
    <mergeCell ref="K1301:L1302"/>
    <mergeCell ref="N1301:N1302"/>
    <mergeCell ref="C1303:I1303"/>
    <mergeCell ref="A1305:C1305"/>
    <mergeCell ref="H1305:J1305"/>
    <mergeCell ref="N1292:N1293"/>
    <mergeCell ref="C1294:I1294"/>
    <mergeCell ref="A1296:C1296"/>
    <mergeCell ref="H1296:J1296"/>
    <mergeCell ref="E1297:F1297"/>
    <mergeCell ref="H1297:J1298"/>
    <mergeCell ref="L1297:L1298"/>
    <mergeCell ref="A1287:C1287"/>
    <mergeCell ref="H1287:J1287"/>
    <mergeCell ref="E1288:F1288"/>
    <mergeCell ref="H1288:J1289"/>
    <mergeCell ref="L1288:L1289"/>
    <mergeCell ref="H1292:I1292"/>
    <mergeCell ref="K1292:L1293"/>
    <mergeCell ref="H1319:I1319"/>
    <mergeCell ref="K1319:L1320"/>
    <mergeCell ref="N1319:N1320"/>
    <mergeCell ref="C1321:I1321"/>
    <mergeCell ref="A1323:C1323"/>
    <mergeCell ref="H1323:J1323"/>
    <mergeCell ref="C1312:I1312"/>
    <mergeCell ref="A1314:C1314"/>
    <mergeCell ref="H1314:J1314"/>
    <mergeCell ref="E1315:F1315"/>
    <mergeCell ref="H1315:J1316"/>
    <mergeCell ref="L1315:L1316"/>
    <mergeCell ref="E1306:F1306"/>
    <mergeCell ref="H1306:J1307"/>
    <mergeCell ref="L1306:L1307"/>
    <mergeCell ref="H1310:I1310"/>
    <mergeCell ref="K1310:L1311"/>
    <mergeCell ref="N1310:N1311"/>
    <mergeCell ref="H1337:I1337"/>
    <mergeCell ref="K1337:L1338"/>
    <mergeCell ref="N1337:N1338"/>
    <mergeCell ref="C1339:I1339"/>
    <mergeCell ref="A1341:C1341"/>
    <mergeCell ref="H1341:J1341"/>
    <mergeCell ref="C1330:I1330"/>
    <mergeCell ref="A1332:C1332"/>
    <mergeCell ref="H1332:J1332"/>
    <mergeCell ref="E1333:F1333"/>
    <mergeCell ref="H1333:J1334"/>
    <mergeCell ref="L1333:L1334"/>
    <mergeCell ref="E1324:F1324"/>
    <mergeCell ref="H1324:J1325"/>
    <mergeCell ref="L1324:L1325"/>
    <mergeCell ref="H1328:I1328"/>
    <mergeCell ref="K1328:L1329"/>
    <mergeCell ref="N1328:N1329"/>
    <mergeCell ref="H1355:I1355"/>
    <mergeCell ref="K1355:L1356"/>
    <mergeCell ref="N1355:N1356"/>
    <mergeCell ref="C1357:I1357"/>
    <mergeCell ref="A1359:C1359"/>
    <mergeCell ref="H1359:J1359"/>
    <mergeCell ref="C1348:I1348"/>
    <mergeCell ref="A1350:C1350"/>
    <mergeCell ref="H1350:J1350"/>
    <mergeCell ref="E1351:F1351"/>
    <mergeCell ref="H1351:J1352"/>
    <mergeCell ref="L1351:L1352"/>
    <mergeCell ref="E1342:F1342"/>
    <mergeCell ref="H1342:J1343"/>
    <mergeCell ref="L1342:L1343"/>
    <mergeCell ref="H1346:I1346"/>
    <mergeCell ref="K1346:L1347"/>
    <mergeCell ref="N1346:N1347"/>
    <mergeCell ref="H1373:I1373"/>
    <mergeCell ref="K1373:L1374"/>
    <mergeCell ref="N1373:N1374"/>
    <mergeCell ref="C1375:I1375"/>
    <mergeCell ref="A1377:C1377"/>
    <mergeCell ref="H1377:J1377"/>
    <mergeCell ref="C1366:I1366"/>
    <mergeCell ref="A1368:C1368"/>
    <mergeCell ref="H1368:J1368"/>
    <mergeCell ref="E1369:F1369"/>
    <mergeCell ref="H1369:J1370"/>
    <mergeCell ref="L1369:L1370"/>
    <mergeCell ref="E1360:F1360"/>
    <mergeCell ref="H1360:J1361"/>
    <mergeCell ref="L1360:L1361"/>
    <mergeCell ref="H1364:I1364"/>
    <mergeCell ref="K1364:L1365"/>
    <mergeCell ref="N1364:N1365"/>
    <mergeCell ref="H1391:I1391"/>
    <mergeCell ref="K1391:L1392"/>
    <mergeCell ref="N1391:N1392"/>
    <mergeCell ref="C1393:I1393"/>
    <mergeCell ref="A1395:C1395"/>
    <mergeCell ref="H1395:J1395"/>
    <mergeCell ref="C1384:I1384"/>
    <mergeCell ref="A1386:C1386"/>
    <mergeCell ref="H1386:J1386"/>
    <mergeCell ref="E1387:F1387"/>
    <mergeCell ref="H1387:J1388"/>
    <mergeCell ref="L1387:L1388"/>
    <mergeCell ref="E1378:F1378"/>
    <mergeCell ref="H1378:J1379"/>
    <mergeCell ref="L1378:L1379"/>
    <mergeCell ref="H1382:I1382"/>
    <mergeCell ref="K1382:L1383"/>
    <mergeCell ref="N1382:N1383"/>
    <mergeCell ref="H1409:I1409"/>
    <mergeCell ref="K1409:L1410"/>
    <mergeCell ref="N1409:N1410"/>
    <mergeCell ref="C1411:I1411"/>
    <mergeCell ref="A1413:C1413"/>
    <mergeCell ref="H1413:J1413"/>
    <mergeCell ref="C1402:I1402"/>
    <mergeCell ref="A1404:C1404"/>
    <mergeCell ref="H1404:J1404"/>
    <mergeCell ref="E1405:F1405"/>
    <mergeCell ref="H1405:J1406"/>
    <mergeCell ref="L1405:L1406"/>
    <mergeCell ref="E1396:F1396"/>
    <mergeCell ref="H1396:J1397"/>
    <mergeCell ref="L1396:L1397"/>
    <mergeCell ref="H1400:I1400"/>
    <mergeCell ref="K1400:L1401"/>
    <mergeCell ref="N1400:N1401"/>
    <mergeCell ref="H1427:I1427"/>
    <mergeCell ref="K1427:L1428"/>
    <mergeCell ref="N1427:N1428"/>
    <mergeCell ref="C1429:I1429"/>
    <mergeCell ref="A1431:C1431"/>
    <mergeCell ref="H1431:J1431"/>
    <mergeCell ref="C1420:I1420"/>
    <mergeCell ref="A1422:C1422"/>
    <mergeCell ref="H1422:J1422"/>
    <mergeCell ref="E1423:F1423"/>
    <mergeCell ref="H1423:J1424"/>
    <mergeCell ref="L1423:L1424"/>
    <mergeCell ref="E1414:F1414"/>
    <mergeCell ref="H1414:J1415"/>
    <mergeCell ref="L1414:L1415"/>
    <mergeCell ref="H1418:I1418"/>
    <mergeCell ref="K1418:L1419"/>
    <mergeCell ref="N1418:N1419"/>
    <mergeCell ref="H1445:I1445"/>
    <mergeCell ref="K1445:L1446"/>
    <mergeCell ref="N1445:N1446"/>
    <mergeCell ref="C1447:I1447"/>
    <mergeCell ref="A1449:C1449"/>
    <mergeCell ref="H1449:J1449"/>
    <mergeCell ref="C1438:I1438"/>
    <mergeCell ref="A1440:C1440"/>
    <mergeCell ref="H1440:J1440"/>
    <mergeCell ref="E1441:F1441"/>
    <mergeCell ref="H1441:J1442"/>
    <mergeCell ref="L1441:L1442"/>
    <mergeCell ref="E1432:F1432"/>
    <mergeCell ref="H1432:J1433"/>
    <mergeCell ref="L1432:L1433"/>
    <mergeCell ref="H1436:I1436"/>
    <mergeCell ref="K1436:L1437"/>
    <mergeCell ref="N1436:N1437"/>
    <mergeCell ref="H1463:I1463"/>
    <mergeCell ref="K1463:L1464"/>
    <mergeCell ref="N1463:N1464"/>
    <mergeCell ref="C1465:I1465"/>
    <mergeCell ref="A1467:C1467"/>
    <mergeCell ref="H1467:J1467"/>
    <mergeCell ref="C1456:I1456"/>
    <mergeCell ref="A1458:C1458"/>
    <mergeCell ref="H1458:J1458"/>
    <mergeCell ref="E1459:F1459"/>
    <mergeCell ref="H1459:J1460"/>
    <mergeCell ref="L1459:L1460"/>
    <mergeCell ref="E1450:F1450"/>
    <mergeCell ref="H1450:J1451"/>
    <mergeCell ref="L1450:L1451"/>
    <mergeCell ref="H1454:I1454"/>
    <mergeCell ref="K1454:L1455"/>
    <mergeCell ref="N1454:N1455"/>
    <mergeCell ref="H1481:I1481"/>
    <mergeCell ref="K1481:L1482"/>
    <mergeCell ref="N1481:N1482"/>
    <mergeCell ref="C1483:I1483"/>
    <mergeCell ref="A1485:C1485"/>
    <mergeCell ref="H1485:J1485"/>
    <mergeCell ref="C1474:I1474"/>
    <mergeCell ref="A1476:C1476"/>
    <mergeCell ref="H1476:J1476"/>
    <mergeCell ref="E1477:F1477"/>
    <mergeCell ref="H1477:J1478"/>
    <mergeCell ref="L1477:L1478"/>
    <mergeCell ref="E1468:F1468"/>
    <mergeCell ref="H1468:J1469"/>
    <mergeCell ref="L1468:L1469"/>
    <mergeCell ref="H1472:I1472"/>
    <mergeCell ref="K1472:L1473"/>
    <mergeCell ref="N1472:N1473"/>
    <mergeCell ref="H1499:I1499"/>
    <mergeCell ref="K1499:L1500"/>
    <mergeCell ref="N1499:N1500"/>
    <mergeCell ref="C1501:I1501"/>
    <mergeCell ref="A1503:C1503"/>
    <mergeCell ref="H1503:J1503"/>
    <mergeCell ref="C1492:I1492"/>
    <mergeCell ref="A1494:C1494"/>
    <mergeCell ref="H1494:J1494"/>
    <mergeCell ref="E1495:F1495"/>
    <mergeCell ref="H1495:J1496"/>
    <mergeCell ref="L1495:L1496"/>
    <mergeCell ref="E1486:F1486"/>
    <mergeCell ref="H1486:J1487"/>
    <mergeCell ref="L1486:L1487"/>
    <mergeCell ref="H1490:I1490"/>
    <mergeCell ref="K1490:L1491"/>
    <mergeCell ref="N1490:N1491"/>
    <mergeCell ref="H1517:I1517"/>
    <mergeCell ref="K1517:L1518"/>
    <mergeCell ref="N1517:N1518"/>
    <mergeCell ref="C1519:I1519"/>
    <mergeCell ref="A1521:C1521"/>
    <mergeCell ref="H1521:J1521"/>
    <mergeCell ref="C1510:I1510"/>
    <mergeCell ref="A1512:C1512"/>
    <mergeCell ref="H1512:J1512"/>
    <mergeCell ref="E1513:F1513"/>
    <mergeCell ref="H1513:J1514"/>
    <mergeCell ref="L1513:L1514"/>
    <mergeCell ref="E1504:F1504"/>
    <mergeCell ref="H1504:J1505"/>
    <mergeCell ref="L1504:L1505"/>
    <mergeCell ref="H1508:I1508"/>
    <mergeCell ref="K1508:L1509"/>
    <mergeCell ref="N1508:N1509"/>
    <mergeCell ref="L1532:L1533"/>
    <mergeCell ref="H1536:I1536"/>
    <mergeCell ref="K1536:L1537"/>
    <mergeCell ref="N1536:N1537"/>
    <mergeCell ref="C1538:I1538"/>
    <mergeCell ref="A1540:C1540"/>
    <mergeCell ref="H1540:J1540"/>
    <mergeCell ref="C1528:I1528"/>
    <mergeCell ref="A1530:C1530"/>
    <mergeCell ref="H1530:J1530"/>
    <mergeCell ref="A1531:C1531"/>
    <mergeCell ref="H1531:J1531"/>
    <mergeCell ref="E1532:F1532"/>
    <mergeCell ref="H1532:J1533"/>
    <mergeCell ref="E1522:F1522"/>
    <mergeCell ref="H1522:J1523"/>
    <mergeCell ref="L1522:L1523"/>
    <mergeCell ref="H1526:I1526"/>
    <mergeCell ref="K1526:L1527"/>
    <mergeCell ref="N1526:N1527"/>
    <mergeCell ref="H1554:I1554"/>
    <mergeCell ref="K1554:L1555"/>
    <mergeCell ref="N1554:N1555"/>
    <mergeCell ref="C1556:I1556"/>
    <mergeCell ref="A1558:C1558"/>
    <mergeCell ref="H1558:J1558"/>
    <mergeCell ref="C1547:I1547"/>
    <mergeCell ref="A1549:C1549"/>
    <mergeCell ref="H1549:J1549"/>
    <mergeCell ref="E1550:F1550"/>
    <mergeCell ref="H1550:J1551"/>
    <mergeCell ref="L1550:L1551"/>
    <mergeCell ref="E1541:F1541"/>
    <mergeCell ref="H1541:J1542"/>
    <mergeCell ref="L1541:L1542"/>
    <mergeCell ref="H1545:I1545"/>
    <mergeCell ref="K1545:L1546"/>
    <mergeCell ref="N1545:N1546"/>
    <mergeCell ref="H1572:I1572"/>
    <mergeCell ref="K1572:L1573"/>
    <mergeCell ref="N1572:N1573"/>
    <mergeCell ref="C1574:I1574"/>
    <mergeCell ref="A1576:C1576"/>
    <mergeCell ref="H1576:J1576"/>
    <mergeCell ref="C1565:I1565"/>
    <mergeCell ref="A1567:C1567"/>
    <mergeCell ref="H1567:J1567"/>
    <mergeCell ref="E1568:F1568"/>
    <mergeCell ref="H1568:J1569"/>
    <mergeCell ref="L1568:L1569"/>
    <mergeCell ref="E1559:F1559"/>
    <mergeCell ref="H1559:J1560"/>
    <mergeCell ref="L1559:L1560"/>
    <mergeCell ref="H1563:I1563"/>
    <mergeCell ref="K1563:L1564"/>
    <mergeCell ref="N1563:N1564"/>
    <mergeCell ref="H1590:I1590"/>
    <mergeCell ref="K1590:L1591"/>
    <mergeCell ref="N1590:N1591"/>
    <mergeCell ref="C1592:I1592"/>
    <mergeCell ref="A1594:C1594"/>
    <mergeCell ref="H1594:J1594"/>
    <mergeCell ref="C1583:I1583"/>
    <mergeCell ref="A1585:C1585"/>
    <mergeCell ref="H1585:J1585"/>
    <mergeCell ref="E1586:F1586"/>
    <mergeCell ref="H1586:J1587"/>
    <mergeCell ref="L1586:L1587"/>
    <mergeCell ref="E1577:F1577"/>
    <mergeCell ref="H1577:J1578"/>
    <mergeCell ref="L1577:L1578"/>
    <mergeCell ref="H1581:I1581"/>
    <mergeCell ref="K1581:L1582"/>
    <mergeCell ref="N1581:N1582"/>
    <mergeCell ref="H1608:I1608"/>
    <mergeCell ref="K1608:L1609"/>
    <mergeCell ref="N1608:N1609"/>
    <mergeCell ref="C1610:I1610"/>
    <mergeCell ref="A1612:C1612"/>
    <mergeCell ref="H1612:J1612"/>
    <mergeCell ref="C1601:I1601"/>
    <mergeCell ref="A1603:C1603"/>
    <mergeCell ref="H1603:J1603"/>
    <mergeCell ref="E1604:F1604"/>
    <mergeCell ref="H1604:J1605"/>
    <mergeCell ref="L1604:L1605"/>
    <mergeCell ref="E1595:F1595"/>
    <mergeCell ref="H1595:J1596"/>
    <mergeCell ref="L1595:L1596"/>
    <mergeCell ref="H1599:I1599"/>
    <mergeCell ref="K1599:L1600"/>
    <mergeCell ref="N1599:N1600"/>
    <mergeCell ref="H1626:I1626"/>
    <mergeCell ref="K1626:L1627"/>
    <mergeCell ref="N1626:N1627"/>
    <mergeCell ref="C1628:I1628"/>
    <mergeCell ref="A1630:C1630"/>
    <mergeCell ref="H1630:J1630"/>
    <mergeCell ref="C1619:I1619"/>
    <mergeCell ref="A1621:C1621"/>
    <mergeCell ref="H1621:J1621"/>
    <mergeCell ref="E1622:F1622"/>
    <mergeCell ref="H1622:J1623"/>
    <mergeCell ref="L1622:L1623"/>
    <mergeCell ref="E1613:F1613"/>
    <mergeCell ref="H1613:J1614"/>
    <mergeCell ref="L1613:L1614"/>
    <mergeCell ref="H1617:I1617"/>
    <mergeCell ref="K1617:L1618"/>
    <mergeCell ref="N1617:N1618"/>
    <mergeCell ref="H1644:I1644"/>
    <mergeCell ref="K1644:L1645"/>
    <mergeCell ref="N1644:N1645"/>
    <mergeCell ref="C1646:I1646"/>
    <mergeCell ref="A1648:C1648"/>
    <mergeCell ref="H1648:J1648"/>
    <mergeCell ref="C1637:I1637"/>
    <mergeCell ref="A1639:C1639"/>
    <mergeCell ref="H1639:J1639"/>
    <mergeCell ref="E1640:F1640"/>
    <mergeCell ref="H1640:J1641"/>
    <mergeCell ref="L1640:L1641"/>
    <mergeCell ref="E1631:F1631"/>
    <mergeCell ref="H1631:J1632"/>
    <mergeCell ref="L1631:L1632"/>
    <mergeCell ref="H1635:I1635"/>
    <mergeCell ref="K1635:L1636"/>
    <mergeCell ref="N1635:N1636"/>
    <mergeCell ref="H1662:I1662"/>
    <mergeCell ref="K1662:L1663"/>
    <mergeCell ref="N1662:N1663"/>
    <mergeCell ref="C1664:I1664"/>
    <mergeCell ref="A1666:C1666"/>
    <mergeCell ref="H1666:J1666"/>
    <mergeCell ref="C1655:I1655"/>
    <mergeCell ref="A1657:C1657"/>
    <mergeCell ref="H1657:J1657"/>
    <mergeCell ref="E1658:F1658"/>
    <mergeCell ref="H1658:J1659"/>
    <mergeCell ref="L1658:L1659"/>
    <mergeCell ref="E1649:F1649"/>
    <mergeCell ref="H1649:J1650"/>
    <mergeCell ref="L1649:L1650"/>
    <mergeCell ref="H1653:I1653"/>
    <mergeCell ref="K1653:L1654"/>
    <mergeCell ref="N1653:N1654"/>
    <mergeCell ref="H1680:I1680"/>
    <mergeCell ref="K1680:L1681"/>
    <mergeCell ref="N1680:N1681"/>
    <mergeCell ref="C1682:I1682"/>
    <mergeCell ref="A1684:C1684"/>
    <mergeCell ref="H1684:J1684"/>
    <mergeCell ref="C1673:I1673"/>
    <mergeCell ref="A1675:C1675"/>
    <mergeCell ref="H1675:J1675"/>
    <mergeCell ref="E1676:F1676"/>
    <mergeCell ref="H1676:J1677"/>
    <mergeCell ref="L1676:L1677"/>
    <mergeCell ref="E1667:F1667"/>
    <mergeCell ref="H1667:J1668"/>
    <mergeCell ref="L1667:L1668"/>
    <mergeCell ref="H1671:I1671"/>
    <mergeCell ref="K1671:L1672"/>
    <mergeCell ref="N1671:N1672"/>
    <mergeCell ref="H1698:I1698"/>
    <mergeCell ref="K1698:L1699"/>
    <mergeCell ref="N1698:N1699"/>
    <mergeCell ref="C1700:I1700"/>
    <mergeCell ref="A1702:C1702"/>
    <mergeCell ref="H1702:J1702"/>
    <mergeCell ref="C1691:I1691"/>
    <mergeCell ref="A1693:C1693"/>
    <mergeCell ref="H1693:J1693"/>
    <mergeCell ref="E1694:F1694"/>
    <mergeCell ref="H1694:J1695"/>
    <mergeCell ref="L1694:L1695"/>
    <mergeCell ref="E1685:F1685"/>
    <mergeCell ref="H1685:J1686"/>
    <mergeCell ref="L1685:L1686"/>
    <mergeCell ref="H1689:I1689"/>
    <mergeCell ref="K1689:L1690"/>
    <mergeCell ref="N1689:N1690"/>
    <mergeCell ref="H1716:I1716"/>
    <mergeCell ref="K1716:L1717"/>
    <mergeCell ref="N1716:N1717"/>
    <mergeCell ref="C1718:I1718"/>
    <mergeCell ref="A1720:C1720"/>
    <mergeCell ref="H1720:J1720"/>
    <mergeCell ref="C1709:I1709"/>
    <mergeCell ref="A1711:C1711"/>
    <mergeCell ref="H1711:J1711"/>
    <mergeCell ref="E1712:F1712"/>
    <mergeCell ref="H1712:J1713"/>
    <mergeCell ref="L1712:L1713"/>
    <mergeCell ref="E1703:F1703"/>
    <mergeCell ref="H1703:J1704"/>
    <mergeCell ref="L1703:L1704"/>
    <mergeCell ref="H1707:I1707"/>
    <mergeCell ref="K1707:L1708"/>
    <mergeCell ref="N1707:N1708"/>
    <mergeCell ref="H1734:I1734"/>
    <mergeCell ref="K1734:L1735"/>
    <mergeCell ref="N1734:N1735"/>
    <mergeCell ref="C1736:I1736"/>
    <mergeCell ref="A1738:C1738"/>
    <mergeCell ref="H1738:J1738"/>
    <mergeCell ref="C1727:I1727"/>
    <mergeCell ref="A1729:C1729"/>
    <mergeCell ref="H1729:J1729"/>
    <mergeCell ref="E1730:F1730"/>
    <mergeCell ref="H1730:J1731"/>
    <mergeCell ref="L1730:L1731"/>
    <mergeCell ref="E1721:F1721"/>
    <mergeCell ref="H1721:J1722"/>
    <mergeCell ref="L1721:L1722"/>
    <mergeCell ref="H1725:I1725"/>
    <mergeCell ref="K1725:L1726"/>
    <mergeCell ref="N1725:N1726"/>
    <mergeCell ref="H1752:I1752"/>
    <mergeCell ref="K1752:L1753"/>
    <mergeCell ref="N1752:N1753"/>
    <mergeCell ref="C1754:I1754"/>
    <mergeCell ref="A1756:C1756"/>
    <mergeCell ref="H1756:J1756"/>
    <mergeCell ref="C1745:I1745"/>
    <mergeCell ref="A1747:C1747"/>
    <mergeCell ref="H1747:J1747"/>
    <mergeCell ref="E1748:F1748"/>
    <mergeCell ref="H1748:J1749"/>
    <mergeCell ref="L1748:L1749"/>
    <mergeCell ref="E1739:F1739"/>
    <mergeCell ref="H1739:J1740"/>
    <mergeCell ref="L1739:L1740"/>
    <mergeCell ref="H1743:I1743"/>
    <mergeCell ref="K1743:L1744"/>
    <mergeCell ref="N1743:N1744"/>
    <mergeCell ref="H1770:I1770"/>
    <mergeCell ref="K1770:L1771"/>
    <mergeCell ref="N1770:N1771"/>
    <mergeCell ref="C1772:I1772"/>
    <mergeCell ref="A1774:C1774"/>
    <mergeCell ref="H1774:J1774"/>
    <mergeCell ref="C1763:I1763"/>
    <mergeCell ref="A1765:C1765"/>
    <mergeCell ref="H1765:J1765"/>
    <mergeCell ref="E1766:F1766"/>
    <mergeCell ref="H1766:J1767"/>
    <mergeCell ref="L1766:L1767"/>
    <mergeCell ref="E1757:F1757"/>
    <mergeCell ref="H1757:J1758"/>
    <mergeCell ref="L1757:L1758"/>
    <mergeCell ref="H1761:I1761"/>
    <mergeCell ref="K1761:L1762"/>
    <mergeCell ref="N1761:N1762"/>
    <mergeCell ref="H1788:I1788"/>
    <mergeCell ref="K1788:L1789"/>
    <mergeCell ref="N1788:N1789"/>
    <mergeCell ref="C1790:I1790"/>
    <mergeCell ref="A1792:C1792"/>
    <mergeCell ref="H1792:J1792"/>
    <mergeCell ref="C1781:I1781"/>
    <mergeCell ref="A1783:C1783"/>
    <mergeCell ref="H1783:J1783"/>
    <mergeCell ref="E1784:F1784"/>
    <mergeCell ref="H1784:J1785"/>
    <mergeCell ref="L1784:L1785"/>
    <mergeCell ref="E1775:F1775"/>
    <mergeCell ref="H1775:J1776"/>
    <mergeCell ref="L1775:L1776"/>
    <mergeCell ref="H1779:I1779"/>
    <mergeCell ref="K1779:L1780"/>
    <mergeCell ref="N1779:N1780"/>
    <mergeCell ref="H1806:I1806"/>
    <mergeCell ref="K1806:L1807"/>
    <mergeCell ref="N1806:N1807"/>
    <mergeCell ref="C1808:I1808"/>
    <mergeCell ref="A1810:C1810"/>
    <mergeCell ref="H1810:J1810"/>
    <mergeCell ref="C1799:I1799"/>
    <mergeCell ref="A1801:C1801"/>
    <mergeCell ref="H1801:J1801"/>
    <mergeCell ref="E1802:F1802"/>
    <mergeCell ref="H1802:J1803"/>
    <mergeCell ref="L1802:L1803"/>
    <mergeCell ref="E1793:F1793"/>
    <mergeCell ref="H1793:J1794"/>
    <mergeCell ref="L1793:L1794"/>
    <mergeCell ref="H1797:I1797"/>
    <mergeCell ref="K1797:L1798"/>
    <mergeCell ref="N1797:N1798"/>
    <mergeCell ref="H1824:I1824"/>
    <mergeCell ref="K1824:L1825"/>
    <mergeCell ref="N1824:N1825"/>
    <mergeCell ref="C1826:I1826"/>
    <mergeCell ref="A1828:C1828"/>
    <mergeCell ref="H1828:J1828"/>
    <mergeCell ref="C1817:I1817"/>
    <mergeCell ref="A1819:C1819"/>
    <mergeCell ref="H1819:J1819"/>
    <mergeCell ref="E1820:F1820"/>
    <mergeCell ref="H1820:J1821"/>
    <mergeCell ref="L1820:L1821"/>
    <mergeCell ref="E1811:F1811"/>
    <mergeCell ref="H1811:J1812"/>
    <mergeCell ref="L1811:L1812"/>
    <mergeCell ref="H1815:I1815"/>
    <mergeCell ref="K1815:L1816"/>
    <mergeCell ref="N1815:N1816"/>
    <mergeCell ref="H1842:I1842"/>
    <mergeCell ref="K1842:L1843"/>
    <mergeCell ref="N1842:N1843"/>
    <mergeCell ref="C1844:I1844"/>
    <mergeCell ref="A1846:C1846"/>
    <mergeCell ref="H1846:J1846"/>
    <mergeCell ref="C1835:I1835"/>
    <mergeCell ref="A1837:C1837"/>
    <mergeCell ref="H1837:J1837"/>
    <mergeCell ref="E1838:F1838"/>
    <mergeCell ref="H1838:J1839"/>
    <mergeCell ref="L1838:L1839"/>
    <mergeCell ref="E1829:F1829"/>
    <mergeCell ref="H1829:J1830"/>
    <mergeCell ref="L1829:L1830"/>
    <mergeCell ref="H1833:I1833"/>
    <mergeCell ref="K1833:L1834"/>
    <mergeCell ref="N1833:N1834"/>
    <mergeCell ref="H1860:I1860"/>
    <mergeCell ref="K1860:L1861"/>
    <mergeCell ref="N1860:N1861"/>
    <mergeCell ref="C1862:I1862"/>
    <mergeCell ref="A1864:C1864"/>
    <mergeCell ref="H1864:J1864"/>
    <mergeCell ref="C1853:I1853"/>
    <mergeCell ref="A1855:C1855"/>
    <mergeCell ref="H1855:J1855"/>
    <mergeCell ref="E1856:F1856"/>
    <mergeCell ref="H1856:J1857"/>
    <mergeCell ref="L1856:L1857"/>
    <mergeCell ref="E1847:F1847"/>
    <mergeCell ref="H1847:J1848"/>
    <mergeCell ref="L1847:L1848"/>
    <mergeCell ref="H1851:I1851"/>
    <mergeCell ref="K1851:L1852"/>
    <mergeCell ref="N1851:N1852"/>
    <mergeCell ref="H1878:I1878"/>
    <mergeCell ref="K1878:L1879"/>
    <mergeCell ref="N1878:N1879"/>
    <mergeCell ref="C1880:I1880"/>
    <mergeCell ref="A1882:C1882"/>
    <mergeCell ref="H1882:J1882"/>
    <mergeCell ref="C1871:I1871"/>
    <mergeCell ref="A1873:C1873"/>
    <mergeCell ref="H1873:J1873"/>
    <mergeCell ref="E1874:F1874"/>
    <mergeCell ref="H1874:J1875"/>
    <mergeCell ref="L1874:L1875"/>
    <mergeCell ref="E1865:F1865"/>
    <mergeCell ref="H1865:J1866"/>
    <mergeCell ref="L1865:L1866"/>
    <mergeCell ref="H1869:I1869"/>
    <mergeCell ref="K1869:L1870"/>
    <mergeCell ref="N1869:N1870"/>
    <mergeCell ref="H1896:I1896"/>
    <mergeCell ref="K1896:L1897"/>
    <mergeCell ref="N1896:N1897"/>
    <mergeCell ref="C1898:I1898"/>
    <mergeCell ref="A1900:C1900"/>
    <mergeCell ref="H1900:J1900"/>
    <mergeCell ref="C1889:I1889"/>
    <mergeCell ref="A1891:C1891"/>
    <mergeCell ref="H1891:J1891"/>
    <mergeCell ref="E1892:F1892"/>
    <mergeCell ref="H1892:J1893"/>
    <mergeCell ref="L1892:L1893"/>
    <mergeCell ref="E1883:F1883"/>
    <mergeCell ref="H1883:J1884"/>
    <mergeCell ref="L1883:L1884"/>
    <mergeCell ref="H1887:I1887"/>
    <mergeCell ref="K1887:L1888"/>
    <mergeCell ref="N1887:N1888"/>
    <mergeCell ref="H1914:I1914"/>
    <mergeCell ref="K1914:L1915"/>
    <mergeCell ref="N1914:N1915"/>
    <mergeCell ref="C1916:I1916"/>
    <mergeCell ref="A1918:C1918"/>
    <mergeCell ref="H1918:J1918"/>
    <mergeCell ref="C1907:I1907"/>
    <mergeCell ref="A1909:C1909"/>
    <mergeCell ref="H1909:J1909"/>
    <mergeCell ref="E1910:F1910"/>
    <mergeCell ref="H1910:J1911"/>
    <mergeCell ref="L1910:L1911"/>
    <mergeCell ref="E1901:F1901"/>
    <mergeCell ref="H1901:J1902"/>
    <mergeCell ref="L1901:L1902"/>
    <mergeCell ref="H1905:I1905"/>
    <mergeCell ref="K1905:L1906"/>
    <mergeCell ref="N1905:N1906"/>
    <mergeCell ref="H1932:I1932"/>
    <mergeCell ref="K1932:L1933"/>
    <mergeCell ref="N1932:N1933"/>
    <mergeCell ref="C1934:I1934"/>
    <mergeCell ref="A1936:C1936"/>
    <mergeCell ref="H1936:J1936"/>
    <mergeCell ref="C1925:I1925"/>
    <mergeCell ref="A1927:C1927"/>
    <mergeCell ref="H1927:J1927"/>
    <mergeCell ref="E1928:F1928"/>
    <mergeCell ref="H1928:J1929"/>
    <mergeCell ref="L1928:L1929"/>
    <mergeCell ref="E1919:F1919"/>
    <mergeCell ref="H1919:J1920"/>
    <mergeCell ref="L1919:L1920"/>
    <mergeCell ref="H1923:I1923"/>
    <mergeCell ref="K1923:L1924"/>
    <mergeCell ref="N1923:N1924"/>
    <mergeCell ref="H1950:I1950"/>
    <mergeCell ref="K1950:L1951"/>
    <mergeCell ref="N1950:N1951"/>
    <mergeCell ref="C1952:I1952"/>
    <mergeCell ref="A1954:C1954"/>
    <mergeCell ref="H1954:J1954"/>
    <mergeCell ref="C1943:I1943"/>
    <mergeCell ref="A1945:C1945"/>
    <mergeCell ref="H1945:J1945"/>
    <mergeCell ref="E1946:F1946"/>
    <mergeCell ref="H1946:J1947"/>
    <mergeCell ref="L1946:L1947"/>
    <mergeCell ref="E1937:F1937"/>
    <mergeCell ref="H1937:J1938"/>
    <mergeCell ref="L1937:L1938"/>
    <mergeCell ref="H1941:I1941"/>
    <mergeCell ref="K1941:L1942"/>
    <mergeCell ref="N1941:N1942"/>
    <mergeCell ref="H1968:I1968"/>
    <mergeCell ref="K1968:L1969"/>
    <mergeCell ref="N1968:N1969"/>
    <mergeCell ref="C1970:I1970"/>
    <mergeCell ref="A1972:C1972"/>
    <mergeCell ref="H1972:J1972"/>
    <mergeCell ref="C1961:I1961"/>
    <mergeCell ref="A1963:C1963"/>
    <mergeCell ref="H1963:J1963"/>
    <mergeCell ref="E1964:F1964"/>
    <mergeCell ref="H1964:J1965"/>
    <mergeCell ref="L1964:L1965"/>
    <mergeCell ref="E1955:F1955"/>
    <mergeCell ref="H1955:J1956"/>
    <mergeCell ref="L1955:L1956"/>
    <mergeCell ref="H1959:I1959"/>
    <mergeCell ref="K1959:L1960"/>
    <mergeCell ref="N1959:N1960"/>
    <mergeCell ref="H1986:I1986"/>
    <mergeCell ref="K1986:L1987"/>
    <mergeCell ref="N1986:N1987"/>
    <mergeCell ref="C1988:I1988"/>
    <mergeCell ref="A1990:C1990"/>
    <mergeCell ref="H1990:J1990"/>
    <mergeCell ref="C1979:I1979"/>
    <mergeCell ref="A1981:C1981"/>
    <mergeCell ref="H1981:J1981"/>
    <mergeCell ref="E1982:F1982"/>
    <mergeCell ref="H1982:J1983"/>
    <mergeCell ref="L1982:L1983"/>
    <mergeCell ref="E1973:F1973"/>
    <mergeCell ref="H1973:J1974"/>
    <mergeCell ref="L1973:L1974"/>
    <mergeCell ref="H1977:I1977"/>
    <mergeCell ref="K1977:L1978"/>
    <mergeCell ref="N1977:N1978"/>
    <mergeCell ref="H2004:I2004"/>
    <mergeCell ref="K2004:L2005"/>
    <mergeCell ref="N2004:N2005"/>
    <mergeCell ref="C2006:I2006"/>
    <mergeCell ref="A2008:C2008"/>
    <mergeCell ref="H2008:J2008"/>
    <mergeCell ref="C1997:I1997"/>
    <mergeCell ref="A1999:C1999"/>
    <mergeCell ref="H1999:J1999"/>
    <mergeCell ref="E2000:F2000"/>
    <mergeCell ref="H2000:J2001"/>
    <mergeCell ref="L2000:L2001"/>
    <mergeCell ref="E1991:F1991"/>
    <mergeCell ref="H1991:J1992"/>
    <mergeCell ref="L1991:L1992"/>
    <mergeCell ref="H1995:I1995"/>
    <mergeCell ref="K1995:L1996"/>
    <mergeCell ref="N1995:N1996"/>
    <mergeCell ref="H2022:I2022"/>
    <mergeCell ref="K2022:L2023"/>
    <mergeCell ref="N2022:N2023"/>
    <mergeCell ref="C2024:I2024"/>
    <mergeCell ref="A2026:C2026"/>
    <mergeCell ref="H2026:J2026"/>
    <mergeCell ref="C2015:I2015"/>
    <mergeCell ref="A2017:C2017"/>
    <mergeCell ref="H2017:J2017"/>
    <mergeCell ref="E2018:F2018"/>
    <mergeCell ref="H2018:J2019"/>
    <mergeCell ref="L2018:L2019"/>
    <mergeCell ref="E2009:F2009"/>
    <mergeCell ref="H2009:J2010"/>
    <mergeCell ref="L2009:L2010"/>
    <mergeCell ref="H2013:I2013"/>
    <mergeCell ref="K2013:L2014"/>
    <mergeCell ref="N2013:N2014"/>
    <mergeCell ref="H2040:I2040"/>
    <mergeCell ref="K2040:L2041"/>
    <mergeCell ref="N2040:N2041"/>
    <mergeCell ref="C2042:I2042"/>
    <mergeCell ref="A2044:C2044"/>
    <mergeCell ref="H2044:J2044"/>
    <mergeCell ref="C2033:I2033"/>
    <mergeCell ref="A2035:C2035"/>
    <mergeCell ref="H2035:J2035"/>
    <mergeCell ref="E2036:F2036"/>
    <mergeCell ref="H2036:J2037"/>
    <mergeCell ref="L2036:L2037"/>
    <mergeCell ref="E2027:F2027"/>
    <mergeCell ref="H2027:J2028"/>
    <mergeCell ref="L2027:L2028"/>
    <mergeCell ref="H2031:I2031"/>
    <mergeCell ref="K2031:L2032"/>
    <mergeCell ref="N2031:N2032"/>
    <mergeCell ref="H2058:I2058"/>
    <mergeCell ref="K2058:L2059"/>
    <mergeCell ref="N2058:N2059"/>
    <mergeCell ref="C2060:I2060"/>
    <mergeCell ref="A2062:C2062"/>
    <mergeCell ref="H2062:J2062"/>
    <mergeCell ref="C2051:I2051"/>
    <mergeCell ref="A2053:C2053"/>
    <mergeCell ref="H2053:J2053"/>
    <mergeCell ref="E2054:F2054"/>
    <mergeCell ref="H2054:J2055"/>
    <mergeCell ref="L2054:L2055"/>
    <mergeCell ref="E2045:F2045"/>
    <mergeCell ref="H2045:J2046"/>
    <mergeCell ref="L2045:L2046"/>
    <mergeCell ref="H2049:I2049"/>
    <mergeCell ref="K2049:L2050"/>
    <mergeCell ref="N2049:N2050"/>
    <mergeCell ref="H2076:I2076"/>
    <mergeCell ref="K2076:L2077"/>
    <mergeCell ref="N2076:N2077"/>
    <mergeCell ref="C2078:I2078"/>
    <mergeCell ref="A2080:C2080"/>
    <mergeCell ref="H2080:J2080"/>
    <mergeCell ref="C2069:I2069"/>
    <mergeCell ref="A2071:C2071"/>
    <mergeCell ref="H2071:J2071"/>
    <mergeCell ref="E2072:F2072"/>
    <mergeCell ref="H2072:J2073"/>
    <mergeCell ref="L2072:L2073"/>
    <mergeCell ref="E2063:F2063"/>
    <mergeCell ref="H2063:J2064"/>
    <mergeCell ref="L2063:L2064"/>
    <mergeCell ref="H2067:I2067"/>
    <mergeCell ref="K2067:L2068"/>
    <mergeCell ref="N2067:N2068"/>
    <mergeCell ref="H2094:I2094"/>
    <mergeCell ref="K2094:L2095"/>
    <mergeCell ref="N2094:N2095"/>
    <mergeCell ref="C2096:I2096"/>
    <mergeCell ref="A2098:C2098"/>
    <mergeCell ref="H2098:J2098"/>
    <mergeCell ref="C2087:I2087"/>
    <mergeCell ref="A2089:C2089"/>
    <mergeCell ref="H2089:J2089"/>
    <mergeCell ref="E2090:F2090"/>
    <mergeCell ref="H2090:J2091"/>
    <mergeCell ref="L2090:L2091"/>
    <mergeCell ref="E2081:F2081"/>
    <mergeCell ref="H2081:J2082"/>
    <mergeCell ref="L2081:L2082"/>
    <mergeCell ref="H2085:I2085"/>
    <mergeCell ref="K2085:L2086"/>
    <mergeCell ref="N2085:N2086"/>
    <mergeCell ref="H2112:I2112"/>
    <mergeCell ref="K2112:L2113"/>
    <mergeCell ref="N2112:N2113"/>
    <mergeCell ref="C2114:I2114"/>
    <mergeCell ref="A2116:C2116"/>
    <mergeCell ref="H2116:J2116"/>
    <mergeCell ref="C2105:I2105"/>
    <mergeCell ref="A2107:C2107"/>
    <mergeCell ref="H2107:J2107"/>
    <mergeCell ref="E2108:F2108"/>
    <mergeCell ref="H2108:J2109"/>
    <mergeCell ref="L2108:L2109"/>
    <mergeCell ref="E2099:F2099"/>
    <mergeCell ref="H2099:J2100"/>
    <mergeCell ref="L2099:L2100"/>
    <mergeCell ref="H2103:I2103"/>
    <mergeCell ref="K2103:L2104"/>
    <mergeCell ref="N2103:N2104"/>
    <mergeCell ref="H2130:I2130"/>
    <mergeCell ref="K2130:L2131"/>
    <mergeCell ref="N2130:N2131"/>
    <mergeCell ref="C2132:I2132"/>
    <mergeCell ref="A2134:C2134"/>
    <mergeCell ref="H2134:J2134"/>
    <mergeCell ref="C2123:I2123"/>
    <mergeCell ref="A2125:C2125"/>
    <mergeCell ref="H2125:J2125"/>
    <mergeCell ref="E2126:F2126"/>
    <mergeCell ref="H2126:J2127"/>
    <mergeCell ref="L2126:L2127"/>
    <mergeCell ref="E2117:F2117"/>
    <mergeCell ref="H2117:J2118"/>
    <mergeCell ref="L2117:L2118"/>
    <mergeCell ref="H2121:I2121"/>
    <mergeCell ref="K2121:L2122"/>
    <mergeCell ref="N2121:N2122"/>
    <mergeCell ref="H2148:I2148"/>
    <mergeCell ref="K2148:L2149"/>
    <mergeCell ref="N2148:N2149"/>
    <mergeCell ref="C2150:I2150"/>
    <mergeCell ref="A2152:C2152"/>
    <mergeCell ref="H2152:J2152"/>
    <mergeCell ref="C2141:I2141"/>
    <mergeCell ref="A2143:C2143"/>
    <mergeCell ref="H2143:J2143"/>
    <mergeCell ref="E2144:F2144"/>
    <mergeCell ref="H2144:J2145"/>
    <mergeCell ref="L2144:L2145"/>
    <mergeCell ref="E2135:F2135"/>
    <mergeCell ref="H2135:J2136"/>
    <mergeCell ref="L2135:L2136"/>
    <mergeCell ref="H2139:I2139"/>
    <mergeCell ref="K2139:L2140"/>
    <mergeCell ref="N2139:N2140"/>
    <mergeCell ref="H2166:I2166"/>
    <mergeCell ref="K2166:L2167"/>
    <mergeCell ref="N2166:N2167"/>
    <mergeCell ref="C2168:I2168"/>
    <mergeCell ref="A2170:C2170"/>
    <mergeCell ref="H2170:J2170"/>
    <mergeCell ref="C2159:I2159"/>
    <mergeCell ref="A2161:C2161"/>
    <mergeCell ref="H2161:J2161"/>
    <mergeCell ref="E2162:F2162"/>
    <mergeCell ref="H2162:J2163"/>
    <mergeCell ref="L2162:L2163"/>
    <mergeCell ref="E2153:F2153"/>
    <mergeCell ref="H2153:J2154"/>
    <mergeCell ref="L2153:L2154"/>
    <mergeCell ref="H2157:I2157"/>
    <mergeCell ref="K2157:L2158"/>
    <mergeCell ref="N2157:N2158"/>
    <mergeCell ref="H2184:I2184"/>
    <mergeCell ref="K2184:L2185"/>
    <mergeCell ref="N2184:N2185"/>
    <mergeCell ref="C2186:I2186"/>
    <mergeCell ref="A2188:C2188"/>
    <mergeCell ref="H2188:J2188"/>
    <mergeCell ref="C2177:I2177"/>
    <mergeCell ref="A2179:C2179"/>
    <mergeCell ref="H2179:J2179"/>
    <mergeCell ref="E2180:F2180"/>
    <mergeCell ref="H2180:J2181"/>
    <mergeCell ref="L2180:L2181"/>
    <mergeCell ref="E2171:F2171"/>
    <mergeCell ref="H2171:J2172"/>
    <mergeCell ref="L2171:L2172"/>
    <mergeCell ref="H2175:I2175"/>
    <mergeCell ref="K2175:L2176"/>
    <mergeCell ref="N2175:N2176"/>
    <mergeCell ref="H2202:I2202"/>
    <mergeCell ref="K2202:L2203"/>
    <mergeCell ref="N2202:N2203"/>
    <mergeCell ref="C2204:I2204"/>
    <mergeCell ref="A2206:C2206"/>
    <mergeCell ref="H2206:J2206"/>
    <mergeCell ref="C2195:I2195"/>
    <mergeCell ref="A2197:C2197"/>
    <mergeCell ref="H2197:J2197"/>
    <mergeCell ref="E2198:F2198"/>
    <mergeCell ref="H2198:J2199"/>
    <mergeCell ref="L2198:L2199"/>
    <mergeCell ref="E2189:F2189"/>
    <mergeCell ref="H2189:J2190"/>
    <mergeCell ref="L2189:L2190"/>
    <mergeCell ref="H2193:I2193"/>
    <mergeCell ref="K2193:L2194"/>
    <mergeCell ref="N2193:N2194"/>
    <mergeCell ref="H2220:I2220"/>
    <mergeCell ref="K2220:L2221"/>
    <mergeCell ref="N2220:N2221"/>
    <mergeCell ref="C2222:I2222"/>
    <mergeCell ref="A2224:C2224"/>
    <mergeCell ref="H2224:J2224"/>
    <mergeCell ref="C2213:I2213"/>
    <mergeCell ref="A2215:C2215"/>
    <mergeCell ref="H2215:J2215"/>
    <mergeCell ref="E2216:F2216"/>
    <mergeCell ref="H2216:J2217"/>
    <mergeCell ref="L2216:L2217"/>
    <mergeCell ref="E2207:F2207"/>
    <mergeCell ref="H2207:J2208"/>
    <mergeCell ref="L2207:L2208"/>
    <mergeCell ref="H2211:I2211"/>
    <mergeCell ref="K2211:L2212"/>
    <mergeCell ref="N2211:N2212"/>
    <mergeCell ref="H2238:I2238"/>
    <mergeCell ref="K2238:L2239"/>
    <mergeCell ref="N2238:N2239"/>
    <mergeCell ref="C2240:I2240"/>
    <mergeCell ref="A2242:C2242"/>
    <mergeCell ref="H2242:J2242"/>
    <mergeCell ref="C2231:I2231"/>
    <mergeCell ref="A2233:C2233"/>
    <mergeCell ref="H2233:J2233"/>
    <mergeCell ref="E2234:F2234"/>
    <mergeCell ref="H2234:J2235"/>
    <mergeCell ref="L2234:L2235"/>
    <mergeCell ref="E2225:F2225"/>
    <mergeCell ref="H2225:J2226"/>
    <mergeCell ref="L2225:L2226"/>
    <mergeCell ref="H2229:I2229"/>
    <mergeCell ref="K2229:L2230"/>
    <mergeCell ref="N2229:N2230"/>
    <mergeCell ref="H2256:I2256"/>
    <mergeCell ref="K2256:L2257"/>
    <mergeCell ref="N2256:N2257"/>
    <mergeCell ref="C2258:I2258"/>
    <mergeCell ref="A2260:C2260"/>
    <mergeCell ref="H2260:J2260"/>
    <mergeCell ref="C2249:I2249"/>
    <mergeCell ref="A2251:C2251"/>
    <mergeCell ref="H2251:J2251"/>
    <mergeCell ref="E2252:F2252"/>
    <mergeCell ref="H2252:J2253"/>
    <mergeCell ref="L2252:L2253"/>
    <mergeCell ref="E2243:F2243"/>
    <mergeCell ref="H2243:J2244"/>
    <mergeCell ref="L2243:L2244"/>
    <mergeCell ref="H2247:I2247"/>
    <mergeCell ref="K2247:L2248"/>
    <mergeCell ref="N2247:N2248"/>
    <mergeCell ref="H2274:I2274"/>
    <mergeCell ref="K2274:L2275"/>
    <mergeCell ref="N2274:N2275"/>
    <mergeCell ref="C2276:I2276"/>
    <mergeCell ref="A2278:C2278"/>
    <mergeCell ref="H2278:J2278"/>
    <mergeCell ref="C2267:I2267"/>
    <mergeCell ref="A2269:C2269"/>
    <mergeCell ref="H2269:J2269"/>
    <mergeCell ref="E2270:F2270"/>
    <mergeCell ref="H2270:J2271"/>
    <mergeCell ref="L2270:L2271"/>
    <mergeCell ref="E2261:F2261"/>
    <mergeCell ref="H2261:J2262"/>
    <mergeCell ref="L2261:L2262"/>
    <mergeCell ref="H2265:I2265"/>
    <mergeCell ref="K2265:L2266"/>
    <mergeCell ref="N2265:N2266"/>
    <mergeCell ref="H2292:I2292"/>
    <mergeCell ref="K2292:L2293"/>
    <mergeCell ref="N2292:N2293"/>
    <mergeCell ref="C2294:I2294"/>
    <mergeCell ref="A2296:C2296"/>
    <mergeCell ref="H2296:J2296"/>
    <mergeCell ref="C2285:I2285"/>
    <mergeCell ref="A2287:C2287"/>
    <mergeCell ref="H2287:J2287"/>
    <mergeCell ref="E2288:F2288"/>
    <mergeCell ref="H2288:J2289"/>
    <mergeCell ref="L2288:L2289"/>
    <mergeCell ref="E2279:F2279"/>
    <mergeCell ref="H2279:J2280"/>
    <mergeCell ref="L2279:L2280"/>
    <mergeCell ref="H2283:I2283"/>
    <mergeCell ref="K2283:L2284"/>
    <mergeCell ref="N2283:N2284"/>
    <mergeCell ref="H2310:I2310"/>
    <mergeCell ref="K2310:L2311"/>
    <mergeCell ref="N2310:N2311"/>
    <mergeCell ref="C2312:I2312"/>
    <mergeCell ref="A2314:C2314"/>
    <mergeCell ref="H2314:J2314"/>
    <mergeCell ref="C2303:I2303"/>
    <mergeCell ref="A2305:C2305"/>
    <mergeCell ref="H2305:J2305"/>
    <mergeCell ref="E2306:F2306"/>
    <mergeCell ref="H2306:J2307"/>
    <mergeCell ref="L2306:L2307"/>
    <mergeCell ref="E2297:F2297"/>
    <mergeCell ref="H2297:J2298"/>
    <mergeCell ref="L2297:L2298"/>
    <mergeCell ref="H2301:I2301"/>
    <mergeCell ref="K2301:L2302"/>
    <mergeCell ref="N2301:N2302"/>
    <mergeCell ref="H2328:I2328"/>
    <mergeCell ref="K2328:L2329"/>
    <mergeCell ref="N2328:N2329"/>
    <mergeCell ref="C2330:I2330"/>
    <mergeCell ref="A2332:C2332"/>
    <mergeCell ref="H2332:J2332"/>
    <mergeCell ref="C2321:I2321"/>
    <mergeCell ref="A2323:C2323"/>
    <mergeCell ref="H2323:J2323"/>
    <mergeCell ref="E2324:F2324"/>
    <mergeCell ref="H2324:J2325"/>
    <mergeCell ref="L2324:L2325"/>
    <mergeCell ref="E2315:F2315"/>
    <mergeCell ref="H2315:J2316"/>
    <mergeCell ref="L2315:L2316"/>
    <mergeCell ref="H2319:I2319"/>
    <mergeCell ref="K2319:L2320"/>
    <mergeCell ref="N2319:N2320"/>
    <mergeCell ref="H2346:I2346"/>
    <mergeCell ref="K2346:L2347"/>
    <mergeCell ref="N2346:N2347"/>
    <mergeCell ref="C2348:I2348"/>
    <mergeCell ref="A2350:C2350"/>
    <mergeCell ref="H2350:J2350"/>
    <mergeCell ref="C2339:I2339"/>
    <mergeCell ref="A2341:C2341"/>
    <mergeCell ref="H2341:J2341"/>
    <mergeCell ref="E2342:F2342"/>
    <mergeCell ref="H2342:J2343"/>
    <mergeCell ref="L2342:L2343"/>
    <mergeCell ref="E2333:F2333"/>
    <mergeCell ref="H2333:J2334"/>
    <mergeCell ref="L2333:L2334"/>
    <mergeCell ref="H2337:I2337"/>
    <mergeCell ref="K2337:L2338"/>
    <mergeCell ref="N2337:N2338"/>
    <mergeCell ref="H2364:I2364"/>
    <mergeCell ref="K2364:L2365"/>
    <mergeCell ref="N2364:N2365"/>
    <mergeCell ref="C2366:I2366"/>
    <mergeCell ref="A2368:C2368"/>
    <mergeCell ref="H2368:J2368"/>
    <mergeCell ref="C2357:I2357"/>
    <mergeCell ref="A2359:C2359"/>
    <mergeCell ref="H2359:J2359"/>
    <mergeCell ref="E2360:F2360"/>
    <mergeCell ref="H2360:J2361"/>
    <mergeCell ref="L2360:L2361"/>
    <mergeCell ref="E2351:F2351"/>
    <mergeCell ref="H2351:J2352"/>
    <mergeCell ref="L2351:L2352"/>
    <mergeCell ref="H2355:I2355"/>
    <mergeCell ref="K2355:L2356"/>
    <mergeCell ref="N2355:N2356"/>
    <mergeCell ref="H2382:I2382"/>
    <mergeCell ref="K2382:L2383"/>
    <mergeCell ref="N2382:N2383"/>
    <mergeCell ref="C2384:I2384"/>
    <mergeCell ref="A2386:C2386"/>
    <mergeCell ref="H2386:J2386"/>
    <mergeCell ref="C2375:I2375"/>
    <mergeCell ref="A2377:C2377"/>
    <mergeCell ref="H2377:J2377"/>
    <mergeCell ref="E2378:F2378"/>
    <mergeCell ref="H2378:J2379"/>
    <mergeCell ref="L2378:L2379"/>
    <mergeCell ref="E2369:F2369"/>
    <mergeCell ref="H2369:J2370"/>
    <mergeCell ref="L2369:L2370"/>
    <mergeCell ref="H2373:I2373"/>
    <mergeCell ref="K2373:L2374"/>
    <mergeCell ref="N2373:N2374"/>
    <mergeCell ref="H2401:I2401"/>
    <mergeCell ref="K2401:L2402"/>
    <mergeCell ref="N2401:N2402"/>
    <mergeCell ref="C2403:I2403"/>
    <mergeCell ref="A2405:C2405"/>
    <mergeCell ref="H2405:J2405"/>
    <mergeCell ref="N2392:N2393"/>
    <mergeCell ref="C2394:I2394"/>
    <mergeCell ref="A2396:C2396"/>
    <mergeCell ref="H2396:J2396"/>
    <mergeCell ref="E2397:F2397"/>
    <mergeCell ref="H2397:J2398"/>
    <mergeCell ref="L2397:L2398"/>
    <mergeCell ref="A2387:C2387"/>
    <mergeCell ref="H2387:J2387"/>
    <mergeCell ref="E2388:F2388"/>
    <mergeCell ref="H2388:J2389"/>
    <mergeCell ref="L2388:L2389"/>
    <mergeCell ref="H2392:I2392"/>
    <mergeCell ref="K2392:L2393"/>
    <mergeCell ref="H2419:I2419"/>
    <mergeCell ref="K2419:L2420"/>
    <mergeCell ref="N2419:N2420"/>
    <mergeCell ref="C2421:I2421"/>
    <mergeCell ref="A2423:C2423"/>
    <mergeCell ref="H2423:J2423"/>
    <mergeCell ref="C2412:I2412"/>
    <mergeCell ref="A2414:C2414"/>
    <mergeCell ref="H2414:J2414"/>
    <mergeCell ref="E2415:F2415"/>
    <mergeCell ref="H2415:J2416"/>
    <mergeCell ref="L2415:L2416"/>
    <mergeCell ref="E2406:F2406"/>
    <mergeCell ref="H2406:J2407"/>
    <mergeCell ref="L2406:L2407"/>
    <mergeCell ref="H2410:I2410"/>
    <mergeCell ref="K2410:L2411"/>
    <mergeCell ref="N2410:N2411"/>
    <mergeCell ref="H2437:I2437"/>
    <mergeCell ref="K2437:L2438"/>
    <mergeCell ref="N2437:N2438"/>
    <mergeCell ref="C2439:I2439"/>
    <mergeCell ref="A2441:C2441"/>
    <mergeCell ref="H2441:J2441"/>
    <mergeCell ref="C2430:I2430"/>
    <mergeCell ref="A2432:C2432"/>
    <mergeCell ref="H2432:J2432"/>
    <mergeCell ref="E2433:F2433"/>
    <mergeCell ref="H2433:J2434"/>
    <mergeCell ref="L2433:L2434"/>
    <mergeCell ref="E2424:F2424"/>
    <mergeCell ref="H2424:J2425"/>
    <mergeCell ref="L2424:L2425"/>
    <mergeCell ref="H2428:I2428"/>
    <mergeCell ref="K2428:L2429"/>
    <mergeCell ref="N2428:N2429"/>
    <mergeCell ref="H2455:I2455"/>
    <mergeCell ref="K2455:L2456"/>
    <mergeCell ref="N2455:N2456"/>
    <mergeCell ref="C2457:I2457"/>
    <mergeCell ref="A2459:C2459"/>
    <mergeCell ref="H2459:J2459"/>
    <mergeCell ref="C2448:I2448"/>
    <mergeCell ref="A2450:C2450"/>
    <mergeCell ref="H2450:J2450"/>
    <mergeCell ref="E2451:F2451"/>
    <mergeCell ref="H2451:J2452"/>
    <mergeCell ref="L2451:L2452"/>
    <mergeCell ref="E2442:F2442"/>
    <mergeCell ref="H2442:J2443"/>
    <mergeCell ref="L2442:L2443"/>
    <mergeCell ref="H2446:I2446"/>
    <mergeCell ref="K2446:L2447"/>
    <mergeCell ref="N2446:N2447"/>
    <mergeCell ref="H2473:I2473"/>
    <mergeCell ref="K2473:L2474"/>
    <mergeCell ref="N2473:N2474"/>
    <mergeCell ref="C2475:I2475"/>
    <mergeCell ref="A2477:C2477"/>
    <mergeCell ref="H2477:J2477"/>
    <mergeCell ref="C2466:I2466"/>
    <mergeCell ref="A2468:C2468"/>
    <mergeCell ref="H2468:J2468"/>
    <mergeCell ref="E2469:F2469"/>
    <mergeCell ref="H2469:J2470"/>
    <mergeCell ref="L2469:L2470"/>
    <mergeCell ref="E2460:F2460"/>
    <mergeCell ref="H2460:J2461"/>
    <mergeCell ref="L2460:L2461"/>
    <mergeCell ref="H2464:I2464"/>
    <mergeCell ref="K2464:L2465"/>
    <mergeCell ref="N2464:N2465"/>
    <mergeCell ref="H2491:I2491"/>
    <mergeCell ref="K2491:L2492"/>
    <mergeCell ref="N2491:N2492"/>
    <mergeCell ref="C2493:I2493"/>
    <mergeCell ref="A2495:C2495"/>
    <mergeCell ref="H2495:J2495"/>
    <mergeCell ref="C2484:I2484"/>
    <mergeCell ref="A2486:C2486"/>
    <mergeCell ref="H2486:J2486"/>
    <mergeCell ref="E2487:F2487"/>
    <mergeCell ref="H2487:J2488"/>
    <mergeCell ref="L2487:L2488"/>
    <mergeCell ref="E2478:F2478"/>
    <mergeCell ref="H2478:J2479"/>
    <mergeCell ref="L2478:L2479"/>
    <mergeCell ref="H2482:I2482"/>
    <mergeCell ref="K2482:L2483"/>
    <mergeCell ref="N2482:N2483"/>
    <mergeCell ref="H2509:I2509"/>
    <mergeCell ref="K2509:L2510"/>
    <mergeCell ref="N2509:N2510"/>
    <mergeCell ref="C2511:I2511"/>
    <mergeCell ref="A2513:C2513"/>
    <mergeCell ref="H2513:J2513"/>
    <mergeCell ref="C2502:I2502"/>
    <mergeCell ref="A2504:C2504"/>
    <mergeCell ref="H2504:J2504"/>
    <mergeCell ref="E2505:F2505"/>
    <mergeCell ref="H2505:J2506"/>
    <mergeCell ref="L2505:L2506"/>
    <mergeCell ref="E2496:F2496"/>
    <mergeCell ref="H2496:J2497"/>
    <mergeCell ref="L2496:L2497"/>
    <mergeCell ref="H2500:I2500"/>
    <mergeCell ref="K2500:L2501"/>
    <mergeCell ref="N2500:N2501"/>
    <mergeCell ref="H2527:I2527"/>
    <mergeCell ref="K2527:L2528"/>
    <mergeCell ref="N2527:N2528"/>
    <mergeCell ref="C2529:I2529"/>
    <mergeCell ref="A2531:C2531"/>
    <mergeCell ref="H2531:J2531"/>
    <mergeCell ref="C2520:I2520"/>
    <mergeCell ref="A2522:C2522"/>
    <mergeCell ref="H2522:J2522"/>
    <mergeCell ref="E2523:F2523"/>
    <mergeCell ref="H2523:J2524"/>
    <mergeCell ref="L2523:L2524"/>
    <mergeCell ref="E2514:F2514"/>
    <mergeCell ref="H2514:J2515"/>
    <mergeCell ref="L2514:L2515"/>
    <mergeCell ref="H2518:I2518"/>
    <mergeCell ref="K2518:L2519"/>
    <mergeCell ref="N2518:N2519"/>
    <mergeCell ref="H2545:I2545"/>
    <mergeCell ref="K2545:L2546"/>
    <mergeCell ref="N2545:N2546"/>
    <mergeCell ref="C2547:I2547"/>
    <mergeCell ref="A2549:C2549"/>
    <mergeCell ref="H2549:J2549"/>
    <mergeCell ref="C2538:I2538"/>
    <mergeCell ref="A2540:C2540"/>
    <mergeCell ref="H2540:J2540"/>
    <mergeCell ref="E2541:F2541"/>
    <mergeCell ref="H2541:J2542"/>
    <mergeCell ref="L2541:L2542"/>
    <mergeCell ref="E2532:F2532"/>
    <mergeCell ref="H2532:J2533"/>
    <mergeCell ref="L2532:L2533"/>
    <mergeCell ref="H2536:I2536"/>
    <mergeCell ref="K2536:L2537"/>
    <mergeCell ref="N2536:N2537"/>
    <mergeCell ref="H2563:I2563"/>
    <mergeCell ref="K2563:L2564"/>
    <mergeCell ref="N2563:N2564"/>
    <mergeCell ref="C2565:I2565"/>
    <mergeCell ref="A2567:C2567"/>
    <mergeCell ref="H2567:J2567"/>
    <mergeCell ref="C2556:I2556"/>
    <mergeCell ref="A2558:C2558"/>
    <mergeCell ref="H2558:J2558"/>
    <mergeCell ref="E2559:F2559"/>
    <mergeCell ref="H2559:J2560"/>
    <mergeCell ref="L2559:L2560"/>
    <mergeCell ref="E2550:F2550"/>
    <mergeCell ref="H2550:J2551"/>
    <mergeCell ref="L2550:L2551"/>
    <mergeCell ref="H2554:I2554"/>
    <mergeCell ref="K2554:L2555"/>
    <mergeCell ref="N2554:N2555"/>
    <mergeCell ref="H2581:I2581"/>
    <mergeCell ref="K2581:L2582"/>
    <mergeCell ref="N2581:N2582"/>
    <mergeCell ref="C2583:I2583"/>
    <mergeCell ref="A2585:C2585"/>
    <mergeCell ref="H2585:J2585"/>
    <mergeCell ref="C2574:I2574"/>
    <mergeCell ref="A2576:C2576"/>
    <mergeCell ref="H2576:J2576"/>
    <mergeCell ref="E2577:F2577"/>
    <mergeCell ref="H2577:J2578"/>
    <mergeCell ref="L2577:L2578"/>
    <mergeCell ref="E2568:F2568"/>
    <mergeCell ref="H2568:J2569"/>
    <mergeCell ref="L2568:L2569"/>
    <mergeCell ref="H2572:I2572"/>
    <mergeCell ref="K2572:L2573"/>
    <mergeCell ref="N2572:N2573"/>
    <mergeCell ref="H2599:I2599"/>
    <mergeCell ref="K2599:L2600"/>
    <mergeCell ref="N2599:N2600"/>
    <mergeCell ref="C2601:I2601"/>
    <mergeCell ref="A2603:C2603"/>
    <mergeCell ref="H2603:J2603"/>
    <mergeCell ref="C2592:I2592"/>
    <mergeCell ref="A2594:C2594"/>
    <mergeCell ref="H2594:J2594"/>
    <mergeCell ref="E2595:F2595"/>
    <mergeCell ref="H2595:J2596"/>
    <mergeCell ref="L2595:L2596"/>
    <mergeCell ref="E2586:F2586"/>
    <mergeCell ref="H2586:J2587"/>
    <mergeCell ref="L2586:L2587"/>
    <mergeCell ref="H2590:I2590"/>
    <mergeCell ref="K2590:L2591"/>
    <mergeCell ref="N2590:N2591"/>
    <mergeCell ref="H2617:I2617"/>
    <mergeCell ref="K2617:L2618"/>
    <mergeCell ref="N2617:N2618"/>
    <mergeCell ref="C2619:I2619"/>
    <mergeCell ref="A2621:C2621"/>
    <mergeCell ref="H2621:J2621"/>
    <mergeCell ref="C2610:I2610"/>
    <mergeCell ref="A2612:C2612"/>
    <mergeCell ref="H2612:J2612"/>
    <mergeCell ref="E2613:F2613"/>
    <mergeCell ref="H2613:J2614"/>
    <mergeCell ref="L2613:L2614"/>
    <mergeCell ref="E2604:F2604"/>
    <mergeCell ref="H2604:J2605"/>
    <mergeCell ref="L2604:L2605"/>
    <mergeCell ref="H2608:I2608"/>
    <mergeCell ref="K2608:L2609"/>
    <mergeCell ref="N2608:N2609"/>
    <mergeCell ref="H2635:I2635"/>
    <mergeCell ref="K2635:L2636"/>
    <mergeCell ref="N2635:N2636"/>
    <mergeCell ref="C2637:I2637"/>
    <mergeCell ref="A2639:C2639"/>
    <mergeCell ref="H2639:J2639"/>
    <mergeCell ref="C2628:I2628"/>
    <mergeCell ref="A2630:C2630"/>
    <mergeCell ref="H2630:J2630"/>
    <mergeCell ref="E2631:F2631"/>
    <mergeCell ref="H2631:J2632"/>
    <mergeCell ref="L2631:L2632"/>
    <mergeCell ref="E2622:F2622"/>
    <mergeCell ref="H2622:J2623"/>
    <mergeCell ref="L2622:L2623"/>
    <mergeCell ref="H2626:I2626"/>
    <mergeCell ref="K2626:L2627"/>
    <mergeCell ref="N2626:N2627"/>
    <mergeCell ref="H2653:I2653"/>
    <mergeCell ref="K2653:L2654"/>
    <mergeCell ref="N2653:N2654"/>
    <mergeCell ref="C2655:I2655"/>
    <mergeCell ref="A2657:C2657"/>
    <mergeCell ref="H2657:J2657"/>
    <mergeCell ref="C2646:I2646"/>
    <mergeCell ref="A2648:C2648"/>
    <mergeCell ref="H2648:J2648"/>
    <mergeCell ref="E2649:F2649"/>
    <mergeCell ref="H2649:J2650"/>
    <mergeCell ref="L2649:L2650"/>
    <mergeCell ref="E2640:F2640"/>
    <mergeCell ref="H2640:J2641"/>
    <mergeCell ref="L2640:L2641"/>
    <mergeCell ref="H2644:I2644"/>
    <mergeCell ref="K2644:L2645"/>
    <mergeCell ref="N2644:N2645"/>
    <mergeCell ref="H2671:I2671"/>
    <mergeCell ref="K2671:L2672"/>
    <mergeCell ref="N2671:N2672"/>
    <mergeCell ref="C2673:I2673"/>
    <mergeCell ref="A2675:C2675"/>
    <mergeCell ref="H2675:J2675"/>
    <mergeCell ref="C2664:I2664"/>
    <mergeCell ref="A2666:C2666"/>
    <mergeCell ref="H2666:J2666"/>
    <mergeCell ref="E2667:F2667"/>
    <mergeCell ref="H2667:J2668"/>
    <mergeCell ref="L2667:L2668"/>
    <mergeCell ref="E2658:F2658"/>
    <mergeCell ref="H2658:J2659"/>
    <mergeCell ref="L2658:L2659"/>
    <mergeCell ref="H2662:I2662"/>
    <mergeCell ref="K2662:L2663"/>
    <mergeCell ref="N2662:N2663"/>
    <mergeCell ref="H2689:I2689"/>
    <mergeCell ref="K2689:L2690"/>
    <mergeCell ref="N2689:N2690"/>
    <mergeCell ref="C2691:I2691"/>
    <mergeCell ref="A2693:C2693"/>
    <mergeCell ref="H2693:J2693"/>
    <mergeCell ref="C2682:I2682"/>
    <mergeCell ref="A2684:C2684"/>
    <mergeCell ref="H2684:J2684"/>
    <mergeCell ref="E2685:F2685"/>
    <mergeCell ref="H2685:J2686"/>
    <mergeCell ref="L2685:L2686"/>
    <mergeCell ref="E2676:F2676"/>
    <mergeCell ref="H2676:J2677"/>
    <mergeCell ref="L2676:L2677"/>
    <mergeCell ref="H2680:I2680"/>
    <mergeCell ref="K2680:L2681"/>
    <mergeCell ref="N2680:N2681"/>
    <mergeCell ref="H2707:I2707"/>
    <mergeCell ref="K2707:L2708"/>
    <mergeCell ref="N2707:N2708"/>
    <mergeCell ref="C2709:I2709"/>
    <mergeCell ref="A2711:C2711"/>
    <mergeCell ref="H2711:J2711"/>
    <mergeCell ref="C2700:I2700"/>
    <mergeCell ref="A2702:C2702"/>
    <mergeCell ref="H2702:J2702"/>
    <mergeCell ref="E2703:F2703"/>
    <mergeCell ref="H2703:J2704"/>
    <mergeCell ref="L2703:L2704"/>
    <mergeCell ref="E2694:F2694"/>
    <mergeCell ref="H2694:J2695"/>
    <mergeCell ref="L2694:L2695"/>
    <mergeCell ref="H2698:I2698"/>
    <mergeCell ref="K2698:L2699"/>
    <mergeCell ref="N2698:N2699"/>
    <mergeCell ref="H2725:I2725"/>
    <mergeCell ref="K2725:L2726"/>
    <mergeCell ref="N2725:N2726"/>
    <mergeCell ref="C2727:I2727"/>
    <mergeCell ref="A2729:C2729"/>
    <mergeCell ref="H2729:J2729"/>
    <mergeCell ref="C2718:I2718"/>
    <mergeCell ref="A2720:C2720"/>
    <mergeCell ref="H2720:J2720"/>
    <mergeCell ref="E2721:F2721"/>
    <mergeCell ref="H2721:J2722"/>
    <mergeCell ref="L2721:L2722"/>
    <mergeCell ref="E2712:F2712"/>
    <mergeCell ref="H2712:J2713"/>
    <mergeCell ref="L2712:L2713"/>
    <mergeCell ref="H2716:I2716"/>
    <mergeCell ref="K2716:L2717"/>
    <mergeCell ref="N2716:N2717"/>
    <mergeCell ref="H2743:I2743"/>
    <mergeCell ref="K2743:L2744"/>
    <mergeCell ref="N2743:N2744"/>
    <mergeCell ref="C2745:I2745"/>
    <mergeCell ref="A2747:C2747"/>
    <mergeCell ref="H2747:J2747"/>
    <mergeCell ref="C2736:I2736"/>
    <mergeCell ref="A2738:C2738"/>
    <mergeCell ref="H2738:J2738"/>
    <mergeCell ref="E2739:F2739"/>
    <mergeCell ref="H2739:J2740"/>
    <mergeCell ref="L2739:L2740"/>
    <mergeCell ref="E2730:F2730"/>
    <mergeCell ref="H2730:J2731"/>
    <mergeCell ref="L2730:L2731"/>
    <mergeCell ref="H2734:I2734"/>
    <mergeCell ref="K2734:L2735"/>
    <mergeCell ref="N2734:N2735"/>
    <mergeCell ref="H2762:I2762"/>
    <mergeCell ref="K2762:L2763"/>
    <mergeCell ref="N2762:N2763"/>
    <mergeCell ref="C2764:I2764"/>
    <mergeCell ref="A2766:C2766"/>
    <mergeCell ref="H2766:J2766"/>
    <mergeCell ref="N2753:N2754"/>
    <mergeCell ref="C2755:I2755"/>
    <mergeCell ref="A2757:C2757"/>
    <mergeCell ref="H2757:J2757"/>
    <mergeCell ref="E2758:F2758"/>
    <mergeCell ref="H2758:J2759"/>
    <mergeCell ref="L2758:L2759"/>
    <mergeCell ref="A2748:C2748"/>
    <mergeCell ref="H2748:J2748"/>
    <mergeCell ref="E2749:F2749"/>
    <mergeCell ref="H2749:J2750"/>
    <mergeCell ref="L2749:L2750"/>
    <mergeCell ref="H2753:I2753"/>
    <mergeCell ref="K2753:L2754"/>
    <mergeCell ref="H2780:I2780"/>
    <mergeCell ref="K2780:L2781"/>
    <mergeCell ref="N2780:N2781"/>
    <mergeCell ref="C2782:I2782"/>
    <mergeCell ref="A2784:C2784"/>
    <mergeCell ref="H2784:J2784"/>
    <mergeCell ref="C2773:I2773"/>
    <mergeCell ref="A2775:C2775"/>
    <mergeCell ref="H2775:J2775"/>
    <mergeCell ref="E2776:F2776"/>
    <mergeCell ref="H2776:J2777"/>
    <mergeCell ref="L2776:L2777"/>
    <mergeCell ref="E2767:F2767"/>
    <mergeCell ref="H2767:J2768"/>
    <mergeCell ref="L2767:L2768"/>
    <mergeCell ref="H2771:I2771"/>
    <mergeCell ref="K2771:L2772"/>
    <mergeCell ref="N2771:N2772"/>
    <mergeCell ref="H2798:I2798"/>
    <mergeCell ref="K2798:L2799"/>
    <mergeCell ref="N2798:N2799"/>
    <mergeCell ref="C2800:I2800"/>
    <mergeCell ref="A2802:C2802"/>
    <mergeCell ref="H2802:J2802"/>
    <mergeCell ref="C2791:I2791"/>
    <mergeCell ref="A2793:C2793"/>
    <mergeCell ref="H2793:J2793"/>
    <mergeCell ref="E2794:F2794"/>
    <mergeCell ref="H2794:J2795"/>
    <mergeCell ref="L2794:L2795"/>
    <mergeCell ref="E2785:F2785"/>
    <mergeCell ref="H2785:J2786"/>
    <mergeCell ref="L2785:L2786"/>
    <mergeCell ref="H2789:I2789"/>
    <mergeCell ref="K2789:L2790"/>
    <mergeCell ref="N2789:N2790"/>
    <mergeCell ref="H2816:I2816"/>
    <mergeCell ref="K2816:L2817"/>
    <mergeCell ref="N2816:N2817"/>
    <mergeCell ref="C2818:I2818"/>
    <mergeCell ref="A2820:C2820"/>
    <mergeCell ref="H2820:J2820"/>
    <mergeCell ref="C2809:I2809"/>
    <mergeCell ref="A2811:C2811"/>
    <mergeCell ref="H2811:J2811"/>
    <mergeCell ref="E2812:F2812"/>
    <mergeCell ref="H2812:J2813"/>
    <mergeCell ref="L2812:L2813"/>
    <mergeCell ref="E2803:F2803"/>
    <mergeCell ref="H2803:J2804"/>
    <mergeCell ref="L2803:L2804"/>
    <mergeCell ref="H2807:I2807"/>
    <mergeCell ref="K2807:L2808"/>
    <mergeCell ref="N2807:N2808"/>
    <mergeCell ref="H2834:I2834"/>
    <mergeCell ref="K2834:L2835"/>
    <mergeCell ref="N2834:N2835"/>
    <mergeCell ref="C2836:I2836"/>
    <mergeCell ref="A2838:C2838"/>
    <mergeCell ref="H2838:J2838"/>
    <mergeCell ref="C2827:I2827"/>
    <mergeCell ref="A2829:C2829"/>
    <mergeCell ref="H2829:J2829"/>
    <mergeCell ref="E2830:F2830"/>
    <mergeCell ref="H2830:J2831"/>
    <mergeCell ref="L2830:L2831"/>
    <mergeCell ref="E2821:F2821"/>
    <mergeCell ref="H2821:J2822"/>
    <mergeCell ref="L2821:L2822"/>
    <mergeCell ref="H2825:I2825"/>
    <mergeCell ref="K2825:L2826"/>
    <mergeCell ref="N2825:N2826"/>
    <mergeCell ref="H2852:I2852"/>
    <mergeCell ref="K2852:L2853"/>
    <mergeCell ref="N2852:N2853"/>
    <mergeCell ref="C2854:I2854"/>
    <mergeCell ref="A2856:C2856"/>
    <mergeCell ref="H2856:J2856"/>
    <mergeCell ref="C2845:I2845"/>
    <mergeCell ref="A2847:C2847"/>
    <mergeCell ref="H2847:J2847"/>
    <mergeCell ref="E2848:F2848"/>
    <mergeCell ref="H2848:J2849"/>
    <mergeCell ref="L2848:L2849"/>
    <mergeCell ref="E2839:F2839"/>
    <mergeCell ref="H2839:J2840"/>
    <mergeCell ref="L2839:L2840"/>
    <mergeCell ref="H2843:I2843"/>
    <mergeCell ref="K2843:L2844"/>
    <mergeCell ref="N2843:N2844"/>
    <mergeCell ref="H2870:I2870"/>
    <mergeCell ref="K2870:L2871"/>
    <mergeCell ref="N2870:N2871"/>
    <mergeCell ref="C2872:I2872"/>
    <mergeCell ref="A2874:C2874"/>
    <mergeCell ref="H2874:J2874"/>
    <mergeCell ref="C2863:I2863"/>
    <mergeCell ref="A2865:C2865"/>
    <mergeCell ref="H2865:J2865"/>
    <mergeCell ref="E2866:F2866"/>
    <mergeCell ref="H2866:J2867"/>
    <mergeCell ref="L2866:L2867"/>
    <mergeCell ref="E2857:F2857"/>
    <mergeCell ref="H2857:J2858"/>
    <mergeCell ref="L2857:L2858"/>
    <mergeCell ref="H2861:I2861"/>
    <mergeCell ref="K2861:L2862"/>
    <mergeCell ref="N2861:N2862"/>
    <mergeCell ref="H2889:I2889"/>
    <mergeCell ref="K2889:L2890"/>
    <mergeCell ref="N2889:N2890"/>
    <mergeCell ref="C2891:I2891"/>
    <mergeCell ref="A2893:C2893"/>
    <mergeCell ref="H2893:J2893"/>
    <mergeCell ref="N2880:N2881"/>
    <mergeCell ref="C2882:I2882"/>
    <mergeCell ref="A2884:C2884"/>
    <mergeCell ref="H2884:J2884"/>
    <mergeCell ref="E2885:F2885"/>
    <mergeCell ref="H2885:J2886"/>
    <mergeCell ref="L2885:L2886"/>
    <mergeCell ref="A2875:C2875"/>
    <mergeCell ref="H2875:J2875"/>
    <mergeCell ref="E2876:F2876"/>
    <mergeCell ref="H2876:J2877"/>
    <mergeCell ref="L2876:L2877"/>
    <mergeCell ref="H2880:I2880"/>
    <mergeCell ref="K2880:L2881"/>
    <mergeCell ref="H2907:I2907"/>
    <mergeCell ref="K2907:L2908"/>
    <mergeCell ref="N2907:N2908"/>
    <mergeCell ref="C2909:I2909"/>
    <mergeCell ref="A2911:C2911"/>
    <mergeCell ref="H2911:J2911"/>
    <mergeCell ref="C2900:I2900"/>
    <mergeCell ref="A2902:C2902"/>
    <mergeCell ref="H2902:J2902"/>
    <mergeCell ref="E2903:F2903"/>
    <mergeCell ref="H2903:J2904"/>
    <mergeCell ref="L2903:L2904"/>
    <mergeCell ref="E2894:F2894"/>
    <mergeCell ref="H2894:J2895"/>
    <mergeCell ref="L2894:L2895"/>
    <mergeCell ref="H2898:I2898"/>
    <mergeCell ref="K2898:L2899"/>
    <mergeCell ref="N2898:N2899"/>
    <mergeCell ref="H2925:I2925"/>
    <mergeCell ref="K2925:L2926"/>
    <mergeCell ref="N2925:N2926"/>
    <mergeCell ref="C2927:I2927"/>
    <mergeCell ref="A2929:C2929"/>
    <mergeCell ref="H2929:J2929"/>
    <mergeCell ref="C2918:I2918"/>
    <mergeCell ref="A2920:C2920"/>
    <mergeCell ref="H2920:J2920"/>
    <mergeCell ref="E2921:F2921"/>
    <mergeCell ref="H2921:J2922"/>
    <mergeCell ref="L2921:L2922"/>
    <mergeCell ref="E2912:F2912"/>
    <mergeCell ref="H2912:J2913"/>
    <mergeCell ref="L2912:L2913"/>
    <mergeCell ref="H2916:I2916"/>
    <mergeCell ref="K2916:L2917"/>
    <mergeCell ref="N2916:N2917"/>
    <mergeCell ref="H2943:I2943"/>
    <mergeCell ref="K2943:L2944"/>
    <mergeCell ref="N2943:N2944"/>
    <mergeCell ref="C2945:I2945"/>
    <mergeCell ref="A2947:C2947"/>
    <mergeCell ref="H2947:J2947"/>
    <mergeCell ref="C2936:I2936"/>
    <mergeCell ref="A2938:C2938"/>
    <mergeCell ref="H2938:J2938"/>
    <mergeCell ref="E2939:F2939"/>
    <mergeCell ref="H2939:J2940"/>
    <mergeCell ref="L2939:L2940"/>
    <mergeCell ref="E2930:F2930"/>
    <mergeCell ref="H2930:J2931"/>
    <mergeCell ref="L2930:L2931"/>
    <mergeCell ref="H2934:I2934"/>
    <mergeCell ref="K2934:L2935"/>
    <mergeCell ref="N2934:N2935"/>
    <mergeCell ref="H2962:I2962"/>
    <mergeCell ref="K2962:L2963"/>
    <mergeCell ref="N2962:N2963"/>
    <mergeCell ref="C2964:I2964"/>
    <mergeCell ref="A2966:C2966"/>
    <mergeCell ref="H2966:J2966"/>
    <mergeCell ref="N2953:N2954"/>
    <mergeCell ref="C2955:I2955"/>
    <mergeCell ref="A2957:C2957"/>
    <mergeCell ref="H2957:J2957"/>
    <mergeCell ref="E2958:F2958"/>
    <mergeCell ref="H2958:J2959"/>
    <mergeCell ref="L2958:L2959"/>
    <mergeCell ref="A2948:C2948"/>
    <mergeCell ref="H2948:J2948"/>
    <mergeCell ref="E2949:F2949"/>
    <mergeCell ref="H2949:J2950"/>
    <mergeCell ref="L2949:L2950"/>
    <mergeCell ref="H2953:I2953"/>
    <mergeCell ref="K2953:L2954"/>
    <mergeCell ref="N2989:N2990"/>
    <mergeCell ref="H2980:I2980"/>
    <mergeCell ref="K2980:L2981"/>
    <mergeCell ref="N2980:N2981"/>
    <mergeCell ref="C2982:I2982"/>
    <mergeCell ref="A2984:C2984"/>
    <mergeCell ref="H2984:J2984"/>
    <mergeCell ref="C2973:I2973"/>
    <mergeCell ref="A2975:C2975"/>
    <mergeCell ref="H2975:J2975"/>
    <mergeCell ref="E2976:F2976"/>
    <mergeCell ref="H2976:J2977"/>
    <mergeCell ref="L2976:L2977"/>
    <mergeCell ref="E2967:F2967"/>
    <mergeCell ref="H2967:J2968"/>
    <mergeCell ref="L2967:L2968"/>
    <mergeCell ref="H2971:I2971"/>
    <mergeCell ref="K2971:L2972"/>
    <mergeCell ref="N2971:N2972"/>
    <mergeCell ref="A2996:C2996"/>
    <mergeCell ref="H2996:J2996"/>
    <mergeCell ref="E2997:F2997"/>
    <mergeCell ref="H2997:J2998"/>
    <mergeCell ref="L2997:L2998"/>
    <mergeCell ref="H3001:I3001"/>
    <mergeCell ref="K3001:L3002"/>
    <mergeCell ref="C2991:I2991"/>
    <mergeCell ref="A2993:C2993"/>
    <mergeCell ref="H2993:J2993"/>
    <mergeCell ref="A2994:C2994"/>
    <mergeCell ref="H2994:J2994"/>
    <mergeCell ref="A2995:C2995"/>
    <mergeCell ref="H2995:J2995"/>
    <mergeCell ref="E2985:F2985"/>
    <mergeCell ref="H2985:J2986"/>
    <mergeCell ref="L2985:L2986"/>
    <mergeCell ref="H2989:I2989"/>
    <mergeCell ref="K2989:L2990"/>
    <mergeCell ref="E3015:F3015"/>
    <mergeCell ref="H3015:J3016"/>
    <mergeCell ref="L3015:L3016"/>
    <mergeCell ref="H3019:I3019"/>
    <mergeCell ref="K3019:L3020"/>
    <mergeCell ref="N3019:N3020"/>
    <mergeCell ref="H3010:I3010"/>
    <mergeCell ref="K3010:L3011"/>
    <mergeCell ref="N3010:N3011"/>
    <mergeCell ref="C3012:I3012"/>
    <mergeCell ref="A3014:C3014"/>
    <mergeCell ref="H3014:J3014"/>
    <mergeCell ref="N3001:N3002"/>
    <mergeCell ref="C3003:I3003"/>
    <mergeCell ref="A3005:C3005"/>
    <mergeCell ref="H3005:J3005"/>
    <mergeCell ref="E3006:F3006"/>
    <mergeCell ref="H3006:J3007"/>
    <mergeCell ref="L3006:L3007"/>
    <mergeCell ref="E3033:F3033"/>
    <mergeCell ref="H3033:J3034"/>
    <mergeCell ref="L3033:L3034"/>
    <mergeCell ref="H3037:I3037"/>
    <mergeCell ref="K3037:L3038"/>
    <mergeCell ref="N3037:N3038"/>
    <mergeCell ref="H3028:I3028"/>
    <mergeCell ref="K3028:L3029"/>
    <mergeCell ref="N3028:N3029"/>
    <mergeCell ref="C3030:I3030"/>
    <mergeCell ref="A3032:C3032"/>
    <mergeCell ref="H3032:J3032"/>
    <mergeCell ref="C3021:I3021"/>
    <mergeCell ref="A3023:C3023"/>
    <mergeCell ref="H3023:J3023"/>
    <mergeCell ref="E3024:F3024"/>
    <mergeCell ref="H3024:J3025"/>
    <mergeCell ref="L3024:L3025"/>
    <mergeCell ref="A3051:C3051"/>
    <mergeCell ref="H3051:J3051"/>
    <mergeCell ref="E3052:F3052"/>
    <mergeCell ref="H3052:J3053"/>
    <mergeCell ref="L3052:L3053"/>
    <mergeCell ref="H3056:I3056"/>
    <mergeCell ref="K3056:L3057"/>
    <mergeCell ref="H3046:I3046"/>
    <mergeCell ref="K3046:L3047"/>
    <mergeCell ref="N3046:N3047"/>
    <mergeCell ref="C3048:I3048"/>
    <mergeCell ref="A3050:C3050"/>
    <mergeCell ref="H3050:J3050"/>
    <mergeCell ref="C3039:I3039"/>
    <mergeCell ref="A3041:C3041"/>
    <mergeCell ref="H3041:J3041"/>
    <mergeCell ref="E3042:F3042"/>
    <mergeCell ref="H3042:J3043"/>
    <mergeCell ref="L3042:L3043"/>
    <mergeCell ref="N3077:N3078"/>
    <mergeCell ref="C3068:I3068"/>
    <mergeCell ref="A3070:C3070"/>
    <mergeCell ref="H3070:J3070"/>
    <mergeCell ref="A3071:C3071"/>
    <mergeCell ref="H3071:J3071"/>
    <mergeCell ref="A3072:C3072"/>
    <mergeCell ref="H3072:J3072"/>
    <mergeCell ref="E3062:F3062"/>
    <mergeCell ref="H3062:J3063"/>
    <mergeCell ref="L3062:L3063"/>
    <mergeCell ref="H3066:I3066"/>
    <mergeCell ref="K3066:L3067"/>
    <mergeCell ref="N3066:N3067"/>
    <mergeCell ref="N3056:N3057"/>
    <mergeCell ref="C3058:I3058"/>
    <mergeCell ref="A3060:C3060"/>
    <mergeCell ref="H3060:J3060"/>
    <mergeCell ref="A3061:C3061"/>
    <mergeCell ref="H3061:J3061"/>
    <mergeCell ref="A3084:C3084"/>
    <mergeCell ref="H3084:J3084"/>
    <mergeCell ref="E3085:F3085"/>
    <mergeCell ref="H3085:J3086"/>
    <mergeCell ref="L3085:L3086"/>
    <mergeCell ref="C3079:I3079"/>
    <mergeCell ref="A3081:C3081"/>
    <mergeCell ref="H3081:J3081"/>
    <mergeCell ref="A3082:C3082"/>
    <mergeCell ref="H3082:J3082"/>
    <mergeCell ref="A3083:C3083"/>
    <mergeCell ref="H3083:J3083"/>
    <mergeCell ref="E3073:F3073"/>
    <mergeCell ref="H3073:J3074"/>
    <mergeCell ref="L3073:L3074"/>
    <mergeCell ref="H3077:I3077"/>
    <mergeCell ref="K3077:L307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N108"/>
  <sheetViews>
    <sheetView view="pageBreakPreview" topLeftCell="A4" zoomScaleSheetLayoutView="100" workbookViewId="0">
      <selection activeCell="H11" sqref="H11"/>
    </sheetView>
  </sheetViews>
  <sheetFormatPr defaultColWidth="9" defaultRowHeight="13.8"/>
  <cols>
    <col min="1" max="1" width="5.09765625" style="1582" customWidth="1"/>
    <col min="2" max="2" width="2.19921875" style="1582" customWidth="1"/>
    <col min="3" max="3" width="23.5" style="1582" customWidth="1"/>
    <col min="4" max="6" width="8" style="1582" customWidth="1"/>
    <col min="7" max="7" width="7.19921875" style="1582" customWidth="1"/>
    <col min="8" max="8" width="12.09765625" style="1582" customWidth="1"/>
    <col min="9" max="9" width="1" style="1582" customWidth="1"/>
    <col min="10" max="10" width="12.09765625" style="1582" customWidth="1"/>
    <col min="11" max="11" width="1" style="1582" customWidth="1"/>
    <col min="12" max="12" width="12.59765625" style="1582" hidden="1" customWidth="1"/>
    <col min="13" max="13" width="9.09765625" style="1582" bestFit="1" customWidth="1"/>
    <col min="14" max="14" width="10.59765625" style="1582" bestFit="1" customWidth="1"/>
    <col min="15" max="16384" width="9" style="1582"/>
  </cols>
  <sheetData>
    <row r="1" spans="1:14" s="1573" customFormat="1" ht="18.75" customHeight="1">
      <c r="A1" s="2311" t="str">
        <f>IS!$A$1</f>
        <v>MCB PAKISTAN STOCK MARKET FUND</v>
      </c>
      <c r="B1" s="2311"/>
      <c r="C1" s="2311"/>
      <c r="D1" s="2311"/>
      <c r="E1" s="2311"/>
      <c r="F1" s="2311"/>
      <c r="G1" s="2311"/>
      <c r="H1" s="2311"/>
      <c r="I1" s="2311"/>
      <c r="J1" s="2311"/>
      <c r="K1" s="2311"/>
    </row>
    <row r="2" spans="1:14" s="1573" customFormat="1" ht="18.75" customHeight="1">
      <c r="A2" s="2311" t="s">
        <v>1106</v>
      </c>
      <c r="B2" s="2311"/>
      <c r="C2" s="2311"/>
      <c r="D2" s="2311"/>
      <c r="E2" s="2311"/>
      <c r="F2" s="2311"/>
      <c r="G2" s="2311"/>
      <c r="H2" s="2311"/>
      <c r="I2" s="2311"/>
      <c r="J2" s="2311"/>
      <c r="K2" s="2311"/>
    </row>
    <row r="3" spans="1:14" s="1573" customFormat="1" ht="18.75" customHeight="1">
      <c r="A3" s="2311" t="str">
        <f>IS!$A$3</f>
        <v>FOR THE QUARTER ENDED SEPTEMBER 30, 2021</v>
      </c>
      <c r="B3" s="2311"/>
      <c r="C3" s="2311"/>
      <c r="D3" s="2311"/>
      <c r="E3" s="2311"/>
      <c r="F3" s="2311"/>
      <c r="G3" s="2311"/>
      <c r="H3" s="2311"/>
      <c r="I3" s="2311"/>
      <c r="J3" s="2311"/>
      <c r="K3" s="2311"/>
    </row>
    <row r="4" spans="1:14" s="1573" customFormat="1">
      <c r="A4" s="1575"/>
      <c r="B4" s="1574" t="s">
        <v>2973</v>
      </c>
      <c r="C4" s="1574"/>
      <c r="D4" s="1574"/>
      <c r="E4" s="1574"/>
      <c r="F4" s="1574"/>
      <c r="G4" s="1574"/>
      <c r="H4" s="1576"/>
      <c r="I4" s="1577"/>
      <c r="J4" s="1576"/>
    </row>
    <row r="5" spans="1:14" s="1573" customFormat="1">
      <c r="A5" s="1575"/>
      <c r="B5" s="1574"/>
      <c r="C5" s="1574"/>
      <c r="D5" s="1574"/>
      <c r="E5" s="1574"/>
      <c r="F5" s="1574"/>
      <c r="G5" s="1574"/>
      <c r="H5" s="1576"/>
      <c r="I5" s="1577"/>
      <c r="J5" s="1576"/>
    </row>
    <row r="6" spans="1:14" s="1573" customFormat="1">
      <c r="A6" s="1575"/>
      <c r="B6" s="1574"/>
      <c r="C6" s="1574"/>
      <c r="D6" s="1578"/>
      <c r="E6" s="1578"/>
      <c r="F6" s="1578"/>
      <c r="G6" s="1578"/>
      <c r="H6" s="2317" t="s">
        <v>705</v>
      </c>
      <c r="I6" s="2317"/>
      <c r="J6" s="2317"/>
      <c r="K6" s="1940"/>
      <c r="L6" s="1579"/>
      <c r="M6" s="1579"/>
      <c r="N6" s="1579"/>
    </row>
    <row r="7" spans="1:14" s="1573" customFormat="1">
      <c r="A7" s="1575"/>
      <c r="B7" s="1574"/>
      <c r="C7" s="1574"/>
      <c r="D7" s="1574"/>
      <c r="E7" s="1574"/>
      <c r="F7" s="1574"/>
      <c r="G7" s="1574"/>
      <c r="H7" s="2318" t="s">
        <v>2778</v>
      </c>
      <c r="I7" s="2318"/>
      <c r="J7" s="2318"/>
      <c r="K7" s="1940"/>
      <c r="L7" s="1579"/>
      <c r="M7" s="1579"/>
      <c r="N7" s="1579"/>
    </row>
    <row r="8" spans="1:14" s="1573" customFormat="1">
      <c r="A8" s="1581"/>
      <c r="H8" s="1940" t="s">
        <v>3197</v>
      </c>
      <c r="I8" s="1940"/>
      <c r="J8" s="1940" t="s">
        <v>2917</v>
      </c>
      <c r="K8" s="1529"/>
      <c r="L8" s="1580"/>
      <c r="M8" s="1579"/>
      <c r="N8" s="1579"/>
    </row>
    <row r="9" spans="1:14">
      <c r="D9" s="1528"/>
      <c r="E9" s="1528"/>
      <c r="F9" s="1528"/>
      <c r="G9" s="1528"/>
      <c r="H9" s="2312" t="s">
        <v>2521</v>
      </c>
      <c r="I9" s="2312"/>
      <c r="J9" s="2312"/>
      <c r="K9" s="2312"/>
      <c r="L9" s="1583"/>
      <c r="M9" s="1584"/>
      <c r="N9" s="1584"/>
    </row>
    <row r="10" spans="1:14">
      <c r="H10" s="1585"/>
      <c r="I10" s="1585"/>
      <c r="J10" s="1585"/>
      <c r="K10" s="1585"/>
      <c r="L10" s="1584"/>
      <c r="M10" s="1584"/>
      <c r="N10" s="1584"/>
    </row>
    <row r="11" spans="1:14" s="1573" customFormat="1">
      <c r="A11" s="1586" t="s">
        <v>3298</v>
      </c>
      <c r="B11" s="1579"/>
      <c r="C11" s="1579"/>
      <c r="D11" s="1579"/>
      <c r="E11" s="1579"/>
      <c r="F11" s="1579"/>
      <c r="G11" s="1579"/>
      <c r="H11" s="1783">
        <f>+IS!H43</f>
        <v>-670037.11999999546</v>
      </c>
      <c r="I11" s="1783"/>
      <c r="J11" s="1587">
        <f>IS!J43</f>
        <v>1568033.5</v>
      </c>
      <c r="K11" s="1784"/>
      <c r="L11" s="1579">
        <v>-138420</v>
      </c>
      <c r="M11" s="1579"/>
      <c r="N11" s="1579"/>
    </row>
    <row r="12" spans="1:14" s="1573" customFormat="1">
      <c r="A12" s="1588"/>
      <c r="B12" s="1579"/>
      <c r="C12" s="1579"/>
      <c r="D12" s="1579"/>
      <c r="E12" s="1579"/>
      <c r="F12" s="1579"/>
      <c r="G12" s="1579"/>
      <c r="H12" s="1587"/>
      <c r="I12" s="1587"/>
      <c r="J12" s="1587"/>
      <c r="K12" s="1579"/>
      <c r="L12" s="1579"/>
      <c r="M12" s="1579"/>
      <c r="N12" s="1579"/>
    </row>
    <row r="13" spans="1:14" s="1573" customFormat="1" ht="13.95" customHeight="1">
      <c r="A13" s="2285" t="s">
        <v>3299</v>
      </c>
      <c r="B13" s="1579"/>
      <c r="C13" s="1579"/>
      <c r="D13" s="1579"/>
      <c r="E13" s="1579"/>
      <c r="F13" s="1579"/>
      <c r="G13" s="1579"/>
      <c r="H13" s="1587"/>
      <c r="I13" s="1587"/>
      <c r="J13" s="1587"/>
      <c r="L13" s="1579"/>
      <c r="M13" s="1579"/>
      <c r="N13" s="1579"/>
    </row>
    <row r="14" spans="1:14" s="1573" customFormat="1">
      <c r="A14" s="1589"/>
      <c r="B14" s="1579"/>
      <c r="C14" s="1579"/>
      <c r="D14" s="1579"/>
      <c r="E14" s="1579"/>
      <c r="F14" s="1579"/>
      <c r="G14" s="1579"/>
      <c r="H14" s="1587"/>
      <c r="I14" s="1587"/>
      <c r="J14" s="1587"/>
      <c r="L14" s="1579"/>
      <c r="M14" s="1579"/>
      <c r="N14" s="1579"/>
    </row>
    <row r="15" spans="1:14" s="1573" customFormat="1">
      <c r="A15" s="1591"/>
      <c r="B15" s="1590"/>
      <c r="C15" s="1590"/>
      <c r="D15" s="1593"/>
      <c r="E15" s="1593"/>
      <c r="F15" s="1593"/>
      <c r="G15" s="1593"/>
      <c r="H15" s="1587"/>
      <c r="I15" s="1594"/>
      <c r="J15" s="1587"/>
      <c r="K15" s="1579"/>
      <c r="L15" s="1579"/>
      <c r="M15" s="1579"/>
      <c r="N15" s="1579"/>
    </row>
    <row r="16" spans="1:14" s="1573" customFormat="1" ht="14.4" thickBot="1">
      <c r="A16" s="1595" t="s">
        <v>3300</v>
      </c>
      <c r="B16" s="1590"/>
      <c r="C16" s="1590"/>
      <c r="H16" s="1780">
        <f>SUM(H11:H15)</f>
        <v>-670037.11999999546</v>
      </c>
      <c r="I16" s="1781"/>
      <c r="J16" s="1596">
        <f>SUM(J11:J15)</f>
        <v>1568033.5</v>
      </c>
      <c r="K16" s="1782"/>
      <c r="L16" s="1579"/>
      <c r="M16" s="1579"/>
      <c r="N16" s="1579"/>
    </row>
    <row r="17" spans="1:14" ht="14.4" thickTop="1">
      <c r="L17" s="1584"/>
      <c r="M17" s="1584"/>
      <c r="N17" s="1584"/>
    </row>
    <row r="18" spans="1:14">
      <c r="L18" s="1584"/>
      <c r="M18" s="1584"/>
      <c r="N18" s="1584"/>
    </row>
    <row r="19" spans="1:14">
      <c r="A19" s="1597" t="str">
        <f>IS!$A$57</f>
        <v>The annexed notes 1 to 17 form an integral part of these interim financial statements.</v>
      </c>
      <c r="B19" s="1579"/>
      <c r="C19" s="1579"/>
      <c r="D19" s="1579"/>
      <c r="E19" s="1579"/>
      <c r="F19" s="1579"/>
      <c r="G19" s="1579"/>
      <c r="H19" s="1587"/>
      <c r="I19" s="1587"/>
      <c r="J19" s="1587"/>
      <c r="L19" s="1584"/>
      <c r="M19" s="1584"/>
      <c r="N19" s="1584"/>
    </row>
    <row r="20" spans="1:14">
      <c r="A20" s="1588"/>
      <c r="B20" s="1579"/>
      <c r="C20" s="1579"/>
      <c r="D20" s="1579"/>
      <c r="E20" s="1579"/>
      <c r="F20" s="1579"/>
      <c r="G20" s="1579"/>
      <c r="H20" s="1587"/>
      <c r="I20" s="1587"/>
      <c r="J20" s="1587"/>
      <c r="L20" s="1584"/>
      <c r="M20" s="1584"/>
      <c r="N20" s="1584"/>
    </row>
    <row r="21" spans="1:14">
      <c r="A21" s="1588"/>
      <c r="B21" s="1579"/>
      <c r="C21" s="1579"/>
      <c r="D21" s="1579"/>
      <c r="E21" s="1579"/>
      <c r="F21" s="1579"/>
      <c r="G21" s="1579"/>
      <c r="H21" s="1587"/>
      <c r="I21" s="1587"/>
      <c r="J21" s="1587"/>
      <c r="L21" s="1584"/>
      <c r="M21" s="1584"/>
      <c r="N21" s="1584"/>
    </row>
    <row r="22" spans="1:14">
      <c r="A22" s="2316" t="s">
        <v>2524</v>
      </c>
      <c r="B22" s="2316"/>
      <c r="C22" s="2316"/>
      <c r="D22" s="2316"/>
      <c r="E22" s="2316"/>
      <c r="F22" s="2316"/>
      <c r="G22" s="2316"/>
      <c r="H22" s="2316"/>
      <c r="I22" s="2316"/>
      <c r="J22" s="2316"/>
      <c r="K22" s="2316"/>
      <c r="L22" s="1584"/>
      <c r="M22" s="1584"/>
      <c r="N22" s="1584"/>
    </row>
    <row r="23" spans="1:14" s="1506" customFormat="1">
      <c r="A23" s="2316" t="s">
        <v>148</v>
      </c>
      <c r="B23" s="2316"/>
      <c r="C23" s="2316"/>
      <c r="D23" s="2316"/>
      <c r="E23" s="2316"/>
      <c r="F23" s="2316"/>
      <c r="G23" s="2316"/>
      <c r="H23" s="2316"/>
      <c r="I23" s="2316"/>
      <c r="J23" s="2316"/>
      <c r="K23" s="2316"/>
    </row>
    <row r="24" spans="1:14" s="1506" customFormat="1">
      <c r="A24" s="1507"/>
      <c r="B24" s="1507"/>
      <c r="C24" s="1507"/>
      <c r="D24" s="1507"/>
      <c r="E24" s="1507"/>
      <c r="F24" s="1507"/>
      <c r="G24" s="1507"/>
      <c r="H24" s="1507"/>
      <c r="I24" s="1507"/>
      <c r="J24" s="1507"/>
      <c r="K24" s="1507"/>
    </row>
    <row r="25" spans="1:14" s="1513" customFormat="1">
      <c r="A25" s="1508"/>
      <c r="B25" s="2017"/>
      <c r="C25" s="2017"/>
      <c r="D25" s="2017"/>
      <c r="E25" s="2017"/>
      <c r="F25" s="2017"/>
      <c r="G25" s="2017"/>
      <c r="H25" s="1510"/>
      <c r="I25" s="2017"/>
      <c r="J25" s="1511"/>
      <c r="K25" s="1512"/>
    </row>
    <row r="26" spans="1:14" s="1513" customFormat="1">
      <c r="B26" s="2017"/>
      <c r="C26" s="2017"/>
      <c r="D26" s="2017"/>
      <c r="E26" s="2017"/>
      <c r="F26" s="2017"/>
      <c r="G26" s="2017"/>
      <c r="H26" s="1510"/>
      <c r="I26" s="2017"/>
      <c r="J26" s="1511"/>
      <c r="K26" s="1512"/>
    </row>
    <row r="27" spans="1:14" s="1513" customFormat="1">
      <c r="A27" s="1514"/>
      <c r="B27" s="1515"/>
      <c r="C27" s="2017"/>
      <c r="D27" s="2017"/>
      <c r="E27" s="2017"/>
      <c r="F27" s="2017"/>
      <c r="G27" s="2017"/>
      <c r="H27" s="1510"/>
      <c r="I27" s="2017"/>
      <c r="J27" s="1516"/>
      <c r="K27" s="1512"/>
    </row>
    <row r="28" spans="1:14" s="1513" customFormat="1">
      <c r="A28" s="1513" t="s">
        <v>2526</v>
      </c>
      <c r="B28" s="1515"/>
      <c r="C28" s="1509"/>
      <c r="E28" s="1778" t="s">
        <v>2526</v>
      </c>
      <c r="F28" s="1510"/>
      <c r="G28" s="1509"/>
      <c r="I28" s="1777" t="s">
        <v>3193</v>
      </c>
      <c r="J28" s="1777"/>
    </row>
    <row r="29" spans="1:14">
      <c r="A29" s="1508" t="s">
        <v>2525</v>
      </c>
      <c r="B29" s="1598"/>
      <c r="C29" s="1573"/>
      <c r="E29" s="1779" t="s">
        <v>2529</v>
      </c>
      <c r="F29" s="1599"/>
      <c r="G29" s="1600"/>
      <c r="I29" s="1509" t="s">
        <v>2527</v>
      </c>
    </row>
    <row r="30" spans="1:14">
      <c r="A30" s="1573"/>
      <c r="B30" s="1573"/>
      <c r="C30" s="1573"/>
      <c r="D30" s="1573"/>
      <c r="E30" s="1573"/>
      <c r="F30" s="1573"/>
      <c r="G30" s="1573"/>
      <c r="H30" s="1599"/>
      <c r="I30" s="1587"/>
      <c r="J30" s="1599"/>
    </row>
    <row r="31" spans="1:14">
      <c r="A31" s="1573"/>
      <c r="B31" s="1573"/>
      <c r="C31" s="1573"/>
      <c r="D31" s="1573"/>
      <c r="E31" s="1573"/>
      <c r="F31" s="1573"/>
      <c r="G31" s="1573"/>
      <c r="H31" s="1599"/>
      <c r="I31" s="1587"/>
      <c r="J31" s="1599"/>
    </row>
    <row r="36" spans="2:9" s="1601" customFormat="1">
      <c r="B36" s="1601" t="s">
        <v>2797</v>
      </c>
      <c r="I36" s="1601">
        <v>0</v>
      </c>
    </row>
    <row r="37" spans="2:9" s="1601" customFormat="1"/>
    <row r="38" spans="2:9" s="1601" customFormat="1"/>
    <row r="39" spans="2:9" s="1601" customFormat="1">
      <c r="B39" s="1601" t="s">
        <v>2796</v>
      </c>
      <c r="I39" s="1601">
        <v>82582</v>
      </c>
    </row>
    <row r="40" spans="2:9" s="1601" customFormat="1"/>
    <row r="41" spans="2:9" s="1601" customFormat="1"/>
    <row r="42" spans="2:9" s="1601" customFormat="1">
      <c r="I42" s="1601">
        <v>0</v>
      </c>
    </row>
    <row r="43" spans="2:9" s="1601" customFormat="1">
      <c r="I43" s="1601">
        <v>0</v>
      </c>
    </row>
    <row r="44" spans="2:9" s="1601" customFormat="1"/>
    <row r="45" spans="2:9" s="1601" customFormat="1"/>
    <row r="46" spans="2:9" s="1601" customFormat="1">
      <c r="B46" s="1601" t="s">
        <v>2798</v>
      </c>
      <c r="I46" s="1601">
        <v>0</v>
      </c>
    </row>
    <row r="47" spans="2:9" s="1601" customFormat="1"/>
    <row r="48" spans="2:9" s="1601" customFormat="1"/>
    <row r="49" spans="2:11" s="1601" customFormat="1">
      <c r="I49" s="1601">
        <v>8181</v>
      </c>
    </row>
    <row r="50" spans="2:11" s="1601" customFormat="1"/>
    <row r="51" spans="2:11" s="1601" customFormat="1"/>
    <row r="52" spans="2:11" s="1601" customFormat="1"/>
    <row r="53" spans="2:11" s="1601" customFormat="1"/>
    <row r="54" spans="2:11" s="1601" customFormat="1"/>
    <row r="55" spans="2:11">
      <c r="B55" s="1601"/>
      <c r="C55" s="1601"/>
      <c r="D55" s="1601"/>
      <c r="E55" s="1601"/>
      <c r="F55" s="1601"/>
      <c r="G55" s="1601"/>
      <c r="H55" s="1601"/>
      <c r="I55" s="1601"/>
      <c r="J55" s="1601"/>
      <c r="K55" s="1601"/>
    </row>
    <row r="56" spans="2:11">
      <c r="B56" s="1601"/>
      <c r="C56" s="1601"/>
      <c r="D56" s="1601"/>
      <c r="E56" s="1601"/>
      <c r="F56" s="1601"/>
      <c r="G56" s="1601"/>
      <c r="H56" s="1601"/>
      <c r="I56" s="1601"/>
      <c r="J56" s="1601"/>
      <c r="K56" s="1601"/>
    </row>
    <row r="57" spans="2:11">
      <c r="B57" s="1601"/>
      <c r="C57" s="1601"/>
      <c r="D57" s="1601"/>
      <c r="E57" s="1601"/>
      <c r="F57" s="1601"/>
      <c r="G57" s="1601"/>
      <c r="H57" s="1601"/>
      <c r="I57" s="1601"/>
      <c r="J57" s="1601"/>
      <c r="K57" s="1601"/>
    </row>
    <row r="58" spans="2:11">
      <c r="B58" s="1601"/>
      <c r="C58" s="1601"/>
      <c r="D58" s="1601"/>
      <c r="E58" s="1601"/>
      <c r="F58" s="1601"/>
      <c r="G58" s="1601"/>
      <c r="H58" s="1601"/>
      <c r="I58" s="1601"/>
      <c r="J58" s="1601"/>
      <c r="K58" s="1601"/>
    </row>
    <row r="59" spans="2:11">
      <c r="B59" s="1601"/>
      <c r="C59" s="1601"/>
      <c r="D59" s="1601"/>
      <c r="E59" s="1601"/>
      <c r="F59" s="1601"/>
      <c r="G59" s="1601"/>
      <c r="H59" s="1601"/>
      <c r="I59" s="1601"/>
      <c r="J59" s="1601"/>
      <c r="K59" s="1601"/>
    </row>
    <row r="60" spans="2:11">
      <c r="B60" s="1601" t="s">
        <v>2799</v>
      </c>
      <c r="C60" s="1601"/>
      <c r="D60" s="1601"/>
      <c r="E60" s="1601"/>
      <c r="F60" s="1601"/>
      <c r="G60" s="1601"/>
      <c r="H60" s="1601"/>
      <c r="I60" s="1601">
        <v>0</v>
      </c>
      <c r="J60" s="1601"/>
      <c r="K60" s="1601"/>
    </row>
    <row r="61" spans="2:11">
      <c r="B61" s="1601"/>
      <c r="C61" s="1601"/>
      <c r="D61" s="1601"/>
      <c r="E61" s="1601"/>
      <c r="F61" s="1601"/>
      <c r="G61" s="1601"/>
      <c r="H61" s="1601"/>
      <c r="I61" s="1601"/>
      <c r="J61" s="1601"/>
      <c r="K61" s="1601"/>
    </row>
    <row r="62" spans="2:11">
      <c r="B62" s="1601"/>
      <c r="C62" s="1601"/>
      <c r="D62" s="1601"/>
      <c r="E62" s="1601"/>
      <c r="F62" s="1601"/>
      <c r="G62" s="1601"/>
      <c r="H62" s="1601"/>
      <c r="I62" s="1601"/>
      <c r="J62" s="1601"/>
      <c r="K62" s="1601"/>
    </row>
    <row r="63" spans="2:11">
      <c r="B63" s="1601"/>
      <c r="C63" s="1601"/>
      <c r="D63" s="1601"/>
      <c r="E63" s="1601"/>
      <c r="F63" s="1601"/>
      <c r="G63" s="1601"/>
      <c r="H63" s="1601"/>
      <c r="I63" s="1601"/>
      <c r="J63" s="1601"/>
      <c r="K63" s="1601"/>
    </row>
    <row r="64" spans="2:11">
      <c r="B64" s="1601"/>
      <c r="C64" s="1601"/>
      <c r="D64" s="1601"/>
      <c r="E64" s="1601"/>
      <c r="F64" s="1601"/>
      <c r="G64" s="1601"/>
      <c r="H64" s="1601"/>
      <c r="I64" s="1601"/>
      <c r="J64" s="1601"/>
      <c r="K64" s="1601"/>
    </row>
    <row r="65" spans="2:11">
      <c r="B65" s="1601"/>
      <c r="C65" s="1601"/>
      <c r="D65" s="1601"/>
      <c r="E65" s="1601"/>
      <c r="F65" s="1601"/>
      <c r="G65" s="1601"/>
      <c r="H65" s="1601"/>
      <c r="I65" s="1601"/>
      <c r="J65" s="1601"/>
      <c r="K65" s="1601"/>
    </row>
    <row r="66" spans="2:11">
      <c r="B66" s="1601"/>
      <c r="C66" s="1601"/>
      <c r="D66" s="1601"/>
      <c r="E66" s="1601"/>
      <c r="F66" s="1601"/>
      <c r="G66" s="1601"/>
      <c r="H66" s="1601"/>
      <c r="I66" s="1601"/>
      <c r="J66" s="1601"/>
      <c r="K66" s="1601"/>
    </row>
    <row r="67" spans="2:11">
      <c r="B67" s="1601"/>
      <c r="C67" s="1601"/>
      <c r="D67" s="1601"/>
      <c r="E67" s="1601"/>
      <c r="F67" s="1601"/>
      <c r="G67" s="1601"/>
      <c r="H67" s="1601"/>
      <c r="I67" s="1601"/>
      <c r="J67" s="1601"/>
      <c r="K67" s="1601"/>
    </row>
    <row r="68" spans="2:11">
      <c r="B68" s="1601"/>
      <c r="C68" s="1601"/>
      <c r="D68" s="1601"/>
      <c r="E68" s="1601"/>
      <c r="F68" s="1601"/>
      <c r="G68" s="1601"/>
      <c r="H68" s="1601"/>
      <c r="I68" s="1601"/>
      <c r="J68" s="1601"/>
      <c r="K68" s="1601"/>
    </row>
    <row r="69" spans="2:11">
      <c r="B69" s="1601"/>
      <c r="C69" s="1601"/>
      <c r="D69" s="1601"/>
      <c r="E69" s="1601"/>
      <c r="F69" s="1601"/>
      <c r="G69" s="1601"/>
      <c r="H69" s="1601"/>
      <c r="I69" s="1601"/>
      <c r="J69" s="1601"/>
      <c r="K69" s="1601"/>
    </row>
    <row r="70" spans="2:11">
      <c r="B70" s="1601"/>
      <c r="C70" s="1601"/>
      <c r="D70" s="1601"/>
      <c r="E70" s="1601"/>
      <c r="F70" s="1601"/>
      <c r="G70" s="1601"/>
      <c r="H70" s="1601"/>
      <c r="I70" s="1601"/>
      <c r="J70" s="1601"/>
      <c r="K70" s="1601"/>
    </row>
    <row r="71" spans="2:11">
      <c r="B71" s="1601"/>
      <c r="C71" s="1601"/>
      <c r="D71" s="1601"/>
      <c r="E71" s="1601"/>
      <c r="F71" s="1601"/>
      <c r="G71" s="1601"/>
      <c r="H71" s="1601"/>
      <c r="I71" s="1601"/>
      <c r="J71" s="1601"/>
      <c r="K71" s="1601"/>
    </row>
    <row r="72" spans="2:11">
      <c r="B72" s="1601"/>
      <c r="C72" s="1601"/>
      <c r="D72" s="1601"/>
      <c r="E72" s="1601"/>
      <c r="F72" s="1601"/>
      <c r="G72" s="1601"/>
      <c r="H72" s="1601"/>
      <c r="I72" s="1601"/>
      <c r="J72" s="1601"/>
      <c r="K72" s="1601"/>
    </row>
    <row r="73" spans="2:11">
      <c r="B73" s="1601"/>
      <c r="C73" s="1601"/>
      <c r="D73" s="1601"/>
      <c r="E73" s="1601"/>
      <c r="F73" s="1601"/>
      <c r="G73" s="1601"/>
      <c r="H73" s="1601"/>
      <c r="I73" s="1601"/>
      <c r="J73" s="1601"/>
      <c r="K73" s="1601"/>
    </row>
    <row r="74" spans="2:11">
      <c r="B74" s="1601"/>
      <c r="C74" s="1601"/>
      <c r="D74" s="1601"/>
      <c r="E74" s="1601"/>
      <c r="F74" s="1601"/>
      <c r="G74" s="1601"/>
      <c r="H74" s="1601"/>
      <c r="I74" s="1601"/>
      <c r="J74" s="1601"/>
      <c r="K74" s="1601"/>
    </row>
    <row r="75" spans="2:11">
      <c r="B75" s="1601"/>
      <c r="C75" s="1601"/>
      <c r="D75" s="1601"/>
      <c r="E75" s="1601"/>
      <c r="F75" s="1601"/>
      <c r="G75" s="1601"/>
      <c r="H75" s="1601"/>
      <c r="I75" s="1601"/>
      <c r="J75" s="1601"/>
      <c r="K75" s="1601"/>
    </row>
    <row r="76" spans="2:11">
      <c r="B76" s="1601"/>
      <c r="C76" s="1601"/>
      <c r="D76" s="1601"/>
      <c r="E76" s="1601"/>
      <c r="F76" s="1601"/>
      <c r="G76" s="1601"/>
      <c r="H76" s="1601"/>
      <c r="I76" s="1601"/>
      <c r="J76" s="1601"/>
      <c r="K76" s="1601"/>
    </row>
    <row r="77" spans="2:11">
      <c r="B77" s="1601"/>
      <c r="C77" s="1601"/>
      <c r="D77" s="1601"/>
      <c r="E77" s="1601"/>
      <c r="F77" s="1601"/>
      <c r="G77" s="1601"/>
      <c r="H77" s="1601"/>
      <c r="I77" s="1601"/>
      <c r="J77" s="1601"/>
      <c r="K77" s="1601"/>
    </row>
    <row r="78" spans="2:11">
      <c r="B78" s="1601"/>
      <c r="C78" s="1601"/>
      <c r="D78" s="1601"/>
      <c r="E78" s="1601"/>
      <c r="F78" s="1601"/>
      <c r="G78" s="1601"/>
      <c r="H78" s="1601"/>
      <c r="I78" s="1601"/>
      <c r="J78" s="1601"/>
      <c r="K78" s="1601"/>
    </row>
    <row r="79" spans="2:11">
      <c r="B79" s="1601"/>
      <c r="C79" s="1601"/>
      <c r="D79" s="1601"/>
      <c r="E79" s="1601"/>
      <c r="F79" s="1601"/>
      <c r="G79" s="1601"/>
      <c r="H79" s="1601"/>
      <c r="I79" s="1601"/>
      <c r="J79" s="1601"/>
      <c r="K79" s="1601"/>
    </row>
    <row r="80" spans="2:11">
      <c r="B80" s="1601"/>
      <c r="C80" s="1601"/>
      <c r="D80" s="1601"/>
      <c r="E80" s="1601"/>
      <c r="F80" s="1601"/>
      <c r="G80" s="1601"/>
      <c r="H80" s="1601"/>
      <c r="I80" s="1601"/>
      <c r="J80" s="1601"/>
      <c r="K80" s="1601"/>
    </row>
    <row r="81" spans="2:11">
      <c r="B81" s="1601"/>
      <c r="C81" s="1601"/>
      <c r="D81" s="1601"/>
      <c r="E81" s="1601"/>
      <c r="F81" s="1601"/>
      <c r="G81" s="1601"/>
      <c r="H81" s="1601"/>
      <c r="I81" s="1601"/>
      <c r="J81" s="1601"/>
      <c r="K81" s="1601"/>
    </row>
    <row r="82" spans="2:11">
      <c r="B82" s="1601"/>
      <c r="C82" s="1601"/>
      <c r="D82" s="1601"/>
      <c r="E82" s="1601"/>
      <c r="F82" s="1601"/>
      <c r="G82" s="1601"/>
      <c r="H82" s="1601"/>
      <c r="I82" s="1601"/>
      <c r="J82" s="1601"/>
      <c r="K82" s="1601"/>
    </row>
    <row r="83" spans="2:11">
      <c r="B83" s="1601"/>
      <c r="C83" s="1601"/>
      <c r="D83" s="1601"/>
      <c r="E83" s="1601"/>
      <c r="F83" s="1601"/>
      <c r="G83" s="1601"/>
      <c r="H83" s="1601"/>
      <c r="I83" s="1601"/>
      <c r="J83" s="1601"/>
      <c r="K83" s="1601"/>
    </row>
    <row r="84" spans="2:11">
      <c r="B84" s="1601"/>
      <c r="C84" s="1601"/>
      <c r="D84" s="1601"/>
      <c r="E84" s="1601"/>
      <c r="F84" s="1601"/>
      <c r="G84" s="1601"/>
      <c r="H84" s="1601"/>
      <c r="I84" s="1601"/>
      <c r="J84" s="1601"/>
      <c r="K84" s="1601"/>
    </row>
    <row r="85" spans="2:11">
      <c r="B85" s="1601"/>
      <c r="C85" s="1601"/>
      <c r="D85" s="1601"/>
      <c r="E85" s="1601"/>
      <c r="F85" s="1601"/>
      <c r="G85" s="1601"/>
      <c r="H85" s="1601"/>
      <c r="I85" s="1601"/>
      <c r="J85" s="1601"/>
      <c r="K85" s="1601"/>
    </row>
    <row r="86" spans="2:11">
      <c r="B86" s="1601"/>
      <c r="C86" s="1601"/>
      <c r="D86" s="1601"/>
      <c r="E86" s="1601"/>
      <c r="F86" s="1601"/>
      <c r="G86" s="1601"/>
      <c r="H86" s="1601"/>
      <c r="I86" s="1601"/>
      <c r="J86" s="1601"/>
      <c r="K86" s="1601"/>
    </row>
    <row r="87" spans="2:11">
      <c r="B87" s="1601"/>
      <c r="C87" s="1601"/>
      <c r="D87" s="1601"/>
      <c r="E87" s="1601"/>
      <c r="F87" s="1601"/>
      <c r="G87" s="1601"/>
      <c r="H87" s="1601"/>
      <c r="I87" s="1601"/>
      <c r="J87" s="1601"/>
      <c r="K87" s="1601"/>
    </row>
    <row r="88" spans="2:11">
      <c r="B88" s="1601"/>
      <c r="C88" s="1601"/>
      <c r="D88" s="1601"/>
      <c r="E88" s="1601"/>
      <c r="F88" s="1601"/>
      <c r="G88" s="1601"/>
      <c r="H88" s="1601"/>
      <c r="I88" s="1601"/>
      <c r="J88" s="1601"/>
      <c r="K88" s="1601"/>
    </row>
    <row r="89" spans="2:11">
      <c r="B89" s="1601"/>
      <c r="C89" s="1601"/>
      <c r="D89" s="1601"/>
      <c r="E89" s="1601"/>
      <c r="F89" s="1601"/>
      <c r="G89" s="1601"/>
      <c r="H89" s="1601"/>
      <c r="I89" s="1601"/>
      <c r="J89" s="1601"/>
      <c r="K89" s="1601"/>
    </row>
    <row r="90" spans="2:11">
      <c r="B90" s="1601"/>
      <c r="C90" s="1601"/>
      <c r="D90" s="1601"/>
      <c r="E90" s="1601"/>
      <c r="F90" s="1601"/>
      <c r="G90" s="1601"/>
      <c r="H90" s="1601"/>
      <c r="I90" s="1601"/>
      <c r="J90" s="1601"/>
      <c r="K90" s="1601"/>
    </row>
    <row r="91" spans="2:11">
      <c r="B91" s="1601"/>
      <c r="C91" s="1601"/>
      <c r="D91" s="1601"/>
      <c r="E91" s="1601"/>
      <c r="F91" s="1601"/>
      <c r="G91" s="1601"/>
      <c r="H91" s="1601"/>
      <c r="I91" s="1601"/>
      <c r="J91" s="1601"/>
      <c r="K91" s="1601"/>
    </row>
    <row r="92" spans="2:11">
      <c r="B92" s="1601"/>
      <c r="C92" s="1601"/>
      <c r="D92" s="1601"/>
      <c r="E92" s="1601"/>
      <c r="F92" s="1601"/>
      <c r="G92" s="1601"/>
      <c r="H92" s="1601"/>
      <c r="I92" s="1601"/>
      <c r="J92" s="1601"/>
      <c r="K92" s="1601"/>
    </row>
    <row r="93" spans="2:11">
      <c r="B93" s="1601"/>
      <c r="C93" s="1601"/>
      <c r="D93" s="1601"/>
      <c r="E93" s="1601"/>
      <c r="F93" s="1601"/>
      <c r="G93" s="1601"/>
      <c r="H93" s="1601"/>
      <c r="I93" s="1601"/>
      <c r="J93" s="1601"/>
      <c r="K93" s="1601"/>
    </row>
    <row r="94" spans="2:11">
      <c r="B94" s="1601"/>
      <c r="C94" s="1601"/>
      <c r="D94" s="1601"/>
      <c r="E94" s="1601"/>
      <c r="F94" s="1601"/>
      <c r="G94" s="1601"/>
      <c r="H94" s="1601"/>
      <c r="I94" s="1601"/>
      <c r="J94" s="1601"/>
      <c r="K94" s="1601"/>
    </row>
    <row r="95" spans="2:11">
      <c r="B95" s="1601"/>
      <c r="C95" s="1601"/>
      <c r="D95" s="1601"/>
      <c r="E95" s="1601"/>
      <c r="F95" s="1601"/>
      <c r="G95" s="1601"/>
      <c r="H95" s="1601"/>
      <c r="I95" s="1601"/>
      <c r="J95" s="1601"/>
      <c r="K95" s="1601"/>
    </row>
    <row r="96" spans="2:11">
      <c r="B96" s="1601"/>
      <c r="C96" s="1601"/>
      <c r="D96" s="1601"/>
      <c r="E96" s="1601"/>
      <c r="F96" s="1601"/>
      <c r="G96" s="1601"/>
      <c r="H96" s="1601"/>
      <c r="I96" s="1601"/>
      <c r="J96" s="1601"/>
      <c r="K96" s="1601"/>
    </row>
    <row r="97" spans="2:11">
      <c r="B97" s="1601"/>
      <c r="C97" s="1601"/>
      <c r="D97" s="1601"/>
      <c r="E97" s="1601"/>
      <c r="F97" s="1601"/>
      <c r="G97" s="1601"/>
      <c r="H97" s="1601"/>
      <c r="I97" s="1601"/>
      <c r="J97" s="1601"/>
      <c r="K97" s="1601"/>
    </row>
    <row r="98" spans="2:11">
      <c r="B98" s="1601"/>
      <c r="C98" s="1601"/>
      <c r="D98" s="1601"/>
      <c r="E98" s="1601"/>
      <c r="F98" s="1601"/>
      <c r="G98" s="1601"/>
      <c r="H98" s="1601"/>
      <c r="I98" s="1601"/>
      <c r="J98" s="1601"/>
      <c r="K98" s="1601"/>
    </row>
    <row r="99" spans="2:11">
      <c r="B99" s="1601"/>
      <c r="C99" s="1601"/>
      <c r="D99" s="1601"/>
      <c r="E99" s="1601"/>
      <c r="F99" s="1601"/>
      <c r="G99" s="1601"/>
      <c r="H99" s="1601"/>
      <c r="I99" s="1601"/>
      <c r="J99" s="1601"/>
      <c r="K99" s="1601"/>
    </row>
    <row r="100" spans="2:11">
      <c r="B100" s="1601"/>
      <c r="C100" s="1601"/>
      <c r="D100" s="1601"/>
      <c r="E100" s="1601"/>
      <c r="F100" s="1601"/>
      <c r="G100" s="1601"/>
      <c r="H100" s="1601"/>
      <c r="I100" s="1601"/>
      <c r="J100" s="1601"/>
      <c r="K100" s="1601"/>
    </row>
    <row r="101" spans="2:11">
      <c r="B101" s="1601"/>
      <c r="C101" s="1601"/>
      <c r="D101" s="1601"/>
      <c r="E101" s="1601"/>
      <c r="F101" s="1601"/>
      <c r="G101" s="1601"/>
      <c r="H101" s="1601"/>
      <c r="I101" s="1601"/>
      <c r="J101" s="1601"/>
      <c r="K101" s="1601"/>
    </row>
    <row r="102" spans="2:11">
      <c r="B102" s="1601"/>
      <c r="C102" s="1601"/>
      <c r="D102" s="1601"/>
      <c r="E102" s="1601"/>
      <c r="F102" s="1601"/>
      <c r="G102" s="1601"/>
      <c r="H102" s="1601"/>
      <c r="I102" s="1601"/>
      <c r="J102" s="1601"/>
      <c r="K102" s="1601"/>
    </row>
    <row r="103" spans="2:11">
      <c r="B103" s="1601"/>
      <c r="C103" s="1601"/>
      <c r="D103" s="1601"/>
      <c r="E103" s="1601"/>
      <c r="F103" s="1601"/>
      <c r="G103" s="1601"/>
      <c r="H103" s="1601"/>
      <c r="I103" s="1601"/>
      <c r="J103" s="1601"/>
      <c r="K103" s="1601"/>
    </row>
    <row r="104" spans="2:11">
      <c r="B104" s="1601"/>
      <c r="C104" s="1601"/>
      <c r="D104" s="1601"/>
      <c r="E104" s="1601"/>
      <c r="F104" s="1601"/>
      <c r="G104" s="1601"/>
      <c r="H104" s="1601"/>
      <c r="I104" s="1601"/>
      <c r="J104" s="1601"/>
      <c r="K104" s="1601"/>
    </row>
    <row r="105" spans="2:11">
      <c r="B105" s="1601"/>
      <c r="C105" s="1601"/>
      <c r="D105" s="1601"/>
      <c r="E105" s="1601"/>
      <c r="F105" s="1601"/>
      <c r="G105" s="1601"/>
      <c r="H105" s="1601"/>
      <c r="I105" s="1601"/>
      <c r="J105" s="1601"/>
      <c r="K105" s="1601"/>
    </row>
    <row r="106" spans="2:11">
      <c r="B106" s="1601"/>
      <c r="C106" s="1601"/>
      <c r="D106" s="1601"/>
      <c r="E106" s="1601"/>
      <c r="F106" s="1601"/>
      <c r="G106" s="1601"/>
      <c r="H106" s="1601"/>
      <c r="I106" s="1601"/>
      <c r="J106" s="1601"/>
      <c r="K106" s="1601"/>
    </row>
    <row r="107" spans="2:11">
      <c r="B107" s="1601"/>
      <c r="C107" s="1601"/>
      <c r="D107" s="1601"/>
      <c r="E107" s="1601"/>
      <c r="F107" s="1601"/>
      <c r="G107" s="1601"/>
      <c r="H107" s="1601"/>
      <c r="I107" s="1601"/>
      <c r="J107" s="1601"/>
      <c r="K107" s="1601"/>
    </row>
    <row r="108" spans="2:11">
      <c r="B108" s="1601"/>
      <c r="C108" s="1601"/>
      <c r="D108" s="1601"/>
      <c r="E108" s="1601"/>
      <c r="F108" s="1601"/>
      <c r="G108" s="1601"/>
      <c r="H108" s="1601"/>
      <c r="I108" s="1601"/>
      <c r="J108" s="1601"/>
      <c r="K108" s="1601"/>
    </row>
  </sheetData>
  <mergeCells count="8">
    <mergeCell ref="A23:K23"/>
    <mergeCell ref="H6:J6"/>
    <mergeCell ref="H7:J7"/>
    <mergeCell ref="A1:K1"/>
    <mergeCell ref="A2:K2"/>
    <mergeCell ref="A3:K3"/>
    <mergeCell ref="H9:K9"/>
    <mergeCell ref="A22:K22"/>
  </mergeCells>
  <pageMargins left="0.75" right="0.25" top="0.75" bottom="0" header="0.25" footer="0"/>
  <pageSetup paperSize="9" scale="78" firstPageNumber="3" fitToHeight="0" orientation="portrait" useFirstPageNumber="1" r:id="rId1"/>
  <headerFooter>
    <oddHeader>&amp;C&amp;"Arial Black,Regular"&amp;11&amp;P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56"/>
  <sheetViews>
    <sheetView topLeftCell="A826" workbookViewId="0">
      <selection activeCell="D45" sqref="D45"/>
    </sheetView>
  </sheetViews>
  <sheetFormatPr defaultColWidth="8.19921875" defaultRowHeight="14.4"/>
  <cols>
    <col min="1" max="1" width="9.19921875" style="2162" bestFit="1" customWidth="1"/>
    <col min="2" max="2" width="0.5" style="2162" customWidth="1"/>
    <col min="3" max="3" width="33.5" style="2162" bestFit="1" customWidth="1"/>
    <col min="4" max="4" width="8.19921875" style="2162"/>
    <col min="5" max="5" width="16.69921875" style="2162" bestFit="1" customWidth="1"/>
    <col min="6" max="6" width="5.69921875" style="2162" customWidth="1"/>
    <col min="7" max="7" width="8.19921875" style="2162" hidden="1" customWidth="1"/>
    <col min="8" max="11" width="8.19921875" style="2162"/>
    <col min="12" max="12" width="12.59765625" style="2162" bestFit="1" customWidth="1"/>
    <col min="13" max="13" width="8.19921875" style="2162"/>
    <col min="14" max="14" width="11" style="2162" bestFit="1" customWidth="1"/>
    <col min="15" max="15" width="8.19921875" style="2162"/>
    <col min="16" max="16" width="17.69921875" style="2162" bestFit="1" customWidth="1"/>
    <col min="17" max="16384" width="8.19921875" style="2162"/>
  </cols>
  <sheetData>
    <row r="1" spans="1:15">
      <c r="A1" s="2160" t="s">
        <v>2634</v>
      </c>
      <c r="B1" s="2161"/>
      <c r="C1" s="2160" t="s">
        <v>2635</v>
      </c>
      <c r="D1" s="2161"/>
      <c r="E1" s="2160" t="s">
        <v>2640</v>
      </c>
      <c r="F1" s="2161"/>
    </row>
    <row r="2" spans="1:15">
      <c r="A2" s="2163"/>
      <c r="B2" s="2163"/>
      <c r="C2" s="2163"/>
      <c r="D2" s="2163"/>
      <c r="E2" s="2163"/>
      <c r="F2" s="2163"/>
      <c r="G2" s="2163"/>
      <c r="H2" s="2163"/>
      <c r="I2" s="2163"/>
      <c r="J2" s="2163"/>
      <c r="K2" s="2163"/>
      <c r="L2" s="2163"/>
      <c r="M2" s="2163"/>
    </row>
    <row r="3" spans="1:15">
      <c r="A3" s="2164"/>
      <c r="H3" s="2522" t="s">
        <v>2637</v>
      </c>
      <c r="I3" s="2522"/>
      <c r="J3" s="2163"/>
      <c r="K3" s="2523">
        <v>0</v>
      </c>
      <c r="L3" s="2523"/>
      <c r="M3" s="2163"/>
      <c r="N3" s="2527"/>
      <c r="O3" s="2163"/>
    </row>
    <row r="4" spans="1:15">
      <c r="H4" s="2163"/>
      <c r="I4" s="2163"/>
      <c r="J4" s="2163"/>
      <c r="K4" s="2523"/>
      <c r="L4" s="2523"/>
      <c r="N4" s="2527"/>
    </row>
    <row r="5" spans="1:15" ht="15.75" customHeight="1">
      <c r="A5" s="2165">
        <v>2393</v>
      </c>
      <c r="B5" s="2163"/>
      <c r="C5" s="2524" t="s">
        <v>3048</v>
      </c>
      <c r="D5" s="2524"/>
      <c r="E5" s="2524"/>
      <c r="F5" s="2524"/>
      <c r="G5" s="2524"/>
      <c r="H5" s="2524"/>
      <c r="I5" s="2524"/>
      <c r="J5" s="2163"/>
      <c r="K5" s="2163"/>
      <c r="L5" s="2163"/>
      <c r="M5" s="2163"/>
    </row>
    <row r="6" spans="1:15">
      <c r="A6" s="2163"/>
      <c r="B6" s="2163"/>
      <c r="C6" s="2163"/>
      <c r="D6" s="2163"/>
      <c r="E6" s="2163"/>
      <c r="F6" s="2163"/>
      <c r="G6" s="2163"/>
      <c r="H6" s="2163"/>
      <c r="I6" s="2163"/>
      <c r="J6" s="2163"/>
      <c r="K6" s="2163"/>
      <c r="L6" s="2163"/>
      <c r="M6" s="2163"/>
    </row>
    <row r="7" spans="1:15">
      <c r="A7" s="2520" t="s">
        <v>2647</v>
      </c>
      <c r="B7" s="2520"/>
      <c r="C7" s="2520"/>
      <c r="D7" s="2166"/>
      <c r="E7" s="2166"/>
      <c r="F7" s="2166"/>
      <c r="G7" s="2166"/>
      <c r="H7" s="2526">
        <v>1796068.8</v>
      </c>
      <c r="I7" s="2526"/>
      <c r="J7" s="2526"/>
      <c r="K7" s="2166"/>
      <c r="L7" s="2168">
        <v>192926509.28</v>
      </c>
      <c r="M7" s="2166"/>
    </row>
    <row r="8" spans="1:15">
      <c r="A8" s="2520" t="s">
        <v>2648</v>
      </c>
      <c r="B8" s="2520"/>
      <c r="C8" s="2520"/>
      <c r="D8" s="2166"/>
      <c r="E8" s="2166"/>
      <c r="F8" s="2166"/>
      <c r="G8" s="2166"/>
      <c r="H8" s="2526">
        <v>-1796068.8</v>
      </c>
      <c r="I8" s="2526"/>
      <c r="J8" s="2526"/>
      <c r="K8" s="2166"/>
      <c r="L8" s="2168">
        <v>-192953627.37</v>
      </c>
      <c r="M8" s="2166"/>
    </row>
    <row r="9" spans="1:15">
      <c r="A9" s="2164"/>
      <c r="B9" s="2164"/>
      <c r="C9" s="2164"/>
      <c r="D9" s="2164"/>
      <c r="E9" s="2522" t="s">
        <v>2639</v>
      </c>
      <c r="F9" s="2522"/>
      <c r="G9" s="2164"/>
      <c r="H9" s="2523">
        <v>0</v>
      </c>
      <c r="I9" s="2523"/>
      <c r="J9" s="2523"/>
      <c r="K9" s="2163"/>
      <c r="L9" s="2523">
        <v>0</v>
      </c>
      <c r="M9" s="2163"/>
    </row>
    <row r="10" spans="1:15">
      <c r="A10" s="2164"/>
      <c r="B10" s="2164"/>
      <c r="C10" s="2164"/>
      <c r="D10" s="2164"/>
      <c r="E10" s="2164"/>
      <c r="F10" s="2164"/>
      <c r="G10" s="2164"/>
      <c r="H10" s="2523"/>
      <c r="I10" s="2523"/>
      <c r="J10" s="2523"/>
      <c r="K10" s="2163"/>
      <c r="L10" s="2523"/>
      <c r="M10" s="2163"/>
    </row>
    <row r="11" spans="1:15">
      <c r="A11" s="2160" t="s">
        <v>2634</v>
      </c>
      <c r="B11" s="2161"/>
      <c r="C11" s="2160" t="s">
        <v>2635</v>
      </c>
      <c r="D11" s="2161"/>
      <c r="E11" s="2160" t="s">
        <v>2640</v>
      </c>
      <c r="F11" s="2161"/>
    </row>
    <row r="12" spans="1:15">
      <c r="A12" s="2163"/>
      <c r="B12" s="2163"/>
      <c r="C12" s="2163"/>
      <c r="D12" s="2163"/>
      <c r="E12" s="2163"/>
      <c r="F12" s="2163"/>
      <c r="G12" s="2163"/>
      <c r="H12" s="2163"/>
      <c r="I12" s="2163"/>
      <c r="J12" s="2163"/>
      <c r="K12" s="2163"/>
      <c r="L12" s="2163"/>
      <c r="M12" s="2163"/>
    </row>
    <row r="13" spans="1:15">
      <c r="A13" s="2164"/>
      <c r="H13" s="2522" t="s">
        <v>2637</v>
      </c>
      <c r="I13" s="2522"/>
      <c r="J13" s="2163"/>
      <c r="K13" s="2523">
        <v>0</v>
      </c>
      <c r="L13" s="2523"/>
      <c r="M13" s="2163"/>
      <c r="N13" s="2527"/>
      <c r="O13" s="2163"/>
    </row>
    <row r="14" spans="1:15">
      <c r="H14" s="2163"/>
      <c r="I14" s="2163"/>
      <c r="J14" s="2163"/>
      <c r="K14" s="2523"/>
      <c r="L14" s="2523"/>
      <c r="N14" s="2527"/>
    </row>
    <row r="15" spans="1:15">
      <c r="A15" s="2165">
        <v>2802</v>
      </c>
      <c r="B15" s="2163"/>
      <c r="C15" s="2524" t="s">
        <v>2853</v>
      </c>
      <c r="D15" s="2524"/>
      <c r="E15" s="2524"/>
      <c r="F15" s="2524"/>
      <c r="G15" s="2524"/>
      <c r="H15" s="2524"/>
      <c r="I15" s="2524"/>
      <c r="J15" s="2163"/>
      <c r="K15" s="2163"/>
      <c r="L15" s="2163"/>
      <c r="M15" s="2163"/>
    </row>
    <row r="16" spans="1:15">
      <c r="A16" s="2163"/>
      <c r="B16" s="2163"/>
      <c r="C16" s="2163"/>
      <c r="D16" s="2163"/>
      <c r="E16" s="2163"/>
      <c r="F16" s="2163"/>
      <c r="G16" s="2163"/>
      <c r="H16" s="2163"/>
      <c r="I16" s="2163"/>
      <c r="J16" s="2163"/>
      <c r="K16" s="2163"/>
      <c r="L16" s="2163"/>
      <c r="M16" s="2163"/>
    </row>
    <row r="17" spans="1:15">
      <c r="A17" s="2529"/>
      <c r="B17" s="2529"/>
      <c r="C17" s="2529"/>
      <c r="D17" s="2166"/>
      <c r="E17" s="2166"/>
      <c r="F17" s="2166"/>
      <c r="G17" s="2166"/>
      <c r="H17" s="2525"/>
      <c r="I17" s="2525"/>
      <c r="J17" s="2525"/>
      <c r="K17" s="2166"/>
      <c r="L17" s="2167"/>
      <c r="M17" s="2166"/>
    </row>
    <row r="18" spans="1:15">
      <c r="A18" s="2164"/>
      <c r="B18" s="2164"/>
      <c r="C18" s="2164"/>
      <c r="D18" s="2164"/>
      <c r="E18" s="2522" t="s">
        <v>2639</v>
      </c>
      <c r="F18" s="2522"/>
      <c r="G18" s="2164"/>
      <c r="H18" s="2523">
        <v>0</v>
      </c>
      <c r="I18" s="2523"/>
      <c r="J18" s="2523"/>
      <c r="K18" s="2163"/>
      <c r="L18" s="2523">
        <v>0</v>
      </c>
      <c r="M18" s="2163"/>
    </row>
    <row r="19" spans="1:15">
      <c r="A19" s="2164"/>
      <c r="B19" s="2164"/>
      <c r="C19" s="2164"/>
      <c r="D19" s="2164"/>
      <c r="E19" s="2164"/>
      <c r="F19" s="2164"/>
      <c r="G19" s="2164"/>
      <c r="H19" s="2523"/>
      <c r="I19" s="2523"/>
      <c r="J19" s="2523"/>
      <c r="K19" s="2163"/>
      <c r="L19" s="2523"/>
      <c r="M19" s="2163"/>
    </row>
    <row r="20" spans="1:15">
      <c r="A20" s="2160" t="s">
        <v>2634</v>
      </c>
      <c r="B20" s="2161"/>
      <c r="C20" s="2160" t="s">
        <v>2635</v>
      </c>
      <c r="D20" s="2161"/>
      <c r="E20" s="2160" t="s">
        <v>2640</v>
      </c>
      <c r="F20" s="2161"/>
    </row>
    <row r="21" spans="1:15">
      <c r="A21" s="2163"/>
      <c r="B21" s="2163"/>
      <c r="C21" s="2163"/>
      <c r="D21" s="2163"/>
      <c r="E21" s="2163"/>
      <c r="F21" s="2163"/>
      <c r="G21" s="2163"/>
      <c r="H21" s="2163"/>
      <c r="I21" s="2163"/>
      <c r="J21" s="2163"/>
      <c r="K21" s="2163"/>
      <c r="L21" s="2163"/>
      <c r="M21" s="2163"/>
    </row>
    <row r="22" spans="1:15">
      <c r="A22" s="2164"/>
      <c r="H22" s="2522" t="s">
        <v>2637</v>
      </c>
      <c r="I22" s="2522"/>
      <c r="J22" s="2163"/>
      <c r="K22" s="2523">
        <v>1E-4</v>
      </c>
      <c r="L22" s="2523"/>
      <c r="M22" s="2163"/>
      <c r="N22" s="2527"/>
      <c r="O22" s="2163"/>
    </row>
    <row r="23" spans="1:15">
      <c r="H23" s="2163"/>
      <c r="I23" s="2163"/>
      <c r="J23" s="2163"/>
      <c r="K23" s="2523"/>
      <c r="L23" s="2523"/>
      <c r="N23" s="2527"/>
    </row>
    <row r="24" spans="1:15">
      <c r="A24" s="2165">
        <v>4421</v>
      </c>
      <c r="B24" s="2163"/>
      <c r="C24" s="2524" t="s">
        <v>2854</v>
      </c>
      <c r="D24" s="2524"/>
      <c r="E24" s="2524"/>
      <c r="F24" s="2524"/>
      <c r="G24" s="2524"/>
      <c r="H24" s="2524"/>
      <c r="I24" s="2524"/>
      <c r="J24" s="2163"/>
      <c r="K24" s="2163"/>
      <c r="L24" s="2163"/>
      <c r="M24" s="2163"/>
    </row>
    <row r="25" spans="1:15">
      <c r="A25" s="2163"/>
      <c r="B25" s="2163"/>
      <c r="C25" s="2163"/>
      <c r="D25" s="2163"/>
      <c r="E25" s="2163"/>
      <c r="F25" s="2163"/>
      <c r="G25" s="2163"/>
      <c r="H25" s="2163"/>
      <c r="I25" s="2163"/>
      <c r="J25" s="2163"/>
      <c r="K25" s="2163"/>
      <c r="L25" s="2163"/>
      <c r="M25" s="2163"/>
    </row>
    <row r="26" spans="1:15">
      <c r="A26" s="2520" t="s">
        <v>2647</v>
      </c>
      <c r="B26" s="2520"/>
      <c r="C26" s="2520"/>
      <c r="D26" s="2166"/>
      <c r="E26" s="2166"/>
      <c r="F26" s="2166"/>
      <c r="G26" s="2166"/>
      <c r="H26" s="2526">
        <v>915909.745</v>
      </c>
      <c r="I26" s="2526"/>
      <c r="J26" s="2526"/>
      <c r="K26" s="2166"/>
      <c r="L26" s="2168">
        <v>98181219.909999996</v>
      </c>
      <c r="M26" s="2166"/>
    </row>
    <row r="27" spans="1:15">
      <c r="A27" s="2520" t="s">
        <v>2648</v>
      </c>
      <c r="B27" s="2520"/>
      <c r="C27" s="2520"/>
      <c r="D27" s="2166"/>
      <c r="E27" s="2166"/>
      <c r="F27" s="2166"/>
      <c r="G27" s="2166"/>
      <c r="H27" s="2526">
        <v>-915909.745</v>
      </c>
      <c r="I27" s="2526"/>
      <c r="J27" s="2526"/>
      <c r="K27" s="2166"/>
      <c r="L27" s="2168">
        <v>-98175724.450000003</v>
      </c>
      <c r="M27" s="2166"/>
    </row>
    <row r="28" spans="1:15">
      <c r="A28" s="2164"/>
      <c r="B28" s="2164"/>
      <c r="C28" s="2164"/>
      <c r="D28" s="2164"/>
      <c r="E28" s="2522" t="s">
        <v>2639</v>
      </c>
      <c r="F28" s="2522"/>
      <c r="G28" s="2164"/>
      <c r="H28" s="2523">
        <v>1E-4</v>
      </c>
      <c r="I28" s="2523"/>
      <c r="J28" s="2523"/>
      <c r="K28" s="2163"/>
      <c r="L28" s="2523">
        <v>0.01</v>
      </c>
      <c r="M28" s="2163"/>
    </row>
    <row r="29" spans="1:15">
      <c r="A29" s="2164"/>
      <c r="B29" s="2164"/>
      <c r="C29" s="2164"/>
      <c r="D29" s="2164"/>
      <c r="E29" s="2164"/>
      <c r="F29" s="2164"/>
      <c r="G29" s="2164"/>
      <c r="H29" s="2523"/>
      <c r="I29" s="2523"/>
      <c r="J29" s="2523"/>
      <c r="K29" s="2163"/>
      <c r="L29" s="2523"/>
      <c r="M29" s="2163"/>
    </row>
    <row r="30" spans="1:15">
      <c r="A30" s="2160" t="s">
        <v>2634</v>
      </c>
      <c r="B30" s="2161"/>
      <c r="C30" s="2160" t="s">
        <v>2635</v>
      </c>
      <c r="D30" s="2161"/>
      <c r="E30" s="2160" t="s">
        <v>2640</v>
      </c>
      <c r="F30" s="2161"/>
    </row>
    <row r="31" spans="1:15">
      <c r="A31" s="2163"/>
      <c r="B31" s="2163"/>
      <c r="C31" s="2163"/>
      <c r="D31" s="2163"/>
      <c r="E31" s="2163"/>
      <c r="F31" s="2163"/>
      <c r="G31" s="2163"/>
      <c r="H31" s="2163"/>
      <c r="I31" s="2163"/>
      <c r="J31" s="2163"/>
      <c r="K31" s="2163"/>
      <c r="L31" s="2163"/>
      <c r="M31" s="2163"/>
    </row>
    <row r="32" spans="1:15">
      <c r="A32" s="2164"/>
      <c r="H32" s="2522" t="s">
        <v>2637</v>
      </c>
      <c r="I32" s="2522"/>
      <c r="J32" s="2163"/>
      <c r="K32" s="2523">
        <v>0</v>
      </c>
      <c r="L32" s="2523"/>
      <c r="M32" s="2163"/>
      <c r="N32" s="2527"/>
      <c r="O32" s="2163"/>
    </row>
    <row r="33" spans="1:15">
      <c r="H33" s="2163"/>
      <c r="I33" s="2163"/>
      <c r="J33" s="2163"/>
      <c r="K33" s="2523"/>
      <c r="L33" s="2523"/>
      <c r="N33" s="2527"/>
    </row>
    <row r="34" spans="1:15">
      <c r="A34" s="2165">
        <v>16815</v>
      </c>
      <c r="B34" s="2163"/>
      <c r="C34" s="2524" t="s">
        <v>3049</v>
      </c>
      <c r="D34" s="2524"/>
      <c r="E34" s="2524"/>
      <c r="F34" s="2524"/>
      <c r="G34" s="2524"/>
      <c r="H34" s="2524"/>
      <c r="I34" s="2524"/>
      <c r="J34" s="2163"/>
      <c r="K34" s="2163"/>
      <c r="L34" s="2163"/>
      <c r="M34" s="2163"/>
    </row>
    <row r="35" spans="1:15">
      <c r="A35" s="2163"/>
      <c r="B35" s="2163"/>
      <c r="C35" s="2163"/>
      <c r="D35" s="2163"/>
      <c r="E35" s="2163"/>
      <c r="F35" s="2163"/>
      <c r="G35" s="2163"/>
      <c r="H35" s="2163"/>
      <c r="I35" s="2163"/>
      <c r="J35" s="2163"/>
      <c r="K35" s="2163"/>
      <c r="L35" s="2163"/>
      <c r="M35" s="2163"/>
    </row>
    <row r="36" spans="1:15">
      <c r="A36" s="2520" t="s">
        <v>2647</v>
      </c>
      <c r="B36" s="2520"/>
      <c r="C36" s="2520"/>
      <c r="D36" s="2166"/>
      <c r="E36" s="2166"/>
      <c r="F36" s="2166"/>
      <c r="G36" s="2166"/>
      <c r="H36" s="2526">
        <v>14737355.547</v>
      </c>
      <c r="I36" s="2526"/>
      <c r="J36" s="2526"/>
      <c r="K36" s="2166"/>
      <c r="L36" s="2168">
        <v>1586079138.0799999</v>
      </c>
      <c r="M36" s="2166"/>
    </row>
    <row r="37" spans="1:15">
      <c r="A37" s="2520" t="s">
        <v>2648</v>
      </c>
      <c r="B37" s="2520"/>
      <c r="C37" s="2520"/>
      <c r="D37" s="2166"/>
      <c r="E37" s="2166"/>
      <c r="F37" s="2166"/>
      <c r="G37" s="2166"/>
      <c r="H37" s="2526">
        <v>-14737474.668</v>
      </c>
      <c r="I37" s="2526"/>
      <c r="J37" s="2526"/>
      <c r="K37" s="2166"/>
      <c r="L37" s="2168">
        <v>-1586813947.5799999</v>
      </c>
      <c r="M37" s="2166"/>
    </row>
    <row r="38" spans="1:15">
      <c r="A38" s="2520" t="s">
        <v>2649</v>
      </c>
      <c r="B38" s="2520"/>
      <c r="C38" s="2520"/>
      <c r="D38" s="2166"/>
      <c r="E38" s="2166"/>
      <c r="F38" s="2166"/>
      <c r="G38" s="2166"/>
      <c r="H38" s="2525">
        <v>119.121</v>
      </c>
      <c r="I38" s="2525"/>
      <c r="J38" s="2525"/>
      <c r="K38" s="2166"/>
      <c r="L38" s="2168">
        <v>12936.75</v>
      </c>
      <c r="M38" s="2166"/>
    </row>
    <row r="39" spans="1:15">
      <c r="A39" s="2164"/>
      <c r="B39" s="2164"/>
      <c r="C39" s="2164"/>
      <c r="D39" s="2164"/>
      <c r="E39" s="2522" t="s">
        <v>2639</v>
      </c>
      <c r="F39" s="2522"/>
      <c r="G39" s="2164"/>
      <c r="H39" s="2523">
        <v>0</v>
      </c>
      <c r="I39" s="2523"/>
      <c r="J39" s="2523"/>
      <c r="K39" s="2163"/>
      <c r="L39" s="2523">
        <v>0</v>
      </c>
      <c r="M39" s="2163"/>
    </row>
    <row r="40" spans="1:15">
      <c r="A40" s="2164"/>
      <c r="B40" s="2164"/>
      <c r="C40" s="2164"/>
      <c r="D40" s="2164"/>
      <c r="E40" s="2164"/>
      <c r="F40" s="2164"/>
      <c r="G40" s="2164"/>
      <c r="H40" s="2523"/>
      <c r="I40" s="2523"/>
      <c r="J40" s="2523"/>
      <c r="K40" s="2163"/>
      <c r="L40" s="2523"/>
      <c r="M40" s="2163"/>
    </row>
    <row r="41" spans="1:15">
      <c r="A41" s="2160" t="s">
        <v>2634</v>
      </c>
      <c r="B41" s="2161"/>
      <c r="C41" s="2160" t="s">
        <v>2635</v>
      </c>
      <c r="D41" s="2161"/>
      <c r="E41" s="2160" t="s">
        <v>2640</v>
      </c>
      <c r="F41" s="2161"/>
    </row>
    <row r="42" spans="1:15">
      <c r="A42" s="2163"/>
      <c r="B42" s="2163"/>
      <c r="C42" s="2163"/>
      <c r="D42" s="2163"/>
      <c r="E42" s="2163"/>
      <c r="F42" s="2163"/>
      <c r="G42" s="2163"/>
      <c r="H42" s="2163"/>
      <c r="I42" s="2163"/>
      <c r="J42" s="2163"/>
      <c r="K42" s="2163"/>
      <c r="L42" s="2163"/>
      <c r="M42" s="2163"/>
    </row>
    <row r="43" spans="1:15">
      <c r="A43" s="2164"/>
      <c r="H43" s="2522" t="s">
        <v>2637</v>
      </c>
      <c r="I43" s="2522"/>
      <c r="J43" s="2163"/>
      <c r="K43" s="2523">
        <v>0</v>
      </c>
      <c r="L43" s="2523"/>
      <c r="M43" s="2163"/>
      <c r="N43" s="2527"/>
      <c r="O43" s="2163"/>
    </row>
    <row r="44" spans="1:15">
      <c r="H44" s="2163"/>
      <c r="I44" s="2163"/>
      <c r="J44" s="2163"/>
      <c r="K44" s="2523"/>
      <c r="L44" s="2523"/>
      <c r="N44" s="2527"/>
    </row>
    <row r="45" spans="1:15">
      <c r="A45" s="2165">
        <v>24369</v>
      </c>
      <c r="B45" s="2163"/>
      <c r="C45" s="2524" t="s">
        <v>3050</v>
      </c>
      <c r="D45" s="2524"/>
      <c r="E45" s="2524"/>
      <c r="F45" s="2524"/>
      <c r="G45" s="2524"/>
      <c r="H45" s="2524"/>
      <c r="I45" s="2524"/>
      <c r="J45" s="2163"/>
      <c r="K45" s="2163"/>
      <c r="L45" s="2163"/>
      <c r="M45" s="2163"/>
    </row>
    <row r="46" spans="1:15">
      <c r="A46" s="2163"/>
      <c r="B46" s="2163"/>
      <c r="C46" s="2163"/>
      <c r="D46" s="2163"/>
      <c r="E46" s="2163"/>
      <c r="F46" s="2163"/>
      <c r="G46" s="2163"/>
      <c r="H46" s="2163"/>
      <c r="I46" s="2163"/>
      <c r="J46" s="2163"/>
      <c r="K46" s="2163"/>
      <c r="L46" s="2163"/>
      <c r="M46" s="2163"/>
    </row>
    <row r="47" spans="1:15">
      <c r="A47" s="2520" t="s">
        <v>2647</v>
      </c>
      <c r="B47" s="2520"/>
      <c r="C47" s="2520"/>
      <c r="D47" s="2166"/>
      <c r="E47" s="2166"/>
      <c r="F47" s="2166"/>
      <c r="G47" s="2166"/>
      <c r="H47" s="2526">
        <v>14753188.503</v>
      </c>
      <c r="I47" s="2526"/>
      <c r="J47" s="2526"/>
      <c r="K47" s="2166"/>
      <c r="L47" s="2168">
        <v>1587783129.0799999</v>
      </c>
      <c r="M47" s="2166"/>
    </row>
    <row r="48" spans="1:15">
      <c r="A48" s="2520" t="s">
        <v>2648</v>
      </c>
      <c r="B48" s="2520"/>
      <c r="C48" s="2520"/>
      <c r="D48" s="2166"/>
      <c r="E48" s="2166"/>
      <c r="F48" s="2166"/>
      <c r="G48" s="2166"/>
      <c r="H48" s="2526">
        <v>-14753307.708000001</v>
      </c>
      <c r="I48" s="2526"/>
      <c r="J48" s="2526"/>
      <c r="K48" s="2166"/>
      <c r="L48" s="2168">
        <v>-1588518723.29</v>
      </c>
      <c r="M48" s="2166"/>
    </row>
    <row r="49" spans="1:15">
      <c r="A49" s="2520" t="s">
        <v>2649</v>
      </c>
      <c r="B49" s="2520"/>
      <c r="C49" s="2520"/>
      <c r="D49" s="2166"/>
      <c r="E49" s="2166"/>
      <c r="F49" s="2166"/>
      <c r="G49" s="2166"/>
      <c r="H49" s="2525">
        <v>119.205</v>
      </c>
      <c r="I49" s="2525"/>
      <c r="J49" s="2525"/>
      <c r="K49" s="2166"/>
      <c r="L49" s="2168">
        <v>12945.92</v>
      </c>
      <c r="M49" s="2166"/>
    </row>
    <row r="50" spans="1:15">
      <c r="A50" s="2164"/>
      <c r="B50" s="2164"/>
      <c r="C50" s="2164"/>
      <c r="D50" s="2164"/>
      <c r="E50" s="2522" t="s">
        <v>2639</v>
      </c>
      <c r="F50" s="2522"/>
      <c r="G50" s="2164"/>
      <c r="H50" s="2523">
        <v>0</v>
      </c>
      <c r="I50" s="2523"/>
      <c r="J50" s="2523"/>
      <c r="K50" s="2163"/>
      <c r="L50" s="2523">
        <v>0</v>
      </c>
      <c r="M50" s="2163"/>
    </row>
    <row r="51" spans="1:15">
      <c r="A51" s="2164"/>
      <c r="B51" s="2164"/>
      <c r="C51" s="2164"/>
      <c r="D51" s="2164"/>
      <c r="E51" s="2164"/>
      <c r="F51" s="2164"/>
      <c r="G51" s="2164"/>
      <c r="H51" s="2523"/>
      <c r="I51" s="2523"/>
      <c r="J51" s="2523"/>
      <c r="K51" s="2163"/>
      <c r="L51" s="2523"/>
      <c r="M51" s="2163"/>
    </row>
    <row r="52" spans="1:15">
      <c r="A52" s="2160" t="s">
        <v>2634</v>
      </c>
      <c r="B52" s="2161"/>
      <c r="C52" s="2160" t="s">
        <v>2635</v>
      </c>
      <c r="D52" s="2161"/>
      <c r="E52" s="2160" t="s">
        <v>2640</v>
      </c>
      <c r="F52" s="2161"/>
    </row>
    <row r="53" spans="1:15">
      <c r="A53" s="2163"/>
      <c r="B53" s="2163"/>
      <c r="C53" s="2163"/>
      <c r="D53" s="2163"/>
      <c r="E53" s="2163"/>
      <c r="F53" s="2163"/>
      <c r="G53" s="2163"/>
      <c r="H53" s="2163"/>
      <c r="I53" s="2163"/>
      <c r="J53" s="2163"/>
      <c r="K53" s="2163"/>
      <c r="L53" s="2163"/>
      <c r="M53" s="2163"/>
    </row>
    <row r="54" spans="1:15">
      <c r="A54" s="2164"/>
      <c r="H54" s="2522" t="s">
        <v>2637</v>
      </c>
      <c r="I54" s="2522"/>
      <c r="J54" s="2163"/>
      <c r="K54" s="2523">
        <v>0</v>
      </c>
      <c r="L54" s="2523"/>
      <c r="M54" s="2163"/>
      <c r="N54" s="2527"/>
      <c r="O54" s="2163"/>
    </row>
    <row r="55" spans="1:15">
      <c r="H55" s="2163"/>
      <c r="I55" s="2163"/>
      <c r="J55" s="2163"/>
      <c r="K55" s="2523"/>
      <c r="L55" s="2523"/>
      <c r="N55" s="2527"/>
    </row>
    <row r="56" spans="1:15">
      <c r="A56" s="2165">
        <v>24368</v>
      </c>
      <c r="B56" s="2163"/>
      <c r="C56" s="2524" t="s">
        <v>3051</v>
      </c>
      <c r="D56" s="2524"/>
      <c r="E56" s="2524"/>
      <c r="F56" s="2524"/>
      <c r="G56" s="2524"/>
      <c r="H56" s="2524"/>
      <c r="I56" s="2524"/>
      <c r="J56" s="2163"/>
      <c r="K56" s="2163"/>
      <c r="L56" s="2163"/>
      <c r="M56" s="2163"/>
    </row>
    <row r="57" spans="1:15">
      <c r="A57" s="2163"/>
      <c r="B57" s="2163"/>
      <c r="C57" s="2163"/>
      <c r="D57" s="2163"/>
      <c r="E57" s="2163"/>
      <c r="F57" s="2163"/>
      <c r="G57" s="2163"/>
      <c r="H57" s="2163"/>
      <c r="I57" s="2163"/>
      <c r="J57" s="2163"/>
      <c r="K57" s="2163"/>
      <c r="L57" s="2163"/>
      <c r="M57" s="2163"/>
    </row>
    <row r="58" spans="1:15">
      <c r="A58" s="2520" t="s">
        <v>2647</v>
      </c>
      <c r="B58" s="2520"/>
      <c r="C58" s="2520"/>
      <c r="D58" s="2166"/>
      <c r="E58" s="2166"/>
      <c r="F58" s="2166"/>
      <c r="G58" s="2166"/>
      <c r="H58" s="2526">
        <v>17002027.589000002</v>
      </c>
      <c r="I58" s="2526"/>
      <c r="J58" s="2526"/>
      <c r="K58" s="2166"/>
      <c r="L58" s="2168">
        <v>1829810048.28</v>
      </c>
      <c r="M58" s="2166"/>
    </row>
    <row r="59" spans="1:15">
      <c r="A59" s="2520" t="s">
        <v>2648</v>
      </c>
      <c r="B59" s="2520"/>
      <c r="C59" s="2520"/>
      <c r="D59" s="2166"/>
      <c r="E59" s="2166"/>
      <c r="F59" s="2166"/>
      <c r="G59" s="2166"/>
      <c r="H59" s="2526">
        <v>-17002169.254000001</v>
      </c>
      <c r="I59" s="2526"/>
      <c r="J59" s="2526"/>
      <c r="K59" s="2166"/>
      <c r="L59" s="2168">
        <v>-1830658235.76</v>
      </c>
      <c r="M59" s="2166"/>
    </row>
    <row r="60" spans="1:15">
      <c r="A60" s="2520" t="s">
        <v>2649</v>
      </c>
      <c r="B60" s="2520"/>
      <c r="C60" s="2520"/>
      <c r="D60" s="2166"/>
      <c r="E60" s="2166"/>
      <c r="F60" s="2166"/>
      <c r="G60" s="2166"/>
      <c r="H60" s="2525">
        <v>141.66399999999999</v>
      </c>
      <c r="I60" s="2525"/>
      <c r="J60" s="2525"/>
      <c r="K60" s="2166"/>
      <c r="L60" s="2168">
        <v>15385.04</v>
      </c>
      <c r="M60" s="2166"/>
    </row>
    <row r="61" spans="1:15">
      <c r="A61" s="2164"/>
      <c r="B61" s="2164"/>
      <c r="C61" s="2164"/>
      <c r="D61" s="2164"/>
      <c r="E61" s="2522" t="s">
        <v>2639</v>
      </c>
      <c r="F61" s="2522"/>
      <c r="G61" s="2164"/>
      <c r="H61" s="2523">
        <v>0</v>
      </c>
      <c r="I61" s="2523"/>
      <c r="J61" s="2523"/>
      <c r="K61" s="2163"/>
      <c r="L61" s="2523">
        <v>0</v>
      </c>
      <c r="M61" s="2163"/>
    </row>
    <row r="62" spans="1:15">
      <c r="A62" s="2164"/>
      <c r="B62" s="2164"/>
      <c r="C62" s="2164"/>
      <c r="D62" s="2164"/>
      <c r="E62" s="2164"/>
      <c r="F62" s="2164"/>
      <c r="G62" s="2164"/>
      <c r="H62" s="2523"/>
      <c r="I62" s="2523"/>
      <c r="J62" s="2523"/>
      <c r="K62" s="2163"/>
      <c r="L62" s="2523"/>
      <c r="M62" s="2163"/>
    </row>
    <row r="63" spans="1:15">
      <c r="A63" s="2160" t="s">
        <v>2634</v>
      </c>
      <c r="B63" s="2161"/>
      <c r="C63" s="2160" t="s">
        <v>2635</v>
      </c>
      <c r="D63" s="2161"/>
      <c r="E63" s="2160" t="s">
        <v>2640</v>
      </c>
      <c r="F63" s="2161"/>
    </row>
    <row r="64" spans="1:15">
      <c r="A64" s="2163"/>
      <c r="B64" s="2163"/>
      <c r="C64" s="2163"/>
      <c r="D64" s="2163"/>
      <c r="E64" s="2163"/>
      <c r="F64" s="2163"/>
      <c r="G64" s="2163"/>
      <c r="H64" s="2163"/>
      <c r="I64" s="2163"/>
      <c r="J64" s="2163"/>
      <c r="K64" s="2163"/>
      <c r="L64" s="2163"/>
      <c r="M64" s="2163"/>
    </row>
    <row r="65" spans="1:15">
      <c r="A65" s="2164"/>
      <c r="H65" s="2522" t="s">
        <v>2637</v>
      </c>
      <c r="I65" s="2522"/>
      <c r="J65" s="2163"/>
      <c r="K65" s="2523">
        <v>1E-4</v>
      </c>
      <c r="L65" s="2523"/>
      <c r="M65" s="2163"/>
      <c r="N65" s="2527"/>
      <c r="O65" s="2163"/>
    </row>
    <row r="66" spans="1:15">
      <c r="H66" s="2163"/>
      <c r="I66" s="2163"/>
      <c r="J66" s="2163"/>
      <c r="K66" s="2523"/>
      <c r="L66" s="2523"/>
      <c r="N66" s="2527"/>
    </row>
    <row r="67" spans="1:15">
      <c r="A67" s="2165">
        <v>24482</v>
      </c>
      <c r="B67" s="2163"/>
      <c r="C67" s="2524" t="s">
        <v>3052</v>
      </c>
      <c r="D67" s="2524"/>
      <c r="E67" s="2524"/>
      <c r="F67" s="2524"/>
      <c r="G67" s="2524"/>
      <c r="H67" s="2524"/>
      <c r="I67" s="2524"/>
      <c r="J67" s="2163"/>
      <c r="K67" s="2163"/>
      <c r="L67" s="2163"/>
      <c r="M67" s="2163"/>
    </row>
    <row r="68" spans="1:15">
      <c r="A68" s="2163"/>
      <c r="B68" s="2163"/>
      <c r="C68" s="2163"/>
      <c r="D68" s="2163"/>
      <c r="E68" s="2163"/>
      <c r="F68" s="2163"/>
      <c r="G68" s="2163"/>
      <c r="H68" s="2163"/>
      <c r="I68" s="2163"/>
      <c r="J68" s="2163"/>
      <c r="K68" s="2163"/>
      <c r="L68" s="2163"/>
      <c r="M68" s="2163"/>
    </row>
    <row r="69" spans="1:15">
      <c r="A69" s="2520" t="s">
        <v>2647</v>
      </c>
      <c r="B69" s="2520"/>
      <c r="C69" s="2520"/>
      <c r="D69" s="2166"/>
      <c r="E69" s="2166"/>
      <c r="F69" s="2166"/>
      <c r="G69" s="2166"/>
      <c r="H69" s="2526">
        <v>6514954.0959999999</v>
      </c>
      <c r="I69" s="2526"/>
      <c r="J69" s="2526"/>
      <c r="K69" s="2166"/>
      <c r="L69" s="2168">
        <v>701159223.85000002</v>
      </c>
      <c r="M69" s="2166"/>
    </row>
    <row r="70" spans="1:15">
      <c r="A70" s="2520" t="s">
        <v>2648</v>
      </c>
      <c r="B70" s="2520"/>
      <c r="C70" s="2520"/>
      <c r="D70" s="2166"/>
      <c r="E70" s="2166"/>
      <c r="F70" s="2166"/>
      <c r="G70" s="2166"/>
      <c r="H70" s="2526">
        <v>-6515015.0590000004</v>
      </c>
      <c r="I70" s="2526"/>
      <c r="J70" s="2526"/>
      <c r="K70" s="2166"/>
      <c r="L70" s="2168">
        <v>-701484964.12</v>
      </c>
      <c r="M70" s="2166"/>
    </row>
    <row r="71" spans="1:15">
      <c r="A71" s="2520" t="s">
        <v>2649</v>
      </c>
      <c r="B71" s="2520"/>
      <c r="C71" s="2520"/>
      <c r="D71" s="2166"/>
      <c r="E71" s="2166"/>
      <c r="F71" s="2166"/>
      <c r="G71" s="2166"/>
      <c r="H71" s="2525">
        <v>60.963000000000001</v>
      </c>
      <c r="I71" s="2525"/>
      <c r="J71" s="2525"/>
      <c r="K71" s="2166"/>
      <c r="L71" s="2168">
        <v>6620.71</v>
      </c>
      <c r="M71" s="2166"/>
    </row>
    <row r="72" spans="1:15">
      <c r="A72" s="2164"/>
      <c r="B72" s="2164"/>
      <c r="C72" s="2164"/>
      <c r="D72" s="2164"/>
      <c r="E72" s="2522" t="s">
        <v>2639</v>
      </c>
      <c r="F72" s="2522"/>
      <c r="G72" s="2164"/>
      <c r="H72" s="2523">
        <v>0</v>
      </c>
      <c r="I72" s="2523"/>
      <c r="J72" s="2523"/>
      <c r="K72" s="2163"/>
      <c r="L72" s="2523">
        <v>0</v>
      </c>
      <c r="M72" s="2163"/>
    </row>
    <row r="73" spans="1:15">
      <c r="A73" s="2164"/>
      <c r="B73" s="2164"/>
      <c r="C73" s="2164"/>
      <c r="D73" s="2164"/>
      <c r="E73" s="2164"/>
      <c r="F73" s="2164"/>
      <c r="G73" s="2164"/>
      <c r="H73" s="2523"/>
      <c r="I73" s="2523"/>
      <c r="J73" s="2523"/>
      <c r="K73" s="2163"/>
      <c r="L73" s="2523"/>
      <c r="M73" s="2163"/>
    </row>
    <row r="74" spans="1:15">
      <c r="A74" s="2160" t="s">
        <v>2634</v>
      </c>
      <c r="B74" s="2161"/>
      <c r="C74" s="2160" t="s">
        <v>2635</v>
      </c>
      <c r="D74" s="2161"/>
      <c r="E74" s="2160" t="s">
        <v>2640</v>
      </c>
      <c r="F74" s="2161"/>
    </row>
    <row r="75" spans="1:15">
      <c r="A75" s="2163"/>
      <c r="B75" s="2163"/>
      <c r="C75" s="2163"/>
      <c r="D75" s="2163"/>
      <c r="E75" s="2163"/>
      <c r="F75" s="2163"/>
      <c r="G75" s="2163"/>
      <c r="H75" s="2163"/>
      <c r="I75" s="2163"/>
      <c r="J75" s="2163"/>
      <c r="K75" s="2163"/>
      <c r="L75" s="2163"/>
      <c r="M75" s="2163"/>
    </row>
    <row r="76" spans="1:15">
      <c r="A76" s="2164"/>
      <c r="H76" s="2522" t="s">
        <v>2637</v>
      </c>
      <c r="I76" s="2522"/>
      <c r="J76" s="2163"/>
      <c r="K76" s="2523">
        <v>0</v>
      </c>
      <c r="L76" s="2523"/>
      <c r="M76" s="2163"/>
      <c r="N76" s="2527"/>
      <c r="O76" s="2163"/>
    </row>
    <row r="77" spans="1:15">
      <c r="H77" s="2163"/>
      <c r="I77" s="2163"/>
      <c r="J77" s="2163"/>
      <c r="K77" s="2523"/>
      <c r="L77" s="2523"/>
      <c r="N77" s="2527"/>
    </row>
    <row r="78" spans="1:15">
      <c r="A78" s="2165">
        <v>24558</v>
      </c>
      <c r="B78" s="2163"/>
      <c r="C78" s="2524" t="s">
        <v>3053</v>
      </c>
      <c r="D78" s="2524"/>
      <c r="E78" s="2524"/>
      <c r="F78" s="2524"/>
      <c r="G78" s="2524"/>
      <c r="H78" s="2524"/>
      <c r="I78" s="2524"/>
      <c r="J78" s="2163"/>
      <c r="K78" s="2163"/>
      <c r="L78" s="2163"/>
      <c r="M78" s="2163"/>
    </row>
    <row r="79" spans="1:15">
      <c r="A79" s="2163"/>
      <c r="B79" s="2163"/>
      <c r="C79" s="2163"/>
      <c r="D79" s="2163"/>
      <c r="E79" s="2163"/>
      <c r="F79" s="2163"/>
      <c r="G79" s="2163"/>
      <c r="H79" s="2163"/>
      <c r="I79" s="2163"/>
      <c r="J79" s="2163"/>
      <c r="K79" s="2163"/>
      <c r="L79" s="2163"/>
      <c r="M79" s="2163"/>
    </row>
    <row r="80" spans="1:15">
      <c r="A80" s="2520" t="s">
        <v>2647</v>
      </c>
      <c r="B80" s="2520"/>
      <c r="C80" s="2520"/>
      <c r="D80" s="2166"/>
      <c r="E80" s="2166"/>
      <c r="F80" s="2166"/>
      <c r="G80" s="2166"/>
      <c r="H80" s="2526">
        <v>2508992.2560000001</v>
      </c>
      <c r="I80" s="2526"/>
      <c r="J80" s="2526"/>
      <c r="K80" s="2166"/>
      <c r="L80" s="2168">
        <v>270025396.43000001</v>
      </c>
      <c r="M80" s="2166"/>
    </row>
    <row r="81" spans="1:15">
      <c r="A81" s="2520" t="s">
        <v>2648</v>
      </c>
      <c r="B81" s="2520"/>
      <c r="C81" s="2520"/>
      <c r="D81" s="2166"/>
      <c r="E81" s="2166"/>
      <c r="F81" s="2166"/>
      <c r="G81" s="2166"/>
      <c r="H81" s="2526">
        <v>-2508992.2560000001</v>
      </c>
      <c r="I81" s="2526"/>
      <c r="J81" s="2526"/>
      <c r="K81" s="2166"/>
      <c r="L81" s="2168">
        <v>-270148291.47000003</v>
      </c>
      <c r="M81" s="2166"/>
    </row>
    <row r="82" spans="1:15">
      <c r="A82" s="2164"/>
      <c r="B82" s="2164"/>
      <c r="C82" s="2164"/>
      <c r="D82" s="2164"/>
      <c r="E82" s="2522" t="s">
        <v>2639</v>
      </c>
      <c r="F82" s="2522"/>
      <c r="G82" s="2164"/>
      <c r="H82" s="2523">
        <v>0</v>
      </c>
      <c r="I82" s="2523"/>
      <c r="J82" s="2523"/>
      <c r="K82" s="2163"/>
      <c r="L82" s="2523">
        <v>0</v>
      </c>
      <c r="M82" s="2163"/>
    </row>
    <row r="83" spans="1:15">
      <c r="A83" s="2164"/>
      <c r="B83" s="2164"/>
      <c r="C83" s="2164"/>
      <c r="D83" s="2164"/>
      <c r="E83" s="2164"/>
      <c r="F83" s="2164"/>
      <c r="G83" s="2164"/>
      <c r="H83" s="2523"/>
      <c r="I83" s="2523"/>
      <c r="J83" s="2523"/>
      <c r="K83" s="2163"/>
      <c r="L83" s="2523"/>
      <c r="M83" s="2163"/>
    </row>
    <row r="84" spans="1:15">
      <c r="A84" s="2160" t="s">
        <v>2634</v>
      </c>
      <c r="B84" s="2161"/>
      <c r="C84" s="2160" t="s">
        <v>2635</v>
      </c>
      <c r="D84" s="2161"/>
      <c r="E84" s="2160" t="s">
        <v>2640</v>
      </c>
      <c r="F84" s="2161"/>
    </row>
    <row r="85" spans="1:15">
      <c r="A85" s="2163"/>
      <c r="B85" s="2163"/>
      <c r="C85" s="2163"/>
      <c r="D85" s="2163"/>
      <c r="E85" s="2163"/>
      <c r="F85" s="2163"/>
      <c r="G85" s="2163"/>
      <c r="H85" s="2163"/>
      <c r="I85" s="2163"/>
      <c r="J85" s="2163"/>
      <c r="K85" s="2163"/>
      <c r="L85" s="2163"/>
      <c r="M85" s="2163"/>
    </row>
    <row r="86" spans="1:15">
      <c r="A86" s="2164"/>
      <c r="H86" s="2522" t="s">
        <v>2637</v>
      </c>
      <c r="I86" s="2522"/>
      <c r="J86" s="2163"/>
      <c r="K86" s="2523">
        <v>0</v>
      </c>
      <c r="L86" s="2523"/>
      <c r="M86" s="2163"/>
      <c r="N86" s="2527"/>
      <c r="O86" s="2163"/>
    </row>
    <row r="87" spans="1:15">
      <c r="H87" s="2163"/>
      <c r="I87" s="2163"/>
      <c r="J87" s="2163"/>
      <c r="K87" s="2523"/>
      <c r="L87" s="2523"/>
      <c r="N87" s="2527"/>
    </row>
    <row r="88" spans="1:15">
      <c r="A88" s="2165">
        <v>31913</v>
      </c>
      <c r="B88" s="2163"/>
      <c r="C88" s="2524" t="s">
        <v>2855</v>
      </c>
      <c r="D88" s="2524"/>
      <c r="E88" s="2524"/>
      <c r="F88" s="2524"/>
      <c r="G88" s="2524"/>
      <c r="H88" s="2524"/>
      <c r="I88" s="2524"/>
      <c r="J88" s="2163"/>
      <c r="K88" s="2163"/>
      <c r="L88" s="2163"/>
      <c r="M88" s="2163"/>
    </row>
    <row r="89" spans="1:15">
      <c r="A89" s="2163"/>
      <c r="B89" s="2163"/>
      <c r="C89" s="2163"/>
      <c r="D89" s="2163"/>
      <c r="E89" s="2163"/>
      <c r="F89" s="2163"/>
      <c r="G89" s="2163"/>
      <c r="H89" s="2163"/>
      <c r="I89" s="2163"/>
      <c r="J89" s="2163"/>
      <c r="K89" s="2163"/>
      <c r="L89" s="2163"/>
      <c r="M89" s="2163"/>
    </row>
    <row r="90" spans="1:15">
      <c r="A90" s="2529"/>
      <c r="B90" s="2529"/>
      <c r="C90" s="2529"/>
      <c r="D90" s="2166"/>
      <c r="E90" s="2166"/>
      <c r="F90" s="2166"/>
      <c r="G90" s="2166"/>
      <c r="H90" s="2525"/>
      <c r="I90" s="2525"/>
      <c r="J90" s="2525"/>
      <c r="K90" s="2166"/>
      <c r="L90" s="2167"/>
      <c r="M90" s="2166"/>
    </row>
    <row r="91" spans="1:15">
      <c r="A91" s="2164"/>
      <c r="B91" s="2164"/>
      <c r="C91" s="2164"/>
      <c r="D91" s="2164"/>
      <c r="E91" s="2522" t="s">
        <v>2639</v>
      </c>
      <c r="F91" s="2522"/>
      <c r="G91" s="2164"/>
      <c r="H91" s="2523">
        <v>0</v>
      </c>
      <c r="I91" s="2523"/>
      <c r="J91" s="2523"/>
      <c r="K91" s="2163"/>
      <c r="L91" s="2523">
        <v>0</v>
      </c>
      <c r="M91" s="2163"/>
    </row>
    <row r="92" spans="1:15">
      <c r="A92" s="2164"/>
      <c r="B92" s="2164"/>
      <c r="C92" s="2164"/>
      <c r="D92" s="2164"/>
      <c r="E92" s="2164"/>
      <c r="F92" s="2164"/>
      <c r="G92" s="2164"/>
      <c r="H92" s="2523"/>
      <c r="I92" s="2523"/>
      <c r="J92" s="2523"/>
      <c r="K92" s="2163"/>
      <c r="L92" s="2523"/>
      <c r="M92" s="2163"/>
    </row>
    <row r="93" spans="1:15">
      <c r="A93" s="2160" t="s">
        <v>2634</v>
      </c>
      <c r="B93" s="2161"/>
      <c r="C93" s="2160" t="s">
        <v>2635</v>
      </c>
      <c r="D93" s="2161"/>
      <c r="E93" s="2160" t="s">
        <v>2640</v>
      </c>
      <c r="F93" s="2161"/>
    </row>
    <row r="94" spans="1:15">
      <c r="A94" s="2163"/>
      <c r="B94" s="2163"/>
      <c r="C94" s="2163"/>
      <c r="D94" s="2163"/>
      <c r="E94" s="2163"/>
      <c r="F94" s="2163"/>
      <c r="G94" s="2163"/>
      <c r="H94" s="2163"/>
      <c r="I94" s="2163"/>
      <c r="J94" s="2163"/>
      <c r="K94" s="2163"/>
      <c r="L94" s="2163"/>
      <c r="M94" s="2163"/>
    </row>
    <row r="95" spans="1:15">
      <c r="A95" s="2164"/>
      <c r="H95" s="2522" t="s">
        <v>2637</v>
      </c>
      <c r="I95" s="2522"/>
      <c r="J95" s="2163"/>
      <c r="K95" s="2523">
        <v>0</v>
      </c>
      <c r="L95" s="2523"/>
      <c r="M95" s="2163"/>
      <c r="N95" s="2527"/>
      <c r="O95" s="2163"/>
    </row>
    <row r="96" spans="1:15">
      <c r="H96" s="2163"/>
      <c r="I96" s="2163"/>
      <c r="J96" s="2163"/>
      <c r="K96" s="2523"/>
      <c r="L96" s="2523"/>
      <c r="N96" s="2527"/>
    </row>
    <row r="97" spans="1:15">
      <c r="A97" s="2165">
        <v>40147</v>
      </c>
      <c r="B97" s="2163"/>
      <c r="C97" s="2524" t="s">
        <v>2856</v>
      </c>
      <c r="D97" s="2524"/>
      <c r="E97" s="2524"/>
      <c r="F97" s="2524"/>
      <c r="G97" s="2524"/>
      <c r="H97" s="2524"/>
      <c r="I97" s="2524"/>
      <c r="J97" s="2163"/>
      <c r="K97" s="2163"/>
      <c r="L97" s="2163"/>
      <c r="M97" s="2163"/>
    </row>
    <row r="98" spans="1:15">
      <c r="A98" s="2163"/>
      <c r="B98" s="2163"/>
      <c r="C98" s="2163"/>
      <c r="D98" s="2163"/>
      <c r="E98" s="2163"/>
      <c r="F98" s="2163"/>
      <c r="G98" s="2163"/>
      <c r="H98" s="2163"/>
      <c r="I98" s="2163"/>
      <c r="J98" s="2163"/>
      <c r="K98" s="2163"/>
      <c r="L98" s="2163"/>
      <c r="M98" s="2163"/>
    </row>
    <row r="99" spans="1:15">
      <c r="A99" s="2529"/>
      <c r="B99" s="2529"/>
      <c r="C99" s="2529"/>
      <c r="D99" s="2166"/>
      <c r="E99" s="2166"/>
      <c r="F99" s="2166"/>
      <c r="G99" s="2166"/>
      <c r="H99" s="2525"/>
      <c r="I99" s="2525"/>
      <c r="J99" s="2525"/>
      <c r="K99" s="2166"/>
      <c r="L99" s="2167"/>
      <c r="M99" s="2166"/>
    </row>
    <row r="100" spans="1:15">
      <c r="A100" s="2164"/>
      <c r="B100" s="2164"/>
      <c r="C100" s="2164"/>
      <c r="D100" s="2164"/>
      <c r="E100" s="2522" t="s">
        <v>2639</v>
      </c>
      <c r="F100" s="2522"/>
      <c r="G100" s="2164"/>
      <c r="H100" s="2523">
        <v>0</v>
      </c>
      <c r="I100" s="2523"/>
      <c r="J100" s="2523"/>
      <c r="K100" s="2163"/>
      <c r="L100" s="2523">
        <v>0</v>
      </c>
      <c r="M100" s="2163"/>
    </row>
    <row r="101" spans="1:15">
      <c r="A101" s="2164"/>
      <c r="B101" s="2164"/>
      <c r="C101" s="2164"/>
      <c r="D101" s="2164"/>
      <c r="E101" s="2164"/>
      <c r="F101" s="2164"/>
      <c r="G101" s="2164"/>
      <c r="H101" s="2523"/>
      <c r="I101" s="2523"/>
      <c r="J101" s="2523"/>
      <c r="K101" s="2163"/>
      <c r="L101" s="2523"/>
      <c r="M101" s="2163"/>
    </row>
    <row r="102" spans="1:15">
      <c r="A102" s="2160" t="s">
        <v>2634</v>
      </c>
      <c r="B102" s="2161"/>
      <c r="C102" s="2160" t="s">
        <v>2635</v>
      </c>
      <c r="D102" s="2161"/>
      <c r="E102" s="2160" t="s">
        <v>2640</v>
      </c>
      <c r="F102" s="2161"/>
    </row>
    <row r="103" spans="1:15">
      <c r="A103" s="2163"/>
      <c r="B103" s="2163"/>
      <c r="C103" s="2163"/>
      <c r="D103" s="2163"/>
      <c r="E103" s="2163"/>
      <c r="F103" s="2163"/>
      <c r="G103" s="2163"/>
      <c r="H103" s="2163"/>
      <c r="I103" s="2163"/>
      <c r="J103" s="2163"/>
      <c r="K103" s="2163"/>
      <c r="L103" s="2163"/>
      <c r="M103" s="2163"/>
    </row>
    <row r="104" spans="1:15">
      <c r="A104" s="2164"/>
      <c r="H104" s="2522" t="s">
        <v>2637</v>
      </c>
      <c r="I104" s="2522"/>
      <c r="J104" s="2163"/>
      <c r="K104" s="2523">
        <v>0</v>
      </c>
      <c r="L104" s="2523"/>
      <c r="M104" s="2163"/>
      <c r="N104" s="2527"/>
      <c r="O104" s="2163"/>
    </row>
    <row r="105" spans="1:15">
      <c r="H105" s="2163"/>
      <c r="I105" s="2163"/>
      <c r="J105" s="2163"/>
      <c r="K105" s="2523"/>
      <c r="L105" s="2523"/>
      <c r="N105" s="2527"/>
    </row>
    <row r="106" spans="1:15">
      <c r="A106" s="2165">
        <v>34239</v>
      </c>
      <c r="B106" s="2163"/>
      <c r="C106" s="2524" t="s">
        <v>3054</v>
      </c>
      <c r="D106" s="2524"/>
      <c r="E106" s="2524"/>
      <c r="F106" s="2524"/>
      <c r="G106" s="2524"/>
      <c r="H106" s="2524"/>
      <c r="I106" s="2524"/>
      <c r="J106" s="2163"/>
      <c r="K106" s="2163"/>
      <c r="L106" s="2163"/>
      <c r="M106" s="2163"/>
    </row>
    <row r="107" spans="1:15">
      <c r="A107" s="2163"/>
      <c r="B107" s="2163"/>
      <c r="C107" s="2163"/>
      <c r="D107" s="2163"/>
      <c r="E107" s="2163"/>
      <c r="F107" s="2163"/>
      <c r="G107" s="2163"/>
      <c r="H107" s="2163"/>
      <c r="I107" s="2163"/>
      <c r="J107" s="2163"/>
      <c r="K107" s="2163"/>
      <c r="L107" s="2163"/>
      <c r="M107" s="2163"/>
    </row>
    <row r="108" spans="1:15">
      <c r="A108" s="2520" t="s">
        <v>2647</v>
      </c>
      <c r="B108" s="2520"/>
      <c r="C108" s="2520"/>
      <c r="D108" s="2166"/>
      <c r="E108" s="2166"/>
      <c r="F108" s="2166"/>
      <c r="G108" s="2166"/>
      <c r="H108" s="2526">
        <v>45381.692000000003</v>
      </c>
      <c r="I108" s="2526"/>
      <c r="J108" s="2526"/>
      <c r="K108" s="2166"/>
      <c r="L108" s="2168">
        <v>4864704.0599999996</v>
      </c>
      <c r="M108" s="2166"/>
    </row>
    <row r="109" spans="1:15">
      <c r="A109" s="2520" t="s">
        <v>2648</v>
      </c>
      <c r="B109" s="2520"/>
      <c r="C109" s="2520"/>
      <c r="D109" s="2166"/>
      <c r="E109" s="2166"/>
      <c r="F109" s="2166"/>
      <c r="G109" s="2166"/>
      <c r="H109" s="2526">
        <v>-45381.692000000003</v>
      </c>
      <c r="I109" s="2526"/>
      <c r="J109" s="2526"/>
      <c r="K109" s="2166"/>
      <c r="L109" s="2168">
        <v>-4861123.4400000004</v>
      </c>
      <c r="M109" s="2166"/>
    </row>
    <row r="110" spans="1:15">
      <c r="A110" s="2164"/>
      <c r="B110" s="2164"/>
      <c r="C110" s="2164"/>
      <c r="D110" s="2164"/>
      <c r="E110" s="2522" t="s">
        <v>2639</v>
      </c>
      <c r="F110" s="2522"/>
      <c r="G110" s="2164"/>
      <c r="H110" s="2523">
        <v>0</v>
      </c>
      <c r="I110" s="2523"/>
      <c r="J110" s="2523"/>
      <c r="K110" s="2163"/>
      <c r="L110" s="2523">
        <v>0</v>
      </c>
      <c r="M110" s="2163"/>
    </row>
    <row r="111" spans="1:15">
      <c r="A111" s="2164"/>
      <c r="B111" s="2164"/>
      <c r="C111" s="2164"/>
      <c r="D111" s="2164"/>
      <c r="E111" s="2164"/>
      <c r="F111" s="2164"/>
      <c r="G111" s="2164"/>
      <c r="H111" s="2523"/>
      <c r="I111" s="2523"/>
      <c r="J111" s="2523"/>
      <c r="K111" s="2163"/>
      <c r="L111" s="2523"/>
      <c r="M111" s="2163"/>
    </row>
    <row r="112" spans="1:15">
      <c r="A112" s="2160" t="s">
        <v>2634</v>
      </c>
      <c r="B112" s="2161"/>
      <c r="C112" s="2160" t="s">
        <v>2635</v>
      </c>
      <c r="D112" s="2161"/>
      <c r="E112" s="2160" t="s">
        <v>2640</v>
      </c>
      <c r="F112" s="2161"/>
    </row>
    <row r="113" spans="1:15">
      <c r="A113" s="2163"/>
      <c r="B113" s="2163"/>
      <c r="C113" s="2163"/>
      <c r="D113" s="2163"/>
      <c r="E113" s="2163"/>
      <c r="F113" s="2163"/>
      <c r="G113" s="2163"/>
      <c r="H113" s="2163"/>
      <c r="I113" s="2163"/>
      <c r="J113" s="2163"/>
      <c r="K113" s="2163"/>
      <c r="L113" s="2163"/>
      <c r="M113" s="2163"/>
    </row>
    <row r="114" spans="1:15">
      <c r="A114" s="2164"/>
      <c r="H114" s="2522" t="s">
        <v>2637</v>
      </c>
      <c r="I114" s="2522"/>
      <c r="J114" s="2163"/>
      <c r="K114" s="2523">
        <v>0</v>
      </c>
      <c r="L114" s="2523"/>
      <c r="M114" s="2163"/>
      <c r="N114" s="2527"/>
      <c r="O114" s="2163"/>
    </row>
    <row r="115" spans="1:15">
      <c r="H115" s="2163"/>
      <c r="I115" s="2163"/>
      <c r="J115" s="2163"/>
      <c r="K115" s="2523"/>
      <c r="L115" s="2523"/>
      <c r="N115" s="2527"/>
    </row>
    <row r="116" spans="1:15">
      <c r="A116" s="2165">
        <v>50733</v>
      </c>
      <c r="B116" s="2163"/>
      <c r="C116" s="2524" t="s">
        <v>2857</v>
      </c>
      <c r="D116" s="2524"/>
      <c r="E116" s="2524"/>
      <c r="F116" s="2524"/>
      <c r="G116" s="2524"/>
      <c r="H116" s="2524"/>
      <c r="I116" s="2524"/>
      <c r="J116" s="2163"/>
      <c r="K116" s="2163"/>
      <c r="L116" s="2163"/>
      <c r="M116" s="2163"/>
    </row>
    <row r="117" spans="1:15">
      <c r="A117" s="2163"/>
      <c r="B117" s="2163"/>
      <c r="C117" s="2163"/>
      <c r="D117" s="2163"/>
      <c r="E117" s="2163"/>
      <c r="F117" s="2163"/>
      <c r="G117" s="2163"/>
      <c r="H117" s="2163"/>
      <c r="I117" s="2163"/>
      <c r="J117" s="2163"/>
      <c r="K117" s="2163"/>
      <c r="L117" s="2163"/>
      <c r="M117" s="2163"/>
    </row>
    <row r="118" spans="1:15">
      <c r="A118" s="2529"/>
      <c r="B118" s="2529"/>
      <c r="C118" s="2529"/>
      <c r="D118" s="2166"/>
      <c r="E118" s="2166"/>
      <c r="F118" s="2166"/>
      <c r="G118" s="2166"/>
      <c r="H118" s="2525"/>
      <c r="I118" s="2525"/>
      <c r="J118" s="2525"/>
      <c r="K118" s="2166"/>
      <c r="L118" s="2167"/>
      <c r="M118" s="2166"/>
    </row>
    <row r="119" spans="1:15">
      <c r="A119" s="2164"/>
      <c r="B119" s="2164"/>
      <c r="C119" s="2164"/>
      <c r="D119" s="2164"/>
      <c r="E119" s="2522" t="s">
        <v>2639</v>
      </c>
      <c r="F119" s="2522"/>
      <c r="G119" s="2164"/>
      <c r="H119" s="2523">
        <v>0</v>
      </c>
      <c r="I119" s="2523"/>
      <c r="J119" s="2523"/>
      <c r="K119" s="2163"/>
      <c r="L119" s="2523">
        <v>0</v>
      </c>
      <c r="M119" s="2163"/>
    </row>
    <row r="120" spans="1:15">
      <c r="A120" s="2164"/>
      <c r="B120" s="2164"/>
      <c r="C120" s="2164"/>
      <c r="D120" s="2164"/>
      <c r="E120" s="2164"/>
      <c r="F120" s="2164"/>
      <c r="G120" s="2164"/>
      <c r="H120" s="2523"/>
      <c r="I120" s="2523"/>
      <c r="J120" s="2523"/>
      <c r="K120" s="2163"/>
      <c r="L120" s="2523"/>
      <c r="M120" s="2163"/>
    </row>
    <row r="121" spans="1:15">
      <c r="A121" s="2160" t="s">
        <v>2634</v>
      </c>
      <c r="B121" s="2161"/>
      <c r="C121" s="2160" t="s">
        <v>2635</v>
      </c>
      <c r="D121" s="2161"/>
      <c r="E121" s="2160" t="s">
        <v>2640</v>
      </c>
      <c r="F121" s="2161"/>
    </row>
    <row r="122" spans="1:15">
      <c r="A122" s="2163"/>
      <c r="B122" s="2163"/>
      <c r="C122" s="2163"/>
      <c r="D122" s="2163"/>
      <c r="E122" s="2163"/>
      <c r="F122" s="2163"/>
      <c r="G122" s="2163"/>
      <c r="H122" s="2163"/>
      <c r="I122" s="2163"/>
      <c r="J122" s="2163"/>
      <c r="K122" s="2163"/>
      <c r="L122" s="2163"/>
      <c r="M122" s="2163"/>
    </row>
    <row r="123" spans="1:15">
      <c r="A123" s="2164"/>
      <c r="H123" s="2522" t="s">
        <v>2637</v>
      </c>
      <c r="I123" s="2522"/>
      <c r="J123" s="2163"/>
      <c r="K123" s="2523">
        <v>0</v>
      </c>
      <c r="L123" s="2523"/>
      <c r="M123" s="2163"/>
      <c r="N123" s="2527"/>
      <c r="O123" s="2163"/>
    </row>
    <row r="124" spans="1:15">
      <c r="H124" s="2163"/>
      <c r="I124" s="2163"/>
      <c r="J124" s="2163"/>
      <c r="K124" s="2523"/>
      <c r="L124" s="2523"/>
      <c r="N124" s="2527"/>
    </row>
    <row r="125" spans="1:15">
      <c r="A125" s="2165">
        <v>54909</v>
      </c>
      <c r="B125" s="2163"/>
      <c r="C125" s="2524" t="s">
        <v>2858</v>
      </c>
      <c r="D125" s="2524"/>
      <c r="E125" s="2524"/>
      <c r="F125" s="2524"/>
      <c r="G125" s="2524"/>
      <c r="H125" s="2524"/>
      <c r="I125" s="2524"/>
      <c r="J125" s="2163"/>
      <c r="K125" s="2163"/>
      <c r="L125" s="2163"/>
      <c r="M125" s="2163"/>
    </row>
    <row r="126" spans="1:15">
      <c r="A126" s="2163"/>
      <c r="B126" s="2163"/>
      <c r="C126" s="2163"/>
      <c r="D126" s="2163"/>
      <c r="E126" s="2163"/>
      <c r="F126" s="2163"/>
      <c r="G126" s="2163"/>
      <c r="H126" s="2163"/>
      <c r="I126" s="2163"/>
      <c r="J126" s="2163"/>
      <c r="K126" s="2163"/>
      <c r="L126" s="2163"/>
      <c r="M126" s="2163"/>
    </row>
    <row r="127" spans="1:15">
      <c r="A127" s="2529"/>
      <c r="B127" s="2529"/>
      <c r="C127" s="2529"/>
      <c r="D127" s="2166"/>
      <c r="E127" s="2166"/>
      <c r="F127" s="2166"/>
      <c r="G127" s="2166"/>
      <c r="H127" s="2525"/>
      <c r="I127" s="2525"/>
      <c r="J127" s="2525"/>
      <c r="K127" s="2166"/>
      <c r="L127" s="2167"/>
      <c r="M127" s="2166"/>
    </row>
    <row r="128" spans="1:15">
      <c r="A128" s="2164"/>
      <c r="B128" s="2164"/>
      <c r="C128" s="2164"/>
      <c r="D128" s="2164"/>
      <c r="E128" s="2522" t="s">
        <v>2639</v>
      </c>
      <c r="F128" s="2522"/>
      <c r="G128" s="2164"/>
      <c r="H128" s="2523">
        <v>0</v>
      </c>
      <c r="I128" s="2523"/>
      <c r="J128" s="2523"/>
      <c r="K128" s="2163"/>
      <c r="L128" s="2523">
        <v>0</v>
      </c>
      <c r="M128" s="2163"/>
    </row>
    <row r="129" spans="1:15">
      <c r="A129" s="2164"/>
      <c r="B129" s="2164"/>
      <c r="C129" s="2164"/>
      <c r="D129" s="2164"/>
      <c r="E129" s="2164"/>
      <c r="F129" s="2164"/>
      <c r="G129" s="2164"/>
      <c r="H129" s="2523"/>
      <c r="I129" s="2523"/>
      <c r="J129" s="2523"/>
      <c r="K129" s="2163"/>
      <c r="L129" s="2523"/>
      <c r="M129" s="2163"/>
    </row>
    <row r="130" spans="1:15">
      <c r="A130" s="2160" t="s">
        <v>2634</v>
      </c>
      <c r="B130" s="2161"/>
      <c r="C130" s="2160" t="s">
        <v>2635</v>
      </c>
      <c r="D130" s="2161"/>
      <c r="E130" s="2160" t="s">
        <v>2640</v>
      </c>
      <c r="F130" s="2161"/>
    </row>
    <row r="131" spans="1:15">
      <c r="A131" s="2163"/>
      <c r="B131" s="2163"/>
      <c r="C131" s="2163"/>
      <c r="D131" s="2163"/>
      <c r="E131" s="2163"/>
      <c r="F131" s="2163"/>
      <c r="G131" s="2163"/>
      <c r="H131" s="2163"/>
      <c r="I131" s="2163"/>
      <c r="J131" s="2163"/>
      <c r="K131" s="2163"/>
      <c r="L131" s="2163"/>
      <c r="M131" s="2163"/>
    </row>
    <row r="132" spans="1:15">
      <c r="A132" s="2164"/>
      <c r="H132" s="2522" t="s">
        <v>2637</v>
      </c>
      <c r="I132" s="2522"/>
      <c r="J132" s="2163"/>
      <c r="K132" s="2523">
        <v>1.6677</v>
      </c>
      <c r="L132" s="2523"/>
      <c r="M132" s="2163"/>
      <c r="N132" s="2527" t="s">
        <v>3055</v>
      </c>
      <c r="O132" s="2163"/>
    </row>
    <row r="133" spans="1:15">
      <c r="H133" s="2163"/>
      <c r="I133" s="2163"/>
      <c r="J133" s="2163"/>
      <c r="K133" s="2523"/>
      <c r="L133" s="2523"/>
      <c r="N133" s="2527"/>
    </row>
    <row r="134" spans="1:15">
      <c r="A134" s="2165">
        <v>54982</v>
      </c>
      <c r="B134" s="2163"/>
      <c r="C134" s="2524" t="s">
        <v>2859</v>
      </c>
      <c r="D134" s="2524"/>
      <c r="E134" s="2524"/>
      <c r="F134" s="2524"/>
      <c r="G134" s="2524"/>
      <c r="H134" s="2524"/>
      <c r="I134" s="2524"/>
      <c r="J134" s="2163"/>
      <c r="K134" s="2163"/>
      <c r="L134" s="2163"/>
      <c r="M134" s="2163"/>
    </row>
    <row r="135" spans="1:15">
      <c r="A135" s="2163"/>
      <c r="B135" s="2163"/>
      <c r="C135" s="2163"/>
      <c r="D135" s="2163"/>
      <c r="E135" s="2163"/>
      <c r="F135" s="2163"/>
      <c r="G135" s="2163"/>
      <c r="H135" s="2163"/>
      <c r="I135" s="2163"/>
      <c r="J135" s="2163"/>
      <c r="K135" s="2163"/>
      <c r="L135" s="2163"/>
      <c r="M135" s="2163"/>
    </row>
    <row r="136" spans="1:15">
      <c r="A136" s="2529"/>
      <c r="B136" s="2529"/>
      <c r="C136" s="2529"/>
      <c r="D136" s="2166"/>
      <c r="E136" s="2166"/>
      <c r="F136" s="2166"/>
      <c r="G136" s="2166"/>
      <c r="H136" s="2525"/>
      <c r="I136" s="2525"/>
      <c r="J136" s="2525"/>
      <c r="K136" s="2166"/>
      <c r="L136" s="2167"/>
      <c r="M136" s="2166"/>
    </row>
    <row r="137" spans="1:15">
      <c r="A137" s="2164"/>
      <c r="B137" s="2164"/>
      <c r="C137" s="2164"/>
      <c r="D137" s="2164"/>
      <c r="E137" s="2522" t="s">
        <v>2639</v>
      </c>
      <c r="F137" s="2522"/>
      <c r="G137" s="2164"/>
      <c r="H137" s="2523">
        <v>1.6677</v>
      </c>
      <c r="I137" s="2523"/>
      <c r="J137" s="2523"/>
      <c r="K137" s="2163"/>
      <c r="L137" s="2523">
        <v>181.36</v>
      </c>
      <c r="M137" s="2163"/>
    </row>
    <row r="138" spans="1:15">
      <c r="A138" s="2164"/>
      <c r="B138" s="2164"/>
      <c r="C138" s="2164"/>
      <c r="D138" s="2164"/>
      <c r="E138" s="2164"/>
      <c r="F138" s="2164"/>
      <c r="G138" s="2164"/>
      <c r="H138" s="2523"/>
      <c r="I138" s="2523"/>
      <c r="J138" s="2523"/>
      <c r="K138" s="2163"/>
      <c r="L138" s="2523"/>
      <c r="M138" s="2163"/>
    </row>
    <row r="139" spans="1:15">
      <c r="A139" s="2160" t="s">
        <v>2634</v>
      </c>
      <c r="B139" s="2161"/>
      <c r="C139" s="2160" t="s">
        <v>2635</v>
      </c>
      <c r="D139" s="2161"/>
      <c r="E139" s="2160" t="s">
        <v>2640</v>
      </c>
      <c r="F139" s="2161"/>
    </row>
    <row r="140" spans="1:15">
      <c r="A140" s="2163"/>
      <c r="B140" s="2163"/>
      <c r="C140" s="2163"/>
      <c r="D140" s="2163"/>
      <c r="E140" s="2163"/>
      <c r="F140" s="2163"/>
      <c r="G140" s="2163"/>
      <c r="H140" s="2163"/>
      <c r="I140" s="2163"/>
      <c r="J140" s="2163"/>
      <c r="K140" s="2163"/>
      <c r="L140" s="2163"/>
      <c r="M140" s="2163"/>
    </row>
    <row r="141" spans="1:15">
      <c r="A141" s="2164"/>
      <c r="H141" s="2522" t="s">
        <v>2637</v>
      </c>
      <c r="I141" s="2522"/>
      <c r="J141" s="2163"/>
      <c r="K141" s="2523">
        <v>0</v>
      </c>
      <c r="L141" s="2523"/>
      <c r="M141" s="2163"/>
      <c r="N141" s="2527"/>
      <c r="O141" s="2163"/>
    </row>
    <row r="142" spans="1:15">
      <c r="H142" s="2163"/>
      <c r="I142" s="2163"/>
      <c r="J142" s="2163"/>
      <c r="K142" s="2523"/>
      <c r="L142" s="2523"/>
      <c r="N142" s="2527"/>
    </row>
    <row r="143" spans="1:15">
      <c r="A143" s="2165">
        <v>55049</v>
      </c>
      <c r="B143" s="2163"/>
      <c r="C143" s="2524" t="s">
        <v>2860</v>
      </c>
      <c r="D143" s="2524"/>
      <c r="E143" s="2524"/>
      <c r="F143" s="2524"/>
      <c r="G143" s="2524"/>
      <c r="H143" s="2524"/>
      <c r="I143" s="2524"/>
      <c r="J143" s="2163"/>
      <c r="K143" s="2163"/>
      <c r="L143" s="2163"/>
      <c r="M143" s="2163"/>
    </row>
    <row r="144" spans="1:15">
      <c r="A144" s="2163"/>
      <c r="B144" s="2163"/>
      <c r="C144" s="2163"/>
      <c r="D144" s="2163"/>
      <c r="E144" s="2163"/>
      <c r="F144" s="2163"/>
      <c r="G144" s="2163"/>
      <c r="H144" s="2163"/>
      <c r="I144" s="2163"/>
      <c r="J144" s="2163"/>
      <c r="K144" s="2163"/>
      <c r="L144" s="2163"/>
      <c r="M144" s="2163"/>
    </row>
    <row r="145" spans="1:15">
      <c r="A145" s="2529"/>
      <c r="B145" s="2529"/>
      <c r="C145" s="2529"/>
      <c r="D145" s="2166"/>
      <c r="E145" s="2166"/>
      <c r="F145" s="2166"/>
      <c r="G145" s="2166"/>
      <c r="H145" s="2525"/>
      <c r="I145" s="2525"/>
      <c r="J145" s="2525"/>
      <c r="K145" s="2166"/>
      <c r="L145" s="2167"/>
      <c r="M145" s="2166"/>
    </row>
    <row r="146" spans="1:15">
      <c r="A146" s="2164"/>
      <c r="B146" s="2164"/>
      <c r="C146" s="2164"/>
      <c r="D146" s="2164"/>
      <c r="E146" s="2522" t="s">
        <v>2639</v>
      </c>
      <c r="F146" s="2522"/>
      <c r="G146" s="2164"/>
      <c r="H146" s="2523">
        <v>0</v>
      </c>
      <c r="I146" s="2523"/>
      <c r="J146" s="2523"/>
      <c r="K146" s="2163"/>
      <c r="L146" s="2523">
        <v>0</v>
      </c>
      <c r="M146" s="2163"/>
    </row>
    <row r="147" spans="1:15">
      <c r="A147" s="2164"/>
      <c r="B147" s="2164"/>
      <c r="C147" s="2164"/>
      <c r="D147" s="2164"/>
      <c r="E147" s="2164"/>
      <c r="F147" s="2164"/>
      <c r="G147" s="2164"/>
      <c r="H147" s="2523"/>
      <c r="I147" s="2523"/>
      <c r="J147" s="2523"/>
      <c r="K147" s="2163"/>
      <c r="L147" s="2523"/>
      <c r="M147" s="2163"/>
    </row>
    <row r="148" spans="1:15">
      <c r="A148" s="2160" t="s">
        <v>2634</v>
      </c>
      <c r="B148" s="2161"/>
      <c r="C148" s="2160" t="s">
        <v>2635</v>
      </c>
      <c r="D148" s="2161"/>
      <c r="E148" s="2160" t="s">
        <v>2640</v>
      </c>
      <c r="F148" s="2161"/>
    </row>
    <row r="149" spans="1:15">
      <c r="A149" s="2163"/>
      <c r="B149" s="2163"/>
      <c r="C149" s="2163"/>
      <c r="D149" s="2163"/>
      <c r="E149" s="2163"/>
      <c r="F149" s="2163"/>
      <c r="G149" s="2163"/>
      <c r="H149" s="2163"/>
      <c r="I149" s="2163"/>
      <c r="J149" s="2163"/>
      <c r="K149" s="2163"/>
      <c r="L149" s="2163"/>
      <c r="M149" s="2163"/>
    </row>
    <row r="150" spans="1:15">
      <c r="A150" s="2164"/>
      <c r="H150" s="2522" t="s">
        <v>2637</v>
      </c>
      <c r="I150" s="2522"/>
      <c r="J150" s="2163"/>
      <c r="K150" s="2523">
        <v>0</v>
      </c>
      <c r="L150" s="2523"/>
      <c r="M150" s="2163"/>
      <c r="N150" s="2527"/>
      <c r="O150" s="2163"/>
    </row>
    <row r="151" spans="1:15">
      <c r="H151" s="2163"/>
      <c r="I151" s="2163"/>
      <c r="J151" s="2163"/>
      <c r="K151" s="2523"/>
      <c r="L151" s="2523"/>
      <c r="N151" s="2527"/>
    </row>
    <row r="152" spans="1:15">
      <c r="A152" s="2165">
        <v>55205</v>
      </c>
      <c r="B152" s="2163"/>
      <c r="C152" s="2524" t="s">
        <v>2861</v>
      </c>
      <c r="D152" s="2524"/>
      <c r="E152" s="2524"/>
      <c r="F152" s="2524"/>
      <c r="G152" s="2524"/>
      <c r="H152" s="2524"/>
      <c r="I152" s="2524"/>
      <c r="J152" s="2163"/>
      <c r="K152" s="2163"/>
      <c r="L152" s="2163"/>
      <c r="M152" s="2163"/>
    </row>
    <row r="153" spans="1:15">
      <c r="A153" s="2163"/>
      <c r="B153" s="2163"/>
      <c r="C153" s="2163"/>
      <c r="D153" s="2163"/>
      <c r="E153" s="2163"/>
      <c r="F153" s="2163"/>
      <c r="G153" s="2163"/>
      <c r="H153" s="2163"/>
      <c r="I153" s="2163"/>
      <c r="J153" s="2163"/>
      <c r="K153" s="2163"/>
      <c r="L153" s="2163"/>
      <c r="M153" s="2163"/>
    </row>
    <row r="154" spans="1:15">
      <c r="A154" s="2529"/>
      <c r="B154" s="2529"/>
      <c r="C154" s="2529"/>
      <c r="D154" s="2166"/>
      <c r="E154" s="2166"/>
      <c r="F154" s="2166"/>
      <c r="G154" s="2166"/>
      <c r="H154" s="2525"/>
      <c r="I154" s="2525"/>
      <c r="J154" s="2525"/>
      <c r="K154" s="2166"/>
      <c r="L154" s="2167"/>
      <c r="M154" s="2166"/>
    </row>
    <row r="155" spans="1:15">
      <c r="A155" s="2164"/>
      <c r="B155" s="2164"/>
      <c r="C155" s="2164"/>
      <c r="D155" s="2164"/>
      <c r="E155" s="2522" t="s">
        <v>2639</v>
      </c>
      <c r="F155" s="2522"/>
      <c r="G155" s="2164"/>
      <c r="H155" s="2523">
        <v>0</v>
      </c>
      <c r="I155" s="2523"/>
      <c r="J155" s="2523"/>
      <c r="K155" s="2163"/>
      <c r="L155" s="2523">
        <v>0</v>
      </c>
      <c r="M155" s="2163"/>
    </row>
    <row r="156" spans="1:15">
      <c r="A156" s="2164"/>
      <c r="B156" s="2164"/>
      <c r="C156" s="2164"/>
      <c r="D156" s="2164"/>
      <c r="E156" s="2164"/>
      <c r="F156" s="2164"/>
      <c r="G156" s="2164"/>
      <c r="H156" s="2523"/>
      <c r="I156" s="2523"/>
      <c r="J156" s="2523"/>
      <c r="K156" s="2163"/>
      <c r="L156" s="2523"/>
      <c r="M156" s="2163"/>
    </row>
    <row r="157" spans="1:15">
      <c r="A157" s="2160" t="s">
        <v>2634</v>
      </c>
      <c r="B157" s="2161"/>
      <c r="C157" s="2160" t="s">
        <v>2635</v>
      </c>
      <c r="D157" s="2161"/>
      <c r="E157" s="2160" t="s">
        <v>2640</v>
      </c>
      <c r="F157" s="2161"/>
    </row>
    <row r="158" spans="1:15">
      <c r="A158" s="2163"/>
      <c r="B158" s="2163"/>
      <c r="C158" s="2163"/>
      <c r="D158" s="2163"/>
      <c r="E158" s="2163"/>
      <c r="F158" s="2163"/>
      <c r="G158" s="2163"/>
      <c r="H158" s="2163"/>
      <c r="I158" s="2163"/>
      <c r="J158" s="2163"/>
      <c r="K158" s="2163"/>
      <c r="L158" s="2163"/>
      <c r="M158" s="2163"/>
    </row>
    <row r="159" spans="1:15">
      <c r="A159" s="2164"/>
      <c r="H159" s="2522" t="s">
        <v>2637</v>
      </c>
      <c r="I159" s="2522"/>
      <c r="J159" s="2163"/>
      <c r="K159" s="2523">
        <v>0</v>
      </c>
      <c r="L159" s="2523"/>
      <c r="M159" s="2163"/>
      <c r="N159" s="2527"/>
      <c r="O159" s="2163"/>
    </row>
    <row r="160" spans="1:15">
      <c r="H160" s="2163"/>
      <c r="I160" s="2163"/>
      <c r="J160" s="2163"/>
      <c r="K160" s="2523"/>
      <c r="L160" s="2523"/>
      <c r="N160" s="2527"/>
    </row>
    <row r="161" spans="1:15">
      <c r="A161" s="2165">
        <v>62002</v>
      </c>
      <c r="B161" s="2163"/>
      <c r="C161" s="2524" t="s">
        <v>2862</v>
      </c>
      <c r="D161" s="2524"/>
      <c r="E161" s="2524"/>
      <c r="F161" s="2524"/>
      <c r="G161" s="2524"/>
      <c r="H161" s="2524"/>
      <c r="I161" s="2524"/>
      <c r="J161" s="2163"/>
      <c r="K161" s="2163"/>
      <c r="L161" s="2163"/>
      <c r="M161" s="2163"/>
    </row>
    <row r="162" spans="1:15">
      <c r="A162" s="2163"/>
      <c r="B162" s="2163"/>
      <c r="C162" s="2163"/>
      <c r="D162" s="2163"/>
      <c r="E162" s="2163"/>
      <c r="F162" s="2163"/>
      <c r="G162" s="2163"/>
      <c r="H162" s="2163"/>
      <c r="I162" s="2163"/>
      <c r="J162" s="2163"/>
      <c r="K162" s="2163"/>
      <c r="L162" s="2163"/>
      <c r="M162" s="2163"/>
    </row>
    <row r="163" spans="1:15">
      <c r="A163" s="2520" t="s">
        <v>2647</v>
      </c>
      <c r="B163" s="2520"/>
      <c r="C163" s="2520"/>
      <c r="D163" s="2166"/>
      <c r="E163" s="2166"/>
      <c r="F163" s="2166"/>
      <c r="G163" s="2166"/>
      <c r="H163" s="2526">
        <v>930445.68599999999</v>
      </c>
      <c r="I163" s="2526"/>
      <c r="J163" s="2526"/>
      <c r="K163" s="2166"/>
      <c r="L163" s="2168">
        <v>99958710.909999996</v>
      </c>
      <c r="M163" s="2166"/>
    </row>
    <row r="164" spans="1:15">
      <c r="A164" s="2520" t="s">
        <v>2648</v>
      </c>
      <c r="B164" s="2520"/>
      <c r="C164" s="2520"/>
      <c r="D164" s="2166"/>
      <c r="E164" s="2166"/>
      <c r="F164" s="2166"/>
      <c r="G164" s="2166"/>
      <c r="H164" s="2526">
        <v>-931331.103</v>
      </c>
      <c r="I164" s="2526"/>
      <c r="J164" s="2526"/>
      <c r="K164" s="2166"/>
      <c r="L164" s="2168">
        <v>-100090832.73999999</v>
      </c>
      <c r="M164" s="2166"/>
    </row>
    <row r="165" spans="1:15">
      <c r="A165" s="2520" t="s">
        <v>2649</v>
      </c>
      <c r="B165" s="2520"/>
      <c r="C165" s="2520"/>
      <c r="D165" s="2166"/>
      <c r="E165" s="2166"/>
      <c r="F165" s="2166"/>
      <c r="G165" s="2166"/>
      <c r="H165" s="2525">
        <v>885.41700000000003</v>
      </c>
      <c r="I165" s="2525"/>
      <c r="J165" s="2525"/>
      <c r="K165" s="2166"/>
      <c r="L165" s="2168">
        <v>96158</v>
      </c>
      <c r="M165" s="2166"/>
    </row>
    <row r="166" spans="1:15">
      <c r="A166" s="2164"/>
      <c r="B166" s="2164"/>
      <c r="C166" s="2164"/>
      <c r="D166" s="2164"/>
      <c r="E166" s="2522" t="s">
        <v>2639</v>
      </c>
      <c r="F166" s="2522"/>
      <c r="G166" s="2164"/>
      <c r="H166" s="2523">
        <v>0</v>
      </c>
      <c r="I166" s="2523"/>
      <c r="J166" s="2523"/>
      <c r="K166" s="2163"/>
      <c r="L166" s="2523">
        <v>0</v>
      </c>
      <c r="M166" s="2163"/>
    </row>
    <row r="167" spans="1:15">
      <c r="A167" s="2164"/>
      <c r="B167" s="2164"/>
      <c r="C167" s="2164"/>
      <c r="D167" s="2164"/>
      <c r="E167" s="2164"/>
      <c r="F167" s="2164"/>
      <c r="G167" s="2164"/>
      <c r="H167" s="2523"/>
      <c r="I167" s="2523"/>
      <c r="J167" s="2523"/>
      <c r="K167" s="2163"/>
      <c r="L167" s="2523"/>
      <c r="M167" s="2163"/>
    </row>
    <row r="168" spans="1:15">
      <c r="A168" s="2160" t="s">
        <v>2634</v>
      </c>
      <c r="B168" s="2161"/>
      <c r="C168" s="2160" t="s">
        <v>2635</v>
      </c>
      <c r="D168" s="2161"/>
      <c r="E168" s="2160" t="s">
        <v>2640</v>
      </c>
      <c r="F168" s="2161"/>
    </row>
    <row r="169" spans="1:15">
      <c r="A169" s="2163"/>
      <c r="B169" s="2163"/>
      <c r="C169" s="2163"/>
      <c r="D169" s="2163"/>
      <c r="E169" s="2163"/>
      <c r="F169" s="2163"/>
      <c r="G169" s="2163"/>
      <c r="H169" s="2163"/>
      <c r="I169" s="2163"/>
      <c r="J169" s="2163"/>
      <c r="K169" s="2163"/>
      <c r="L169" s="2163"/>
      <c r="M169" s="2163"/>
    </row>
    <row r="170" spans="1:15">
      <c r="A170" s="2164"/>
      <c r="H170" s="2522" t="s">
        <v>2637</v>
      </c>
      <c r="I170" s="2522"/>
      <c r="J170" s="2163"/>
      <c r="K170" s="2523">
        <v>3.2000000000000001E-2</v>
      </c>
      <c r="L170" s="2523"/>
      <c r="M170" s="2163"/>
      <c r="N170" s="2527">
        <v>3</v>
      </c>
      <c r="O170" s="2163"/>
    </row>
    <row r="171" spans="1:15">
      <c r="H171" s="2163"/>
      <c r="I171" s="2163"/>
      <c r="J171" s="2163"/>
      <c r="K171" s="2523"/>
      <c r="L171" s="2523"/>
      <c r="N171" s="2527"/>
    </row>
    <row r="172" spans="1:15">
      <c r="A172" s="2165">
        <v>63906</v>
      </c>
      <c r="B172" s="2163"/>
      <c r="C172" s="2524" t="s">
        <v>2863</v>
      </c>
      <c r="D172" s="2524"/>
      <c r="E172" s="2524"/>
      <c r="F172" s="2524"/>
      <c r="G172" s="2524"/>
      <c r="H172" s="2524"/>
      <c r="I172" s="2524"/>
      <c r="J172" s="2163"/>
      <c r="K172" s="2163"/>
      <c r="L172" s="2163"/>
      <c r="M172" s="2163"/>
    </row>
    <row r="173" spans="1:15">
      <c r="A173" s="2163"/>
      <c r="B173" s="2163"/>
      <c r="C173" s="2163"/>
      <c r="D173" s="2163"/>
      <c r="E173" s="2163"/>
      <c r="F173" s="2163"/>
      <c r="G173" s="2163"/>
      <c r="H173" s="2163"/>
      <c r="I173" s="2163"/>
      <c r="J173" s="2163"/>
      <c r="K173" s="2163"/>
      <c r="L173" s="2163"/>
      <c r="M173" s="2163"/>
    </row>
    <row r="174" spans="1:15">
      <c r="A174" s="2529"/>
      <c r="B174" s="2529"/>
      <c r="C174" s="2529"/>
      <c r="D174" s="2166"/>
      <c r="E174" s="2166"/>
      <c r="F174" s="2166"/>
      <c r="G174" s="2166"/>
      <c r="H174" s="2525"/>
      <c r="I174" s="2525"/>
      <c r="J174" s="2525"/>
      <c r="K174" s="2166"/>
      <c r="L174" s="2167"/>
      <c r="M174" s="2166"/>
    </row>
    <row r="175" spans="1:15">
      <c r="A175" s="2164"/>
      <c r="B175" s="2164"/>
      <c r="C175" s="2164"/>
      <c r="D175" s="2164"/>
      <c r="E175" s="2522" t="s">
        <v>2639</v>
      </c>
      <c r="F175" s="2522"/>
      <c r="G175" s="2164"/>
      <c r="H175" s="2523">
        <v>3.2000000000000001E-2</v>
      </c>
      <c r="I175" s="2523"/>
      <c r="J175" s="2523"/>
      <c r="K175" s="2163"/>
      <c r="L175" s="2523">
        <v>3.48</v>
      </c>
      <c r="M175" s="2163"/>
    </row>
    <row r="176" spans="1:15">
      <c r="A176" s="2164"/>
      <c r="B176" s="2164"/>
      <c r="C176" s="2164"/>
      <c r="D176" s="2164"/>
      <c r="E176" s="2164"/>
      <c r="F176" s="2164"/>
      <c r="G176" s="2164"/>
      <c r="H176" s="2523"/>
      <c r="I176" s="2523"/>
      <c r="J176" s="2523"/>
      <c r="K176" s="2163"/>
      <c r="L176" s="2523"/>
      <c r="M176" s="2163"/>
    </row>
    <row r="177" spans="1:15">
      <c r="A177" s="2160" t="s">
        <v>2634</v>
      </c>
      <c r="B177" s="2161"/>
      <c r="C177" s="2160" t="s">
        <v>2635</v>
      </c>
      <c r="D177" s="2161"/>
      <c r="E177" s="2160" t="s">
        <v>2640</v>
      </c>
      <c r="F177" s="2161"/>
    </row>
    <row r="178" spans="1:15">
      <c r="A178" s="2163"/>
      <c r="B178" s="2163"/>
      <c r="C178" s="2163"/>
      <c r="D178" s="2163"/>
      <c r="E178" s="2163"/>
      <c r="F178" s="2163"/>
      <c r="G178" s="2163"/>
      <c r="H178" s="2163"/>
      <c r="I178" s="2163"/>
      <c r="J178" s="2163"/>
      <c r="K178" s="2163"/>
      <c r="L178" s="2163"/>
      <c r="M178" s="2163"/>
    </row>
    <row r="179" spans="1:15">
      <c r="A179" s="2164"/>
      <c r="H179" s="2522" t="s">
        <v>2637</v>
      </c>
      <c r="I179" s="2522"/>
      <c r="J179" s="2163"/>
      <c r="K179" s="2523">
        <v>0</v>
      </c>
      <c r="L179" s="2523"/>
      <c r="M179" s="2163"/>
      <c r="N179" s="2527"/>
      <c r="O179" s="2163"/>
    </row>
    <row r="180" spans="1:15">
      <c r="H180" s="2163"/>
      <c r="I180" s="2163"/>
      <c r="J180" s="2163"/>
      <c r="K180" s="2523"/>
      <c r="L180" s="2523"/>
      <c r="N180" s="2527"/>
    </row>
    <row r="181" spans="1:15">
      <c r="A181" s="2165">
        <v>69521</v>
      </c>
      <c r="B181" s="2163"/>
      <c r="C181" s="2524" t="s">
        <v>2868</v>
      </c>
      <c r="D181" s="2524"/>
      <c r="E181" s="2524"/>
      <c r="F181" s="2524"/>
      <c r="G181" s="2524"/>
      <c r="H181" s="2524"/>
      <c r="I181" s="2524"/>
      <c r="J181" s="2163"/>
      <c r="K181" s="2163"/>
      <c r="L181" s="2163"/>
      <c r="M181" s="2163"/>
    </row>
    <row r="182" spans="1:15">
      <c r="A182" s="2163"/>
      <c r="B182" s="2163"/>
      <c r="C182" s="2163"/>
      <c r="D182" s="2163"/>
      <c r="E182" s="2163"/>
      <c r="F182" s="2163"/>
      <c r="G182" s="2163"/>
      <c r="H182" s="2163"/>
      <c r="I182" s="2163"/>
      <c r="J182" s="2163"/>
      <c r="K182" s="2163"/>
      <c r="L182" s="2163"/>
      <c r="M182" s="2163"/>
    </row>
    <row r="183" spans="1:15">
      <c r="A183" s="2520" t="s">
        <v>2647</v>
      </c>
      <c r="B183" s="2520"/>
      <c r="C183" s="2520"/>
      <c r="D183" s="2166"/>
      <c r="E183" s="2166"/>
      <c r="F183" s="2166"/>
      <c r="G183" s="2166"/>
      <c r="H183" s="2526">
        <v>3793324.64</v>
      </c>
      <c r="I183" s="2526"/>
      <c r="J183" s="2526"/>
      <c r="K183" s="2166"/>
      <c r="L183" s="2168">
        <v>406425556.30000001</v>
      </c>
      <c r="M183" s="2166"/>
    </row>
    <row r="184" spans="1:15">
      <c r="A184" s="2520" t="s">
        <v>2648</v>
      </c>
      <c r="B184" s="2520"/>
      <c r="C184" s="2520"/>
      <c r="D184" s="2166"/>
      <c r="E184" s="2166"/>
      <c r="F184" s="2166"/>
      <c r="G184" s="2166"/>
      <c r="H184" s="2526">
        <v>-3800743.27</v>
      </c>
      <c r="I184" s="2526"/>
      <c r="J184" s="2526"/>
      <c r="K184" s="2166"/>
      <c r="L184" s="2168">
        <v>-407232639.31</v>
      </c>
      <c r="M184" s="2166"/>
    </row>
    <row r="185" spans="1:15">
      <c r="A185" s="2520" t="s">
        <v>2649</v>
      </c>
      <c r="B185" s="2520"/>
      <c r="C185" s="2520"/>
      <c r="D185" s="2166"/>
      <c r="E185" s="2166"/>
      <c r="F185" s="2166"/>
      <c r="G185" s="2166"/>
      <c r="H185" s="2526">
        <v>7418.63</v>
      </c>
      <c r="I185" s="2526"/>
      <c r="J185" s="2526"/>
      <c r="K185" s="2166"/>
      <c r="L185" s="2168">
        <v>805678</v>
      </c>
      <c r="M185" s="2166"/>
    </row>
    <row r="186" spans="1:15">
      <c r="A186" s="2164"/>
      <c r="B186" s="2164"/>
      <c r="C186" s="2164"/>
      <c r="D186" s="2164"/>
      <c r="E186" s="2522" t="s">
        <v>2639</v>
      </c>
      <c r="F186" s="2522"/>
      <c r="G186" s="2164"/>
      <c r="H186" s="2523">
        <v>0</v>
      </c>
      <c r="I186" s="2523"/>
      <c r="J186" s="2523"/>
      <c r="K186" s="2163"/>
      <c r="L186" s="2523">
        <v>0</v>
      </c>
      <c r="M186" s="2163"/>
    </row>
    <row r="187" spans="1:15">
      <c r="A187" s="2164"/>
      <c r="B187" s="2164"/>
      <c r="C187" s="2164"/>
      <c r="D187" s="2164"/>
      <c r="E187" s="2164"/>
      <c r="F187" s="2164"/>
      <c r="G187" s="2164"/>
      <c r="H187" s="2523"/>
      <c r="I187" s="2523"/>
      <c r="J187" s="2523"/>
      <c r="K187" s="2163"/>
      <c r="L187" s="2523"/>
      <c r="M187" s="2163"/>
    </row>
    <row r="188" spans="1:15">
      <c r="A188" s="2160" t="s">
        <v>2634</v>
      </c>
      <c r="B188" s="2161"/>
      <c r="C188" s="2160" t="s">
        <v>2635</v>
      </c>
      <c r="D188" s="2161"/>
      <c r="E188" s="2160" t="s">
        <v>2640</v>
      </c>
      <c r="F188" s="2161"/>
    </row>
    <row r="189" spans="1:15">
      <c r="A189" s="2163"/>
      <c r="B189" s="2163"/>
      <c r="C189" s="2163"/>
      <c r="D189" s="2163"/>
      <c r="E189" s="2163"/>
      <c r="F189" s="2163"/>
      <c r="G189" s="2163"/>
      <c r="H189" s="2163"/>
      <c r="I189" s="2163"/>
      <c r="J189" s="2163"/>
      <c r="K189" s="2163"/>
      <c r="L189" s="2163"/>
      <c r="M189" s="2163"/>
    </row>
    <row r="190" spans="1:15">
      <c r="A190" s="2164"/>
      <c r="H190" s="2522" t="s">
        <v>2637</v>
      </c>
      <c r="I190" s="2522"/>
      <c r="J190" s="2163"/>
      <c r="K190" s="2523">
        <v>2.1399999999999999E-2</v>
      </c>
      <c r="L190" s="2523"/>
      <c r="M190" s="2163"/>
      <c r="N190" s="2527">
        <v>2</v>
      </c>
      <c r="O190" s="2163"/>
    </row>
    <row r="191" spans="1:15">
      <c r="H191" s="2163"/>
      <c r="I191" s="2163"/>
      <c r="J191" s="2163"/>
      <c r="K191" s="2523"/>
      <c r="L191" s="2523"/>
      <c r="N191" s="2527"/>
    </row>
    <row r="192" spans="1:15">
      <c r="A192" s="2165">
        <v>70568</v>
      </c>
      <c r="B192" s="2163"/>
      <c r="C192" s="2524" t="s">
        <v>2864</v>
      </c>
      <c r="D192" s="2524"/>
      <c r="E192" s="2524"/>
      <c r="F192" s="2524"/>
      <c r="G192" s="2524"/>
      <c r="H192" s="2524"/>
      <c r="I192" s="2524"/>
      <c r="J192" s="2163"/>
      <c r="K192" s="2163"/>
      <c r="L192" s="2163"/>
      <c r="M192" s="2163"/>
    </row>
    <row r="193" spans="1:15">
      <c r="A193" s="2163"/>
      <c r="B193" s="2163"/>
      <c r="C193" s="2163"/>
      <c r="D193" s="2163"/>
      <c r="E193" s="2163"/>
      <c r="F193" s="2163"/>
      <c r="G193" s="2163"/>
      <c r="H193" s="2163"/>
      <c r="I193" s="2163"/>
      <c r="J193" s="2163"/>
      <c r="K193" s="2163"/>
      <c r="L193" s="2163"/>
      <c r="M193" s="2163"/>
    </row>
    <row r="194" spans="1:15">
      <c r="A194" s="2529"/>
      <c r="B194" s="2529"/>
      <c r="C194" s="2529"/>
      <c r="D194" s="2166"/>
      <c r="E194" s="2166"/>
      <c r="F194" s="2166"/>
      <c r="G194" s="2166"/>
      <c r="H194" s="2525"/>
      <c r="I194" s="2525"/>
      <c r="J194" s="2525"/>
      <c r="K194" s="2166"/>
      <c r="L194" s="2167"/>
      <c r="M194" s="2166"/>
    </row>
    <row r="195" spans="1:15">
      <c r="A195" s="2164"/>
      <c r="B195" s="2164"/>
      <c r="C195" s="2164"/>
      <c r="D195" s="2164"/>
      <c r="E195" s="2522" t="s">
        <v>2639</v>
      </c>
      <c r="F195" s="2522"/>
      <c r="G195" s="2164"/>
      <c r="H195" s="2523">
        <v>2.1399999999999999E-2</v>
      </c>
      <c r="I195" s="2523"/>
      <c r="J195" s="2523"/>
      <c r="K195" s="2163"/>
      <c r="L195" s="2523">
        <v>2.33</v>
      </c>
      <c r="M195" s="2163"/>
    </row>
    <row r="196" spans="1:15">
      <c r="A196" s="2164"/>
      <c r="B196" s="2164"/>
      <c r="C196" s="2164"/>
      <c r="D196" s="2164"/>
      <c r="E196" s="2164"/>
      <c r="F196" s="2164"/>
      <c r="G196" s="2164"/>
      <c r="H196" s="2523"/>
      <c r="I196" s="2523"/>
      <c r="J196" s="2523"/>
      <c r="K196" s="2163"/>
      <c r="L196" s="2523"/>
      <c r="M196" s="2163"/>
    </row>
    <row r="197" spans="1:15">
      <c r="A197" s="2160" t="s">
        <v>2634</v>
      </c>
      <c r="B197" s="2161"/>
      <c r="C197" s="2160" t="s">
        <v>2635</v>
      </c>
      <c r="D197" s="2161"/>
      <c r="E197" s="2160" t="s">
        <v>2640</v>
      </c>
      <c r="F197" s="2161"/>
    </row>
    <row r="198" spans="1:15">
      <c r="A198" s="2163"/>
      <c r="B198" s="2163"/>
      <c r="C198" s="2163"/>
      <c r="D198" s="2163"/>
      <c r="E198" s="2163"/>
      <c r="F198" s="2163"/>
      <c r="G198" s="2163"/>
      <c r="H198" s="2163"/>
      <c r="I198" s="2163"/>
      <c r="J198" s="2163"/>
      <c r="K198" s="2163"/>
      <c r="L198" s="2163"/>
      <c r="M198" s="2163"/>
    </row>
    <row r="199" spans="1:15">
      <c r="A199" s="2164"/>
      <c r="H199" s="2522" t="s">
        <v>2637</v>
      </c>
      <c r="I199" s="2522"/>
      <c r="J199" s="2163"/>
      <c r="K199" s="2523">
        <v>0</v>
      </c>
      <c r="L199" s="2523"/>
      <c r="M199" s="2163"/>
      <c r="N199" s="2527"/>
      <c r="O199" s="2163"/>
    </row>
    <row r="200" spans="1:15">
      <c r="H200" s="2163"/>
      <c r="I200" s="2163"/>
      <c r="J200" s="2163"/>
      <c r="K200" s="2523"/>
      <c r="L200" s="2523"/>
      <c r="N200" s="2527"/>
    </row>
    <row r="201" spans="1:15">
      <c r="A201" s="2165">
        <v>73711</v>
      </c>
      <c r="B201" s="2163"/>
      <c r="C201" s="2524" t="s">
        <v>2871</v>
      </c>
      <c r="D201" s="2524"/>
      <c r="E201" s="2524"/>
      <c r="F201" s="2524"/>
      <c r="G201" s="2524"/>
      <c r="H201" s="2524"/>
      <c r="I201" s="2524"/>
      <c r="J201" s="2163"/>
      <c r="K201" s="2163"/>
      <c r="L201" s="2163"/>
      <c r="M201" s="2163"/>
    </row>
    <row r="202" spans="1:15">
      <c r="A202" s="2163"/>
      <c r="B202" s="2163"/>
      <c r="C202" s="2163"/>
      <c r="D202" s="2163"/>
      <c r="E202" s="2163"/>
      <c r="F202" s="2163"/>
      <c r="G202" s="2163"/>
      <c r="H202" s="2163"/>
      <c r="I202" s="2163"/>
      <c r="J202" s="2163"/>
      <c r="K202" s="2163"/>
      <c r="L202" s="2163"/>
      <c r="M202" s="2163"/>
    </row>
    <row r="203" spans="1:15">
      <c r="A203" s="2520" t="s">
        <v>2647</v>
      </c>
      <c r="B203" s="2520"/>
      <c r="C203" s="2520"/>
      <c r="D203" s="2166"/>
      <c r="E203" s="2166"/>
      <c r="F203" s="2166"/>
      <c r="G203" s="2166"/>
      <c r="H203" s="2526">
        <v>118174.133</v>
      </c>
      <c r="I203" s="2526"/>
      <c r="J203" s="2526"/>
      <c r="K203" s="2166"/>
      <c r="L203" s="2168">
        <v>12692653.529999999</v>
      </c>
      <c r="M203" s="2166"/>
    </row>
    <row r="204" spans="1:15">
      <c r="A204" s="2520" t="s">
        <v>2648</v>
      </c>
      <c r="B204" s="2520"/>
      <c r="C204" s="2520"/>
      <c r="D204" s="2166"/>
      <c r="E204" s="2166"/>
      <c r="F204" s="2166"/>
      <c r="G204" s="2166"/>
      <c r="H204" s="2526">
        <v>-118174.133</v>
      </c>
      <c r="I204" s="2526"/>
      <c r="J204" s="2526"/>
      <c r="K204" s="2166"/>
      <c r="L204" s="2168">
        <v>-12696157.460000001</v>
      </c>
      <c r="M204" s="2166"/>
    </row>
    <row r="205" spans="1:15">
      <c r="A205" s="2164"/>
      <c r="B205" s="2164"/>
      <c r="C205" s="2164"/>
      <c r="D205" s="2164"/>
      <c r="E205" s="2522" t="s">
        <v>2639</v>
      </c>
      <c r="F205" s="2522"/>
      <c r="G205" s="2164"/>
      <c r="H205" s="2523">
        <v>0</v>
      </c>
      <c r="I205" s="2523"/>
      <c r="J205" s="2523"/>
      <c r="K205" s="2163"/>
      <c r="L205" s="2523">
        <v>0</v>
      </c>
      <c r="M205" s="2163"/>
    </row>
    <row r="206" spans="1:15">
      <c r="A206" s="2164"/>
      <c r="B206" s="2164"/>
      <c r="C206" s="2164"/>
      <c r="D206" s="2164"/>
      <c r="E206" s="2164"/>
      <c r="F206" s="2164"/>
      <c r="G206" s="2164"/>
      <c r="H206" s="2523"/>
      <c r="I206" s="2523"/>
      <c r="J206" s="2523"/>
      <c r="K206" s="2163"/>
      <c r="L206" s="2523"/>
      <c r="M206" s="2163"/>
    </row>
    <row r="207" spans="1:15">
      <c r="A207" s="2160" t="s">
        <v>2634</v>
      </c>
      <c r="B207" s="2161"/>
      <c r="C207" s="2160" t="s">
        <v>2635</v>
      </c>
      <c r="D207" s="2161"/>
      <c r="E207" s="2160" t="s">
        <v>2640</v>
      </c>
      <c r="F207" s="2161"/>
    </row>
    <row r="208" spans="1:15">
      <c r="A208" s="2163"/>
      <c r="B208" s="2163"/>
      <c r="C208" s="2163"/>
      <c r="D208" s="2163"/>
      <c r="E208" s="2163"/>
      <c r="F208" s="2163"/>
      <c r="G208" s="2163"/>
      <c r="H208" s="2163"/>
      <c r="I208" s="2163"/>
      <c r="J208" s="2163"/>
      <c r="K208" s="2163"/>
      <c r="L208" s="2163"/>
      <c r="M208" s="2163"/>
    </row>
    <row r="209" spans="1:15">
      <c r="A209" s="2164"/>
      <c r="H209" s="2522" t="s">
        <v>2637</v>
      </c>
      <c r="I209" s="2522"/>
      <c r="J209" s="2163"/>
      <c r="K209" s="2523">
        <v>0</v>
      </c>
      <c r="L209" s="2523"/>
      <c r="M209" s="2163"/>
      <c r="N209" s="2527"/>
      <c r="O209" s="2163"/>
    </row>
    <row r="210" spans="1:15">
      <c r="H210" s="2163"/>
      <c r="I210" s="2163"/>
      <c r="J210" s="2163"/>
      <c r="K210" s="2523"/>
      <c r="L210" s="2523"/>
      <c r="N210" s="2527"/>
    </row>
    <row r="211" spans="1:15">
      <c r="A211" s="2165">
        <v>76840</v>
      </c>
      <c r="B211" s="2163"/>
      <c r="C211" s="2524" t="s">
        <v>2873</v>
      </c>
      <c r="D211" s="2524"/>
      <c r="E211" s="2524"/>
      <c r="F211" s="2524"/>
      <c r="G211" s="2524"/>
      <c r="H211" s="2524"/>
      <c r="I211" s="2524"/>
      <c r="J211" s="2163"/>
      <c r="K211" s="2163"/>
      <c r="L211" s="2163"/>
      <c r="M211" s="2163"/>
    </row>
    <row r="212" spans="1:15">
      <c r="A212" s="2163"/>
      <c r="B212" s="2163"/>
      <c r="C212" s="2163"/>
      <c r="D212" s="2163"/>
      <c r="E212" s="2163"/>
      <c r="F212" s="2163"/>
      <c r="G212" s="2163"/>
      <c r="H212" s="2163"/>
      <c r="I212" s="2163"/>
      <c r="J212" s="2163"/>
      <c r="K212" s="2163"/>
      <c r="L212" s="2163"/>
      <c r="M212" s="2163"/>
    </row>
    <row r="213" spans="1:15">
      <c r="A213" s="2520" t="s">
        <v>2647</v>
      </c>
      <c r="B213" s="2520"/>
      <c r="C213" s="2520"/>
      <c r="D213" s="2166"/>
      <c r="E213" s="2166"/>
      <c r="F213" s="2166"/>
      <c r="G213" s="2166"/>
      <c r="H213" s="2526">
        <v>1039445.2120000001</v>
      </c>
      <c r="I213" s="2526"/>
      <c r="J213" s="2526"/>
      <c r="K213" s="2166"/>
      <c r="L213" s="2168">
        <v>111368558.93000001</v>
      </c>
      <c r="M213" s="2166"/>
    </row>
    <row r="214" spans="1:15">
      <c r="A214" s="2520" t="s">
        <v>2648</v>
      </c>
      <c r="B214" s="2520"/>
      <c r="C214" s="2520"/>
      <c r="D214" s="2166"/>
      <c r="E214" s="2166"/>
      <c r="F214" s="2166"/>
      <c r="G214" s="2166"/>
      <c r="H214" s="2526">
        <v>-1039445.2120000001</v>
      </c>
      <c r="I214" s="2526"/>
      <c r="J214" s="2526"/>
      <c r="K214" s="2166"/>
      <c r="L214" s="2168">
        <v>-111368771.95</v>
      </c>
      <c r="M214" s="2166"/>
    </row>
    <row r="215" spans="1:15">
      <c r="A215" s="2164"/>
      <c r="B215" s="2164"/>
      <c r="C215" s="2164"/>
      <c r="D215" s="2164"/>
      <c r="E215" s="2522" t="s">
        <v>2639</v>
      </c>
      <c r="F215" s="2522"/>
      <c r="G215" s="2164"/>
      <c r="H215" s="2523">
        <v>0</v>
      </c>
      <c r="I215" s="2523"/>
      <c r="J215" s="2523"/>
      <c r="K215" s="2163"/>
      <c r="L215" s="2523">
        <v>0</v>
      </c>
      <c r="M215" s="2163"/>
    </row>
    <row r="216" spans="1:15">
      <c r="A216" s="2164"/>
      <c r="B216" s="2164"/>
      <c r="C216" s="2164"/>
      <c r="D216" s="2164"/>
      <c r="E216" s="2164"/>
      <c r="F216" s="2164"/>
      <c r="G216" s="2164"/>
      <c r="H216" s="2523"/>
      <c r="I216" s="2523"/>
      <c r="J216" s="2523"/>
      <c r="K216" s="2163"/>
      <c r="L216" s="2523"/>
      <c r="M216" s="2163"/>
    </row>
    <row r="217" spans="1:15">
      <c r="A217" s="2160" t="s">
        <v>2634</v>
      </c>
      <c r="B217" s="2161"/>
      <c r="C217" s="2160" t="s">
        <v>2635</v>
      </c>
      <c r="D217" s="2161"/>
      <c r="E217" s="2160" t="s">
        <v>2640</v>
      </c>
      <c r="F217" s="2161"/>
    </row>
    <row r="218" spans="1:15">
      <c r="A218" s="2163"/>
      <c r="B218" s="2163"/>
      <c r="C218" s="2163"/>
      <c r="D218" s="2163"/>
      <c r="E218" s="2163"/>
      <c r="F218" s="2163"/>
      <c r="G218" s="2163"/>
      <c r="H218" s="2163"/>
      <c r="I218" s="2163"/>
      <c r="J218" s="2163"/>
      <c r="K218" s="2163"/>
      <c r="L218" s="2163"/>
      <c r="M218" s="2163"/>
    </row>
    <row r="219" spans="1:15">
      <c r="A219" s="2164"/>
      <c r="H219" s="2522" t="s">
        <v>2637</v>
      </c>
      <c r="I219" s="2522"/>
      <c r="J219" s="2163"/>
      <c r="K219" s="2528">
        <v>10283.747300000001</v>
      </c>
      <c r="L219" s="2528"/>
      <c r="M219" s="2163"/>
      <c r="N219" s="2527" t="s">
        <v>3056</v>
      </c>
      <c r="O219" s="2163"/>
    </row>
    <row r="220" spans="1:15">
      <c r="H220" s="2163"/>
      <c r="I220" s="2163"/>
      <c r="J220" s="2163"/>
      <c r="K220" s="2528"/>
      <c r="L220" s="2528"/>
      <c r="N220" s="2527"/>
    </row>
    <row r="221" spans="1:15">
      <c r="A221" s="2165">
        <v>79941</v>
      </c>
      <c r="B221" s="2163"/>
      <c r="C221" s="2524" t="s">
        <v>2866</v>
      </c>
      <c r="D221" s="2524"/>
      <c r="E221" s="2524"/>
      <c r="F221" s="2524"/>
      <c r="G221" s="2524"/>
      <c r="H221" s="2524"/>
      <c r="I221" s="2524"/>
      <c r="J221" s="2163"/>
      <c r="K221" s="2163"/>
      <c r="L221" s="2163"/>
      <c r="M221" s="2163"/>
    </row>
    <row r="222" spans="1:15">
      <c r="A222" s="2163"/>
      <c r="B222" s="2163"/>
      <c r="C222" s="2163"/>
      <c r="D222" s="2163"/>
      <c r="E222" s="2163"/>
      <c r="F222" s="2163"/>
      <c r="G222" s="2163"/>
      <c r="H222" s="2163"/>
      <c r="I222" s="2163"/>
      <c r="J222" s="2163"/>
      <c r="K222" s="2163"/>
      <c r="L222" s="2163"/>
      <c r="M222" s="2163"/>
    </row>
    <row r="223" spans="1:15">
      <c r="A223" s="2520" t="s">
        <v>2648</v>
      </c>
      <c r="B223" s="2520"/>
      <c r="C223" s="2520"/>
      <c r="D223" s="2166"/>
      <c r="E223" s="2166"/>
      <c r="F223" s="2166"/>
      <c r="G223" s="2166"/>
      <c r="H223" s="2526">
        <v>-10283.746999999999</v>
      </c>
      <c r="I223" s="2526"/>
      <c r="J223" s="2526"/>
      <c r="K223" s="2166"/>
      <c r="L223" s="2168">
        <v>-1101955.96</v>
      </c>
      <c r="M223" s="2166"/>
    </row>
    <row r="224" spans="1:15">
      <c r="A224" s="2164"/>
      <c r="B224" s="2164"/>
      <c r="C224" s="2164"/>
      <c r="D224" s="2164"/>
      <c r="E224" s="2522" t="s">
        <v>2639</v>
      </c>
      <c r="F224" s="2522"/>
      <c r="G224" s="2164"/>
      <c r="H224" s="2523">
        <v>1E-4</v>
      </c>
      <c r="I224" s="2523"/>
      <c r="J224" s="2523"/>
      <c r="K224" s="2163"/>
      <c r="L224" s="2523">
        <v>0.01</v>
      </c>
      <c r="M224" s="2163"/>
    </row>
    <row r="225" spans="1:15">
      <c r="A225" s="2164"/>
      <c r="B225" s="2164"/>
      <c r="C225" s="2164"/>
      <c r="D225" s="2164"/>
      <c r="E225" s="2164"/>
      <c r="F225" s="2164"/>
      <c r="G225" s="2164"/>
      <c r="H225" s="2523"/>
      <c r="I225" s="2523"/>
      <c r="J225" s="2523"/>
      <c r="K225" s="2163"/>
      <c r="L225" s="2523"/>
      <c r="M225" s="2163"/>
    </row>
    <row r="226" spans="1:15">
      <c r="A226" s="2160" t="s">
        <v>2673</v>
      </c>
      <c r="B226" s="2161"/>
      <c r="C226" s="2160" t="s">
        <v>2674</v>
      </c>
      <c r="D226" s="2161"/>
      <c r="E226" s="2160" t="s">
        <v>2640</v>
      </c>
      <c r="F226" s="2161"/>
    </row>
    <row r="227" spans="1:15">
      <c r="A227" s="2163"/>
      <c r="B227" s="2163"/>
      <c r="C227" s="2163"/>
      <c r="D227" s="2163"/>
      <c r="E227" s="2163"/>
      <c r="F227" s="2163"/>
      <c r="G227" s="2163"/>
      <c r="H227" s="2163"/>
      <c r="I227" s="2163"/>
      <c r="J227" s="2163"/>
      <c r="K227" s="2163"/>
      <c r="L227" s="2163"/>
      <c r="M227" s="2163"/>
    </row>
    <row r="228" spans="1:15">
      <c r="A228" s="2164"/>
      <c r="H228" s="2522" t="s">
        <v>2637</v>
      </c>
      <c r="I228" s="2522"/>
      <c r="J228" s="2163"/>
      <c r="K228" s="2523">
        <v>0</v>
      </c>
      <c r="L228" s="2523"/>
      <c r="M228" s="2163"/>
      <c r="N228" s="2527"/>
      <c r="O228" s="2163"/>
    </row>
    <row r="229" spans="1:15">
      <c r="H229" s="2163"/>
      <c r="I229" s="2163"/>
      <c r="J229" s="2163"/>
      <c r="K229" s="2523"/>
      <c r="L229" s="2523"/>
      <c r="N229" s="2527"/>
    </row>
    <row r="230" spans="1:15">
      <c r="A230" s="2165">
        <v>34239</v>
      </c>
      <c r="B230" s="2163"/>
      <c r="C230" s="2524" t="s">
        <v>3054</v>
      </c>
      <c r="D230" s="2524"/>
      <c r="E230" s="2524"/>
      <c r="F230" s="2524"/>
      <c r="G230" s="2524"/>
      <c r="H230" s="2524"/>
      <c r="I230" s="2524"/>
      <c r="J230" s="2163"/>
      <c r="K230" s="2163"/>
      <c r="L230" s="2163"/>
      <c r="M230" s="2163"/>
    </row>
    <row r="231" spans="1:15">
      <c r="A231" s="2163"/>
      <c r="B231" s="2163"/>
      <c r="C231" s="2163"/>
      <c r="D231" s="2163"/>
      <c r="E231" s="2163"/>
      <c r="F231" s="2163"/>
      <c r="G231" s="2163"/>
      <c r="H231" s="2163"/>
      <c r="I231" s="2163"/>
      <c r="J231" s="2163"/>
      <c r="K231" s="2163"/>
      <c r="L231" s="2163"/>
      <c r="M231" s="2163"/>
    </row>
    <row r="232" spans="1:15">
      <c r="A232" s="2529"/>
      <c r="B232" s="2529"/>
      <c r="C232" s="2529"/>
      <c r="D232" s="2166"/>
      <c r="E232" s="2166"/>
      <c r="F232" s="2166"/>
      <c r="G232" s="2166"/>
      <c r="H232" s="2525"/>
      <c r="I232" s="2525"/>
      <c r="J232" s="2525"/>
      <c r="K232" s="2166"/>
      <c r="L232" s="2167"/>
      <c r="M232" s="2166"/>
    </row>
    <row r="233" spans="1:15">
      <c r="A233" s="2164"/>
      <c r="B233" s="2164"/>
      <c r="C233" s="2164"/>
      <c r="D233" s="2164"/>
      <c r="E233" s="2522" t="s">
        <v>2639</v>
      </c>
      <c r="F233" s="2522"/>
      <c r="G233" s="2164"/>
      <c r="H233" s="2523">
        <v>0</v>
      </c>
      <c r="I233" s="2523"/>
      <c r="J233" s="2523"/>
      <c r="K233" s="2163"/>
      <c r="L233" s="2530"/>
      <c r="M233" s="2163"/>
    </row>
    <row r="234" spans="1:15">
      <c r="A234" s="2164"/>
      <c r="B234" s="2164"/>
      <c r="C234" s="2164"/>
      <c r="D234" s="2164"/>
      <c r="E234" s="2164"/>
      <c r="F234" s="2164"/>
      <c r="G234" s="2164"/>
      <c r="H234" s="2523"/>
      <c r="I234" s="2523"/>
      <c r="J234" s="2523"/>
      <c r="K234" s="2163"/>
      <c r="L234" s="2530"/>
      <c r="M234" s="2163"/>
    </row>
    <row r="235" spans="1:15">
      <c r="A235" s="2160" t="s">
        <v>2673</v>
      </c>
      <c r="B235" s="2161"/>
      <c r="C235" s="2160" t="s">
        <v>2674</v>
      </c>
      <c r="D235" s="2161"/>
      <c r="E235" s="2160" t="s">
        <v>2640</v>
      </c>
      <c r="F235" s="2161"/>
    </row>
    <row r="236" spans="1:15">
      <c r="A236" s="2163"/>
      <c r="B236" s="2163"/>
      <c r="C236" s="2163"/>
      <c r="D236" s="2163"/>
      <c r="E236" s="2163"/>
      <c r="F236" s="2163"/>
      <c r="G236" s="2163"/>
      <c r="H236" s="2163"/>
      <c r="I236" s="2163"/>
      <c r="J236" s="2163"/>
      <c r="K236" s="2163"/>
      <c r="L236" s="2163"/>
      <c r="M236" s="2163"/>
    </row>
    <row r="237" spans="1:15">
      <c r="A237" s="2164"/>
      <c r="H237" s="2522" t="s">
        <v>2637</v>
      </c>
      <c r="I237" s="2522"/>
      <c r="J237" s="2163"/>
      <c r="K237" s="2523">
        <v>0</v>
      </c>
      <c r="L237" s="2523"/>
      <c r="M237" s="2163"/>
      <c r="N237" s="2527"/>
      <c r="O237" s="2163"/>
    </row>
    <row r="238" spans="1:15">
      <c r="H238" s="2163"/>
      <c r="I238" s="2163"/>
      <c r="J238" s="2163"/>
      <c r="K238" s="2523"/>
      <c r="L238" s="2523"/>
      <c r="N238" s="2527"/>
    </row>
    <row r="239" spans="1:15">
      <c r="A239" s="2165">
        <v>50733</v>
      </c>
      <c r="B239" s="2163"/>
      <c r="C239" s="2524" t="s">
        <v>2857</v>
      </c>
      <c r="D239" s="2524"/>
      <c r="E239" s="2524"/>
      <c r="F239" s="2524"/>
      <c r="G239" s="2524"/>
      <c r="H239" s="2524"/>
      <c r="I239" s="2524"/>
      <c r="J239" s="2163"/>
      <c r="K239" s="2163"/>
      <c r="L239" s="2163"/>
      <c r="M239" s="2163"/>
    </row>
    <row r="240" spans="1:15">
      <c r="A240" s="2163"/>
      <c r="B240" s="2163"/>
      <c r="C240" s="2163"/>
      <c r="D240" s="2163"/>
      <c r="E240" s="2163"/>
      <c r="F240" s="2163"/>
      <c r="G240" s="2163"/>
      <c r="H240" s="2163"/>
      <c r="I240" s="2163"/>
      <c r="J240" s="2163"/>
      <c r="K240" s="2163"/>
      <c r="L240" s="2163"/>
      <c r="M240" s="2163"/>
    </row>
    <row r="241" spans="1:15">
      <c r="A241" s="2529"/>
      <c r="B241" s="2529"/>
      <c r="C241" s="2529"/>
      <c r="D241" s="2166"/>
      <c r="E241" s="2166"/>
      <c r="F241" s="2166"/>
      <c r="G241" s="2166"/>
      <c r="H241" s="2525"/>
      <c r="I241" s="2525"/>
      <c r="J241" s="2525"/>
      <c r="K241" s="2166"/>
      <c r="L241" s="2167"/>
      <c r="M241" s="2166"/>
    </row>
    <row r="242" spans="1:15">
      <c r="A242" s="2164"/>
      <c r="B242" s="2164"/>
      <c r="C242" s="2164"/>
      <c r="D242" s="2164"/>
      <c r="E242" s="2522" t="s">
        <v>2639</v>
      </c>
      <c r="F242" s="2522"/>
      <c r="G242" s="2164"/>
      <c r="H242" s="2523">
        <v>0</v>
      </c>
      <c r="I242" s="2523"/>
      <c r="J242" s="2523"/>
      <c r="K242" s="2163"/>
      <c r="L242" s="2530"/>
      <c r="M242" s="2163"/>
    </row>
    <row r="243" spans="1:15">
      <c r="A243" s="2164"/>
      <c r="B243" s="2164"/>
      <c r="C243" s="2164"/>
      <c r="D243" s="2164"/>
      <c r="E243" s="2164"/>
      <c r="F243" s="2164"/>
      <c r="G243" s="2164"/>
      <c r="H243" s="2523"/>
      <c r="I243" s="2523"/>
      <c r="J243" s="2523"/>
      <c r="K243" s="2163"/>
      <c r="L243" s="2530"/>
      <c r="M243" s="2163"/>
    </row>
    <row r="244" spans="1:15">
      <c r="A244" s="2160" t="s">
        <v>2673</v>
      </c>
      <c r="B244" s="2161"/>
      <c r="C244" s="2160" t="s">
        <v>2674</v>
      </c>
      <c r="D244" s="2161"/>
      <c r="E244" s="2160" t="s">
        <v>2640</v>
      </c>
      <c r="F244" s="2161"/>
    </row>
    <row r="245" spans="1:15">
      <c r="A245" s="2163"/>
      <c r="B245" s="2163"/>
      <c r="C245" s="2163"/>
      <c r="D245" s="2163"/>
      <c r="E245" s="2163"/>
      <c r="F245" s="2163"/>
      <c r="G245" s="2163"/>
      <c r="H245" s="2163"/>
      <c r="I245" s="2163"/>
      <c r="J245" s="2163"/>
      <c r="K245" s="2163"/>
      <c r="L245" s="2163"/>
      <c r="M245" s="2163"/>
    </row>
    <row r="246" spans="1:15">
      <c r="A246" s="2164"/>
      <c r="H246" s="2522" t="s">
        <v>2637</v>
      </c>
      <c r="I246" s="2522"/>
      <c r="J246" s="2163"/>
      <c r="K246" s="2523">
        <v>0</v>
      </c>
      <c r="L246" s="2523"/>
      <c r="M246" s="2163"/>
      <c r="N246" s="2527"/>
      <c r="O246" s="2163"/>
    </row>
    <row r="247" spans="1:15">
      <c r="H247" s="2163"/>
      <c r="I247" s="2163"/>
      <c r="J247" s="2163"/>
      <c r="K247" s="2523"/>
      <c r="L247" s="2523"/>
      <c r="N247" s="2527"/>
    </row>
    <row r="248" spans="1:15">
      <c r="A248" s="2165">
        <v>54982</v>
      </c>
      <c r="B248" s="2163"/>
      <c r="C248" s="2524" t="s">
        <v>2859</v>
      </c>
      <c r="D248" s="2524"/>
      <c r="E248" s="2524"/>
      <c r="F248" s="2524"/>
      <c r="G248" s="2524"/>
      <c r="H248" s="2524"/>
      <c r="I248" s="2524"/>
      <c r="J248" s="2163"/>
      <c r="K248" s="2163"/>
      <c r="L248" s="2163"/>
      <c r="M248" s="2163"/>
    </row>
    <row r="249" spans="1:15">
      <c r="A249" s="2163"/>
      <c r="B249" s="2163"/>
      <c r="C249" s="2163"/>
      <c r="D249" s="2163"/>
      <c r="E249" s="2163"/>
      <c r="F249" s="2163"/>
      <c r="G249" s="2163"/>
      <c r="H249" s="2163"/>
      <c r="I249" s="2163"/>
      <c r="J249" s="2163"/>
      <c r="K249" s="2163"/>
      <c r="L249" s="2163"/>
      <c r="M249" s="2163"/>
    </row>
    <row r="250" spans="1:15">
      <c r="A250" s="2529"/>
      <c r="B250" s="2529"/>
      <c r="C250" s="2529"/>
      <c r="D250" s="2166"/>
      <c r="E250" s="2166"/>
      <c r="F250" s="2166"/>
      <c r="G250" s="2166"/>
      <c r="H250" s="2525"/>
      <c r="I250" s="2525"/>
      <c r="J250" s="2525"/>
      <c r="K250" s="2166"/>
      <c r="L250" s="2167"/>
      <c r="M250" s="2166"/>
    </row>
    <row r="251" spans="1:15">
      <c r="A251" s="2164"/>
      <c r="B251" s="2164"/>
      <c r="C251" s="2164"/>
      <c r="D251" s="2164"/>
      <c r="E251" s="2522" t="s">
        <v>2639</v>
      </c>
      <c r="F251" s="2522"/>
      <c r="G251" s="2164"/>
      <c r="H251" s="2523">
        <v>0</v>
      </c>
      <c r="I251" s="2523"/>
      <c r="J251" s="2523"/>
      <c r="K251" s="2163"/>
      <c r="L251" s="2530"/>
      <c r="M251" s="2163"/>
    </row>
    <row r="252" spans="1:15">
      <c r="A252" s="2164"/>
      <c r="B252" s="2164"/>
      <c r="C252" s="2164"/>
      <c r="D252" s="2164"/>
      <c r="E252" s="2164"/>
      <c r="F252" s="2164"/>
      <c r="G252" s="2164"/>
      <c r="H252" s="2523"/>
      <c r="I252" s="2523"/>
      <c r="J252" s="2523"/>
      <c r="K252" s="2163"/>
      <c r="L252" s="2530"/>
      <c r="M252" s="2163"/>
    </row>
    <row r="253" spans="1:15" ht="27.6">
      <c r="A253" s="2160" t="s">
        <v>2676</v>
      </c>
      <c r="B253" s="2161"/>
      <c r="C253" s="2160" t="s">
        <v>2677</v>
      </c>
      <c r="D253" s="2161"/>
      <c r="E253" s="2160" t="s">
        <v>2640</v>
      </c>
      <c r="F253" s="2161"/>
    </row>
    <row r="254" spans="1:15">
      <c r="A254" s="2163"/>
      <c r="B254" s="2163"/>
      <c r="C254" s="2163"/>
      <c r="D254" s="2163"/>
      <c r="E254" s="2163"/>
      <c r="F254" s="2163"/>
      <c r="G254" s="2163"/>
      <c r="H254" s="2163"/>
      <c r="I254" s="2163"/>
      <c r="J254" s="2163"/>
      <c r="K254" s="2163"/>
      <c r="L254" s="2163"/>
      <c r="M254" s="2163"/>
    </row>
    <row r="255" spans="1:15">
      <c r="A255" s="2164"/>
      <c r="H255" s="2522" t="s">
        <v>2637</v>
      </c>
      <c r="I255" s="2522"/>
      <c r="J255" s="2163"/>
      <c r="K255" s="2523">
        <v>0</v>
      </c>
      <c r="L255" s="2523"/>
      <c r="M255" s="2163"/>
      <c r="N255" s="2527"/>
      <c r="O255" s="2163"/>
    </row>
    <row r="256" spans="1:15">
      <c r="H256" s="2163"/>
      <c r="I256" s="2163"/>
      <c r="J256" s="2163"/>
      <c r="K256" s="2523"/>
      <c r="L256" s="2523"/>
      <c r="N256" s="2527"/>
    </row>
    <row r="257" spans="1:15">
      <c r="A257" s="2165">
        <v>2802</v>
      </c>
      <c r="B257" s="2163"/>
      <c r="C257" s="2524" t="s">
        <v>2853</v>
      </c>
      <c r="D257" s="2524"/>
      <c r="E257" s="2524"/>
      <c r="F257" s="2524"/>
      <c r="G257" s="2524"/>
      <c r="H257" s="2524"/>
      <c r="I257" s="2524"/>
      <c r="J257" s="2163"/>
      <c r="K257" s="2163"/>
      <c r="L257" s="2163"/>
      <c r="M257" s="2163"/>
    </row>
    <row r="258" spans="1:15">
      <c r="A258" s="2163"/>
      <c r="B258" s="2163"/>
      <c r="C258" s="2163"/>
      <c r="D258" s="2163"/>
      <c r="E258" s="2163"/>
      <c r="F258" s="2163"/>
      <c r="G258" s="2163"/>
      <c r="H258" s="2163"/>
      <c r="I258" s="2163"/>
      <c r="J258" s="2163"/>
      <c r="K258" s="2163"/>
      <c r="L258" s="2163"/>
      <c r="M258" s="2163"/>
    </row>
    <row r="259" spans="1:15">
      <c r="A259" s="2529"/>
      <c r="B259" s="2529"/>
      <c r="C259" s="2529"/>
      <c r="D259" s="2166"/>
      <c r="E259" s="2166"/>
      <c r="F259" s="2166"/>
      <c r="G259" s="2166"/>
      <c r="H259" s="2525"/>
      <c r="I259" s="2525"/>
      <c r="J259" s="2525"/>
      <c r="K259" s="2166"/>
      <c r="L259" s="2167"/>
      <c r="M259" s="2166"/>
    </row>
    <row r="260" spans="1:15">
      <c r="A260" s="2164"/>
      <c r="B260" s="2164"/>
      <c r="C260" s="2164"/>
      <c r="D260" s="2164"/>
      <c r="E260" s="2522" t="s">
        <v>2639</v>
      </c>
      <c r="F260" s="2522"/>
      <c r="G260" s="2164"/>
      <c r="H260" s="2523">
        <v>0</v>
      </c>
      <c r="I260" s="2523"/>
      <c r="J260" s="2523"/>
      <c r="K260" s="2163"/>
      <c r="L260" s="2523">
        <v>0</v>
      </c>
      <c r="M260" s="2163"/>
    </row>
    <row r="261" spans="1:15">
      <c r="A261" s="2164"/>
      <c r="B261" s="2164"/>
      <c r="C261" s="2164"/>
      <c r="D261" s="2164"/>
      <c r="E261" s="2164"/>
      <c r="F261" s="2164"/>
      <c r="G261" s="2164"/>
      <c r="H261" s="2523"/>
      <c r="I261" s="2523"/>
      <c r="J261" s="2523"/>
      <c r="K261" s="2163"/>
      <c r="L261" s="2523"/>
      <c r="M261" s="2163"/>
    </row>
    <row r="262" spans="1:15" ht="27.6">
      <c r="A262" s="2160" t="s">
        <v>2676</v>
      </c>
      <c r="B262" s="2161"/>
      <c r="C262" s="2160" t="s">
        <v>2677</v>
      </c>
      <c r="D262" s="2161"/>
      <c r="E262" s="2160" t="s">
        <v>2640</v>
      </c>
      <c r="F262" s="2161"/>
    </row>
    <row r="263" spans="1:15">
      <c r="A263" s="2163"/>
      <c r="B263" s="2163"/>
      <c r="C263" s="2163"/>
      <c r="D263" s="2163"/>
      <c r="E263" s="2163"/>
      <c r="F263" s="2163"/>
      <c r="G263" s="2163"/>
      <c r="H263" s="2163"/>
      <c r="I263" s="2163"/>
      <c r="J263" s="2163"/>
      <c r="K263" s="2163"/>
      <c r="L263" s="2163"/>
      <c r="M263" s="2163"/>
    </row>
    <row r="264" spans="1:15">
      <c r="A264" s="2164"/>
      <c r="H264" s="2522" t="s">
        <v>2637</v>
      </c>
      <c r="I264" s="2522"/>
      <c r="J264" s="2163"/>
      <c r="K264" s="2523">
        <v>0</v>
      </c>
      <c r="L264" s="2523"/>
      <c r="M264" s="2163"/>
      <c r="N264" s="2527"/>
      <c r="O264" s="2163"/>
    </row>
    <row r="265" spans="1:15">
      <c r="H265" s="2163"/>
      <c r="I265" s="2163"/>
      <c r="J265" s="2163"/>
      <c r="K265" s="2523"/>
      <c r="L265" s="2523"/>
      <c r="N265" s="2527"/>
    </row>
    <row r="266" spans="1:15">
      <c r="A266" s="2165">
        <v>4421</v>
      </c>
      <c r="B266" s="2163"/>
      <c r="C266" s="2524" t="s">
        <v>2854</v>
      </c>
      <c r="D266" s="2524"/>
      <c r="E266" s="2524"/>
      <c r="F266" s="2524"/>
      <c r="G266" s="2524"/>
      <c r="H266" s="2524"/>
      <c r="I266" s="2524"/>
      <c r="J266" s="2163"/>
      <c r="K266" s="2163"/>
      <c r="L266" s="2163"/>
      <c r="M266" s="2163"/>
    </row>
    <row r="267" spans="1:15">
      <c r="A267" s="2163"/>
      <c r="B267" s="2163"/>
      <c r="C267" s="2163"/>
      <c r="D267" s="2163"/>
      <c r="E267" s="2163"/>
      <c r="F267" s="2163"/>
      <c r="G267" s="2163"/>
      <c r="H267" s="2163"/>
      <c r="I267" s="2163"/>
      <c r="J267" s="2163"/>
      <c r="K267" s="2163"/>
      <c r="L267" s="2163"/>
      <c r="M267" s="2163"/>
    </row>
    <row r="268" spans="1:15">
      <c r="A268" s="2529"/>
      <c r="B268" s="2529"/>
      <c r="C268" s="2529"/>
      <c r="D268" s="2166"/>
      <c r="E268" s="2166"/>
      <c r="F268" s="2166"/>
      <c r="G268" s="2166"/>
      <c r="H268" s="2525"/>
      <c r="I268" s="2525"/>
      <c r="J268" s="2525"/>
      <c r="K268" s="2166"/>
      <c r="L268" s="2167"/>
      <c r="M268" s="2166"/>
    </row>
    <row r="269" spans="1:15">
      <c r="A269" s="2164"/>
      <c r="B269" s="2164"/>
      <c r="C269" s="2164"/>
      <c r="D269" s="2164"/>
      <c r="E269" s="2522" t="s">
        <v>2639</v>
      </c>
      <c r="F269" s="2522"/>
      <c r="G269" s="2164"/>
      <c r="H269" s="2523">
        <v>0</v>
      </c>
      <c r="I269" s="2523"/>
      <c r="J269" s="2523"/>
      <c r="K269" s="2163"/>
      <c r="L269" s="2523">
        <v>0</v>
      </c>
      <c r="M269" s="2163"/>
    </row>
    <row r="270" spans="1:15">
      <c r="A270" s="2164"/>
      <c r="B270" s="2164"/>
      <c r="C270" s="2164"/>
      <c r="D270" s="2164"/>
      <c r="E270" s="2164"/>
      <c r="F270" s="2164"/>
      <c r="G270" s="2164"/>
      <c r="H270" s="2523"/>
      <c r="I270" s="2523"/>
      <c r="J270" s="2523"/>
      <c r="K270" s="2163"/>
      <c r="L270" s="2523"/>
      <c r="M270" s="2163"/>
    </row>
    <row r="271" spans="1:15" ht="27.6">
      <c r="A271" s="2160" t="s">
        <v>2676</v>
      </c>
      <c r="B271" s="2161"/>
      <c r="C271" s="2160" t="s">
        <v>2677</v>
      </c>
      <c r="D271" s="2161"/>
      <c r="E271" s="2160" t="s">
        <v>2640</v>
      </c>
      <c r="F271" s="2161"/>
    </row>
    <row r="272" spans="1:15">
      <c r="A272" s="2163"/>
      <c r="B272" s="2163"/>
      <c r="C272" s="2163"/>
      <c r="D272" s="2163"/>
      <c r="E272" s="2163"/>
      <c r="F272" s="2163"/>
      <c r="G272" s="2163"/>
      <c r="H272" s="2163"/>
      <c r="I272" s="2163"/>
      <c r="J272" s="2163"/>
      <c r="K272" s="2163"/>
      <c r="L272" s="2163"/>
      <c r="M272" s="2163"/>
    </row>
    <row r="273" spans="1:15">
      <c r="A273" s="2164"/>
      <c r="H273" s="2522" t="s">
        <v>2637</v>
      </c>
      <c r="I273" s="2522"/>
      <c r="J273" s="2163"/>
      <c r="K273" s="2528">
        <v>394049.88260000001</v>
      </c>
      <c r="L273" s="2528"/>
      <c r="M273" s="2163"/>
      <c r="N273" s="2527" t="s">
        <v>3057</v>
      </c>
      <c r="O273" s="2163"/>
    </row>
    <row r="274" spans="1:15">
      <c r="H274" s="2163"/>
      <c r="I274" s="2163"/>
      <c r="J274" s="2163"/>
      <c r="K274" s="2528"/>
      <c r="L274" s="2528"/>
      <c r="N274" s="2527"/>
    </row>
    <row r="275" spans="1:15">
      <c r="A275" s="2165">
        <v>34239</v>
      </c>
      <c r="B275" s="2163"/>
      <c r="C275" s="2524" t="s">
        <v>3054</v>
      </c>
      <c r="D275" s="2524"/>
      <c r="E275" s="2524"/>
      <c r="F275" s="2524"/>
      <c r="G275" s="2524"/>
      <c r="H275" s="2524"/>
      <c r="I275" s="2524"/>
      <c r="J275" s="2163"/>
      <c r="K275" s="2163"/>
      <c r="L275" s="2163"/>
      <c r="M275" s="2163"/>
    </row>
    <row r="276" spans="1:15">
      <c r="A276" s="2163"/>
      <c r="B276" s="2163"/>
      <c r="C276" s="2163"/>
      <c r="D276" s="2163"/>
      <c r="E276" s="2163"/>
      <c r="F276" s="2163"/>
      <c r="G276" s="2163"/>
      <c r="H276" s="2163"/>
      <c r="I276" s="2163"/>
      <c r="J276" s="2163"/>
      <c r="K276" s="2163"/>
      <c r="L276" s="2163"/>
      <c r="M276" s="2163"/>
    </row>
    <row r="277" spans="1:15">
      <c r="A277" s="2520" t="s">
        <v>2647</v>
      </c>
      <c r="B277" s="2520"/>
      <c r="C277" s="2520"/>
      <c r="D277" s="2166"/>
      <c r="E277" s="2166"/>
      <c r="F277" s="2166"/>
      <c r="G277" s="2166"/>
      <c r="H277" s="2526">
        <v>290155.52600000001</v>
      </c>
      <c r="I277" s="2526"/>
      <c r="J277" s="2526"/>
      <c r="K277" s="2166"/>
      <c r="L277" s="2168">
        <v>22499999.989999998</v>
      </c>
      <c r="M277" s="2166"/>
    </row>
    <row r="278" spans="1:15">
      <c r="A278" s="2520" t="s">
        <v>2648</v>
      </c>
      <c r="B278" s="2520"/>
      <c r="C278" s="2520"/>
      <c r="D278" s="2166"/>
      <c r="E278" s="2166"/>
      <c r="F278" s="2166"/>
      <c r="G278" s="2166"/>
      <c r="H278" s="2526">
        <v>-218079.024</v>
      </c>
      <c r="I278" s="2526"/>
      <c r="J278" s="2526"/>
      <c r="K278" s="2166"/>
      <c r="L278" s="2168">
        <v>-16000000</v>
      </c>
      <c r="M278" s="2166"/>
    </row>
    <row r="279" spans="1:15">
      <c r="A279" s="2164"/>
      <c r="B279" s="2164"/>
      <c r="C279" s="2164"/>
      <c r="D279" s="2164"/>
      <c r="E279" s="2522" t="s">
        <v>2639</v>
      </c>
      <c r="F279" s="2522"/>
      <c r="G279" s="2164"/>
      <c r="H279" s="2528">
        <v>466126.38449999999</v>
      </c>
      <c r="I279" s="2528"/>
      <c r="J279" s="2528"/>
      <c r="K279" s="2163"/>
      <c r="L279" s="2528">
        <v>35678245.729999997</v>
      </c>
      <c r="M279" s="2163"/>
    </row>
    <row r="280" spans="1:15">
      <c r="A280" s="2164"/>
      <c r="B280" s="2164"/>
      <c r="C280" s="2164"/>
      <c r="D280" s="2164"/>
      <c r="E280" s="2164"/>
      <c r="F280" s="2164"/>
      <c r="G280" s="2164"/>
      <c r="H280" s="2528"/>
      <c r="I280" s="2528"/>
      <c r="J280" s="2528"/>
      <c r="K280" s="2163"/>
      <c r="L280" s="2528"/>
      <c r="M280" s="2163"/>
    </row>
    <row r="281" spans="1:15" ht="27.6">
      <c r="A281" s="2160" t="s">
        <v>2676</v>
      </c>
      <c r="B281" s="2161"/>
      <c r="C281" s="2160" t="s">
        <v>2677</v>
      </c>
      <c r="D281" s="2161"/>
      <c r="E281" s="2160" t="s">
        <v>2640</v>
      </c>
      <c r="F281" s="2161"/>
    </row>
    <row r="282" spans="1:15">
      <c r="A282" s="2163"/>
      <c r="B282" s="2163"/>
      <c r="C282" s="2163"/>
      <c r="D282" s="2163"/>
      <c r="E282" s="2163"/>
      <c r="F282" s="2163"/>
      <c r="G282" s="2163"/>
      <c r="H282" s="2163"/>
      <c r="I282" s="2163"/>
      <c r="J282" s="2163"/>
      <c r="K282" s="2163"/>
      <c r="L282" s="2163"/>
      <c r="M282" s="2163"/>
    </row>
    <row r="283" spans="1:15">
      <c r="A283" s="2164"/>
      <c r="H283" s="2522" t="s">
        <v>2637</v>
      </c>
      <c r="I283" s="2522"/>
      <c r="J283" s="2163"/>
      <c r="K283" s="2523">
        <v>0</v>
      </c>
      <c r="L283" s="2523"/>
      <c r="M283" s="2163"/>
      <c r="N283" s="2527"/>
      <c r="O283" s="2163"/>
    </row>
    <row r="284" spans="1:15">
      <c r="H284" s="2163"/>
      <c r="I284" s="2163"/>
      <c r="J284" s="2163"/>
      <c r="K284" s="2523"/>
      <c r="L284" s="2523"/>
      <c r="N284" s="2527"/>
    </row>
    <row r="285" spans="1:15">
      <c r="A285" s="2165">
        <v>54909</v>
      </c>
      <c r="B285" s="2163"/>
      <c r="C285" s="2524" t="s">
        <v>2858</v>
      </c>
      <c r="D285" s="2524"/>
      <c r="E285" s="2524"/>
      <c r="F285" s="2524"/>
      <c r="G285" s="2524"/>
      <c r="H285" s="2524"/>
      <c r="I285" s="2524"/>
      <c r="J285" s="2163"/>
      <c r="K285" s="2163"/>
      <c r="L285" s="2163"/>
      <c r="M285" s="2163"/>
    </row>
    <row r="286" spans="1:15">
      <c r="A286" s="2163"/>
      <c r="B286" s="2163"/>
      <c r="C286" s="2163"/>
      <c r="D286" s="2163"/>
      <c r="E286" s="2163"/>
      <c r="F286" s="2163"/>
      <c r="G286" s="2163"/>
      <c r="H286" s="2163"/>
      <c r="I286" s="2163"/>
      <c r="J286" s="2163"/>
      <c r="K286" s="2163"/>
      <c r="L286" s="2163"/>
      <c r="M286" s="2163"/>
    </row>
    <row r="287" spans="1:15">
      <c r="A287" s="2529"/>
      <c r="B287" s="2529"/>
      <c r="C287" s="2529"/>
      <c r="D287" s="2166"/>
      <c r="E287" s="2166"/>
      <c r="F287" s="2166"/>
      <c r="G287" s="2166"/>
      <c r="H287" s="2525"/>
      <c r="I287" s="2525"/>
      <c r="J287" s="2525"/>
      <c r="K287" s="2166"/>
      <c r="L287" s="2167"/>
      <c r="M287" s="2166"/>
    </row>
    <row r="288" spans="1:15">
      <c r="A288" s="2164"/>
      <c r="B288" s="2164"/>
      <c r="C288" s="2164"/>
      <c r="D288" s="2164"/>
      <c r="E288" s="2522" t="s">
        <v>2639</v>
      </c>
      <c r="F288" s="2522"/>
      <c r="G288" s="2164"/>
      <c r="H288" s="2523">
        <v>0</v>
      </c>
      <c r="I288" s="2523"/>
      <c r="J288" s="2523"/>
      <c r="K288" s="2163"/>
      <c r="L288" s="2523">
        <v>0</v>
      </c>
      <c r="M288" s="2163"/>
    </row>
    <row r="289" spans="1:15">
      <c r="A289" s="2164"/>
      <c r="B289" s="2164"/>
      <c r="C289" s="2164"/>
      <c r="D289" s="2164"/>
      <c r="E289" s="2164"/>
      <c r="F289" s="2164"/>
      <c r="G289" s="2164"/>
      <c r="H289" s="2523"/>
      <c r="I289" s="2523"/>
      <c r="J289" s="2523"/>
      <c r="K289" s="2163"/>
      <c r="L289" s="2523"/>
      <c r="M289" s="2163"/>
    </row>
    <row r="290" spans="1:15" ht="27.6">
      <c r="A290" s="2160" t="s">
        <v>2676</v>
      </c>
      <c r="B290" s="2161"/>
      <c r="C290" s="2160" t="s">
        <v>2677</v>
      </c>
      <c r="D290" s="2161"/>
      <c r="E290" s="2160" t="s">
        <v>2640</v>
      </c>
      <c r="F290" s="2161"/>
    </row>
    <row r="291" spans="1:15">
      <c r="A291" s="2163"/>
      <c r="B291" s="2163"/>
      <c r="C291" s="2163"/>
      <c r="D291" s="2163"/>
      <c r="E291" s="2163"/>
      <c r="F291" s="2163"/>
      <c r="G291" s="2163"/>
      <c r="H291" s="2163"/>
      <c r="I291" s="2163"/>
      <c r="J291" s="2163"/>
      <c r="K291" s="2163"/>
      <c r="L291" s="2163"/>
      <c r="M291" s="2163"/>
    </row>
    <row r="292" spans="1:15">
      <c r="A292" s="2164"/>
      <c r="H292" s="2522" t="s">
        <v>2637</v>
      </c>
      <c r="I292" s="2522"/>
      <c r="J292" s="2163"/>
      <c r="K292" s="2523">
        <v>0.29709999999999998</v>
      </c>
      <c r="L292" s="2523"/>
      <c r="M292" s="2163"/>
      <c r="N292" s="2527">
        <v>23</v>
      </c>
      <c r="O292" s="2163"/>
    </row>
    <row r="293" spans="1:15">
      <c r="H293" s="2163"/>
      <c r="I293" s="2163"/>
      <c r="J293" s="2163"/>
      <c r="K293" s="2523"/>
      <c r="L293" s="2523"/>
      <c r="N293" s="2527"/>
    </row>
    <row r="294" spans="1:15">
      <c r="A294" s="2165">
        <v>54982</v>
      </c>
      <c r="B294" s="2163"/>
      <c r="C294" s="2524" t="s">
        <v>2859</v>
      </c>
      <c r="D294" s="2524"/>
      <c r="E294" s="2524"/>
      <c r="F294" s="2524"/>
      <c r="G294" s="2524"/>
      <c r="H294" s="2524"/>
      <c r="I294" s="2524"/>
      <c r="J294" s="2163"/>
      <c r="K294" s="2163"/>
      <c r="L294" s="2163"/>
      <c r="M294" s="2163"/>
    </row>
    <row r="295" spans="1:15">
      <c r="A295" s="2163"/>
      <c r="B295" s="2163"/>
      <c r="C295" s="2163"/>
      <c r="D295" s="2163"/>
      <c r="E295" s="2163"/>
      <c r="F295" s="2163"/>
      <c r="G295" s="2163"/>
      <c r="H295" s="2163"/>
      <c r="I295" s="2163"/>
      <c r="J295" s="2163"/>
      <c r="K295" s="2163"/>
      <c r="L295" s="2163"/>
      <c r="M295" s="2163"/>
    </row>
    <row r="296" spans="1:15">
      <c r="A296" s="2529"/>
      <c r="B296" s="2529"/>
      <c r="C296" s="2529"/>
      <c r="D296" s="2166"/>
      <c r="E296" s="2166"/>
      <c r="F296" s="2166"/>
      <c r="G296" s="2166"/>
      <c r="H296" s="2525"/>
      <c r="I296" s="2525"/>
      <c r="J296" s="2525"/>
      <c r="K296" s="2166"/>
      <c r="L296" s="2167"/>
      <c r="M296" s="2166"/>
    </row>
    <row r="297" spans="1:15">
      <c r="A297" s="2164"/>
      <c r="B297" s="2164"/>
      <c r="C297" s="2164"/>
      <c r="D297" s="2164"/>
      <c r="E297" s="2522" t="s">
        <v>2639</v>
      </c>
      <c r="F297" s="2522"/>
      <c r="G297" s="2164"/>
      <c r="H297" s="2523">
        <v>0.29709999999999998</v>
      </c>
      <c r="I297" s="2523"/>
      <c r="J297" s="2523"/>
      <c r="K297" s="2163"/>
      <c r="L297" s="2523">
        <v>22.74</v>
      </c>
      <c r="M297" s="2163"/>
    </row>
    <row r="298" spans="1:15">
      <c r="A298" s="2164"/>
      <c r="B298" s="2164"/>
      <c r="C298" s="2164"/>
      <c r="D298" s="2164"/>
      <c r="E298" s="2164"/>
      <c r="F298" s="2164"/>
      <c r="G298" s="2164"/>
      <c r="H298" s="2523"/>
      <c r="I298" s="2523"/>
      <c r="J298" s="2523"/>
      <c r="K298" s="2163"/>
      <c r="L298" s="2523"/>
      <c r="M298" s="2163"/>
    </row>
    <row r="299" spans="1:15" ht="27.6">
      <c r="A299" s="2160" t="s">
        <v>2676</v>
      </c>
      <c r="B299" s="2161"/>
      <c r="C299" s="2160" t="s">
        <v>2677</v>
      </c>
      <c r="D299" s="2161"/>
      <c r="E299" s="2160" t="s">
        <v>2640</v>
      </c>
      <c r="F299" s="2161"/>
    </row>
    <row r="300" spans="1:15">
      <c r="A300" s="2163"/>
      <c r="B300" s="2163"/>
      <c r="C300" s="2163"/>
      <c r="D300" s="2163"/>
      <c r="E300" s="2163"/>
      <c r="F300" s="2163"/>
      <c r="G300" s="2163"/>
      <c r="H300" s="2163"/>
      <c r="I300" s="2163"/>
      <c r="J300" s="2163"/>
      <c r="K300" s="2163"/>
      <c r="L300" s="2163"/>
      <c r="M300" s="2163"/>
    </row>
    <row r="301" spans="1:15">
      <c r="A301" s="2164"/>
      <c r="H301" s="2522" t="s">
        <v>2637</v>
      </c>
      <c r="I301" s="2522"/>
      <c r="J301" s="2163"/>
      <c r="K301" s="2523">
        <v>0</v>
      </c>
      <c r="L301" s="2523"/>
      <c r="M301" s="2163"/>
      <c r="N301" s="2527"/>
      <c r="O301" s="2163"/>
    </row>
    <row r="302" spans="1:15">
      <c r="H302" s="2163"/>
      <c r="I302" s="2163"/>
      <c r="J302" s="2163"/>
      <c r="K302" s="2523"/>
      <c r="L302" s="2523"/>
      <c r="N302" s="2527"/>
    </row>
    <row r="303" spans="1:15">
      <c r="A303" s="2165">
        <v>55049</v>
      </c>
      <c r="B303" s="2163"/>
      <c r="C303" s="2524" t="s">
        <v>2860</v>
      </c>
      <c r="D303" s="2524"/>
      <c r="E303" s="2524"/>
      <c r="F303" s="2524"/>
      <c r="G303" s="2524"/>
      <c r="H303" s="2524"/>
      <c r="I303" s="2524"/>
      <c r="J303" s="2163"/>
      <c r="K303" s="2163"/>
      <c r="L303" s="2163"/>
      <c r="M303" s="2163"/>
    </row>
    <row r="304" spans="1:15">
      <c r="A304" s="2163"/>
      <c r="B304" s="2163"/>
      <c r="C304" s="2163"/>
      <c r="D304" s="2163"/>
      <c r="E304" s="2163"/>
      <c r="F304" s="2163"/>
      <c r="G304" s="2163"/>
      <c r="H304" s="2163"/>
      <c r="I304" s="2163"/>
      <c r="J304" s="2163"/>
      <c r="K304" s="2163"/>
      <c r="L304" s="2163"/>
      <c r="M304" s="2163"/>
    </row>
    <row r="305" spans="1:15">
      <c r="A305" s="2529"/>
      <c r="B305" s="2529"/>
      <c r="C305" s="2529"/>
      <c r="D305" s="2166"/>
      <c r="E305" s="2166"/>
      <c r="F305" s="2166"/>
      <c r="G305" s="2166"/>
      <c r="H305" s="2525"/>
      <c r="I305" s="2525"/>
      <c r="J305" s="2525"/>
      <c r="K305" s="2166"/>
      <c r="L305" s="2167"/>
      <c r="M305" s="2166"/>
    </row>
    <row r="306" spans="1:15">
      <c r="A306" s="2164"/>
      <c r="B306" s="2164"/>
      <c r="C306" s="2164"/>
      <c r="D306" s="2164"/>
      <c r="E306" s="2522" t="s">
        <v>2639</v>
      </c>
      <c r="F306" s="2522"/>
      <c r="G306" s="2164"/>
      <c r="H306" s="2523">
        <v>0</v>
      </c>
      <c r="I306" s="2523"/>
      <c r="J306" s="2523"/>
      <c r="K306" s="2163"/>
      <c r="L306" s="2523">
        <v>0</v>
      </c>
      <c r="M306" s="2163"/>
    </row>
    <row r="307" spans="1:15">
      <c r="A307" s="2164"/>
      <c r="B307" s="2164"/>
      <c r="C307" s="2164"/>
      <c r="D307" s="2164"/>
      <c r="E307" s="2164"/>
      <c r="F307" s="2164"/>
      <c r="G307" s="2164"/>
      <c r="H307" s="2523"/>
      <c r="I307" s="2523"/>
      <c r="J307" s="2523"/>
      <c r="K307" s="2163"/>
      <c r="L307" s="2523"/>
      <c r="M307" s="2163"/>
    </row>
    <row r="308" spans="1:15" ht="27.6">
      <c r="A308" s="2160" t="s">
        <v>2676</v>
      </c>
      <c r="B308" s="2161"/>
      <c r="C308" s="2160" t="s">
        <v>2677</v>
      </c>
      <c r="D308" s="2161"/>
      <c r="E308" s="2160" t="s">
        <v>2640</v>
      </c>
      <c r="F308" s="2161"/>
    </row>
    <row r="309" spans="1:15">
      <c r="A309" s="2163"/>
      <c r="B309" s="2163"/>
      <c r="C309" s="2163"/>
      <c r="D309" s="2163"/>
      <c r="E309" s="2163"/>
      <c r="F309" s="2163"/>
      <c r="G309" s="2163"/>
      <c r="H309" s="2163"/>
      <c r="I309" s="2163"/>
      <c r="J309" s="2163"/>
      <c r="K309" s="2163"/>
      <c r="L309" s="2163"/>
      <c r="M309" s="2163"/>
    </row>
    <row r="310" spans="1:15">
      <c r="A310" s="2164"/>
      <c r="H310" s="2522" t="s">
        <v>2637</v>
      </c>
      <c r="I310" s="2522"/>
      <c r="J310" s="2163"/>
      <c r="K310" s="2523">
        <v>0.65080000000000005</v>
      </c>
      <c r="L310" s="2523"/>
      <c r="M310" s="2163"/>
      <c r="N310" s="2527">
        <v>50</v>
      </c>
      <c r="O310" s="2163"/>
    </row>
    <row r="311" spans="1:15">
      <c r="H311" s="2163"/>
      <c r="I311" s="2163"/>
      <c r="J311" s="2163"/>
      <c r="K311" s="2523"/>
      <c r="L311" s="2523"/>
      <c r="N311" s="2527"/>
    </row>
    <row r="312" spans="1:15">
      <c r="A312" s="2165">
        <v>62002</v>
      </c>
      <c r="B312" s="2163"/>
      <c r="C312" s="2524" t="s">
        <v>2862</v>
      </c>
      <c r="D312" s="2524"/>
      <c r="E312" s="2524"/>
      <c r="F312" s="2524"/>
      <c r="G312" s="2524"/>
      <c r="H312" s="2524"/>
      <c r="I312" s="2524"/>
      <c r="J312" s="2163"/>
      <c r="K312" s="2163"/>
      <c r="L312" s="2163"/>
      <c r="M312" s="2163"/>
    </row>
    <row r="313" spans="1:15">
      <c r="A313" s="2163"/>
      <c r="B313" s="2163"/>
      <c r="C313" s="2163"/>
      <c r="D313" s="2163"/>
      <c r="E313" s="2163"/>
      <c r="F313" s="2163"/>
      <c r="G313" s="2163"/>
      <c r="H313" s="2163"/>
      <c r="I313" s="2163"/>
      <c r="J313" s="2163"/>
      <c r="K313" s="2163"/>
      <c r="L313" s="2163"/>
      <c r="M313" s="2163"/>
    </row>
    <row r="314" spans="1:15">
      <c r="A314" s="2529"/>
      <c r="B314" s="2529"/>
      <c r="C314" s="2529"/>
      <c r="D314" s="2166"/>
      <c r="E314" s="2166"/>
      <c r="F314" s="2166"/>
      <c r="G314" s="2166"/>
      <c r="H314" s="2525"/>
      <c r="I314" s="2525"/>
      <c r="J314" s="2525"/>
      <c r="K314" s="2166"/>
      <c r="L314" s="2167"/>
      <c r="M314" s="2166"/>
    </row>
    <row r="315" spans="1:15">
      <c r="A315" s="2164"/>
      <c r="B315" s="2164"/>
      <c r="C315" s="2164"/>
      <c r="D315" s="2164"/>
      <c r="E315" s="2522" t="s">
        <v>2639</v>
      </c>
      <c r="F315" s="2522"/>
      <c r="G315" s="2164"/>
      <c r="H315" s="2523">
        <v>0.65080000000000005</v>
      </c>
      <c r="I315" s="2523"/>
      <c r="J315" s="2523"/>
      <c r="K315" s="2163"/>
      <c r="L315" s="2523">
        <v>49.81</v>
      </c>
      <c r="M315" s="2163"/>
    </row>
    <row r="316" spans="1:15">
      <c r="A316" s="2164"/>
      <c r="B316" s="2164"/>
      <c r="C316" s="2164"/>
      <c r="D316" s="2164"/>
      <c r="E316" s="2164"/>
      <c r="F316" s="2164"/>
      <c r="G316" s="2164"/>
      <c r="H316" s="2523"/>
      <c r="I316" s="2523"/>
      <c r="J316" s="2523"/>
      <c r="K316" s="2163"/>
      <c r="L316" s="2523"/>
      <c r="M316" s="2163"/>
    </row>
    <row r="317" spans="1:15" ht="27.6">
      <c r="A317" s="2160" t="s">
        <v>2676</v>
      </c>
      <c r="B317" s="2161"/>
      <c r="C317" s="2160" t="s">
        <v>2677</v>
      </c>
      <c r="D317" s="2161"/>
      <c r="E317" s="2160" t="s">
        <v>2640</v>
      </c>
      <c r="F317" s="2161"/>
    </row>
    <row r="318" spans="1:15">
      <c r="A318" s="2163"/>
      <c r="B318" s="2163"/>
      <c r="C318" s="2163"/>
      <c r="D318" s="2163"/>
      <c r="E318" s="2163"/>
      <c r="F318" s="2163"/>
      <c r="G318" s="2163"/>
      <c r="H318" s="2163"/>
      <c r="I318" s="2163"/>
      <c r="J318" s="2163"/>
      <c r="K318" s="2163"/>
      <c r="L318" s="2163"/>
      <c r="M318" s="2163"/>
    </row>
    <row r="319" spans="1:15">
      <c r="A319" s="2164"/>
      <c r="H319" s="2522" t="s">
        <v>2637</v>
      </c>
      <c r="I319" s="2522"/>
      <c r="J319" s="2163"/>
      <c r="K319" s="2523">
        <v>0</v>
      </c>
      <c r="L319" s="2523"/>
      <c r="M319" s="2163"/>
      <c r="N319" s="2527"/>
      <c r="O319" s="2163"/>
    </row>
    <row r="320" spans="1:15">
      <c r="H320" s="2163"/>
      <c r="I320" s="2163"/>
      <c r="J320" s="2163"/>
      <c r="K320" s="2523"/>
      <c r="L320" s="2523"/>
      <c r="N320" s="2527"/>
    </row>
    <row r="321" spans="1:15">
      <c r="A321" s="2165">
        <v>63906</v>
      </c>
      <c r="B321" s="2163"/>
      <c r="C321" s="2524" t="s">
        <v>2863</v>
      </c>
      <c r="D321" s="2524"/>
      <c r="E321" s="2524"/>
      <c r="F321" s="2524"/>
      <c r="G321" s="2524"/>
      <c r="H321" s="2524"/>
      <c r="I321" s="2524"/>
      <c r="J321" s="2163"/>
      <c r="K321" s="2163"/>
      <c r="L321" s="2163"/>
      <c r="M321" s="2163"/>
    </row>
    <row r="322" spans="1:15">
      <c r="A322" s="2163"/>
      <c r="B322" s="2163"/>
      <c r="C322" s="2163"/>
      <c r="D322" s="2163"/>
      <c r="E322" s="2163"/>
      <c r="F322" s="2163"/>
      <c r="G322" s="2163"/>
      <c r="H322" s="2163"/>
      <c r="I322" s="2163"/>
      <c r="J322" s="2163"/>
      <c r="K322" s="2163"/>
      <c r="L322" s="2163"/>
      <c r="M322" s="2163"/>
    </row>
    <row r="323" spans="1:15">
      <c r="A323" s="2529"/>
      <c r="B323" s="2529"/>
      <c r="C323" s="2529"/>
      <c r="D323" s="2166"/>
      <c r="E323" s="2166"/>
      <c r="F323" s="2166"/>
      <c r="G323" s="2166"/>
      <c r="H323" s="2525"/>
      <c r="I323" s="2525"/>
      <c r="J323" s="2525"/>
      <c r="K323" s="2166"/>
      <c r="L323" s="2167"/>
      <c r="M323" s="2166"/>
    </row>
    <row r="324" spans="1:15">
      <c r="A324" s="2164"/>
      <c r="B324" s="2164"/>
      <c r="C324" s="2164"/>
      <c r="D324" s="2164"/>
      <c r="E324" s="2522" t="s">
        <v>2639</v>
      </c>
      <c r="F324" s="2522"/>
      <c r="G324" s="2164"/>
      <c r="H324" s="2523">
        <v>0</v>
      </c>
      <c r="I324" s="2523"/>
      <c r="J324" s="2523"/>
      <c r="K324" s="2163"/>
      <c r="L324" s="2523">
        <v>0</v>
      </c>
      <c r="M324" s="2163"/>
    </row>
    <row r="325" spans="1:15">
      <c r="A325" s="2164"/>
      <c r="B325" s="2164"/>
      <c r="C325" s="2164"/>
      <c r="D325" s="2164"/>
      <c r="E325" s="2164"/>
      <c r="F325" s="2164"/>
      <c r="G325" s="2164"/>
      <c r="H325" s="2523"/>
      <c r="I325" s="2523"/>
      <c r="J325" s="2523"/>
      <c r="K325" s="2163"/>
      <c r="L325" s="2523"/>
      <c r="M325" s="2163"/>
    </row>
    <row r="326" spans="1:15" ht="27.6">
      <c r="A326" s="2160" t="s">
        <v>2676</v>
      </c>
      <c r="B326" s="2161"/>
      <c r="C326" s="2160" t="s">
        <v>2677</v>
      </c>
      <c r="D326" s="2161"/>
      <c r="E326" s="2160" t="s">
        <v>2640</v>
      </c>
      <c r="F326" s="2161"/>
    </row>
    <row r="327" spans="1:15">
      <c r="A327" s="2163"/>
      <c r="B327" s="2163"/>
      <c r="C327" s="2163"/>
      <c r="D327" s="2163"/>
      <c r="E327" s="2163"/>
      <c r="F327" s="2163"/>
      <c r="G327" s="2163"/>
      <c r="H327" s="2163"/>
      <c r="I327" s="2163"/>
      <c r="J327" s="2163"/>
      <c r="K327" s="2163"/>
      <c r="L327" s="2163"/>
      <c r="M327" s="2163"/>
    </row>
    <row r="328" spans="1:15">
      <c r="A328" s="2164"/>
      <c r="H328" s="2522" t="s">
        <v>2637</v>
      </c>
      <c r="I328" s="2522"/>
      <c r="J328" s="2163"/>
      <c r="K328" s="2523">
        <v>4.1000000000000003E-3</v>
      </c>
      <c r="L328" s="2523"/>
      <c r="M328" s="2163"/>
      <c r="N328" s="2527"/>
      <c r="O328" s="2163"/>
    </row>
    <row r="329" spans="1:15">
      <c r="H329" s="2163"/>
      <c r="I329" s="2163"/>
      <c r="J329" s="2163"/>
      <c r="K329" s="2523"/>
      <c r="L329" s="2523"/>
      <c r="N329" s="2527"/>
    </row>
    <row r="330" spans="1:15">
      <c r="A330" s="2165">
        <v>67892</v>
      </c>
      <c r="B330" s="2163"/>
      <c r="C330" s="2524" t="s">
        <v>2865</v>
      </c>
      <c r="D330" s="2524"/>
      <c r="E330" s="2524"/>
      <c r="F330" s="2524"/>
      <c r="G330" s="2524"/>
      <c r="H330" s="2524"/>
      <c r="I330" s="2524"/>
      <c r="J330" s="2163"/>
      <c r="K330" s="2163"/>
      <c r="L330" s="2163"/>
      <c r="M330" s="2163"/>
    </row>
    <row r="331" spans="1:15">
      <c r="A331" s="2163"/>
      <c r="B331" s="2163"/>
      <c r="C331" s="2163"/>
      <c r="D331" s="2163"/>
      <c r="E331" s="2163"/>
      <c r="F331" s="2163"/>
      <c r="G331" s="2163"/>
      <c r="H331" s="2163"/>
      <c r="I331" s="2163"/>
      <c r="J331" s="2163"/>
      <c r="K331" s="2163"/>
      <c r="L331" s="2163"/>
      <c r="M331" s="2163"/>
    </row>
    <row r="332" spans="1:15">
      <c r="A332" s="2520" t="s">
        <v>2648</v>
      </c>
      <c r="B332" s="2520"/>
      <c r="C332" s="2520"/>
      <c r="D332" s="2166"/>
      <c r="E332" s="2166"/>
      <c r="F332" s="2166"/>
      <c r="G332" s="2166"/>
      <c r="H332" s="2525">
        <v>-3.7629999999999999</v>
      </c>
      <c r="I332" s="2525"/>
      <c r="J332" s="2525"/>
      <c r="K332" s="2166"/>
      <c r="L332" s="2167">
        <v>-288.01</v>
      </c>
      <c r="M332" s="2166"/>
    </row>
    <row r="333" spans="1:15">
      <c r="A333" s="2520" t="s">
        <v>2649</v>
      </c>
      <c r="B333" s="2520"/>
      <c r="C333" s="2520"/>
      <c r="D333" s="2166"/>
      <c r="E333" s="2166"/>
      <c r="F333" s="2166"/>
      <c r="G333" s="2166"/>
      <c r="H333" s="2525">
        <v>3.7589999999999999</v>
      </c>
      <c r="I333" s="2525"/>
      <c r="J333" s="2525"/>
      <c r="K333" s="2166"/>
      <c r="L333" s="2167">
        <v>296.91000000000003</v>
      </c>
      <c r="M333" s="2166"/>
    </row>
    <row r="334" spans="1:15">
      <c r="A334" s="2164"/>
      <c r="B334" s="2164"/>
      <c r="C334" s="2164"/>
      <c r="D334" s="2164"/>
      <c r="E334" s="2522" t="s">
        <v>2639</v>
      </c>
      <c r="F334" s="2522"/>
      <c r="G334" s="2164"/>
      <c r="H334" s="2523">
        <v>0</v>
      </c>
      <c r="I334" s="2523"/>
      <c r="J334" s="2523"/>
      <c r="K334" s="2163"/>
      <c r="L334" s="2523">
        <v>0</v>
      </c>
      <c r="M334" s="2163"/>
    </row>
    <row r="335" spans="1:15">
      <c r="A335" s="2164"/>
      <c r="B335" s="2164"/>
      <c r="C335" s="2164"/>
      <c r="D335" s="2164"/>
      <c r="E335" s="2164"/>
      <c r="F335" s="2164"/>
      <c r="G335" s="2164"/>
      <c r="H335" s="2523"/>
      <c r="I335" s="2523"/>
      <c r="J335" s="2523"/>
      <c r="K335" s="2163"/>
      <c r="L335" s="2523"/>
      <c r="M335" s="2163"/>
    </row>
    <row r="336" spans="1:15" ht="27.6">
      <c r="A336" s="2160" t="s">
        <v>2676</v>
      </c>
      <c r="B336" s="2161"/>
      <c r="C336" s="2160" t="s">
        <v>2677</v>
      </c>
      <c r="D336" s="2161"/>
      <c r="E336" s="2160" t="s">
        <v>2640</v>
      </c>
      <c r="F336" s="2161"/>
    </row>
    <row r="337" spans="1:15">
      <c r="A337" s="2163"/>
      <c r="B337" s="2163"/>
      <c r="C337" s="2163"/>
      <c r="D337" s="2163"/>
      <c r="E337" s="2163"/>
      <c r="F337" s="2163"/>
      <c r="G337" s="2163"/>
      <c r="H337" s="2163"/>
      <c r="I337" s="2163"/>
      <c r="J337" s="2163"/>
      <c r="K337" s="2163"/>
      <c r="L337" s="2163"/>
      <c r="M337" s="2163"/>
    </row>
    <row r="338" spans="1:15">
      <c r="A338" s="2164"/>
      <c r="H338" s="2522" t="s">
        <v>2637</v>
      </c>
      <c r="I338" s="2522"/>
      <c r="J338" s="2163"/>
      <c r="K338" s="2523">
        <v>0</v>
      </c>
      <c r="L338" s="2523"/>
      <c r="M338" s="2163"/>
      <c r="N338" s="2527"/>
      <c r="O338" s="2163"/>
    </row>
    <row r="339" spans="1:15">
      <c r="H339" s="2163"/>
      <c r="I339" s="2163"/>
      <c r="J339" s="2163"/>
      <c r="K339" s="2523"/>
      <c r="L339" s="2523"/>
      <c r="N339" s="2527"/>
    </row>
    <row r="340" spans="1:15">
      <c r="A340" s="2165">
        <v>70568</v>
      </c>
      <c r="B340" s="2163"/>
      <c r="C340" s="2524" t="s">
        <v>2864</v>
      </c>
      <c r="D340" s="2524"/>
      <c r="E340" s="2524"/>
      <c r="F340" s="2524"/>
      <c r="G340" s="2524"/>
      <c r="H340" s="2524"/>
      <c r="I340" s="2524"/>
      <c r="J340" s="2163"/>
      <c r="K340" s="2163"/>
      <c r="L340" s="2163"/>
      <c r="M340" s="2163"/>
    </row>
    <row r="341" spans="1:15">
      <c r="A341" s="2163"/>
      <c r="B341" s="2163"/>
      <c r="C341" s="2163"/>
      <c r="D341" s="2163"/>
      <c r="E341" s="2163"/>
      <c r="F341" s="2163"/>
      <c r="G341" s="2163"/>
      <c r="H341" s="2163"/>
      <c r="I341" s="2163"/>
      <c r="J341" s="2163"/>
      <c r="K341" s="2163"/>
      <c r="L341" s="2163"/>
      <c r="M341" s="2163"/>
    </row>
    <row r="342" spans="1:15">
      <c r="A342" s="2520" t="s">
        <v>2647</v>
      </c>
      <c r="B342" s="2520"/>
      <c r="C342" s="2520"/>
      <c r="D342" s="2166"/>
      <c r="E342" s="2166"/>
      <c r="F342" s="2166"/>
      <c r="G342" s="2166"/>
      <c r="H342" s="2526">
        <v>9740.5139999999992</v>
      </c>
      <c r="I342" s="2526"/>
      <c r="J342" s="2526"/>
      <c r="K342" s="2166"/>
      <c r="L342" s="2168">
        <v>699777</v>
      </c>
      <c r="M342" s="2166"/>
    </row>
    <row r="343" spans="1:15">
      <c r="A343" s="2520" t="s">
        <v>2648</v>
      </c>
      <c r="B343" s="2520"/>
      <c r="C343" s="2520"/>
      <c r="D343" s="2166"/>
      <c r="E343" s="2166"/>
      <c r="F343" s="2166"/>
      <c r="G343" s="2166"/>
      <c r="H343" s="2526">
        <v>-6822.6040000000003</v>
      </c>
      <c r="I343" s="2526"/>
      <c r="J343" s="2526"/>
      <c r="K343" s="2166"/>
      <c r="L343" s="2168">
        <v>-500000</v>
      </c>
      <c r="M343" s="2166"/>
    </row>
    <row r="344" spans="1:15">
      <c r="A344" s="2164"/>
      <c r="B344" s="2164"/>
      <c r="C344" s="2164"/>
      <c r="D344" s="2164"/>
      <c r="E344" s="2522" t="s">
        <v>2639</v>
      </c>
      <c r="F344" s="2522"/>
      <c r="G344" s="2164"/>
      <c r="H344" s="2528">
        <v>2917.9094</v>
      </c>
      <c r="I344" s="2528"/>
      <c r="J344" s="2528"/>
      <c r="K344" s="2163"/>
      <c r="L344" s="2528">
        <v>223342.62</v>
      </c>
      <c r="M344" s="2163"/>
    </row>
    <row r="345" spans="1:15">
      <c r="A345" s="2164"/>
      <c r="B345" s="2164"/>
      <c r="C345" s="2164"/>
      <c r="D345" s="2164"/>
      <c r="E345" s="2164"/>
      <c r="F345" s="2164"/>
      <c r="G345" s="2164"/>
      <c r="H345" s="2528"/>
      <c r="I345" s="2528"/>
      <c r="J345" s="2528"/>
      <c r="K345" s="2163"/>
      <c r="L345" s="2528"/>
      <c r="M345" s="2163"/>
    </row>
    <row r="346" spans="1:15" ht="27.6">
      <c r="A346" s="2160" t="s">
        <v>2676</v>
      </c>
      <c r="B346" s="2161"/>
      <c r="C346" s="2160" t="s">
        <v>2677</v>
      </c>
      <c r="D346" s="2161"/>
      <c r="E346" s="2160" t="s">
        <v>2640</v>
      </c>
      <c r="F346" s="2161"/>
    </row>
    <row r="347" spans="1:15">
      <c r="A347" s="2163"/>
      <c r="B347" s="2163"/>
      <c r="C347" s="2163"/>
      <c r="D347" s="2163"/>
      <c r="E347" s="2163"/>
      <c r="F347" s="2163"/>
      <c r="G347" s="2163"/>
      <c r="H347" s="2163"/>
      <c r="I347" s="2163"/>
      <c r="J347" s="2163"/>
      <c r="K347" s="2163"/>
      <c r="L347" s="2163"/>
      <c r="M347" s="2163"/>
    </row>
    <row r="348" spans="1:15">
      <c r="A348" s="2164"/>
      <c r="H348" s="2522" t="s">
        <v>2637</v>
      </c>
      <c r="I348" s="2522"/>
      <c r="J348" s="2163"/>
      <c r="K348" s="2528">
        <v>36706.3537</v>
      </c>
      <c r="L348" s="2528"/>
      <c r="M348" s="2163"/>
      <c r="N348" s="2527" t="s">
        <v>3058</v>
      </c>
      <c r="O348" s="2163"/>
    </row>
    <row r="349" spans="1:15">
      <c r="H349" s="2163"/>
      <c r="I349" s="2163"/>
      <c r="J349" s="2163"/>
      <c r="K349" s="2528"/>
      <c r="L349" s="2528"/>
      <c r="N349" s="2527"/>
    </row>
    <row r="350" spans="1:15">
      <c r="A350" s="2165">
        <v>79941</v>
      </c>
      <c r="B350" s="2163"/>
      <c r="C350" s="2524" t="s">
        <v>2866</v>
      </c>
      <c r="D350" s="2524"/>
      <c r="E350" s="2524"/>
      <c r="F350" s="2524"/>
      <c r="G350" s="2524"/>
      <c r="H350" s="2524"/>
      <c r="I350" s="2524"/>
      <c r="J350" s="2163"/>
      <c r="K350" s="2163"/>
      <c r="L350" s="2163"/>
      <c r="M350" s="2163"/>
    </row>
    <row r="351" spans="1:15">
      <c r="A351" s="2163"/>
      <c r="B351" s="2163"/>
      <c r="C351" s="2163"/>
      <c r="D351" s="2163"/>
      <c r="E351" s="2163"/>
      <c r="F351" s="2163"/>
      <c r="G351" s="2163"/>
      <c r="H351" s="2163"/>
      <c r="I351" s="2163"/>
      <c r="J351" s="2163"/>
      <c r="K351" s="2163"/>
      <c r="L351" s="2163"/>
      <c r="M351" s="2163"/>
    </row>
    <row r="352" spans="1:15">
      <c r="A352" s="2520" t="s">
        <v>2647</v>
      </c>
      <c r="B352" s="2520"/>
      <c r="C352" s="2520"/>
      <c r="D352" s="2166"/>
      <c r="E352" s="2166"/>
      <c r="F352" s="2166"/>
      <c r="G352" s="2166"/>
      <c r="H352" s="2526">
        <v>77750.402000000002</v>
      </c>
      <c r="I352" s="2526"/>
      <c r="J352" s="2526"/>
      <c r="K352" s="2166"/>
      <c r="L352" s="2168">
        <v>6004261.9699999997</v>
      </c>
      <c r="M352" s="2166"/>
    </row>
    <row r="353" spans="1:15">
      <c r="A353" s="2520" t="s">
        <v>2648</v>
      </c>
      <c r="B353" s="2520"/>
      <c r="C353" s="2520"/>
      <c r="D353" s="2166"/>
      <c r="E353" s="2166"/>
      <c r="F353" s="2166"/>
      <c r="G353" s="2166"/>
      <c r="H353" s="2526">
        <v>-36706.353999999999</v>
      </c>
      <c r="I353" s="2526"/>
      <c r="J353" s="2526"/>
      <c r="K353" s="2166"/>
      <c r="L353" s="2168">
        <v>-2631783.15</v>
      </c>
      <c r="M353" s="2166"/>
    </row>
    <row r="354" spans="1:15">
      <c r="A354" s="2164"/>
      <c r="B354" s="2164"/>
      <c r="C354" s="2164"/>
      <c r="D354" s="2164"/>
      <c r="E354" s="2522" t="s">
        <v>2639</v>
      </c>
      <c r="F354" s="2522"/>
      <c r="G354" s="2164"/>
      <c r="H354" s="2528">
        <v>77750.402199999997</v>
      </c>
      <c r="I354" s="2528"/>
      <c r="J354" s="2528"/>
      <c r="K354" s="2163"/>
      <c r="L354" s="2528">
        <v>5951171.29</v>
      </c>
      <c r="M354" s="2163"/>
    </row>
    <row r="355" spans="1:15">
      <c r="A355" s="2164"/>
      <c r="B355" s="2164"/>
      <c r="C355" s="2164"/>
      <c r="D355" s="2164"/>
      <c r="E355" s="2164"/>
      <c r="F355" s="2164"/>
      <c r="G355" s="2164"/>
      <c r="H355" s="2528"/>
      <c r="I355" s="2528"/>
      <c r="J355" s="2528"/>
      <c r="K355" s="2163"/>
      <c r="L355" s="2528"/>
      <c r="M355" s="2163"/>
    </row>
    <row r="356" spans="1:15" ht="27.6">
      <c r="A356" s="2160" t="s">
        <v>2676</v>
      </c>
      <c r="B356" s="2161"/>
      <c r="C356" s="2160" t="s">
        <v>2677</v>
      </c>
      <c r="D356" s="2161"/>
      <c r="E356" s="2160" t="s">
        <v>2640</v>
      </c>
      <c r="F356" s="2161"/>
    </row>
    <row r="357" spans="1:15">
      <c r="A357" s="2163"/>
      <c r="B357" s="2163"/>
      <c r="C357" s="2163"/>
      <c r="D357" s="2163"/>
      <c r="E357" s="2163"/>
      <c r="F357" s="2163"/>
      <c r="G357" s="2163"/>
      <c r="H357" s="2163"/>
      <c r="I357" s="2163"/>
      <c r="J357" s="2163"/>
      <c r="K357" s="2163"/>
      <c r="L357" s="2163"/>
      <c r="M357" s="2163"/>
    </row>
    <row r="358" spans="1:15">
      <c r="A358" s="2164"/>
      <c r="H358" s="2522" t="s">
        <v>2637</v>
      </c>
      <c r="I358" s="2522"/>
      <c r="J358" s="2163"/>
      <c r="K358" s="2523">
        <v>0</v>
      </c>
      <c r="L358" s="2523"/>
      <c r="M358" s="2163"/>
      <c r="N358" s="2527"/>
      <c r="O358" s="2163"/>
    </row>
    <row r="359" spans="1:15">
      <c r="H359" s="2163"/>
      <c r="I359" s="2163"/>
      <c r="J359" s="2163"/>
      <c r="K359" s="2523"/>
      <c r="L359" s="2523"/>
      <c r="N359" s="2527"/>
    </row>
    <row r="360" spans="1:15">
      <c r="A360" s="2165">
        <v>81696</v>
      </c>
      <c r="B360" s="2163"/>
      <c r="C360" s="2524" t="s">
        <v>3059</v>
      </c>
      <c r="D360" s="2524"/>
      <c r="E360" s="2524"/>
      <c r="F360" s="2524"/>
      <c r="G360" s="2524"/>
      <c r="H360" s="2524"/>
      <c r="I360" s="2524"/>
      <c r="J360" s="2163"/>
      <c r="K360" s="2163"/>
      <c r="L360" s="2163"/>
      <c r="M360" s="2163"/>
    </row>
    <row r="361" spans="1:15">
      <c r="A361" s="2163"/>
      <c r="B361" s="2163"/>
      <c r="C361" s="2163"/>
      <c r="D361" s="2163"/>
      <c r="E361" s="2163"/>
      <c r="F361" s="2163"/>
      <c r="G361" s="2163"/>
      <c r="H361" s="2163"/>
      <c r="I361" s="2163"/>
      <c r="J361" s="2163"/>
      <c r="K361" s="2163"/>
      <c r="L361" s="2163"/>
      <c r="M361" s="2163"/>
    </row>
    <row r="362" spans="1:15">
      <c r="A362" s="2520" t="s">
        <v>2649</v>
      </c>
      <c r="B362" s="2520"/>
      <c r="C362" s="2520"/>
      <c r="D362" s="2166"/>
      <c r="E362" s="2166"/>
      <c r="F362" s="2166"/>
      <c r="G362" s="2166"/>
      <c r="H362" s="2526">
        <v>12884.257</v>
      </c>
      <c r="I362" s="2526"/>
      <c r="J362" s="2526"/>
      <c r="K362" s="2166"/>
      <c r="L362" s="2177">
        <v>1000000</v>
      </c>
      <c r="M362" s="2166"/>
    </row>
    <row r="363" spans="1:15">
      <c r="A363" s="2164"/>
      <c r="B363" s="2164"/>
      <c r="C363" s="2164"/>
      <c r="D363" s="2164"/>
      <c r="E363" s="2522" t="s">
        <v>2639</v>
      </c>
      <c r="F363" s="2522"/>
      <c r="G363" s="2164"/>
      <c r="H363" s="2528">
        <v>12884.2569</v>
      </c>
      <c r="I363" s="2528"/>
      <c r="J363" s="2528"/>
      <c r="K363" s="2163"/>
      <c r="L363" s="2528">
        <v>986186.79</v>
      </c>
      <c r="M363" s="2163"/>
    </row>
    <row r="364" spans="1:15">
      <c r="A364" s="2164"/>
      <c r="B364" s="2164"/>
      <c r="C364" s="2164"/>
      <c r="D364" s="2164"/>
      <c r="E364" s="2164"/>
      <c r="F364" s="2164"/>
      <c r="G364" s="2164"/>
      <c r="H364" s="2528"/>
      <c r="I364" s="2528"/>
      <c r="J364" s="2528"/>
      <c r="K364" s="2163"/>
      <c r="L364" s="2528"/>
      <c r="M364" s="2163"/>
    </row>
    <row r="365" spans="1:15">
      <c r="A365" s="2160" t="s">
        <v>2680</v>
      </c>
      <c r="B365" s="2161"/>
      <c r="C365" s="2160" t="s">
        <v>2681</v>
      </c>
      <c r="D365" s="2161"/>
      <c r="E365" s="2160" t="s">
        <v>2640</v>
      </c>
      <c r="F365" s="2161"/>
    </row>
    <row r="366" spans="1:15">
      <c r="A366" s="2163"/>
      <c r="B366" s="2163"/>
      <c r="C366" s="2163"/>
      <c r="D366" s="2163"/>
      <c r="E366" s="2163"/>
      <c r="F366" s="2163"/>
      <c r="G366" s="2163"/>
      <c r="H366" s="2163"/>
      <c r="I366" s="2163"/>
      <c r="J366" s="2163"/>
      <c r="K366" s="2163"/>
      <c r="L366" s="2163"/>
      <c r="M366" s="2163"/>
    </row>
    <row r="367" spans="1:15">
      <c r="A367" s="2164"/>
      <c r="H367" s="2522" t="s">
        <v>2637</v>
      </c>
      <c r="I367" s="2522"/>
      <c r="J367" s="2163"/>
      <c r="K367" s="2528">
        <v>475990.962</v>
      </c>
      <c r="L367" s="2528"/>
      <c r="M367" s="2163"/>
      <c r="N367" s="2527" t="s">
        <v>3060</v>
      </c>
      <c r="O367" s="2163"/>
    </row>
    <row r="368" spans="1:15">
      <c r="H368" s="2163"/>
      <c r="I368" s="2163"/>
      <c r="J368" s="2163"/>
      <c r="K368" s="2528"/>
      <c r="L368" s="2528"/>
      <c r="N368" s="2527"/>
    </row>
    <row r="369" spans="1:15">
      <c r="A369" s="2165">
        <v>2393</v>
      </c>
      <c r="B369" s="2163"/>
      <c r="C369" s="2524" t="s">
        <v>3048</v>
      </c>
      <c r="D369" s="2524"/>
      <c r="E369" s="2524"/>
      <c r="F369" s="2524"/>
      <c r="G369" s="2524"/>
      <c r="H369" s="2524"/>
      <c r="I369" s="2524"/>
      <c r="J369" s="2163"/>
      <c r="K369" s="2163"/>
      <c r="L369" s="2163"/>
      <c r="M369" s="2163"/>
    </row>
    <row r="370" spans="1:15">
      <c r="A370" s="2163"/>
      <c r="B370" s="2163"/>
      <c r="C370" s="2163"/>
      <c r="D370" s="2163"/>
      <c r="E370" s="2163"/>
      <c r="F370" s="2163"/>
      <c r="G370" s="2163"/>
      <c r="H370" s="2163"/>
      <c r="I370" s="2163"/>
      <c r="J370" s="2163"/>
      <c r="K370" s="2163"/>
      <c r="L370" s="2163"/>
      <c r="M370" s="2163"/>
    </row>
    <row r="371" spans="1:15">
      <c r="A371" s="2520" t="s">
        <v>2647</v>
      </c>
      <c r="B371" s="2520"/>
      <c r="C371" s="2520"/>
      <c r="D371" s="2166"/>
      <c r="E371" s="2166"/>
      <c r="F371" s="2166"/>
      <c r="G371" s="2166"/>
      <c r="H371" s="2526">
        <v>2894908.4980000001</v>
      </c>
      <c r="I371" s="2526"/>
      <c r="J371" s="2526"/>
      <c r="K371" s="2166"/>
      <c r="L371" s="2168">
        <v>292233492.48000002</v>
      </c>
      <c r="M371" s="2166"/>
    </row>
    <row r="372" spans="1:15">
      <c r="A372" s="2520" t="s">
        <v>2648</v>
      </c>
      <c r="B372" s="2520"/>
      <c r="C372" s="2520"/>
      <c r="D372" s="2166"/>
      <c r="E372" s="2166"/>
      <c r="F372" s="2166"/>
      <c r="G372" s="2166"/>
      <c r="H372" s="2526">
        <v>-2914703.2110000001</v>
      </c>
      <c r="I372" s="2526"/>
      <c r="J372" s="2526"/>
      <c r="K372" s="2166"/>
      <c r="L372" s="2168">
        <v>-294506374.38</v>
      </c>
      <c r="M372" s="2166"/>
    </row>
    <row r="373" spans="1:15">
      <c r="A373" s="2520" t="s">
        <v>2645</v>
      </c>
      <c r="B373" s="2520"/>
      <c r="C373" s="2520"/>
      <c r="D373" s="2166"/>
      <c r="E373" s="2166"/>
      <c r="F373" s="2166"/>
      <c r="G373" s="2166"/>
      <c r="H373" s="2525"/>
      <c r="I373" s="2525"/>
      <c r="J373" s="2525"/>
      <c r="K373" s="2166"/>
      <c r="L373" s="2167"/>
      <c r="M373" s="2166"/>
    </row>
    <row r="374" spans="1:15">
      <c r="A374" s="2520" t="s">
        <v>2645</v>
      </c>
      <c r="B374" s="2520"/>
      <c r="C374" s="2520"/>
      <c r="D374" s="2166"/>
      <c r="E374" s="2166"/>
      <c r="F374" s="2166"/>
      <c r="G374" s="2166"/>
      <c r="H374" s="2525">
        <v>289.00599999999997</v>
      </c>
      <c r="I374" s="2525"/>
      <c r="J374" s="2525"/>
      <c r="K374" s="2166"/>
      <c r="L374" s="2168">
        <v>29148.03</v>
      </c>
      <c r="M374" s="2166"/>
    </row>
    <row r="375" spans="1:15">
      <c r="A375" s="2520" t="s">
        <v>2649</v>
      </c>
      <c r="B375" s="2520"/>
      <c r="C375" s="2520"/>
      <c r="D375" s="2166"/>
      <c r="E375" s="2166"/>
      <c r="F375" s="2166"/>
      <c r="G375" s="2166"/>
      <c r="H375" s="2526">
        <v>27140.864000000001</v>
      </c>
      <c r="I375" s="2526"/>
      <c r="J375" s="2526"/>
      <c r="K375" s="2166"/>
      <c r="L375" s="2168">
        <v>2500000</v>
      </c>
      <c r="M375" s="2166"/>
    </row>
    <row r="376" spans="1:15">
      <c r="A376" s="2164"/>
      <c r="B376" s="2164"/>
      <c r="C376" s="2164"/>
      <c r="D376" s="2164"/>
      <c r="E376" s="2522" t="s">
        <v>2639</v>
      </c>
      <c r="F376" s="2522"/>
      <c r="G376" s="2164"/>
      <c r="H376" s="2528">
        <v>483626.11859999999</v>
      </c>
      <c r="I376" s="2528"/>
      <c r="J376" s="2528"/>
      <c r="K376" s="2163"/>
      <c r="L376" s="2528">
        <v>48855813.780000001</v>
      </c>
      <c r="M376" s="2163"/>
    </row>
    <row r="377" spans="1:15">
      <c r="A377" s="2164"/>
      <c r="B377" s="2164"/>
      <c r="C377" s="2164"/>
      <c r="D377" s="2164"/>
      <c r="E377" s="2164"/>
      <c r="F377" s="2164"/>
      <c r="G377" s="2164"/>
      <c r="H377" s="2528"/>
      <c r="I377" s="2528"/>
      <c r="J377" s="2528"/>
      <c r="K377" s="2163"/>
      <c r="L377" s="2528"/>
      <c r="M377" s="2163"/>
    </row>
    <row r="378" spans="1:15">
      <c r="A378" s="2160" t="s">
        <v>2680</v>
      </c>
      <c r="B378" s="2161"/>
      <c r="C378" s="2160" t="s">
        <v>2681</v>
      </c>
      <c r="D378" s="2161"/>
      <c r="E378" s="2160" t="s">
        <v>2640</v>
      </c>
      <c r="F378" s="2161"/>
    </row>
    <row r="379" spans="1:15">
      <c r="A379" s="2163"/>
      <c r="B379" s="2163"/>
      <c r="C379" s="2163"/>
      <c r="D379" s="2163"/>
      <c r="E379" s="2163"/>
      <c r="F379" s="2163"/>
      <c r="G379" s="2163"/>
      <c r="H379" s="2163"/>
      <c r="I379" s="2163"/>
      <c r="J379" s="2163"/>
      <c r="K379" s="2163"/>
      <c r="L379" s="2163"/>
      <c r="M379" s="2163"/>
    </row>
    <row r="380" spans="1:15">
      <c r="A380" s="2164"/>
      <c r="H380" s="2522" t="s">
        <v>2637</v>
      </c>
      <c r="I380" s="2522"/>
      <c r="J380" s="2163"/>
      <c r="K380" s="2523">
        <v>0</v>
      </c>
      <c r="L380" s="2523"/>
      <c r="M380" s="2163"/>
      <c r="N380" s="2527"/>
      <c r="O380" s="2163"/>
    </row>
    <row r="381" spans="1:15">
      <c r="H381" s="2163"/>
      <c r="I381" s="2163"/>
      <c r="J381" s="2163"/>
      <c r="K381" s="2523"/>
      <c r="L381" s="2523"/>
      <c r="N381" s="2527"/>
    </row>
    <row r="382" spans="1:15">
      <c r="A382" s="2165">
        <v>2802</v>
      </c>
      <c r="B382" s="2163"/>
      <c r="C382" s="2524" t="s">
        <v>2853</v>
      </c>
      <c r="D382" s="2524"/>
      <c r="E382" s="2524"/>
      <c r="F382" s="2524"/>
      <c r="G382" s="2524"/>
      <c r="H382" s="2524"/>
      <c r="I382" s="2524"/>
      <c r="J382" s="2163"/>
      <c r="K382" s="2163"/>
      <c r="L382" s="2163"/>
      <c r="M382" s="2163"/>
    </row>
    <row r="383" spans="1:15">
      <c r="A383" s="2163"/>
      <c r="B383" s="2163"/>
      <c r="C383" s="2163"/>
      <c r="D383" s="2163"/>
      <c r="E383" s="2163"/>
      <c r="F383" s="2163"/>
      <c r="G383" s="2163"/>
      <c r="H383" s="2163"/>
      <c r="I383" s="2163"/>
      <c r="J383" s="2163"/>
      <c r="K383" s="2163"/>
      <c r="L383" s="2163"/>
      <c r="M383" s="2163"/>
    </row>
    <row r="384" spans="1:15">
      <c r="A384" s="2520" t="s">
        <v>2647</v>
      </c>
      <c r="B384" s="2520"/>
      <c r="C384" s="2520"/>
      <c r="D384" s="2166"/>
      <c r="E384" s="2166"/>
      <c r="F384" s="2166"/>
      <c r="G384" s="2166"/>
      <c r="H384" s="2526">
        <v>248329.18100000001</v>
      </c>
      <c r="I384" s="2526"/>
      <c r="J384" s="2526"/>
      <c r="K384" s="2166"/>
      <c r="L384" s="2168">
        <v>25084127.870000001</v>
      </c>
      <c r="M384" s="2166"/>
    </row>
    <row r="385" spans="1:15">
      <c r="A385" s="2520" t="s">
        <v>2645</v>
      </c>
      <c r="B385" s="2520"/>
      <c r="C385" s="2520"/>
      <c r="D385" s="2166"/>
      <c r="E385" s="2166"/>
      <c r="F385" s="2166"/>
      <c r="G385" s="2166"/>
      <c r="H385" s="2525"/>
      <c r="I385" s="2525"/>
      <c r="J385" s="2525"/>
      <c r="K385" s="2166"/>
      <c r="L385" s="2167"/>
      <c r="M385" s="2166"/>
    </row>
    <row r="386" spans="1:15">
      <c r="A386" s="2520" t="s">
        <v>2645</v>
      </c>
      <c r="B386" s="2520"/>
      <c r="C386" s="2520"/>
      <c r="D386" s="2166"/>
      <c r="E386" s="2166"/>
      <c r="F386" s="2166"/>
      <c r="G386" s="2166"/>
      <c r="H386" s="2525">
        <v>826.702</v>
      </c>
      <c r="I386" s="2525"/>
      <c r="J386" s="2525"/>
      <c r="K386" s="2166"/>
      <c r="L386" s="2168">
        <v>83377.98</v>
      </c>
      <c r="M386" s="2166"/>
    </row>
    <row r="387" spans="1:15">
      <c r="A387" s="2520" t="s">
        <v>2679</v>
      </c>
      <c r="B387" s="2520"/>
      <c r="C387" s="2520"/>
      <c r="D387" s="2166"/>
      <c r="E387" s="2166"/>
      <c r="F387" s="2166"/>
      <c r="G387" s="2166"/>
      <c r="H387" s="2526">
        <v>-277301.08399999997</v>
      </c>
      <c r="I387" s="2526"/>
      <c r="J387" s="2526"/>
      <c r="K387" s="2166"/>
      <c r="L387" s="2168">
        <v>-27977239.129999999</v>
      </c>
      <c r="M387" s="2166"/>
    </row>
    <row r="388" spans="1:15">
      <c r="A388" s="2520" t="s">
        <v>2649</v>
      </c>
      <c r="B388" s="2520"/>
      <c r="C388" s="2520"/>
      <c r="D388" s="2166"/>
      <c r="E388" s="2166"/>
      <c r="F388" s="2166"/>
      <c r="G388" s="2166"/>
      <c r="H388" s="2526">
        <v>28145.201000000001</v>
      </c>
      <c r="I388" s="2526"/>
      <c r="J388" s="2526"/>
      <c r="K388" s="2166"/>
      <c r="L388" s="2168">
        <v>2800000.01</v>
      </c>
      <c r="M388" s="2166"/>
    </row>
    <row r="389" spans="1:15">
      <c r="A389" s="2164"/>
      <c r="B389" s="2164"/>
      <c r="C389" s="2164"/>
      <c r="D389" s="2164"/>
      <c r="E389" s="2522" t="s">
        <v>2639</v>
      </c>
      <c r="F389" s="2522"/>
      <c r="G389" s="2164"/>
      <c r="H389" s="2523">
        <v>0</v>
      </c>
      <c r="I389" s="2523"/>
      <c r="J389" s="2523"/>
      <c r="K389" s="2163"/>
      <c r="L389" s="2523">
        <v>0</v>
      </c>
      <c r="M389" s="2163"/>
    </row>
    <row r="390" spans="1:15">
      <c r="A390" s="2164"/>
      <c r="B390" s="2164"/>
      <c r="C390" s="2164"/>
      <c r="D390" s="2164"/>
      <c r="E390" s="2164"/>
      <c r="F390" s="2164"/>
      <c r="G390" s="2164"/>
      <c r="H390" s="2523"/>
      <c r="I390" s="2523"/>
      <c r="J390" s="2523"/>
      <c r="K390" s="2163"/>
      <c r="L390" s="2523"/>
      <c r="M390" s="2163"/>
    </row>
    <row r="391" spans="1:15">
      <c r="A391" s="2160" t="s">
        <v>2680</v>
      </c>
      <c r="B391" s="2161"/>
      <c r="C391" s="2160" t="s">
        <v>2681</v>
      </c>
      <c r="D391" s="2161"/>
      <c r="E391" s="2160" t="s">
        <v>2640</v>
      </c>
      <c r="F391" s="2161"/>
    </row>
    <row r="392" spans="1:15">
      <c r="A392" s="2163"/>
      <c r="B392" s="2163"/>
      <c r="C392" s="2163"/>
      <c r="D392" s="2163"/>
      <c r="E392" s="2163"/>
      <c r="F392" s="2163"/>
      <c r="G392" s="2163"/>
      <c r="H392" s="2163"/>
      <c r="I392" s="2163"/>
      <c r="J392" s="2163"/>
      <c r="K392" s="2163"/>
      <c r="L392" s="2163"/>
      <c r="M392" s="2163"/>
    </row>
    <row r="393" spans="1:15">
      <c r="A393" s="2164"/>
      <c r="H393" s="2522" t="s">
        <v>2637</v>
      </c>
      <c r="I393" s="2522"/>
      <c r="J393" s="2163"/>
      <c r="K393" s="2528">
        <v>971569.90919999999</v>
      </c>
      <c r="L393" s="2528"/>
      <c r="M393" s="2163"/>
      <c r="N393" s="2527" t="s">
        <v>3061</v>
      </c>
      <c r="O393" s="2163"/>
    </row>
    <row r="394" spans="1:15">
      <c r="H394" s="2163"/>
      <c r="I394" s="2163"/>
      <c r="J394" s="2163"/>
      <c r="K394" s="2528"/>
      <c r="L394" s="2528"/>
      <c r="N394" s="2527"/>
    </row>
    <row r="395" spans="1:15">
      <c r="A395" s="2165">
        <v>4421</v>
      </c>
      <c r="B395" s="2163"/>
      <c r="C395" s="2524" t="s">
        <v>2854</v>
      </c>
      <c r="D395" s="2524"/>
      <c r="E395" s="2524"/>
      <c r="F395" s="2524"/>
      <c r="G395" s="2524"/>
      <c r="H395" s="2524"/>
      <c r="I395" s="2524"/>
      <c r="J395" s="2163"/>
      <c r="K395" s="2163"/>
      <c r="L395" s="2163"/>
      <c r="M395" s="2163"/>
    </row>
    <row r="396" spans="1:15">
      <c r="A396" s="2163"/>
      <c r="B396" s="2163"/>
      <c r="C396" s="2163"/>
      <c r="D396" s="2163"/>
      <c r="E396" s="2163"/>
      <c r="F396" s="2163"/>
      <c r="G396" s="2163"/>
      <c r="H396" s="2163"/>
      <c r="I396" s="2163"/>
      <c r="J396" s="2163"/>
      <c r="K396" s="2163"/>
      <c r="L396" s="2163"/>
      <c r="M396" s="2163"/>
    </row>
    <row r="397" spans="1:15">
      <c r="A397" s="2520" t="s">
        <v>2647</v>
      </c>
      <c r="B397" s="2520"/>
      <c r="C397" s="2520"/>
      <c r="D397" s="2166"/>
      <c r="E397" s="2166"/>
      <c r="F397" s="2166"/>
      <c r="G397" s="2166"/>
      <c r="H397" s="2526">
        <v>1277343.2180000001</v>
      </c>
      <c r="I397" s="2526"/>
      <c r="J397" s="2526"/>
      <c r="K397" s="2166"/>
      <c r="L397" s="2168">
        <v>128835123.45999999</v>
      </c>
      <c r="M397" s="2166"/>
    </row>
    <row r="398" spans="1:15">
      <c r="A398" s="2520" t="s">
        <v>2648</v>
      </c>
      <c r="B398" s="2520"/>
      <c r="C398" s="2520"/>
      <c r="D398" s="2166"/>
      <c r="E398" s="2166"/>
      <c r="F398" s="2166"/>
      <c r="G398" s="2166"/>
      <c r="H398" s="2526">
        <v>-1424764.9269999999</v>
      </c>
      <c r="I398" s="2526"/>
      <c r="J398" s="2526"/>
      <c r="K398" s="2166"/>
      <c r="L398" s="2168">
        <v>-143904394.91</v>
      </c>
      <c r="M398" s="2166"/>
    </row>
    <row r="399" spans="1:15">
      <c r="A399" s="2520" t="s">
        <v>2645</v>
      </c>
      <c r="B399" s="2520"/>
      <c r="C399" s="2520"/>
      <c r="D399" s="2166"/>
      <c r="E399" s="2166"/>
      <c r="F399" s="2166"/>
      <c r="G399" s="2166"/>
      <c r="H399" s="2525"/>
      <c r="I399" s="2525"/>
      <c r="J399" s="2525"/>
      <c r="K399" s="2166"/>
      <c r="L399" s="2167"/>
      <c r="M399" s="2166"/>
    </row>
    <row r="400" spans="1:15">
      <c r="A400" s="2520" t="s">
        <v>2645</v>
      </c>
      <c r="B400" s="2520"/>
      <c r="C400" s="2520"/>
      <c r="D400" s="2166"/>
      <c r="E400" s="2166"/>
      <c r="F400" s="2166"/>
      <c r="G400" s="2166"/>
      <c r="H400" s="2526">
        <v>13001.677</v>
      </c>
      <c r="I400" s="2526"/>
      <c r="J400" s="2526"/>
      <c r="K400" s="2166"/>
      <c r="L400" s="2168">
        <v>1311298.3899999999</v>
      </c>
      <c r="M400" s="2166"/>
    </row>
    <row r="401" spans="1:15">
      <c r="A401" s="2520" t="s">
        <v>2649</v>
      </c>
      <c r="B401" s="2520"/>
      <c r="C401" s="2520"/>
      <c r="D401" s="2166"/>
      <c r="E401" s="2166"/>
      <c r="F401" s="2166"/>
      <c r="G401" s="2166"/>
      <c r="H401" s="2525">
        <v>72.064999999999998</v>
      </c>
      <c r="I401" s="2525"/>
      <c r="J401" s="2525"/>
      <c r="K401" s="2166"/>
      <c r="L401" s="2167"/>
      <c r="M401" s="2166"/>
    </row>
    <row r="402" spans="1:15">
      <c r="A402" s="2164"/>
      <c r="B402" s="2164"/>
      <c r="C402" s="2164"/>
      <c r="D402" s="2164"/>
      <c r="E402" s="2522" t="s">
        <v>2639</v>
      </c>
      <c r="F402" s="2522"/>
      <c r="G402" s="2164"/>
      <c r="H402" s="2528">
        <v>837221.94099999999</v>
      </c>
      <c r="I402" s="2528"/>
      <c r="J402" s="2528"/>
      <c r="K402" s="2163"/>
      <c r="L402" s="2528">
        <v>84575993.030000001</v>
      </c>
      <c r="M402" s="2163"/>
    </row>
    <row r="403" spans="1:15">
      <c r="A403" s="2164"/>
      <c r="B403" s="2164"/>
      <c r="C403" s="2164"/>
      <c r="D403" s="2164"/>
      <c r="E403" s="2164"/>
      <c r="F403" s="2164"/>
      <c r="G403" s="2164"/>
      <c r="H403" s="2528"/>
      <c r="I403" s="2528"/>
      <c r="J403" s="2528"/>
      <c r="K403" s="2163"/>
      <c r="L403" s="2528"/>
      <c r="M403" s="2163"/>
    </row>
    <row r="404" spans="1:15">
      <c r="A404" s="2160" t="s">
        <v>2680</v>
      </c>
      <c r="B404" s="2161"/>
      <c r="C404" s="2160" t="s">
        <v>2681</v>
      </c>
      <c r="D404" s="2161"/>
      <c r="E404" s="2160" t="s">
        <v>2640</v>
      </c>
      <c r="F404" s="2161"/>
    </row>
    <row r="405" spans="1:15">
      <c r="A405" s="2163"/>
      <c r="B405" s="2163"/>
      <c r="C405" s="2163"/>
      <c r="D405" s="2163"/>
      <c r="E405" s="2163"/>
      <c r="F405" s="2163"/>
      <c r="G405" s="2163"/>
      <c r="H405" s="2163"/>
      <c r="I405" s="2163"/>
      <c r="J405" s="2163"/>
      <c r="K405" s="2163"/>
      <c r="L405" s="2163"/>
      <c r="M405" s="2163"/>
    </row>
    <row r="406" spans="1:15">
      <c r="A406" s="2164"/>
      <c r="H406" s="2522" t="s">
        <v>2637</v>
      </c>
      <c r="I406" s="2522"/>
      <c r="J406" s="2163"/>
      <c r="K406" s="2528">
        <v>3126611.1954999999</v>
      </c>
      <c r="L406" s="2528"/>
      <c r="M406" s="2163"/>
      <c r="N406" s="2527" t="s">
        <v>3062</v>
      </c>
      <c r="O406" s="2163"/>
    </row>
    <row r="407" spans="1:15">
      <c r="H407" s="2163"/>
      <c r="I407" s="2163"/>
      <c r="J407" s="2163"/>
      <c r="K407" s="2528"/>
      <c r="L407" s="2528"/>
      <c r="N407" s="2527"/>
    </row>
    <row r="408" spans="1:15">
      <c r="A408" s="2165">
        <v>16815</v>
      </c>
      <c r="B408" s="2163"/>
      <c r="C408" s="2524" t="s">
        <v>3049</v>
      </c>
      <c r="D408" s="2524"/>
      <c r="E408" s="2524"/>
      <c r="F408" s="2524"/>
      <c r="G408" s="2524"/>
      <c r="H408" s="2524"/>
      <c r="I408" s="2524"/>
      <c r="J408" s="2163"/>
      <c r="K408" s="2163"/>
      <c r="L408" s="2163"/>
      <c r="M408" s="2163"/>
    </row>
    <row r="409" spans="1:15">
      <c r="A409" s="2163"/>
      <c r="B409" s="2163"/>
      <c r="C409" s="2163"/>
      <c r="D409" s="2163"/>
      <c r="E409" s="2163"/>
      <c r="F409" s="2163"/>
      <c r="G409" s="2163"/>
      <c r="H409" s="2163"/>
      <c r="I409" s="2163"/>
      <c r="J409" s="2163"/>
      <c r="K409" s="2163"/>
      <c r="L409" s="2163"/>
      <c r="M409" s="2163"/>
    </row>
    <row r="410" spans="1:15">
      <c r="A410" s="2520" t="s">
        <v>2647</v>
      </c>
      <c r="B410" s="2520"/>
      <c r="C410" s="2520"/>
      <c r="D410" s="2166"/>
      <c r="E410" s="2166"/>
      <c r="F410" s="2166"/>
      <c r="G410" s="2166"/>
      <c r="H410" s="2526">
        <v>22013849.136</v>
      </c>
      <c r="I410" s="2526"/>
      <c r="J410" s="2526"/>
      <c r="K410" s="2166"/>
      <c r="L410" s="2168">
        <v>2221634481.3699999</v>
      </c>
      <c r="M410" s="2166"/>
    </row>
    <row r="411" spans="1:15">
      <c r="A411" s="2520" t="s">
        <v>2648</v>
      </c>
      <c r="B411" s="2520"/>
      <c r="C411" s="2520"/>
      <c r="D411" s="2166"/>
      <c r="E411" s="2166"/>
      <c r="F411" s="2166"/>
      <c r="G411" s="2166"/>
      <c r="H411" s="2526">
        <v>-25149980.545000002</v>
      </c>
      <c r="I411" s="2526"/>
      <c r="J411" s="2526"/>
      <c r="K411" s="2166"/>
      <c r="L411" s="2168">
        <v>-2540761857.77</v>
      </c>
      <c r="M411" s="2166"/>
    </row>
    <row r="412" spans="1:15">
      <c r="A412" s="2520" t="s">
        <v>2645</v>
      </c>
      <c r="B412" s="2520"/>
      <c r="C412" s="2520"/>
      <c r="D412" s="2166"/>
      <c r="E412" s="2166"/>
      <c r="F412" s="2166"/>
      <c r="G412" s="2166"/>
      <c r="H412" s="2525"/>
      <c r="I412" s="2525"/>
      <c r="J412" s="2525"/>
      <c r="K412" s="2166"/>
      <c r="L412" s="2167"/>
      <c r="M412" s="2166"/>
    </row>
    <row r="413" spans="1:15">
      <c r="A413" s="2520" t="s">
        <v>2645</v>
      </c>
      <c r="B413" s="2520"/>
      <c r="C413" s="2520"/>
      <c r="D413" s="2166"/>
      <c r="E413" s="2166"/>
      <c r="F413" s="2166"/>
      <c r="G413" s="2166"/>
      <c r="H413" s="2525">
        <v>385.51400000000001</v>
      </c>
      <c r="I413" s="2525"/>
      <c r="J413" s="2525"/>
      <c r="K413" s="2166"/>
      <c r="L413" s="2168">
        <v>38881.39</v>
      </c>
      <c r="M413" s="2166"/>
    </row>
    <row r="414" spans="1:15">
      <c r="A414" s="2520" t="s">
        <v>2649</v>
      </c>
      <c r="B414" s="2520"/>
      <c r="C414" s="2520"/>
      <c r="D414" s="2166"/>
      <c r="E414" s="2166"/>
      <c r="F414" s="2166"/>
      <c r="G414" s="2166"/>
      <c r="H414" s="2526">
        <v>9134.7000000000007</v>
      </c>
      <c r="I414" s="2526"/>
      <c r="J414" s="2526"/>
      <c r="K414" s="2166"/>
      <c r="L414" s="2168">
        <v>1430.05</v>
      </c>
      <c r="M414" s="2166"/>
    </row>
    <row r="415" spans="1:15">
      <c r="A415" s="2164"/>
      <c r="B415" s="2164"/>
      <c r="C415" s="2164"/>
      <c r="D415" s="2164"/>
      <c r="E415" s="2522" t="s">
        <v>2639</v>
      </c>
      <c r="F415" s="2522"/>
      <c r="G415" s="2164"/>
      <c r="H415" s="2523">
        <v>0</v>
      </c>
      <c r="I415" s="2523"/>
      <c r="J415" s="2523"/>
      <c r="K415" s="2163"/>
      <c r="L415" s="2523">
        <v>0</v>
      </c>
      <c r="M415" s="2163"/>
    </row>
    <row r="416" spans="1:15">
      <c r="A416" s="2164"/>
      <c r="B416" s="2164"/>
      <c r="C416" s="2164"/>
      <c r="D416" s="2164"/>
      <c r="E416" s="2164"/>
      <c r="F416" s="2164"/>
      <c r="G416" s="2164"/>
      <c r="H416" s="2523"/>
      <c r="I416" s="2523"/>
      <c r="J416" s="2523"/>
      <c r="K416" s="2163"/>
      <c r="L416" s="2523"/>
      <c r="M416" s="2163"/>
    </row>
    <row r="417" spans="1:15">
      <c r="A417" s="2160" t="s">
        <v>2680</v>
      </c>
      <c r="B417" s="2161"/>
      <c r="C417" s="2160" t="s">
        <v>2681</v>
      </c>
      <c r="D417" s="2161"/>
      <c r="E417" s="2160" t="s">
        <v>2640</v>
      </c>
      <c r="F417" s="2161"/>
    </row>
    <row r="418" spans="1:15">
      <c r="A418" s="2163"/>
      <c r="B418" s="2163"/>
      <c r="C418" s="2163"/>
      <c r="D418" s="2163"/>
      <c r="E418" s="2163"/>
      <c r="F418" s="2163"/>
      <c r="G418" s="2163"/>
      <c r="H418" s="2163"/>
      <c r="I418" s="2163"/>
      <c r="J418" s="2163"/>
      <c r="K418" s="2163"/>
      <c r="L418" s="2163"/>
      <c r="M418" s="2163"/>
    </row>
    <row r="419" spans="1:15">
      <c r="A419" s="2164"/>
      <c r="H419" s="2522" t="s">
        <v>2637</v>
      </c>
      <c r="I419" s="2522"/>
      <c r="J419" s="2163"/>
      <c r="K419" s="2528">
        <v>3129970.2448</v>
      </c>
      <c r="L419" s="2528"/>
      <c r="M419" s="2163"/>
      <c r="N419" s="2527" t="s">
        <v>3063</v>
      </c>
      <c r="O419" s="2163"/>
    </row>
    <row r="420" spans="1:15">
      <c r="H420" s="2163"/>
      <c r="I420" s="2163"/>
      <c r="J420" s="2163"/>
      <c r="K420" s="2528"/>
      <c r="L420" s="2528"/>
      <c r="N420" s="2527"/>
    </row>
    <row r="421" spans="1:15">
      <c r="A421" s="2165">
        <v>24369</v>
      </c>
      <c r="B421" s="2163"/>
      <c r="C421" s="2524" t="s">
        <v>3050</v>
      </c>
      <c r="D421" s="2524"/>
      <c r="E421" s="2524"/>
      <c r="F421" s="2524"/>
      <c r="G421" s="2524"/>
      <c r="H421" s="2524"/>
      <c r="I421" s="2524"/>
      <c r="J421" s="2163"/>
      <c r="K421" s="2163"/>
      <c r="L421" s="2163"/>
      <c r="M421" s="2163"/>
    </row>
    <row r="422" spans="1:15">
      <c r="A422" s="2163"/>
      <c r="B422" s="2163"/>
      <c r="C422" s="2163"/>
      <c r="D422" s="2163"/>
      <c r="E422" s="2163"/>
      <c r="F422" s="2163"/>
      <c r="G422" s="2163"/>
      <c r="H422" s="2163"/>
      <c r="I422" s="2163"/>
      <c r="J422" s="2163"/>
      <c r="K422" s="2163"/>
      <c r="L422" s="2163"/>
      <c r="M422" s="2163"/>
    </row>
    <row r="423" spans="1:15">
      <c r="A423" s="2520" t="s">
        <v>2647</v>
      </c>
      <c r="B423" s="2520"/>
      <c r="C423" s="2520"/>
      <c r="D423" s="2166"/>
      <c r="E423" s="2166"/>
      <c r="F423" s="2166"/>
      <c r="G423" s="2166"/>
      <c r="H423" s="2526">
        <v>22037513.32</v>
      </c>
      <c r="I423" s="2526"/>
      <c r="J423" s="2526"/>
      <c r="K423" s="2166"/>
      <c r="L423" s="2168">
        <v>2224022668.5</v>
      </c>
      <c r="M423" s="2166"/>
    </row>
    <row r="424" spans="1:15">
      <c r="A424" s="2520" t="s">
        <v>2648</v>
      </c>
      <c r="B424" s="2520"/>
      <c r="C424" s="2520"/>
      <c r="D424" s="2166"/>
      <c r="E424" s="2166"/>
      <c r="F424" s="2166"/>
      <c r="G424" s="2166"/>
      <c r="H424" s="2526">
        <v>-25177013.829999998</v>
      </c>
      <c r="I424" s="2526"/>
      <c r="J424" s="2526"/>
      <c r="K424" s="2166"/>
      <c r="L424" s="2168">
        <v>-2543492879.2800002</v>
      </c>
      <c r="M424" s="2166"/>
    </row>
    <row r="425" spans="1:15">
      <c r="A425" s="2520" t="s">
        <v>2645</v>
      </c>
      <c r="B425" s="2520"/>
      <c r="C425" s="2520"/>
      <c r="D425" s="2166"/>
      <c r="E425" s="2166"/>
      <c r="F425" s="2166"/>
      <c r="G425" s="2166"/>
      <c r="H425" s="2525"/>
      <c r="I425" s="2525"/>
      <c r="J425" s="2525"/>
      <c r="K425" s="2166"/>
      <c r="L425" s="2167"/>
      <c r="M425" s="2166"/>
    </row>
    <row r="426" spans="1:15">
      <c r="A426" s="2520" t="s">
        <v>2645</v>
      </c>
      <c r="B426" s="2520"/>
      <c r="C426" s="2520"/>
      <c r="D426" s="2166"/>
      <c r="E426" s="2166"/>
      <c r="F426" s="2166"/>
      <c r="G426" s="2166"/>
      <c r="H426" s="2525">
        <v>385.92099999999999</v>
      </c>
      <c r="I426" s="2525"/>
      <c r="J426" s="2525"/>
      <c r="K426" s="2166"/>
      <c r="L426" s="2168">
        <v>38922.53</v>
      </c>
      <c r="M426" s="2166"/>
    </row>
    <row r="427" spans="1:15">
      <c r="A427" s="2520" t="s">
        <v>2649</v>
      </c>
      <c r="B427" s="2520"/>
      <c r="C427" s="2520"/>
      <c r="D427" s="2166"/>
      <c r="E427" s="2166"/>
      <c r="F427" s="2166"/>
      <c r="G427" s="2166"/>
      <c r="H427" s="2526">
        <v>9144.3439999999991</v>
      </c>
      <c r="I427" s="2526"/>
      <c r="J427" s="2526"/>
      <c r="K427" s="2166"/>
      <c r="L427" s="2168">
        <v>1414.44</v>
      </c>
      <c r="M427" s="2166"/>
    </row>
    <row r="428" spans="1:15">
      <c r="A428" s="2164"/>
      <c r="B428" s="2164"/>
      <c r="C428" s="2164"/>
      <c r="D428" s="2164"/>
      <c r="E428" s="2522" t="s">
        <v>2639</v>
      </c>
      <c r="F428" s="2522"/>
      <c r="G428" s="2164"/>
      <c r="H428" s="2523">
        <v>0</v>
      </c>
      <c r="I428" s="2523"/>
      <c r="J428" s="2523"/>
      <c r="K428" s="2163"/>
      <c r="L428" s="2523">
        <v>0</v>
      </c>
      <c r="M428" s="2163"/>
    </row>
    <row r="429" spans="1:15">
      <c r="A429" s="2164"/>
      <c r="B429" s="2164"/>
      <c r="C429" s="2164"/>
      <c r="D429" s="2164"/>
      <c r="E429" s="2164"/>
      <c r="F429" s="2164"/>
      <c r="G429" s="2164"/>
      <c r="H429" s="2523"/>
      <c r="I429" s="2523"/>
      <c r="J429" s="2523"/>
      <c r="K429" s="2163"/>
      <c r="L429" s="2523"/>
      <c r="M429" s="2163"/>
    </row>
    <row r="430" spans="1:15">
      <c r="A430" s="2160" t="s">
        <v>2680</v>
      </c>
      <c r="B430" s="2161"/>
      <c r="C430" s="2160" t="s">
        <v>2681</v>
      </c>
      <c r="D430" s="2161"/>
      <c r="E430" s="2160" t="s">
        <v>2640</v>
      </c>
      <c r="F430" s="2161"/>
    </row>
    <row r="431" spans="1:15">
      <c r="A431" s="2163"/>
      <c r="B431" s="2163"/>
      <c r="C431" s="2163"/>
      <c r="D431" s="2163"/>
      <c r="E431" s="2163"/>
      <c r="F431" s="2163"/>
      <c r="G431" s="2163"/>
      <c r="H431" s="2163"/>
      <c r="I431" s="2163"/>
      <c r="J431" s="2163"/>
      <c r="K431" s="2163"/>
      <c r="L431" s="2163"/>
      <c r="M431" s="2163"/>
    </row>
    <row r="432" spans="1:15">
      <c r="A432" s="2164"/>
      <c r="H432" s="2522" t="s">
        <v>2637</v>
      </c>
      <c r="I432" s="2522"/>
      <c r="J432" s="2163"/>
      <c r="K432" s="2528">
        <v>3607073.8484999998</v>
      </c>
      <c r="L432" s="2528"/>
      <c r="M432" s="2163"/>
      <c r="N432" s="2527" t="s">
        <v>3064</v>
      </c>
      <c r="O432" s="2163"/>
    </row>
    <row r="433" spans="1:15">
      <c r="H433" s="2163"/>
      <c r="I433" s="2163"/>
      <c r="J433" s="2163"/>
      <c r="K433" s="2528"/>
      <c r="L433" s="2528"/>
      <c r="N433" s="2527"/>
    </row>
    <row r="434" spans="1:15">
      <c r="A434" s="2165">
        <v>24368</v>
      </c>
      <c r="B434" s="2163"/>
      <c r="C434" s="2524" t="s">
        <v>3051</v>
      </c>
      <c r="D434" s="2524"/>
      <c r="E434" s="2524"/>
      <c r="F434" s="2524"/>
      <c r="G434" s="2524"/>
      <c r="H434" s="2524"/>
      <c r="I434" s="2524"/>
      <c r="J434" s="2163"/>
      <c r="K434" s="2163"/>
      <c r="L434" s="2163"/>
      <c r="M434" s="2163"/>
    </row>
    <row r="435" spans="1:15">
      <c r="A435" s="2163"/>
      <c r="B435" s="2163"/>
      <c r="C435" s="2163"/>
      <c r="D435" s="2163"/>
      <c r="E435" s="2163"/>
      <c r="F435" s="2163"/>
      <c r="G435" s="2163"/>
      <c r="H435" s="2163"/>
      <c r="I435" s="2163"/>
      <c r="J435" s="2163"/>
      <c r="K435" s="2163"/>
      <c r="L435" s="2163"/>
      <c r="M435" s="2163"/>
    </row>
    <row r="436" spans="1:15">
      <c r="A436" s="2520" t="s">
        <v>2647</v>
      </c>
      <c r="B436" s="2520"/>
      <c r="C436" s="2520"/>
      <c r="D436" s="2166"/>
      <c r="E436" s="2166"/>
      <c r="F436" s="2166"/>
      <c r="G436" s="2166"/>
      <c r="H436" s="2526">
        <v>25396718.932999998</v>
      </c>
      <c r="I436" s="2526"/>
      <c r="J436" s="2526"/>
      <c r="K436" s="2166"/>
      <c r="L436" s="2168">
        <v>2563033215.8099999</v>
      </c>
      <c r="M436" s="2166"/>
    </row>
    <row r="437" spans="1:15">
      <c r="A437" s="2520" t="s">
        <v>2648</v>
      </c>
      <c r="B437" s="2520"/>
      <c r="C437" s="2520"/>
      <c r="D437" s="2166"/>
      <c r="E437" s="2166"/>
      <c r="F437" s="2166"/>
      <c r="G437" s="2166"/>
      <c r="H437" s="2526">
        <v>-29014787.353999998</v>
      </c>
      <c r="I437" s="2526"/>
      <c r="J437" s="2526"/>
      <c r="K437" s="2166"/>
      <c r="L437" s="2168">
        <v>-2931201671.71</v>
      </c>
      <c r="M437" s="2166"/>
    </row>
    <row r="438" spans="1:15">
      <c r="A438" s="2520" t="s">
        <v>2645</v>
      </c>
      <c r="B438" s="2520"/>
      <c r="C438" s="2520"/>
      <c r="D438" s="2166"/>
      <c r="E438" s="2166"/>
      <c r="F438" s="2166"/>
      <c r="G438" s="2166"/>
      <c r="H438" s="2525"/>
      <c r="I438" s="2525"/>
      <c r="J438" s="2525"/>
      <c r="K438" s="2166"/>
      <c r="L438" s="2167"/>
      <c r="M438" s="2166"/>
    </row>
    <row r="439" spans="1:15">
      <c r="A439" s="2520" t="s">
        <v>2645</v>
      </c>
      <c r="B439" s="2520"/>
      <c r="C439" s="2520"/>
      <c r="D439" s="2166"/>
      <c r="E439" s="2166"/>
      <c r="F439" s="2166"/>
      <c r="G439" s="2166"/>
      <c r="H439" s="2525">
        <v>444.74799999999999</v>
      </c>
      <c r="I439" s="2525"/>
      <c r="J439" s="2525"/>
      <c r="K439" s="2166"/>
      <c r="L439" s="2168">
        <v>44855.57</v>
      </c>
      <c r="M439" s="2166"/>
    </row>
    <row r="440" spans="1:15">
      <c r="A440" s="2520" t="s">
        <v>2649</v>
      </c>
      <c r="B440" s="2520"/>
      <c r="C440" s="2520"/>
      <c r="D440" s="2166"/>
      <c r="E440" s="2166"/>
      <c r="F440" s="2166"/>
      <c r="G440" s="2166"/>
      <c r="H440" s="2526">
        <v>10549.825000000001</v>
      </c>
      <c r="I440" s="2526"/>
      <c r="J440" s="2526"/>
      <c r="K440" s="2166"/>
      <c r="L440" s="2168">
        <v>2800.61</v>
      </c>
      <c r="M440" s="2166"/>
    </row>
    <row r="441" spans="1:15">
      <c r="A441" s="2164"/>
      <c r="B441" s="2164"/>
      <c r="C441" s="2164"/>
      <c r="D441" s="2164"/>
      <c r="E441" s="2522" t="s">
        <v>2639</v>
      </c>
      <c r="F441" s="2522"/>
      <c r="G441" s="2164"/>
      <c r="H441" s="2523">
        <v>0</v>
      </c>
      <c r="I441" s="2523"/>
      <c r="J441" s="2523"/>
      <c r="K441" s="2163"/>
      <c r="L441" s="2523">
        <v>0</v>
      </c>
      <c r="M441" s="2163"/>
    </row>
    <row r="442" spans="1:15">
      <c r="A442" s="2164"/>
      <c r="B442" s="2164"/>
      <c r="C442" s="2164"/>
      <c r="D442" s="2164"/>
      <c r="E442" s="2164"/>
      <c r="F442" s="2164"/>
      <c r="G442" s="2164"/>
      <c r="H442" s="2523"/>
      <c r="I442" s="2523"/>
      <c r="J442" s="2523"/>
      <c r="K442" s="2163"/>
      <c r="L442" s="2523"/>
      <c r="M442" s="2163"/>
    </row>
    <row r="443" spans="1:15">
      <c r="A443" s="2160" t="s">
        <v>2680</v>
      </c>
      <c r="B443" s="2161"/>
      <c r="C443" s="2160" t="s">
        <v>2681</v>
      </c>
      <c r="D443" s="2161"/>
      <c r="E443" s="2160" t="s">
        <v>2640</v>
      </c>
      <c r="F443" s="2161"/>
    </row>
    <row r="444" spans="1:15">
      <c r="A444" s="2163"/>
      <c r="B444" s="2163"/>
      <c r="C444" s="2163"/>
      <c r="D444" s="2163"/>
      <c r="E444" s="2163"/>
      <c r="F444" s="2163"/>
      <c r="G444" s="2163"/>
      <c r="H444" s="2163"/>
      <c r="I444" s="2163"/>
      <c r="J444" s="2163"/>
      <c r="K444" s="2163"/>
      <c r="L444" s="2163"/>
      <c r="M444" s="2163"/>
    </row>
    <row r="445" spans="1:15">
      <c r="A445" s="2164"/>
      <c r="H445" s="2522" t="s">
        <v>2637</v>
      </c>
      <c r="I445" s="2522"/>
      <c r="J445" s="2163"/>
      <c r="K445" s="2528">
        <v>1382183.4368</v>
      </c>
      <c r="L445" s="2528"/>
      <c r="M445" s="2163"/>
      <c r="N445" s="2527" t="s">
        <v>3065</v>
      </c>
      <c r="O445" s="2163"/>
    </row>
    <row r="446" spans="1:15">
      <c r="H446" s="2163"/>
      <c r="I446" s="2163"/>
      <c r="J446" s="2163"/>
      <c r="K446" s="2528"/>
      <c r="L446" s="2528"/>
      <c r="N446" s="2527"/>
    </row>
    <row r="447" spans="1:15">
      <c r="A447" s="2165">
        <v>24482</v>
      </c>
      <c r="B447" s="2163"/>
      <c r="C447" s="2524" t="s">
        <v>3052</v>
      </c>
      <c r="D447" s="2524"/>
      <c r="E447" s="2524"/>
      <c r="F447" s="2524"/>
      <c r="G447" s="2524"/>
      <c r="H447" s="2524"/>
      <c r="I447" s="2524"/>
      <c r="J447" s="2163"/>
      <c r="K447" s="2163"/>
      <c r="L447" s="2163"/>
      <c r="M447" s="2163"/>
    </row>
    <row r="448" spans="1:15">
      <c r="A448" s="2163"/>
      <c r="B448" s="2163"/>
      <c r="C448" s="2163"/>
      <c r="D448" s="2163"/>
      <c r="E448" s="2163"/>
      <c r="F448" s="2163"/>
      <c r="G448" s="2163"/>
      <c r="H448" s="2163"/>
      <c r="I448" s="2163"/>
      <c r="J448" s="2163"/>
      <c r="K448" s="2163"/>
      <c r="L448" s="2163"/>
      <c r="M448" s="2163"/>
    </row>
    <row r="449" spans="1:15">
      <c r="A449" s="2520" t="s">
        <v>2647</v>
      </c>
      <c r="B449" s="2520"/>
      <c r="C449" s="2520"/>
      <c r="D449" s="2166"/>
      <c r="E449" s="2166"/>
      <c r="F449" s="2166"/>
      <c r="G449" s="2166"/>
      <c r="H449" s="2526">
        <v>9731750.1860000007</v>
      </c>
      <c r="I449" s="2526"/>
      <c r="J449" s="2526"/>
      <c r="K449" s="2166"/>
      <c r="L449" s="2168">
        <v>982126831.60000002</v>
      </c>
      <c r="M449" s="2166"/>
    </row>
    <row r="450" spans="1:15">
      <c r="A450" s="2520" t="s">
        <v>2648</v>
      </c>
      <c r="B450" s="2520"/>
      <c r="C450" s="2520"/>
      <c r="D450" s="2166"/>
      <c r="E450" s="2166"/>
      <c r="F450" s="2166"/>
      <c r="G450" s="2166"/>
      <c r="H450" s="2526">
        <v>-11118175.937000001</v>
      </c>
      <c r="I450" s="2526"/>
      <c r="J450" s="2526"/>
      <c r="K450" s="2166"/>
      <c r="L450" s="2168">
        <v>-1123207124.78</v>
      </c>
      <c r="M450" s="2166"/>
    </row>
    <row r="451" spans="1:15">
      <c r="A451" s="2520" t="s">
        <v>2645</v>
      </c>
      <c r="B451" s="2520"/>
      <c r="C451" s="2520"/>
      <c r="D451" s="2166"/>
      <c r="E451" s="2166"/>
      <c r="F451" s="2166"/>
      <c r="G451" s="2166"/>
      <c r="H451" s="2525"/>
      <c r="I451" s="2525"/>
      <c r="J451" s="2525"/>
      <c r="K451" s="2166"/>
      <c r="L451" s="2167"/>
      <c r="M451" s="2166"/>
    </row>
    <row r="452" spans="1:15">
      <c r="A452" s="2520" t="s">
        <v>2645</v>
      </c>
      <c r="B452" s="2520"/>
      <c r="C452" s="2520"/>
      <c r="D452" s="2166"/>
      <c r="E452" s="2166"/>
      <c r="F452" s="2166"/>
      <c r="G452" s="2166"/>
      <c r="H452" s="2525">
        <v>170.42500000000001</v>
      </c>
      <c r="I452" s="2525"/>
      <c r="J452" s="2525"/>
      <c r="K452" s="2166"/>
      <c r="L452" s="2168">
        <v>17188.37</v>
      </c>
      <c r="M452" s="2166"/>
    </row>
    <row r="453" spans="1:15">
      <c r="A453" s="2520" t="s">
        <v>2649</v>
      </c>
      <c r="B453" s="2520"/>
      <c r="C453" s="2520"/>
      <c r="D453" s="2166"/>
      <c r="E453" s="2166"/>
      <c r="F453" s="2166"/>
      <c r="G453" s="2166"/>
      <c r="H453" s="2526">
        <v>4071.8890000000001</v>
      </c>
      <c r="I453" s="2526"/>
      <c r="J453" s="2526"/>
      <c r="K453" s="2166"/>
      <c r="L453" s="2168">
        <v>4032.75</v>
      </c>
      <c r="M453" s="2166"/>
    </row>
    <row r="454" spans="1:15">
      <c r="A454" s="2164"/>
      <c r="B454" s="2164"/>
      <c r="C454" s="2164"/>
      <c r="D454" s="2164"/>
      <c r="E454" s="2522" t="s">
        <v>2639</v>
      </c>
      <c r="F454" s="2522"/>
      <c r="G454" s="2164"/>
      <c r="H454" s="2523">
        <v>0</v>
      </c>
      <c r="I454" s="2523"/>
      <c r="J454" s="2523"/>
      <c r="K454" s="2163"/>
      <c r="L454" s="2523">
        <v>0</v>
      </c>
      <c r="M454" s="2163"/>
    </row>
    <row r="455" spans="1:15">
      <c r="A455" s="2164"/>
      <c r="B455" s="2164"/>
      <c r="C455" s="2164"/>
      <c r="D455" s="2164"/>
      <c r="E455" s="2164"/>
      <c r="F455" s="2164"/>
      <c r="G455" s="2164"/>
      <c r="H455" s="2523"/>
      <c r="I455" s="2523"/>
      <c r="J455" s="2523"/>
      <c r="K455" s="2163"/>
      <c r="L455" s="2523"/>
      <c r="M455" s="2163"/>
    </row>
    <row r="456" spans="1:15">
      <c r="A456" s="2160" t="s">
        <v>2680</v>
      </c>
      <c r="B456" s="2161"/>
      <c r="C456" s="2160" t="s">
        <v>2681</v>
      </c>
      <c r="D456" s="2161"/>
      <c r="E456" s="2160" t="s">
        <v>2640</v>
      </c>
      <c r="F456" s="2161"/>
    </row>
    <row r="457" spans="1:15">
      <c r="A457" s="2163"/>
      <c r="B457" s="2163"/>
      <c r="C457" s="2163"/>
      <c r="D457" s="2163"/>
      <c r="E457" s="2163"/>
      <c r="F457" s="2163"/>
      <c r="G457" s="2163"/>
      <c r="H457" s="2163"/>
      <c r="I457" s="2163"/>
      <c r="J457" s="2163"/>
      <c r="K457" s="2163"/>
      <c r="L457" s="2163"/>
      <c r="M457" s="2163"/>
    </row>
    <row r="458" spans="1:15">
      <c r="A458" s="2164"/>
      <c r="H458" s="2522" t="s">
        <v>2637</v>
      </c>
      <c r="I458" s="2522"/>
      <c r="J458" s="2163"/>
      <c r="K458" s="2528">
        <v>532296.55079999997</v>
      </c>
      <c r="L458" s="2528"/>
      <c r="M458" s="2163"/>
      <c r="N458" s="2527" t="s">
        <v>3066</v>
      </c>
      <c r="O458" s="2163"/>
    </row>
    <row r="459" spans="1:15">
      <c r="H459" s="2163"/>
      <c r="I459" s="2163"/>
      <c r="J459" s="2163"/>
      <c r="K459" s="2528"/>
      <c r="L459" s="2528"/>
      <c r="N459" s="2527"/>
    </row>
    <row r="460" spans="1:15">
      <c r="A460" s="2165">
        <v>24558</v>
      </c>
      <c r="B460" s="2163"/>
      <c r="C460" s="2524" t="s">
        <v>3053</v>
      </c>
      <c r="D460" s="2524"/>
      <c r="E460" s="2524"/>
      <c r="F460" s="2524"/>
      <c r="G460" s="2524"/>
      <c r="H460" s="2524"/>
      <c r="I460" s="2524"/>
      <c r="J460" s="2163"/>
      <c r="K460" s="2163"/>
      <c r="L460" s="2163"/>
      <c r="M460" s="2163"/>
    </row>
    <row r="461" spans="1:15">
      <c r="A461" s="2163"/>
      <c r="B461" s="2163"/>
      <c r="C461" s="2163"/>
      <c r="D461" s="2163"/>
      <c r="E461" s="2163"/>
      <c r="F461" s="2163"/>
      <c r="G461" s="2163"/>
      <c r="H461" s="2163"/>
      <c r="I461" s="2163"/>
      <c r="J461" s="2163"/>
      <c r="K461" s="2163"/>
      <c r="L461" s="2163"/>
      <c r="M461" s="2163"/>
    </row>
    <row r="462" spans="1:15">
      <c r="A462" s="2520" t="s">
        <v>2647</v>
      </c>
      <c r="B462" s="2520"/>
      <c r="C462" s="2520"/>
      <c r="D462" s="2166"/>
      <c r="E462" s="2166"/>
      <c r="F462" s="2166"/>
      <c r="G462" s="2166"/>
      <c r="H462" s="2526">
        <v>3747763.7659999998</v>
      </c>
      <c r="I462" s="2526"/>
      <c r="J462" s="2526"/>
      <c r="K462" s="2166"/>
      <c r="L462" s="2168">
        <v>378223776.55000001</v>
      </c>
      <c r="M462" s="2166"/>
    </row>
    <row r="463" spans="1:15">
      <c r="A463" s="2520" t="s">
        <v>2648</v>
      </c>
      <c r="B463" s="2520"/>
      <c r="C463" s="2520"/>
      <c r="D463" s="2166"/>
      <c r="E463" s="2166"/>
      <c r="F463" s="2166"/>
      <c r="G463" s="2166"/>
      <c r="H463" s="2526">
        <v>-4281678.693</v>
      </c>
      <c r="I463" s="2526"/>
      <c r="J463" s="2526"/>
      <c r="K463" s="2166"/>
      <c r="L463" s="2168">
        <v>-432554048.92000002</v>
      </c>
      <c r="M463" s="2166"/>
    </row>
    <row r="464" spans="1:15">
      <c r="A464" s="2520" t="s">
        <v>2645</v>
      </c>
      <c r="B464" s="2520"/>
      <c r="C464" s="2520"/>
      <c r="D464" s="2166"/>
      <c r="E464" s="2166"/>
      <c r="F464" s="2166"/>
      <c r="G464" s="2166"/>
      <c r="H464" s="2525"/>
      <c r="I464" s="2525"/>
      <c r="J464" s="2525"/>
      <c r="K464" s="2166"/>
      <c r="L464" s="2167"/>
      <c r="M464" s="2166"/>
    </row>
    <row r="465" spans="1:15">
      <c r="A465" s="2520" t="s">
        <v>2645</v>
      </c>
      <c r="B465" s="2520"/>
      <c r="C465" s="2520"/>
      <c r="D465" s="2166"/>
      <c r="E465" s="2166"/>
      <c r="F465" s="2166"/>
      <c r="G465" s="2166"/>
      <c r="H465" s="2525">
        <v>65.632999999999996</v>
      </c>
      <c r="I465" s="2525"/>
      <c r="J465" s="2525"/>
      <c r="K465" s="2166"/>
      <c r="L465" s="2168">
        <v>6619.51</v>
      </c>
      <c r="M465" s="2166"/>
    </row>
    <row r="466" spans="1:15">
      <c r="A466" s="2520" t="s">
        <v>2649</v>
      </c>
      <c r="B466" s="2520"/>
      <c r="C466" s="2520"/>
      <c r="D466" s="2166"/>
      <c r="E466" s="2166"/>
      <c r="F466" s="2166"/>
      <c r="G466" s="2166"/>
      <c r="H466" s="2526">
        <v>1552.7429999999999</v>
      </c>
      <c r="I466" s="2526"/>
      <c r="J466" s="2526"/>
      <c r="K466" s="2166"/>
      <c r="L466" s="2167"/>
      <c r="M466" s="2166"/>
    </row>
    <row r="467" spans="1:15">
      <c r="A467" s="2164"/>
      <c r="B467" s="2164"/>
      <c r="C467" s="2164"/>
      <c r="D467" s="2164"/>
      <c r="E467" s="2522" t="s">
        <v>2639</v>
      </c>
      <c r="F467" s="2522"/>
      <c r="G467" s="2164"/>
      <c r="H467" s="2523">
        <v>0</v>
      </c>
      <c r="I467" s="2523"/>
      <c r="J467" s="2523"/>
      <c r="K467" s="2163"/>
      <c r="L467" s="2523">
        <v>0</v>
      </c>
      <c r="M467" s="2163"/>
    </row>
    <row r="468" spans="1:15">
      <c r="A468" s="2164"/>
      <c r="B468" s="2164"/>
      <c r="C468" s="2164"/>
      <c r="D468" s="2164"/>
      <c r="E468" s="2164"/>
      <c r="F468" s="2164"/>
      <c r="G468" s="2164"/>
      <c r="H468" s="2523"/>
      <c r="I468" s="2523"/>
      <c r="J468" s="2523"/>
      <c r="K468" s="2163"/>
      <c r="L468" s="2523"/>
      <c r="M468" s="2163"/>
    </row>
    <row r="469" spans="1:15">
      <c r="A469" s="2160" t="s">
        <v>2680</v>
      </c>
      <c r="B469" s="2161"/>
      <c r="C469" s="2160" t="s">
        <v>2681</v>
      </c>
      <c r="D469" s="2161"/>
      <c r="E469" s="2160" t="s">
        <v>2640</v>
      </c>
      <c r="F469" s="2161"/>
    </row>
    <row r="470" spans="1:15">
      <c r="A470" s="2163"/>
      <c r="B470" s="2163"/>
      <c r="C470" s="2163"/>
      <c r="D470" s="2163"/>
      <c r="E470" s="2163"/>
      <c r="F470" s="2163"/>
      <c r="G470" s="2163"/>
      <c r="H470" s="2163"/>
      <c r="I470" s="2163"/>
      <c r="J470" s="2163"/>
      <c r="K470" s="2163"/>
      <c r="L470" s="2163"/>
      <c r="M470" s="2163"/>
    </row>
    <row r="471" spans="1:15">
      <c r="A471" s="2164"/>
      <c r="H471" s="2522" t="s">
        <v>2637</v>
      </c>
      <c r="I471" s="2522"/>
      <c r="J471" s="2163"/>
      <c r="K471" s="2523">
        <v>0</v>
      </c>
      <c r="L471" s="2523"/>
      <c r="M471" s="2163"/>
      <c r="N471" s="2527"/>
      <c r="O471" s="2163"/>
    </row>
    <row r="472" spans="1:15">
      <c r="H472" s="2163"/>
      <c r="I472" s="2163"/>
      <c r="J472" s="2163"/>
      <c r="K472" s="2523"/>
      <c r="L472" s="2523"/>
      <c r="N472" s="2527"/>
    </row>
    <row r="473" spans="1:15">
      <c r="A473" s="2165">
        <v>31913</v>
      </c>
      <c r="B473" s="2163"/>
      <c r="C473" s="2524" t="s">
        <v>2855</v>
      </c>
      <c r="D473" s="2524"/>
      <c r="E473" s="2524"/>
      <c r="F473" s="2524"/>
      <c r="G473" s="2524"/>
      <c r="H473" s="2524"/>
      <c r="I473" s="2524"/>
      <c r="J473" s="2163"/>
      <c r="K473" s="2163"/>
      <c r="L473" s="2163"/>
      <c r="M473" s="2163"/>
    </row>
    <row r="474" spans="1:15">
      <c r="A474" s="2163"/>
      <c r="B474" s="2163"/>
      <c r="C474" s="2163"/>
      <c r="D474" s="2163"/>
      <c r="E474" s="2163"/>
      <c r="F474" s="2163"/>
      <c r="G474" s="2163"/>
      <c r="H474" s="2163"/>
      <c r="I474" s="2163"/>
      <c r="J474" s="2163"/>
      <c r="K474" s="2163"/>
      <c r="L474" s="2163"/>
      <c r="M474" s="2163"/>
    </row>
    <row r="475" spans="1:15">
      <c r="A475" s="2520" t="s">
        <v>2649</v>
      </c>
      <c r="B475" s="2520"/>
      <c r="C475" s="2520"/>
      <c r="D475" s="2166"/>
      <c r="E475" s="2166"/>
      <c r="F475" s="2166"/>
      <c r="G475" s="2166"/>
      <c r="H475" s="2526">
        <v>49566</v>
      </c>
      <c r="I475" s="2526"/>
      <c r="J475" s="2526"/>
      <c r="K475" s="2166"/>
      <c r="L475" s="2168">
        <v>5000000</v>
      </c>
      <c r="M475" s="2166"/>
    </row>
    <row r="476" spans="1:15">
      <c r="A476" s="2164"/>
      <c r="B476" s="2164"/>
      <c r="C476" s="2164"/>
      <c r="D476" s="2164"/>
      <c r="E476" s="2522" t="s">
        <v>2639</v>
      </c>
      <c r="F476" s="2522"/>
      <c r="G476" s="2164"/>
      <c r="H476" s="2528">
        <v>49566.000099999997</v>
      </c>
      <c r="I476" s="2528"/>
      <c r="J476" s="2528"/>
      <c r="K476" s="2163"/>
      <c r="L476" s="2528">
        <v>5007147.42</v>
      </c>
      <c r="M476" s="2163"/>
    </row>
    <row r="477" spans="1:15">
      <c r="A477" s="2164"/>
      <c r="B477" s="2164"/>
      <c r="C477" s="2164"/>
      <c r="D477" s="2164"/>
      <c r="E477" s="2164"/>
      <c r="F477" s="2164"/>
      <c r="G477" s="2164"/>
      <c r="H477" s="2528"/>
      <c r="I477" s="2528"/>
      <c r="J477" s="2528"/>
      <c r="K477" s="2163"/>
      <c r="L477" s="2528"/>
      <c r="M477" s="2163"/>
    </row>
    <row r="478" spans="1:15">
      <c r="A478" s="2160" t="s">
        <v>2680</v>
      </c>
      <c r="B478" s="2161"/>
      <c r="C478" s="2160" t="s">
        <v>2681</v>
      </c>
      <c r="D478" s="2161"/>
      <c r="E478" s="2160" t="s">
        <v>2640</v>
      </c>
      <c r="F478" s="2161"/>
    </row>
    <row r="479" spans="1:15">
      <c r="A479" s="2163"/>
      <c r="B479" s="2163"/>
      <c r="C479" s="2163"/>
      <c r="D479" s="2163"/>
      <c r="E479" s="2163"/>
      <c r="F479" s="2163"/>
      <c r="G479" s="2163"/>
      <c r="H479" s="2163"/>
      <c r="I479" s="2163"/>
      <c r="J479" s="2163"/>
      <c r="K479" s="2163"/>
      <c r="L479" s="2163"/>
      <c r="M479" s="2163"/>
    </row>
    <row r="480" spans="1:15">
      <c r="A480" s="2164"/>
      <c r="H480" s="2522" t="s">
        <v>2637</v>
      </c>
      <c r="I480" s="2522"/>
      <c r="J480" s="2163"/>
      <c r="K480" s="2528">
        <v>160969.826</v>
      </c>
      <c r="L480" s="2528"/>
      <c r="M480" s="2163"/>
      <c r="N480" s="2527" t="s">
        <v>3067</v>
      </c>
      <c r="O480" s="2163"/>
    </row>
    <row r="481" spans="1:15">
      <c r="H481" s="2163"/>
      <c r="I481" s="2163"/>
      <c r="J481" s="2163"/>
      <c r="K481" s="2528"/>
      <c r="L481" s="2528"/>
      <c r="N481" s="2527"/>
    </row>
    <row r="482" spans="1:15">
      <c r="A482" s="2165">
        <v>40147</v>
      </c>
      <c r="B482" s="2163"/>
      <c r="C482" s="2524" t="s">
        <v>2856</v>
      </c>
      <c r="D482" s="2524"/>
      <c r="E482" s="2524"/>
      <c r="F482" s="2524"/>
      <c r="G482" s="2524"/>
      <c r="H482" s="2524"/>
      <c r="I482" s="2524"/>
      <c r="J482" s="2163"/>
      <c r="K482" s="2163"/>
      <c r="L482" s="2163"/>
      <c r="M482" s="2163"/>
    </row>
    <row r="483" spans="1:15">
      <c r="A483" s="2163"/>
      <c r="B483" s="2163"/>
      <c r="C483" s="2163"/>
      <c r="D483" s="2163"/>
      <c r="E483" s="2163"/>
      <c r="F483" s="2163"/>
      <c r="G483" s="2163"/>
      <c r="H483" s="2163"/>
      <c r="I483" s="2163"/>
      <c r="J483" s="2163"/>
      <c r="K483" s="2163"/>
      <c r="L483" s="2163"/>
      <c r="M483" s="2163"/>
    </row>
    <row r="484" spans="1:15">
      <c r="A484" s="2520" t="s">
        <v>2647</v>
      </c>
      <c r="B484" s="2520"/>
      <c r="C484" s="2520"/>
      <c r="D484" s="2166"/>
      <c r="E484" s="2166"/>
      <c r="F484" s="2166"/>
      <c r="G484" s="2166"/>
      <c r="H484" s="2526">
        <v>109028.33900000001</v>
      </c>
      <c r="I484" s="2526"/>
      <c r="J484" s="2526"/>
      <c r="K484" s="2166"/>
      <c r="L484" s="2168">
        <v>11000000</v>
      </c>
      <c r="M484" s="2166"/>
    </row>
    <row r="485" spans="1:15">
      <c r="A485" s="2520" t="s">
        <v>2648</v>
      </c>
      <c r="B485" s="2520"/>
      <c r="C485" s="2520"/>
      <c r="D485" s="2166"/>
      <c r="E485" s="2166"/>
      <c r="F485" s="2166"/>
      <c r="G485" s="2166"/>
      <c r="H485" s="2526">
        <v>-160969.826</v>
      </c>
      <c r="I485" s="2526"/>
      <c r="J485" s="2526"/>
      <c r="K485" s="2166"/>
      <c r="L485" s="2168">
        <v>-16266676.98</v>
      </c>
      <c r="M485" s="2166"/>
    </row>
    <row r="486" spans="1:15">
      <c r="A486" s="2164"/>
      <c r="B486" s="2164"/>
      <c r="C486" s="2164"/>
      <c r="D486" s="2164"/>
      <c r="E486" s="2522" t="s">
        <v>2639</v>
      </c>
      <c r="F486" s="2522"/>
      <c r="G486" s="2164"/>
      <c r="H486" s="2528">
        <v>109028.3395</v>
      </c>
      <c r="I486" s="2528"/>
      <c r="J486" s="2528"/>
      <c r="K486" s="2163"/>
      <c r="L486" s="2528">
        <v>11014021.050000001</v>
      </c>
      <c r="M486" s="2163"/>
    </row>
    <row r="487" spans="1:15">
      <c r="A487" s="2164"/>
      <c r="B487" s="2164"/>
      <c r="C487" s="2164"/>
      <c r="D487" s="2164"/>
      <c r="E487" s="2164"/>
      <c r="F487" s="2164"/>
      <c r="G487" s="2164"/>
      <c r="H487" s="2528"/>
      <c r="I487" s="2528"/>
      <c r="J487" s="2528"/>
      <c r="K487" s="2163"/>
      <c r="L487" s="2528"/>
      <c r="M487" s="2163"/>
    </row>
    <row r="488" spans="1:15">
      <c r="A488" s="2160" t="s">
        <v>2680</v>
      </c>
      <c r="B488" s="2161"/>
      <c r="C488" s="2160" t="s">
        <v>2681</v>
      </c>
      <c r="D488" s="2161"/>
      <c r="E488" s="2160" t="s">
        <v>2640</v>
      </c>
      <c r="F488" s="2161"/>
    </row>
    <row r="489" spans="1:15">
      <c r="A489" s="2163"/>
      <c r="B489" s="2163"/>
      <c r="C489" s="2163"/>
      <c r="D489" s="2163"/>
      <c r="E489" s="2163"/>
      <c r="F489" s="2163"/>
      <c r="G489" s="2163"/>
      <c r="H489" s="2163"/>
      <c r="I489" s="2163"/>
      <c r="J489" s="2163"/>
      <c r="K489" s="2163"/>
      <c r="L489" s="2163"/>
      <c r="M489" s="2163"/>
    </row>
    <row r="490" spans="1:15">
      <c r="A490" s="2164"/>
      <c r="H490" s="2522" t="s">
        <v>2637</v>
      </c>
      <c r="I490" s="2522"/>
      <c r="J490" s="2163"/>
      <c r="K490" s="2528">
        <v>48139.553399999997</v>
      </c>
      <c r="L490" s="2528"/>
      <c r="M490" s="2163"/>
      <c r="N490" s="2527" t="s">
        <v>3068</v>
      </c>
      <c r="O490" s="2163"/>
    </row>
    <row r="491" spans="1:15">
      <c r="H491" s="2163"/>
      <c r="I491" s="2163"/>
      <c r="J491" s="2163"/>
      <c r="K491" s="2528"/>
      <c r="L491" s="2528"/>
      <c r="N491" s="2527"/>
    </row>
    <row r="492" spans="1:15">
      <c r="A492" s="2165">
        <v>34239</v>
      </c>
      <c r="B492" s="2163"/>
      <c r="C492" s="2524" t="s">
        <v>3054</v>
      </c>
      <c r="D492" s="2524"/>
      <c r="E492" s="2524"/>
      <c r="F492" s="2524"/>
      <c r="G492" s="2524"/>
      <c r="H492" s="2524"/>
      <c r="I492" s="2524"/>
      <c r="J492" s="2163"/>
      <c r="K492" s="2163"/>
      <c r="L492" s="2163"/>
      <c r="M492" s="2163"/>
    </row>
    <row r="493" spans="1:15">
      <c r="A493" s="2163"/>
      <c r="B493" s="2163"/>
      <c r="C493" s="2163"/>
      <c r="D493" s="2163"/>
      <c r="E493" s="2163"/>
      <c r="F493" s="2163"/>
      <c r="G493" s="2163"/>
      <c r="H493" s="2163"/>
      <c r="I493" s="2163"/>
      <c r="J493" s="2163"/>
      <c r="K493" s="2163"/>
      <c r="L493" s="2163"/>
      <c r="M493" s="2163"/>
    </row>
    <row r="494" spans="1:15">
      <c r="A494" s="2520" t="s">
        <v>2647</v>
      </c>
      <c r="B494" s="2520"/>
      <c r="C494" s="2520"/>
      <c r="D494" s="2166"/>
      <c r="E494" s="2166"/>
      <c r="F494" s="2166"/>
      <c r="G494" s="2166"/>
      <c r="H494" s="2526">
        <v>206787.611</v>
      </c>
      <c r="I494" s="2526"/>
      <c r="J494" s="2526"/>
      <c r="K494" s="2166"/>
      <c r="L494" s="2168">
        <v>20861123.440000001</v>
      </c>
      <c r="M494" s="2166"/>
    </row>
    <row r="495" spans="1:15">
      <c r="A495" s="2520" t="s">
        <v>2648</v>
      </c>
      <c r="B495" s="2520"/>
      <c r="C495" s="2520"/>
      <c r="D495" s="2166"/>
      <c r="E495" s="2166"/>
      <c r="F495" s="2166"/>
      <c r="G495" s="2166"/>
      <c r="H495" s="2526">
        <v>-231506.04500000001</v>
      </c>
      <c r="I495" s="2526"/>
      <c r="J495" s="2526"/>
      <c r="K495" s="2166"/>
      <c r="L495" s="2168">
        <v>-23364704.059999999</v>
      </c>
      <c r="M495" s="2166"/>
    </row>
    <row r="496" spans="1:15">
      <c r="A496" s="2520" t="s">
        <v>2645</v>
      </c>
      <c r="B496" s="2520"/>
      <c r="C496" s="2520"/>
      <c r="D496" s="2166"/>
      <c r="E496" s="2166"/>
      <c r="F496" s="2166"/>
      <c r="G496" s="2166"/>
      <c r="H496" s="2525"/>
      <c r="I496" s="2525"/>
      <c r="J496" s="2525"/>
      <c r="K496" s="2166"/>
      <c r="L496" s="2167"/>
      <c r="M496" s="2166"/>
    </row>
    <row r="497" spans="1:15">
      <c r="A497" s="2520" t="s">
        <v>2645</v>
      </c>
      <c r="B497" s="2520"/>
      <c r="C497" s="2520"/>
      <c r="D497" s="2166"/>
      <c r="E497" s="2166"/>
      <c r="F497" s="2166"/>
      <c r="G497" s="2166"/>
      <c r="H497" s="2526">
        <v>1704.288</v>
      </c>
      <c r="I497" s="2526"/>
      <c r="J497" s="2526"/>
      <c r="K497" s="2166"/>
      <c r="L497" s="2168">
        <v>171887.8</v>
      </c>
      <c r="M497" s="2166"/>
    </row>
    <row r="498" spans="1:15">
      <c r="A498" s="2520" t="s">
        <v>2679</v>
      </c>
      <c r="B498" s="2520"/>
      <c r="C498" s="2520"/>
      <c r="D498" s="2166"/>
      <c r="E498" s="2166"/>
      <c r="F498" s="2166"/>
      <c r="G498" s="2166"/>
      <c r="H498" s="2526">
        <v>-29724.512999999999</v>
      </c>
      <c r="I498" s="2526"/>
      <c r="J498" s="2526"/>
      <c r="K498" s="2166"/>
      <c r="L498" s="2168">
        <v>-3000000</v>
      </c>
      <c r="M498" s="2166"/>
    </row>
    <row r="499" spans="1:15">
      <c r="A499" s="2520" t="s">
        <v>2649</v>
      </c>
      <c r="B499" s="2520"/>
      <c r="C499" s="2520"/>
      <c r="D499" s="2166"/>
      <c r="E499" s="2166"/>
      <c r="F499" s="2166"/>
      <c r="G499" s="2166"/>
      <c r="H499" s="2526">
        <v>92263.447</v>
      </c>
      <c r="I499" s="2526"/>
      <c r="J499" s="2526"/>
      <c r="K499" s="2166"/>
      <c r="L499" s="2168">
        <v>9300000</v>
      </c>
      <c r="M499" s="2166"/>
    </row>
    <row r="500" spans="1:15">
      <c r="A500" s="2164"/>
      <c r="B500" s="2164"/>
      <c r="C500" s="2164"/>
      <c r="D500" s="2164"/>
      <c r="E500" s="2522" t="s">
        <v>2639</v>
      </c>
      <c r="F500" s="2522"/>
      <c r="G500" s="2164"/>
      <c r="H500" s="2528">
        <v>87664.340599999996</v>
      </c>
      <c r="I500" s="2528"/>
      <c r="J500" s="2528"/>
      <c r="K500" s="2163"/>
      <c r="L500" s="2528">
        <v>8855834.1500000004</v>
      </c>
      <c r="M500" s="2163"/>
    </row>
    <row r="501" spans="1:15">
      <c r="A501" s="2164"/>
      <c r="B501" s="2164"/>
      <c r="C501" s="2164"/>
      <c r="D501" s="2164"/>
      <c r="E501" s="2164"/>
      <c r="F501" s="2164"/>
      <c r="G501" s="2164"/>
      <c r="H501" s="2528"/>
      <c r="I501" s="2528"/>
      <c r="J501" s="2528"/>
      <c r="K501" s="2163"/>
      <c r="L501" s="2528"/>
      <c r="M501" s="2163"/>
    </row>
    <row r="502" spans="1:15">
      <c r="A502" s="2160" t="s">
        <v>2680</v>
      </c>
      <c r="B502" s="2161"/>
      <c r="C502" s="2160" t="s">
        <v>2681</v>
      </c>
      <c r="D502" s="2161"/>
      <c r="E502" s="2160" t="s">
        <v>2640</v>
      </c>
      <c r="F502" s="2161"/>
    </row>
    <row r="503" spans="1:15">
      <c r="A503" s="2163"/>
      <c r="B503" s="2163"/>
      <c r="C503" s="2163"/>
      <c r="D503" s="2163"/>
      <c r="E503" s="2163"/>
      <c r="F503" s="2163"/>
      <c r="G503" s="2163"/>
      <c r="H503" s="2163"/>
      <c r="I503" s="2163"/>
      <c r="J503" s="2163"/>
      <c r="K503" s="2163"/>
      <c r="L503" s="2163"/>
      <c r="M503" s="2163"/>
    </row>
    <row r="504" spans="1:15">
      <c r="A504" s="2164"/>
      <c r="H504" s="2522" t="s">
        <v>2637</v>
      </c>
      <c r="I504" s="2522"/>
      <c r="J504" s="2163"/>
      <c r="K504" s="2528">
        <v>234619.52849999999</v>
      </c>
      <c r="L504" s="2528"/>
      <c r="M504" s="2163"/>
      <c r="N504" s="2527" t="s">
        <v>3069</v>
      </c>
      <c r="O504" s="2163"/>
    </row>
    <row r="505" spans="1:15">
      <c r="H505" s="2163"/>
      <c r="I505" s="2163"/>
      <c r="J505" s="2163"/>
      <c r="K505" s="2528"/>
      <c r="L505" s="2528"/>
      <c r="N505" s="2527"/>
    </row>
    <row r="506" spans="1:15">
      <c r="A506" s="2165">
        <v>50733</v>
      </c>
      <c r="B506" s="2163"/>
      <c r="C506" s="2524" t="s">
        <v>2857</v>
      </c>
      <c r="D506" s="2524"/>
      <c r="E506" s="2524"/>
      <c r="F506" s="2524"/>
      <c r="G506" s="2524"/>
      <c r="H506" s="2524"/>
      <c r="I506" s="2524"/>
      <c r="J506" s="2163"/>
      <c r="K506" s="2163"/>
      <c r="L506" s="2163"/>
      <c r="M506" s="2163"/>
    </row>
    <row r="507" spans="1:15">
      <c r="A507" s="2163"/>
      <c r="B507" s="2163"/>
      <c r="C507" s="2163"/>
      <c r="D507" s="2163"/>
      <c r="E507" s="2163"/>
      <c r="F507" s="2163"/>
      <c r="G507" s="2163"/>
      <c r="H507" s="2163"/>
      <c r="I507" s="2163"/>
      <c r="J507" s="2163"/>
      <c r="K507" s="2163"/>
      <c r="L507" s="2163"/>
      <c r="M507" s="2163"/>
    </row>
    <row r="508" spans="1:15">
      <c r="A508" s="2520" t="s">
        <v>2645</v>
      </c>
      <c r="B508" s="2520"/>
      <c r="C508" s="2520"/>
      <c r="D508" s="2166"/>
      <c r="E508" s="2166"/>
      <c r="F508" s="2166"/>
      <c r="G508" s="2166"/>
      <c r="H508" s="2525"/>
      <c r="I508" s="2525"/>
      <c r="J508" s="2525"/>
      <c r="K508" s="2166"/>
      <c r="L508" s="2167"/>
      <c r="M508" s="2166"/>
    </row>
    <row r="509" spans="1:15">
      <c r="A509" s="2520" t="s">
        <v>2645</v>
      </c>
      <c r="B509" s="2520"/>
      <c r="C509" s="2520"/>
      <c r="D509" s="2166"/>
      <c r="E509" s="2166"/>
      <c r="F509" s="2166"/>
      <c r="G509" s="2166"/>
      <c r="H509" s="2526">
        <v>2084.2150000000001</v>
      </c>
      <c r="I509" s="2526"/>
      <c r="J509" s="2526"/>
      <c r="K509" s="2166"/>
      <c r="L509" s="2168">
        <v>210205.75</v>
      </c>
      <c r="M509" s="2166"/>
    </row>
    <row r="510" spans="1:15">
      <c r="A510" s="2520" t="s">
        <v>2679</v>
      </c>
      <c r="B510" s="2520"/>
      <c r="C510" s="2520"/>
      <c r="D510" s="2166"/>
      <c r="E510" s="2166"/>
      <c r="F510" s="2166"/>
      <c r="G510" s="2166"/>
      <c r="H510" s="2526">
        <v>-272434.47700000001</v>
      </c>
      <c r="I510" s="2526"/>
      <c r="J510" s="2526"/>
      <c r="K510" s="2166"/>
      <c r="L510" s="2168">
        <v>-27500000</v>
      </c>
      <c r="M510" s="2166"/>
    </row>
    <row r="511" spans="1:15">
      <c r="A511" s="2520" t="s">
        <v>2649</v>
      </c>
      <c r="B511" s="2520"/>
      <c r="C511" s="2520"/>
      <c r="D511" s="2166"/>
      <c r="E511" s="2166"/>
      <c r="F511" s="2166"/>
      <c r="G511" s="2166"/>
      <c r="H511" s="2526">
        <v>138855.641</v>
      </c>
      <c r="I511" s="2526"/>
      <c r="J511" s="2526"/>
      <c r="K511" s="2166"/>
      <c r="L511" s="2168">
        <v>14004440</v>
      </c>
      <c r="M511" s="2166"/>
    </row>
    <row r="512" spans="1:15">
      <c r="A512" s="2164"/>
      <c r="B512" s="2164"/>
      <c r="C512" s="2164"/>
      <c r="D512" s="2164"/>
      <c r="E512" s="2522" t="s">
        <v>2639</v>
      </c>
      <c r="F512" s="2522"/>
      <c r="G512" s="2164"/>
      <c r="H512" s="2528">
        <v>103124.9077</v>
      </c>
      <c r="I512" s="2528"/>
      <c r="J512" s="2528"/>
      <c r="K512" s="2163"/>
      <c r="L512" s="2528">
        <v>10417657.550000001</v>
      </c>
      <c r="M512" s="2163"/>
    </row>
    <row r="513" spans="1:15">
      <c r="A513" s="2164"/>
      <c r="B513" s="2164"/>
      <c r="C513" s="2164"/>
      <c r="D513" s="2164"/>
      <c r="E513" s="2164"/>
      <c r="F513" s="2164"/>
      <c r="G513" s="2164"/>
      <c r="H513" s="2528"/>
      <c r="I513" s="2528"/>
      <c r="J513" s="2528"/>
      <c r="K513" s="2163"/>
      <c r="L513" s="2528"/>
      <c r="M513" s="2163"/>
    </row>
    <row r="514" spans="1:15">
      <c r="A514" s="2160" t="s">
        <v>2680</v>
      </c>
      <c r="B514" s="2161"/>
      <c r="C514" s="2160" t="s">
        <v>2681</v>
      </c>
      <c r="D514" s="2161"/>
      <c r="E514" s="2160" t="s">
        <v>2640</v>
      </c>
      <c r="F514" s="2161"/>
    </row>
    <row r="515" spans="1:15">
      <c r="A515" s="2163"/>
      <c r="B515" s="2163"/>
      <c r="C515" s="2163"/>
      <c r="D515" s="2163"/>
      <c r="E515" s="2163"/>
      <c r="F515" s="2163"/>
      <c r="G515" s="2163"/>
      <c r="H515" s="2163"/>
      <c r="I515" s="2163"/>
      <c r="J515" s="2163"/>
      <c r="K515" s="2163"/>
      <c r="L515" s="2163"/>
      <c r="M515" s="2163"/>
    </row>
    <row r="516" spans="1:15">
      <c r="A516" s="2164"/>
      <c r="H516" s="2522" t="s">
        <v>2637</v>
      </c>
      <c r="I516" s="2522"/>
      <c r="J516" s="2163"/>
      <c r="K516" s="2523">
        <v>0</v>
      </c>
      <c r="L516" s="2523"/>
      <c r="M516" s="2163"/>
      <c r="N516" s="2527"/>
      <c r="O516" s="2163"/>
    </row>
    <row r="517" spans="1:15">
      <c r="H517" s="2163"/>
      <c r="I517" s="2163"/>
      <c r="J517" s="2163"/>
      <c r="K517" s="2523"/>
      <c r="L517" s="2523"/>
      <c r="N517" s="2527"/>
    </row>
    <row r="518" spans="1:15">
      <c r="A518" s="2165">
        <v>53833</v>
      </c>
      <c r="B518" s="2163"/>
      <c r="C518" s="2524" t="s">
        <v>2867</v>
      </c>
      <c r="D518" s="2524"/>
      <c r="E518" s="2524"/>
      <c r="F518" s="2524"/>
      <c r="G518" s="2524"/>
      <c r="H518" s="2524"/>
      <c r="I518" s="2524"/>
      <c r="J518" s="2163"/>
      <c r="K518" s="2163"/>
      <c r="L518" s="2163"/>
      <c r="M518" s="2163"/>
    </row>
    <row r="519" spans="1:15">
      <c r="A519" s="2163"/>
      <c r="B519" s="2163"/>
      <c r="C519" s="2163"/>
      <c r="D519" s="2163"/>
      <c r="E519" s="2163"/>
      <c r="F519" s="2163"/>
      <c r="G519" s="2163"/>
      <c r="H519" s="2163"/>
      <c r="I519" s="2163"/>
      <c r="J519" s="2163"/>
      <c r="K519" s="2163"/>
      <c r="L519" s="2163"/>
      <c r="M519" s="2163"/>
    </row>
    <row r="520" spans="1:15">
      <c r="A520" s="2529"/>
      <c r="B520" s="2529"/>
      <c r="C520" s="2529"/>
      <c r="D520" s="2166"/>
      <c r="E520" s="2166"/>
      <c r="F520" s="2166"/>
      <c r="G520" s="2166"/>
      <c r="H520" s="2525"/>
      <c r="I520" s="2525"/>
      <c r="J520" s="2525"/>
      <c r="K520" s="2166"/>
      <c r="L520" s="2167"/>
      <c r="M520" s="2166"/>
    </row>
    <row r="521" spans="1:15">
      <c r="A521" s="2164"/>
      <c r="B521" s="2164"/>
      <c r="C521" s="2164"/>
      <c r="D521" s="2164"/>
      <c r="E521" s="2522" t="s">
        <v>2639</v>
      </c>
      <c r="F521" s="2522"/>
      <c r="G521" s="2164"/>
      <c r="H521" s="2523">
        <v>0</v>
      </c>
      <c r="I521" s="2523"/>
      <c r="J521" s="2523"/>
      <c r="K521" s="2163"/>
      <c r="L521" s="2523">
        <v>0</v>
      </c>
      <c r="M521" s="2163"/>
    </row>
    <row r="522" spans="1:15">
      <c r="A522" s="2164"/>
      <c r="B522" s="2164"/>
      <c r="C522" s="2164"/>
      <c r="D522" s="2164"/>
      <c r="E522" s="2164"/>
      <c r="F522" s="2164"/>
      <c r="G522" s="2164"/>
      <c r="H522" s="2523"/>
      <c r="I522" s="2523"/>
      <c r="J522" s="2523"/>
      <c r="K522" s="2163"/>
      <c r="L522" s="2523"/>
      <c r="M522" s="2163"/>
    </row>
    <row r="523" spans="1:15">
      <c r="A523" s="2160" t="s">
        <v>2680</v>
      </c>
      <c r="B523" s="2161"/>
      <c r="C523" s="2160" t="s">
        <v>2681</v>
      </c>
      <c r="D523" s="2161"/>
      <c r="E523" s="2160" t="s">
        <v>2640</v>
      </c>
      <c r="F523" s="2161"/>
    </row>
    <row r="524" spans="1:15">
      <c r="A524" s="2163"/>
      <c r="B524" s="2163"/>
      <c r="C524" s="2163"/>
      <c r="D524" s="2163"/>
      <c r="E524" s="2163"/>
      <c r="F524" s="2163"/>
      <c r="G524" s="2163"/>
      <c r="H524" s="2163"/>
      <c r="I524" s="2163"/>
      <c r="J524" s="2163"/>
      <c r="K524" s="2163"/>
      <c r="L524" s="2163"/>
      <c r="M524" s="2163"/>
    </row>
    <row r="525" spans="1:15">
      <c r="A525" s="2164"/>
      <c r="H525" s="2522" t="s">
        <v>2637</v>
      </c>
      <c r="I525" s="2522"/>
      <c r="J525" s="2163"/>
      <c r="K525" s="2528">
        <v>3676453.9542999999</v>
      </c>
      <c r="L525" s="2528"/>
      <c r="M525" s="2163"/>
      <c r="N525" s="2527" t="s">
        <v>3070</v>
      </c>
      <c r="O525" s="2163"/>
    </row>
    <row r="526" spans="1:15">
      <c r="H526" s="2163"/>
      <c r="I526" s="2163"/>
      <c r="J526" s="2163"/>
      <c r="K526" s="2528"/>
      <c r="L526" s="2528"/>
      <c r="N526" s="2527"/>
    </row>
    <row r="527" spans="1:15">
      <c r="A527" s="2165">
        <v>54909</v>
      </c>
      <c r="B527" s="2163"/>
      <c r="C527" s="2524" t="s">
        <v>2858</v>
      </c>
      <c r="D527" s="2524"/>
      <c r="E527" s="2524"/>
      <c r="F527" s="2524"/>
      <c r="G527" s="2524"/>
      <c r="H527" s="2524"/>
      <c r="I527" s="2524"/>
      <c r="J527" s="2163"/>
      <c r="K527" s="2163"/>
      <c r="L527" s="2163"/>
      <c r="M527" s="2163"/>
    </row>
    <row r="528" spans="1:15">
      <c r="A528" s="2163"/>
      <c r="B528" s="2163"/>
      <c r="C528" s="2163"/>
      <c r="D528" s="2163"/>
      <c r="E528" s="2163"/>
      <c r="F528" s="2163"/>
      <c r="G528" s="2163"/>
      <c r="H528" s="2163"/>
      <c r="I528" s="2163"/>
      <c r="J528" s="2163"/>
      <c r="K528" s="2163"/>
      <c r="L528" s="2163"/>
      <c r="M528" s="2163"/>
    </row>
    <row r="529" spans="1:15">
      <c r="A529" s="2520" t="s">
        <v>2647</v>
      </c>
      <c r="B529" s="2520"/>
      <c r="C529" s="2520"/>
      <c r="D529" s="2166"/>
      <c r="E529" s="2166"/>
      <c r="F529" s="2166"/>
      <c r="G529" s="2166"/>
      <c r="H529" s="2526">
        <v>432949.96899999998</v>
      </c>
      <c r="I529" s="2526"/>
      <c r="J529" s="2526"/>
      <c r="K529" s="2166"/>
      <c r="L529" s="2168">
        <v>43702999.640000001</v>
      </c>
      <c r="M529" s="2166"/>
    </row>
    <row r="530" spans="1:15">
      <c r="A530" s="2520" t="s">
        <v>2648</v>
      </c>
      <c r="B530" s="2520"/>
      <c r="C530" s="2520"/>
      <c r="D530" s="2166"/>
      <c r="E530" s="2166"/>
      <c r="F530" s="2166"/>
      <c r="G530" s="2166"/>
      <c r="H530" s="2526">
        <v>-360271.09399999998</v>
      </c>
      <c r="I530" s="2526"/>
      <c r="J530" s="2526"/>
      <c r="K530" s="2166"/>
      <c r="L530" s="2168">
        <v>-36348013</v>
      </c>
      <c r="M530" s="2166"/>
    </row>
    <row r="531" spans="1:15">
      <c r="A531" s="2520" t="s">
        <v>2645</v>
      </c>
      <c r="B531" s="2520"/>
      <c r="C531" s="2520"/>
      <c r="D531" s="2166"/>
      <c r="E531" s="2166"/>
      <c r="F531" s="2166"/>
      <c r="G531" s="2166"/>
      <c r="H531" s="2525"/>
      <c r="I531" s="2525"/>
      <c r="J531" s="2525"/>
      <c r="K531" s="2166"/>
      <c r="L531" s="2167"/>
      <c r="M531" s="2166"/>
    </row>
    <row r="532" spans="1:15">
      <c r="A532" s="2520" t="s">
        <v>2645</v>
      </c>
      <c r="B532" s="2520"/>
      <c r="C532" s="2520"/>
      <c r="D532" s="2166"/>
      <c r="E532" s="2166"/>
      <c r="F532" s="2166"/>
      <c r="G532" s="2166"/>
      <c r="H532" s="2526">
        <v>55464.927000000003</v>
      </c>
      <c r="I532" s="2526"/>
      <c r="J532" s="2526"/>
      <c r="K532" s="2166"/>
      <c r="L532" s="2168">
        <v>5593976.2599999998</v>
      </c>
      <c r="M532" s="2166"/>
    </row>
    <row r="533" spans="1:15">
      <c r="A533" s="2520" t="s">
        <v>2649</v>
      </c>
      <c r="B533" s="2520"/>
      <c r="C533" s="2520"/>
      <c r="D533" s="2166"/>
      <c r="E533" s="2166"/>
      <c r="F533" s="2166"/>
      <c r="G533" s="2166"/>
      <c r="H533" s="2525">
        <v>370.37200000000001</v>
      </c>
      <c r="I533" s="2525"/>
      <c r="J533" s="2525"/>
      <c r="K533" s="2166"/>
      <c r="L533" s="2167"/>
      <c r="M533" s="2166"/>
    </row>
    <row r="534" spans="1:15">
      <c r="A534" s="2164"/>
      <c r="B534" s="2164"/>
      <c r="C534" s="2164"/>
      <c r="D534" s="2164"/>
      <c r="E534" s="2522" t="s">
        <v>2639</v>
      </c>
      <c r="F534" s="2522"/>
      <c r="G534" s="2164"/>
      <c r="H534" s="2528">
        <v>3804968.1290000002</v>
      </c>
      <c r="I534" s="2528"/>
      <c r="J534" s="2528"/>
      <c r="K534" s="2163"/>
      <c r="L534" s="2528">
        <v>384377119.39999998</v>
      </c>
      <c r="M534" s="2163"/>
    </row>
    <row r="535" spans="1:15">
      <c r="A535" s="2164"/>
      <c r="B535" s="2164"/>
      <c r="C535" s="2164"/>
      <c r="D535" s="2164"/>
      <c r="E535" s="2164"/>
      <c r="F535" s="2164"/>
      <c r="G535" s="2164"/>
      <c r="H535" s="2528"/>
      <c r="I535" s="2528"/>
      <c r="J535" s="2528"/>
      <c r="K535" s="2163"/>
      <c r="L535" s="2528"/>
      <c r="M535" s="2163"/>
    </row>
    <row r="536" spans="1:15">
      <c r="A536" s="2160" t="s">
        <v>2680</v>
      </c>
      <c r="B536" s="2161"/>
      <c r="C536" s="2160" t="s">
        <v>2681</v>
      </c>
      <c r="D536" s="2161"/>
      <c r="E536" s="2160" t="s">
        <v>2640</v>
      </c>
      <c r="F536" s="2161"/>
    </row>
    <row r="537" spans="1:15">
      <c r="A537" s="2163"/>
      <c r="B537" s="2163"/>
      <c r="C537" s="2163"/>
      <c r="D537" s="2163"/>
      <c r="E537" s="2163"/>
      <c r="F537" s="2163"/>
      <c r="G537" s="2163"/>
      <c r="H537" s="2163"/>
      <c r="I537" s="2163"/>
      <c r="J537" s="2163"/>
      <c r="K537" s="2163"/>
      <c r="L537" s="2163"/>
      <c r="M537" s="2163"/>
    </row>
    <row r="538" spans="1:15">
      <c r="A538" s="2164"/>
      <c r="H538" s="2522" t="s">
        <v>2637</v>
      </c>
      <c r="I538" s="2522"/>
      <c r="J538" s="2163"/>
      <c r="K538" s="2528">
        <v>133742.26199999999</v>
      </c>
      <c r="L538" s="2528"/>
      <c r="M538" s="2163"/>
      <c r="N538" s="2527" t="s">
        <v>3071</v>
      </c>
      <c r="O538" s="2163"/>
    </row>
    <row r="539" spans="1:15">
      <c r="H539" s="2163"/>
      <c r="I539" s="2163"/>
      <c r="J539" s="2163"/>
      <c r="K539" s="2528"/>
      <c r="L539" s="2528"/>
      <c r="N539" s="2527"/>
    </row>
    <row r="540" spans="1:15">
      <c r="A540" s="2165">
        <v>54982</v>
      </c>
      <c r="B540" s="2163"/>
      <c r="C540" s="2524" t="s">
        <v>2859</v>
      </c>
      <c r="D540" s="2524"/>
      <c r="E540" s="2524"/>
      <c r="F540" s="2524"/>
      <c r="G540" s="2524"/>
      <c r="H540" s="2524"/>
      <c r="I540" s="2524"/>
      <c r="J540" s="2163"/>
      <c r="K540" s="2163"/>
      <c r="L540" s="2163"/>
      <c r="M540" s="2163"/>
    </row>
    <row r="541" spans="1:15">
      <c r="A541" s="2163"/>
      <c r="B541" s="2163"/>
      <c r="C541" s="2163"/>
      <c r="D541" s="2163"/>
      <c r="E541" s="2163"/>
      <c r="F541" s="2163"/>
      <c r="G541" s="2163"/>
      <c r="H541" s="2163"/>
      <c r="I541" s="2163"/>
      <c r="J541" s="2163"/>
      <c r="K541" s="2163"/>
      <c r="L541" s="2163"/>
      <c r="M541" s="2163"/>
    </row>
    <row r="542" spans="1:15">
      <c r="A542" s="2520" t="s">
        <v>2647</v>
      </c>
      <c r="B542" s="2520"/>
      <c r="C542" s="2520"/>
      <c r="D542" s="2166"/>
      <c r="E542" s="2166"/>
      <c r="F542" s="2166"/>
      <c r="G542" s="2166"/>
      <c r="H542" s="2526">
        <v>59013.207999999999</v>
      </c>
      <c r="I542" s="2526"/>
      <c r="J542" s="2526"/>
      <c r="K542" s="2166"/>
      <c r="L542" s="2168">
        <v>5951867.7999999998</v>
      </c>
      <c r="M542" s="2166"/>
    </row>
    <row r="543" spans="1:15">
      <c r="A543" s="2520" t="s">
        <v>2648</v>
      </c>
      <c r="B543" s="2520"/>
      <c r="C543" s="2520"/>
      <c r="D543" s="2166"/>
      <c r="E543" s="2166"/>
      <c r="F543" s="2166"/>
      <c r="G543" s="2166"/>
      <c r="H543" s="2526">
        <v>-121071.19</v>
      </c>
      <c r="I543" s="2526"/>
      <c r="J543" s="2526"/>
      <c r="K543" s="2166"/>
      <c r="L543" s="2168">
        <v>-12214945</v>
      </c>
      <c r="M543" s="2166"/>
    </row>
    <row r="544" spans="1:15">
      <c r="A544" s="2520" t="s">
        <v>2645</v>
      </c>
      <c r="B544" s="2520"/>
      <c r="C544" s="2520"/>
      <c r="D544" s="2166"/>
      <c r="E544" s="2166"/>
      <c r="F544" s="2166"/>
      <c r="G544" s="2166"/>
      <c r="H544" s="2525"/>
      <c r="I544" s="2525"/>
      <c r="J544" s="2525"/>
      <c r="K544" s="2166"/>
      <c r="L544" s="2167"/>
      <c r="M544" s="2166"/>
    </row>
    <row r="545" spans="1:15">
      <c r="A545" s="2520" t="s">
        <v>2645</v>
      </c>
      <c r="B545" s="2520"/>
      <c r="C545" s="2520"/>
      <c r="D545" s="2166"/>
      <c r="E545" s="2166"/>
      <c r="F545" s="2166"/>
      <c r="G545" s="2166"/>
      <c r="H545" s="2526">
        <v>1687.8879999999999</v>
      </c>
      <c r="I545" s="2526"/>
      <c r="J545" s="2526"/>
      <c r="K545" s="2166"/>
      <c r="L545" s="2168">
        <v>170233.82</v>
      </c>
      <c r="M545" s="2166"/>
    </row>
    <row r="546" spans="1:15">
      <c r="A546" s="2520" t="s">
        <v>2679</v>
      </c>
      <c r="B546" s="2520"/>
      <c r="C546" s="2520"/>
      <c r="D546" s="2166"/>
      <c r="E546" s="2166"/>
      <c r="F546" s="2166"/>
      <c r="G546" s="2166"/>
      <c r="H546" s="2526">
        <v>-5128.8159999999998</v>
      </c>
      <c r="I546" s="2526"/>
      <c r="J546" s="2526"/>
      <c r="K546" s="2166"/>
      <c r="L546" s="2168">
        <v>-518000</v>
      </c>
      <c r="M546" s="2166"/>
    </row>
    <row r="547" spans="1:15">
      <c r="A547" s="2520" t="s">
        <v>2649</v>
      </c>
      <c r="B547" s="2520"/>
      <c r="C547" s="2520"/>
      <c r="D547" s="2166"/>
      <c r="E547" s="2166"/>
      <c r="F547" s="2166"/>
      <c r="G547" s="2166"/>
      <c r="H547" s="2525">
        <v>725.77599999999995</v>
      </c>
      <c r="I547" s="2525"/>
      <c r="J547" s="2525"/>
      <c r="K547" s="2166"/>
      <c r="L547" s="2168">
        <v>73224.36</v>
      </c>
      <c r="M547" s="2166"/>
    </row>
    <row r="548" spans="1:15">
      <c r="A548" s="2164"/>
      <c r="B548" s="2164"/>
      <c r="C548" s="2164"/>
      <c r="D548" s="2164"/>
      <c r="E548" s="2522" t="s">
        <v>2639</v>
      </c>
      <c r="F548" s="2522"/>
      <c r="G548" s="2164"/>
      <c r="H548" s="2528">
        <v>68969.126799999998</v>
      </c>
      <c r="I548" s="2528"/>
      <c r="J548" s="2528"/>
      <c r="K548" s="2163"/>
      <c r="L548" s="2528">
        <v>6967247.4000000004</v>
      </c>
      <c r="M548" s="2163"/>
    </row>
    <row r="549" spans="1:15">
      <c r="A549" s="2164"/>
      <c r="B549" s="2164"/>
      <c r="C549" s="2164"/>
      <c r="D549" s="2164"/>
      <c r="E549" s="2164"/>
      <c r="F549" s="2164"/>
      <c r="G549" s="2164"/>
      <c r="H549" s="2528"/>
      <c r="I549" s="2528"/>
      <c r="J549" s="2528"/>
      <c r="K549" s="2163"/>
      <c r="L549" s="2528"/>
      <c r="M549" s="2163"/>
    </row>
    <row r="550" spans="1:15">
      <c r="A550" s="2160" t="s">
        <v>2680</v>
      </c>
      <c r="B550" s="2161"/>
      <c r="C550" s="2160" t="s">
        <v>2681</v>
      </c>
      <c r="D550" s="2161"/>
      <c r="E550" s="2160" t="s">
        <v>2640</v>
      </c>
      <c r="F550" s="2161"/>
    </row>
    <row r="551" spans="1:15">
      <c r="A551" s="2163"/>
      <c r="B551" s="2163"/>
      <c r="C551" s="2163"/>
      <c r="D551" s="2163"/>
      <c r="E551" s="2163"/>
      <c r="F551" s="2163"/>
      <c r="G551" s="2163"/>
      <c r="H551" s="2163"/>
      <c r="I551" s="2163"/>
      <c r="J551" s="2163"/>
      <c r="K551" s="2163"/>
      <c r="L551" s="2163"/>
      <c r="M551" s="2163"/>
    </row>
    <row r="552" spans="1:15">
      <c r="A552" s="2164"/>
      <c r="H552" s="2522" t="s">
        <v>2637</v>
      </c>
      <c r="I552" s="2522"/>
      <c r="J552" s="2163"/>
      <c r="K552" s="2528">
        <v>171926.58739999999</v>
      </c>
      <c r="L552" s="2528"/>
      <c r="M552" s="2163"/>
      <c r="N552" s="2527" t="s">
        <v>3072</v>
      </c>
      <c r="O552" s="2163"/>
    </row>
    <row r="553" spans="1:15">
      <c r="H553" s="2163"/>
      <c r="I553" s="2163"/>
      <c r="J553" s="2163"/>
      <c r="K553" s="2528"/>
      <c r="L553" s="2528"/>
      <c r="N553" s="2527"/>
    </row>
    <row r="554" spans="1:15">
      <c r="A554" s="2165">
        <v>55049</v>
      </c>
      <c r="B554" s="2163"/>
      <c r="C554" s="2524" t="s">
        <v>2860</v>
      </c>
      <c r="D554" s="2524"/>
      <c r="E554" s="2524"/>
      <c r="F554" s="2524"/>
      <c r="G554" s="2524"/>
      <c r="H554" s="2524"/>
      <c r="I554" s="2524"/>
      <c r="J554" s="2163"/>
      <c r="K554" s="2163"/>
      <c r="L554" s="2163"/>
      <c r="M554" s="2163"/>
    </row>
    <row r="555" spans="1:15">
      <c r="A555" s="2163"/>
      <c r="B555" s="2163"/>
      <c r="C555" s="2163"/>
      <c r="D555" s="2163"/>
      <c r="E555" s="2163"/>
      <c r="F555" s="2163"/>
      <c r="G555" s="2163"/>
      <c r="H555" s="2163"/>
      <c r="I555" s="2163"/>
      <c r="J555" s="2163"/>
      <c r="K555" s="2163"/>
      <c r="L555" s="2163"/>
      <c r="M555" s="2163"/>
    </row>
    <row r="556" spans="1:15">
      <c r="A556" s="2520" t="s">
        <v>2647</v>
      </c>
      <c r="B556" s="2520"/>
      <c r="C556" s="2520"/>
      <c r="D556" s="2166"/>
      <c r="E556" s="2166"/>
      <c r="F556" s="2166"/>
      <c r="G556" s="2166"/>
      <c r="H556" s="2526">
        <v>39703.385000000002</v>
      </c>
      <c r="I556" s="2526"/>
      <c r="J556" s="2526"/>
      <c r="K556" s="2166"/>
      <c r="L556" s="2168">
        <v>4005334.01</v>
      </c>
      <c r="M556" s="2166"/>
    </row>
    <row r="557" spans="1:15">
      <c r="A557" s="2520" t="s">
        <v>2648</v>
      </c>
      <c r="B557" s="2520"/>
      <c r="C557" s="2520"/>
      <c r="D557" s="2166"/>
      <c r="E557" s="2166"/>
      <c r="F557" s="2166"/>
      <c r="G557" s="2166"/>
      <c r="H557" s="2526">
        <v>-56468.533000000003</v>
      </c>
      <c r="I557" s="2526"/>
      <c r="J557" s="2526"/>
      <c r="K557" s="2166"/>
      <c r="L557" s="2168">
        <v>-5697151</v>
      </c>
      <c r="M557" s="2166"/>
    </row>
    <row r="558" spans="1:15">
      <c r="A558" s="2520" t="s">
        <v>2645</v>
      </c>
      <c r="B558" s="2520"/>
      <c r="C558" s="2520"/>
      <c r="D558" s="2166"/>
      <c r="E558" s="2166"/>
      <c r="F558" s="2166"/>
      <c r="G558" s="2166"/>
      <c r="H558" s="2525"/>
      <c r="I558" s="2525"/>
      <c r="J558" s="2525"/>
      <c r="K558" s="2166"/>
      <c r="L558" s="2167"/>
      <c r="M558" s="2166"/>
    </row>
    <row r="559" spans="1:15">
      <c r="A559" s="2520" t="s">
        <v>2645</v>
      </c>
      <c r="B559" s="2520"/>
      <c r="C559" s="2520"/>
      <c r="D559" s="2166"/>
      <c r="E559" s="2166"/>
      <c r="F559" s="2166"/>
      <c r="G559" s="2166"/>
      <c r="H559" s="2526">
        <v>2680.9209999999998</v>
      </c>
      <c r="I559" s="2526"/>
      <c r="J559" s="2526"/>
      <c r="K559" s="2166"/>
      <c r="L559" s="2168">
        <v>270387.23</v>
      </c>
      <c r="M559" s="2166"/>
    </row>
    <row r="560" spans="1:15">
      <c r="A560" s="2520" t="s">
        <v>2649</v>
      </c>
      <c r="B560" s="2520"/>
      <c r="C560" s="2520"/>
      <c r="D560" s="2166"/>
      <c r="E560" s="2166"/>
      <c r="F560" s="2166"/>
      <c r="G560" s="2166"/>
      <c r="H560" s="2525">
        <v>9.9689999999999994</v>
      </c>
      <c r="I560" s="2525"/>
      <c r="J560" s="2525"/>
      <c r="K560" s="2166"/>
      <c r="L560" s="2167"/>
      <c r="M560" s="2166"/>
    </row>
    <row r="561" spans="1:15">
      <c r="A561" s="2164"/>
      <c r="B561" s="2164"/>
      <c r="C561" s="2164"/>
      <c r="D561" s="2164"/>
      <c r="E561" s="2522" t="s">
        <v>2639</v>
      </c>
      <c r="F561" s="2522"/>
      <c r="G561" s="2164"/>
      <c r="H561" s="2528">
        <v>157852.3297</v>
      </c>
      <c r="I561" s="2528"/>
      <c r="J561" s="2528"/>
      <c r="K561" s="2163"/>
      <c r="L561" s="2528">
        <v>15946210.77</v>
      </c>
      <c r="M561" s="2163"/>
    </row>
    <row r="562" spans="1:15">
      <c r="A562" s="2164"/>
      <c r="B562" s="2164"/>
      <c r="C562" s="2164"/>
      <c r="D562" s="2164"/>
      <c r="E562" s="2164"/>
      <c r="F562" s="2164"/>
      <c r="G562" s="2164"/>
      <c r="H562" s="2528"/>
      <c r="I562" s="2528"/>
      <c r="J562" s="2528"/>
      <c r="K562" s="2163"/>
      <c r="L562" s="2528"/>
      <c r="M562" s="2163"/>
    </row>
    <row r="563" spans="1:15">
      <c r="A563" s="2160" t="s">
        <v>2680</v>
      </c>
      <c r="B563" s="2161"/>
      <c r="C563" s="2160" t="s">
        <v>2681</v>
      </c>
      <c r="D563" s="2161"/>
      <c r="E563" s="2160" t="s">
        <v>2640</v>
      </c>
      <c r="F563" s="2161"/>
    </row>
    <row r="564" spans="1:15">
      <c r="A564" s="2163"/>
      <c r="B564" s="2163"/>
      <c r="C564" s="2163"/>
      <c r="D564" s="2163"/>
      <c r="E564" s="2163"/>
      <c r="F564" s="2163"/>
      <c r="G564" s="2163"/>
      <c r="H564" s="2163"/>
      <c r="I564" s="2163"/>
      <c r="J564" s="2163"/>
      <c r="K564" s="2163"/>
      <c r="L564" s="2163"/>
      <c r="M564" s="2163"/>
    </row>
    <row r="565" spans="1:15">
      <c r="A565" s="2164"/>
      <c r="H565" s="2522" t="s">
        <v>2637</v>
      </c>
      <c r="I565" s="2522"/>
      <c r="J565" s="2163"/>
      <c r="K565" s="2523">
        <v>1E-4</v>
      </c>
      <c r="L565" s="2523"/>
      <c r="M565" s="2163"/>
      <c r="N565" s="2527"/>
      <c r="O565" s="2163"/>
    </row>
    <row r="566" spans="1:15">
      <c r="H566" s="2163"/>
      <c r="I566" s="2163"/>
      <c r="J566" s="2163"/>
      <c r="K566" s="2523"/>
      <c r="L566" s="2523"/>
      <c r="N566" s="2527"/>
    </row>
    <row r="567" spans="1:15">
      <c r="A567" s="2165">
        <v>55205</v>
      </c>
      <c r="B567" s="2163"/>
      <c r="C567" s="2524" t="s">
        <v>2861</v>
      </c>
      <c r="D567" s="2524"/>
      <c r="E567" s="2524"/>
      <c r="F567" s="2524"/>
      <c r="G567" s="2524"/>
      <c r="H567" s="2524"/>
      <c r="I567" s="2524"/>
      <c r="J567" s="2163"/>
      <c r="K567" s="2163"/>
      <c r="L567" s="2163"/>
      <c r="M567" s="2163"/>
    </row>
    <row r="568" spans="1:15">
      <c r="A568" s="2163"/>
      <c r="B568" s="2163"/>
      <c r="C568" s="2163"/>
      <c r="D568" s="2163"/>
      <c r="E568" s="2163"/>
      <c r="F568" s="2163"/>
      <c r="G568" s="2163"/>
      <c r="H568" s="2163"/>
      <c r="I568" s="2163"/>
      <c r="J568" s="2163"/>
      <c r="K568" s="2163"/>
      <c r="L568" s="2163"/>
      <c r="M568" s="2163"/>
    </row>
    <row r="569" spans="1:15">
      <c r="A569" s="2520" t="s">
        <v>2645</v>
      </c>
      <c r="B569" s="2520"/>
      <c r="C569" s="2520"/>
      <c r="D569" s="2166"/>
      <c r="E569" s="2166"/>
      <c r="F569" s="2166"/>
      <c r="G569" s="2166"/>
      <c r="H569" s="2525"/>
      <c r="I569" s="2525"/>
      <c r="J569" s="2525"/>
      <c r="K569" s="2166"/>
      <c r="L569" s="2167"/>
      <c r="M569" s="2166"/>
    </row>
    <row r="570" spans="1:15">
      <c r="A570" s="2520" t="s">
        <v>2645</v>
      </c>
      <c r="B570" s="2520"/>
      <c r="C570" s="2520"/>
      <c r="D570" s="2166"/>
      <c r="E570" s="2166"/>
      <c r="F570" s="2166"/>
      <c r="G570" s="2166"/>
      <c r="H570" s="2525">
        <v>14.898</v>
      </c>
      <c r="I570" s="2525"/>
      <c r="J570" s="2525"/>
      <c r="K570" s="2166"/>
      <c r="L570" s="2168">
        <v>1502.55</v>
      </c>
      <c r="M570" s="2166"/>
    </row>
    <row r="571" spans="1:15">
      <c r="A571" s="2520" t="s">
        <v>2679</v>
      </c>
      <c r="B571" s="2520"/>
      <c r="C571" s="2520"/>
      <c r="D571" s="2166"/>
      <c r="E571" s="2166"/>
      <c r="F571" s="2166"/>
      <c r="G571" s="2166"/>
      <c r="H571" s="2526">
        <v>-23811.178</v>
      </c>
      <c r="I571" s="2526"/>
      <c r="J571" s="2526"/>
      <c r="K571" s="2166"/>
      <c r="L571" s="2168">
        <v>-2402338.33</v>
      </c>
      <c r="M571" s="2166"/>
    </row>
    <row r="572" spans="1:15">
      <c r="A572" s="2520" t="s">
        <v>2649</v>
      </c>
      <c r="B572" s="2520"/>
      <c r="C572" s="2520"/>
      <c r="D572" s="2166"/>
      <c r="E572" s="2166"/>
      <c r="F572" s="2166"/>
      <c r="G572" s="2166"/>
      <c r="H572" s="2526">
        <v>23796.28</v>
      </c>
      <c r="I572" s="2526"/>
      <c r="J572" s="2526"/>
      <c r="K572" s="2166"/>
      <c r="L572" s="2168">
        <v>2400000.0099999998</v>
      </c>
      <c r="M572" s="2166"/>
    </row>
    <row r="573" spans="1:15">
      <c r="A573" s="2164"/>
      <c r="B573" s="2164"/>
      <c r="C573" s="2164"/>
      <c r="D573" s="2164"/>
      <c r="E573" s="2522" t="s">
        <v>2639</v>
      </c>
      <c r="F573" s="2522"/>
      <c r="G573" s="2164"/>
      <c r="H573" s="2523">
        <v>1E-4</v>
      </c>
      <c r="I573" s="2523"/>
      <c r="J573" s="2523"/>
      <c r="K573" s="2163"/>
      <c r="L573" s="2523">
        <v>0.01</v>
      </c>
      <c r="M573" s="2163"/>
    </row>
    <row r="574" spans="1:15">
      <c r="A574" s="2164"/>
      <c r="B574" s="2164"/>
      <c r="C574" s="2164"/>
      <c r="D574" s="2164"/>
      <c r="E574" s="2164"/>
      <c r="F574" s="2164"/>
      <c r="G574" s="2164"/>
      <c r="H574" s="2523"/>
      <c r="I574" s="2523"/>
      <c r="J574" s="2523"/>
      <c r="K574" s="2163"/>
      <c r="L574" s="2523"/>
      <c r="M574" s="2163"/>
    </row>
    <row r="575" spans="1:15">
      <c r="A575" s="2160" t="s">
        <v>2680</v>
      </c>
      <c r="B575" s="2161"/>
      <c r="C575" s="2160" t="s">
        <v>2681</v>
      </c>
      <c r="D575" s="2161"/>
      <c r="E575" s="2160" t="s">
        <v>2640</v>
      </c>
      <c r="F575" s="2161"/>
    </row>
    <row r="576" spans="1:15">
      <c r="A576" s="2163"/>
      <c r="B576" s="2163"/>
      <c r="C576" s="2163"/>
      <c r="D576" s="2163"/>
      <c r="E576" s="2163"/>
      <c r="F576" s="2163"/>
      <c r="G576" s="2163"/>
      <c r="H576" s="2163"/>
      <c r="I576" s="2163"/>
      <c r="J576" s="2163"/>
      <c r="K576" s="2163"/>
      <c r="L576" s="2163"/>
      <c r="M576" s="2163"/>
    </row>
    <row r="577" spans="1:15">
      <c r="A577" s="2164"/>
      <c r="H577" s="2522" t="s">
        <v>2637</v>
      </c>
      <c r="I577" s="2522"/>
      <c r="J577" s="2163"/>
      <c r="K577" s="2528">
        <v>254249.84109999999</v>
      </c>
      <c r="L577" s="2528"/>
      <c r="M577" s="2163"/>
      <c r="N577" s="2527" t="s">
        <v>3073</v>
      </c>
      <c r="O577" s="2163"/>
    </row>
    <row r="578" spans="1:15">
      <c r="H578" s="2163"/>
      <c r="I578" s="2163"/>
      <c r="J578" s="2163"/>
      <c r="K578" s="2528"/>
      <c r="L578" s="2528"/>
      <c r="N578" s="2527"/>
    </row>
    <row r="579" spans="1:15">
      <c r="A579" s="2165">
        <v>62002</v>
      </c>
      <c r="B579" s="2163"/>
      <c r="C579" s="2524" t="s">
        <v>2862</v>
      </c>
      <c r="D579" s="2524"/>
      <c r="E579" s="2524"/>
      <c r="F579" s="2524"/>
      <c r="G579" s="2524"/>
      <c r="H579" s="2524"/>
      <c r="I579" s="2524"/>
      <c r="J579" s="2163"/>
      <c r="K579" s="2163"/>
      <c r="L579" s="2163"/>
      <c r="M579" s="2163"/>
    </row>
    <row r="580" spans="1:15">
      <c r="A580" s="2163"/>
      <c r="B580" s="2163"/>
      <c r="C580" s="2163"/>
      <c r="D580" s="2163"/>
      <c r="E580" s="2163"/>
      <c r="F580" s="2163"/>
      <c r="G580" s="2163"/>
      <c r="H580" s="2163"/>
      <c r="I580" s="2163"/>
      <c r="J580" s="2163"/>
      <c r="K580" s="2163"/>
      <c r="L580" s="2163"/>
      <c r="M580" s="2163"/>
    </row>
    <row r="581" spans="1:15">
      <c r="A581" s="2520" t="s">
        <v>2647</v>
      </c>
      <c r="B581" s="2520"/>
      <c r="C581" s="2520"/>
      <c r="D581" s="2166"/>
      <c r="E581" s="2166"/>
      <c r="F581" s="2166"/>
      <c r="G581" s="2166"/>
      <c r="H581" s="2526">
        <v>1401753.416</v>
      </c>
      <c r="I581" s="2526"/>
      <c r="J581" s="2526"/>
      <c r="K581" s="2166"/>
      <c r="L581" s="2168">
        <v>141478932.11000001</v>
      </c>
      <c r="M581" s="2166"/>
    </row>
    <row r="582" spans="1:15">
      <c r="A582" s="2520" t="s">
        <v>2648</v>
      </c>
      <c r="B582" s="2520"/>
      <c r="C582" s="2520"/>
      <c r="D582" s="2166"/>
      <c r="E582" s="2166"/>
      <c r="F582" s="2166"/>
      <c r="G582" s="2166"/>
      <c r="H582" s="2526">
        <v>-1605348.13</v>
      </c>
      <c r="I582" s="2526"/>
      <c r="J582" s="2526"/>
      <c r="K582" s="2166"/>
      <c r="L582" s="2168">
        <v>-162162445.53</v>
      </c>
      <c r="M582" s="2166"/>
    </row>
    <row r="583" spans="1:15">
      <c r="A583" s="2520" t="s">
        <v>2645</v>
      </c>
      <c r="B583" s="2520"/>
      <c r="C583" s="2520"/>
      <c r="D583" s="2166"/>
      <c r="E583" s="2166"/>
      <c r="F583" s="2166"/>
      <c r="G583" s="2166"/>
      <c r="H583" s="2525"/>
      <c r="I583" s="2525"/>
      <c r="J583" s="2525"/>
      <c r="K583" s="2166"/>
      <c r="L583" s="2167"/>
      <c r="M583" s="2166"/>
    </row>
    <row r="584" spans="1:15">
      <c r="A584" s="2520" t="s">
        <v>2645</v>
      </c>
      <c r="B584" s="2520"/>
      <c r="C584" s="2520"/>
      <c r="D584" s="2166"/>
      <c r="E584" s="2166"/>
      <c r="F584" s="2166"/>
      <c r="G584" s="2166"/>
      <c r="H584" s="2525">
        <v>35.786000000000001</v>
      </c>
      <c r="I584" s="2525"/>
      <c r="J584" s="2525"/>
      <c r="K584" s="2166"/>
      <c r="L584" s="2168">
        <v>3609.19</v>
      </c>
      <c r="M584" s="2166"/>
    </row>
    <row r="585" spans="1:15">
      <c r="A585" s="2520" t="s">
        <v>2649</v>
      </c>
      <c r="B585" s="2520"/>
      <c r="C585" s="2520"/>
      <c r="D585" s="2166"/>
      <c r="E585" s="2166"/>
      <c r="F585" s="2166"/>
      <c r="G585" s="2166"/>
      <c r="H585" s="2526">
        <v>2732.328</v>
      </c>
      <c r="I585" s="2526"/>
      <c r="J585" s="2526"/>
      <c r="K585" s="2166"/>
      <c r="L585" s="2168">
        <v>190249</v>
      </c>
      <c r="M585" s="2166"/>
    </row>
    <row r="586" spans="1:15">
      <c r="A586" s="2164"/>
      <c r="B586" s="2164"/>
      <c r="C586" s="2164"/>
      <c r="D586" s="2164"/>
      <c r="E586" s="2522" t="s">
        <v>2639</v>
      </c>
      <c r="F586" s="2522"/>
      <c r="G586" s="2164"/>
      <c r="H586" s="2528">
        <v>53423.240299999998</v>
      </c>
      <c r="I586" s="2528"/>
      <c r="J586" s="2528"/>
      <c r="K586" s="2163"/>
      <c r="L586" s="2528">
        <v>5396805.0499999998</v>
      </c>
      <c r="M586" s="2163"/>
    </row>
    <row r="587" spans="1:15">
      <c r="A587" s="2164"/>
      <c r="B587" s="2164"/>
      <c r="C587" s="2164"/>
      <c r="D587" s="2164"/>
      <c r="E587" s="2164"/>
      <c r="F587" s="2164"/>
      <c r="G587" s="2164"/>
      <c r="H587" s="2528"/>
      <c r="I587" s="2528"/>
      <c r="J587" s="2528"/>
      <c r="K587" s="2163"/>
      <c r="L587" s="2528"/>
      <c r="M587" s="2163"/>
    </row>
    <row r="588" spans="1:15">
      <c r="A588" s="2160" t="s">
        <v>2680</v>
      </c>
      <c r="B588" s="2161"/>
      <c r="C588" s="2160" t="s">
        <v>2681</v>
      </c>
      <c r="D588" s="2161"/>
      <c r="E588" s="2160" t="s">
        <v>2640</v>
      </c>
      <c r="F588" s="2161"/>
    </row>
    <row r="589" spans="1:15">
      <c r="A589" s="2163"/>
      <c r="B589" s="2163"/>
      <c r="C589" s="2163"/>
      <c r="D589" s="2163"/>
      <c r="E589" s="2163"/>
      <c r="F589" s="2163"/>
      <c r="G589" s="2163"/>
      <c r="H589" s="2163"/>
      <c r="I589" s="2163"/>
      <c r="J589" s="2163"/>
      <c r="K589" s="2163"/>
      <c r="L589" s="2163"/>
      <c r="M589" s="2163"/>
    </row>
    <row r="590" spans="1:15">
      <c r="A590" s="2164"/>
      <c r="H590" s="2522" t="s">
        <v>2637</v>
      </c>
      <c r="I590" s="2522"/>
      <c r="J590" s="2163"/>
      <c r="K590" s="2528">
        <v>40754.667600000001</v>
      </c>
      <c r="L590" s="2528"/>
      <c r="M590" s="2163"/>
      <c r="N590" s="2527" t="s">
        <v>3074</v>
      </c>
      <c r="O590" s="2163"/>
    </row>
    <row r="591" spans="1:15">
      <c r="H591" s="2163"/>
      <c r="I591" s="2163"/>
      <c r="J591" s="2163"/>
      <c r="K591" s="2528"/>
      <c r="L591" s="2528"/>
      <c r="N591" s="2527"/>
    </row>
    <row r="592" spans="1:15">
      <c r="A592" s="2165">
        <v>63906</v>
      </c>
      <c r="B592" s="2163"/>
      <c r="C592" s="2524" t="s">
        <v>2863</v>
      </c>
      <c r="D592" s="2524"/>
      <c r="E592" s="2524"/>
      <c r="F592" s="2524"/>
      <c r="G592" s="2524"/>
      <c r="H592" s="2524"/>
      <c r="I592" s="2524"/>
      <c r="J592" s="2163"/>
      <c r="K592" s="2163"/>
      <c r="L592" s="2163"/>
      <c r="M592" s="2163"/>
    </row>
    <row r="593" spans="1:15">
      <c r="A593" s="2163"/>
      <c r="B593" s="2163"/>
      <c r="C593" s="2163"/>
      <c r="D593" s="2163"/>
      <c r="E593" s="2163"/>
      <c r="F593" s="2163"/>
      <c r="G593" s="2163"/>
      <c r="H593" s="2163"/>
      <c r="I593" s="2163"/>
      <c r="J593" s="2163"/>
      <c r="K593" s="2163"/>
      <c r="L593" s="2163"/>
      <c r="M593" s="2163"/>
    </row>
    <row r="594" spans="1:15">
      <c r="A594" s="2520" t="s">
        <v>2648</v>
      </c>
      <c r="B594" s="2520"/>
      <c r="C594" s="2520"/>
      <c r="D594" s="2166"/>
      <c r="E594" s="2166"/>
      <c r="F594" s="2166"/>
      <c r="G594" s="2166"/>
      <c r="H594" s="2526">
        <v>-32854.165999999997</v>
      </c>
      <c r="I594" s="2526"/>
      <c r="J594" s="2526"/>
      <c r="K594" s="2166"/>
      <c r="L594" s="2168">
        <v>-3316327.62</v>
      </c>
      <c r="M594" s="2166"/>
    </row>
    <row r="595" spans="1:15">
      <c r="A595" s="2520" t="s">
        <v>2645</v>
      </c>
      <c r="B595" s="2520"/>
      <c r="C595" s="2520"/>
      <c r="D595" s="2166"/>
      <c r="E595" s="2166"/>
      <c r="F595" s="2166"/>
      <c r="G595" s="2166"/>
      <c r="H595" s="2525"/>
      <c r="I595" s="2525"/>
      <c r="J595" s="2525"/>
      <c r="K595" s="2166"/>
      <c r="L595" s="2167"/>
      <c r="M595" s="2166"/>
    </row>
    <row r="596" spans="1:15">
      <c r="A596" s="2520" t="s">
        <v>2645</v>
      </c>
      <c r="B596" s="2520"/>
      <c r="C596" s="2520"/>
      <c r="D596" s="2166"/>
      <c r="E596" s="2166"/>
      <c r="F596" s="2166"/>
      <c r="G596" s="2166"/>
      <c r="H596" s="2525">
        <v>409.14699999999999</v>
      </c>
      <c r="I596" s="2525"/>
      <c r="J596" s="2525"/>
      <c r="K596" s="2166"/>
      <c r="L596" s="2168">
        <v>41264.93</v>
      </c>
      <c r="M596" s="2166"/>
    </row>
    <row r="597" spans="1:15">
      <c r="A597" s="2520" t="s">
        <v>2679</v>
      </c>
      <c r="B597" s="2520"/>
      <c r="C597" s="2520"/>
      <c r="D597" s="2166"/>
      <c r="E597" s="2166"/>
      <c r="F597" s="2166"/>
      <c r="G597" s="2166"/>
      <c r="H597" s="2526">
        <v>-3470.2910000000002</v>
      </c>
      <c r="I597" s="2526"/>
      <c r="J597" s="2526"/>
      <c r="K597" s="2166"/>
      <c r="L597" s="2168">
        <v>-350000</v>
      </c>
      <c r="M597" s="2166"/>
    </row>
    <row r="598" spans="1:15">
      <c r="A598" s="2520" t="s">
        <v>2649</v>
      </c>
      <c r="B598" s="2520"/>
      <c r="C598" s="2520"/>
      <c r="D598" s="2166"/>
      <c r="E598" s="2166"/>
      <c r="F598" s="2166"/>
      <c r="G598" s="2166"/>
      <c r="H598" s="2525">
        <v>17.712</v>
      </c>
      <c r="I598" s="2525"/>
      <c r="J598" s="2525"/>
      <c r="K598" s="2166"/>
      <c r="L598" s="2168">
        <v>1787</v>
      </c>
      <c r="M598" s="2166"/>
    </row>
    <row r="599" spans="1:15">
      <c r="A599" s="2164"/>
      <c r="B599" s="2164"/>
      <c r="C599" s="2164"/>
      <c r="D599" s="2164"/>
      <c r="E599" s="2522" t="s">
        <v>2639</v>
      </c>
      <c r="F599" s="2522"/>
      <c r="G599" s="2164"/>
      <c r="H599" s="2528">
        <v>4857.0699000000004</v>
      </c>
      <c r="I599" s="2528"/>
      <c r="J599" s="2528"/>
      <c r="K599" s="2163"/>
      <c r="L599" s="2528">
        <v>490660.23</v>
      </c>
      <c r="M599" s="2163"/>
    </row>
    <row r="600" spans="1:15">
      <c r="A600" s="2164"/>
      <c r="B600" s="2164"/>
      <c r="C600" s="2164"/>
      <c r="D600" s="2164"/>
      <c r="E600" s="2164"/>
      <c r="F600" s="2164"/>
      <c r="G600" s="2164"/>
      <c r="H600" s="2528"/>
      <c r="I600" s="2528"/>
      <c r="J600" s="2528"/>
      <c r="K600" s="2163"/>
      <c r="L600" s="2528"/>
      <c r="M600" s="2163"/>
    </row>
    <row r="601" spans="1:15">
      <c r="A601" s="2160" t="s">
        <v>2680</v>
      </c>
      <c r="B601" s="2161"/>
      <c r="C601" s="2160" t="s">
        <v>2681</v>
      </c>
      <c r="D601" s="2161"/>
      <c r="E601" s="2160" t="s">
        <v>2640</v>
      </c>
      <c r="F601" s="2161"/>
    </row>
    <row r="602" spans="1:15">
      <c r="A602" s="2163"/>
      <c r="B602" s="2163"/>
      <c r="C602" s="2163"/>
      <c r="D602" s="2163"/>
      <c r="E602" s="2163"/>
      <c r="F602" s="2163"/>
      <c r="G602" s="2163"/>
      <c r="H602" s="2163"/>
      <c r="I602" s="2163"/>
      <c r="J602" s="2163"/>
      <c r="K602" s="2163"/>
      <c r="L602" s="2163"/>
      <c r="M602" s="2163"/>
    </row>
    <row r="603" spans="1:15">
      <c r="A603" s="2164"/>
      <c r="H603" s="2522" t="s">
        <v>2637</v>
      </c>
      <c r="I603" s="2522"/>
      <c r="J603" s="2163"/>
      <c r="K603" s="2528">
        <v>2012371.7424999999</v>
      </c>
      <c r="L603" s="2528"/>
      <c r="M603" s="2163"/>
      <c r="N603" s="2527" t="s">
        <v>3075</v>
      </c>
      <c r="O603" s="2163"/>
    </row>
    <row r="604" spans="1:15">
      <c r="H604" s="2163"/>
      <c r="I604" s="2163"/>
      <c r="J604" s="2163"/>
      <c r="K604" s="2528"/>
      <c r="L604" s="2528"/>
      <c r="N604" s="2527"/>
    </row>
    <row r="605" spans="1:15">
      <c r="A605" s="2165">
        <v>69521</v>
      </c>
      <c r="B605" s="2163"/>
      <c r="C605" s="2524" t="s">
        <v>2868</v>
      </c>
      <c r="D605" s="2524"/>
      <c r="E605" s="2524"/>
      <c r="F605" s="2524"/>
      <c r="G605" s="2524"/>
      <c r="H605" s="2524"/>
      <c r="I605" s="2524"/>
      <c r="J605" s="2163"/>
      <c r="K605" s="2163"/>
      <c r="L605" s="2163"/>
      <c r="M605" s="2163"/>
    </row>
    <row r="606" spans="1:15">
      <c r="A606" s="2163"/>
      <c r="B606" s="2163"/>
      <c r="C606" s="2163"/>
      <c r="D606" s="2163"/>
      <c r="E606" s="2163"/>
      <c r="F606" s="2163"/>
      <c r="G606" s="2163"/>
      <c r="H606" s="2163"/>
      <c r="I606" s="2163"/>
      <c r="J606" s="2163"/>
      <c r="K606" s="2163"/>
      <c r="L606" s="2163"/>
      <c r="M606" s="2163"/>
    </row>
    <row r="607" spans="1:15">
      <c r="A607" s="2520" t="s">
        <v>2647</v>
      </c>
      <c r="B607" s="2520"/>
      <c r="C607" s="2520"/>
      <c r="D607" s="2166"/>
      <c r="E607" s="2166"/>
      <c r="F607" s="2166"/>
      <c r="G607" s="2166"/>
      <c r="H607" s="2526">
        <v>4038010.2259999998</v>
      </c>
      <c r="I607" s="2526"/>
      <c r="J607" s="2526"/>
      <c r="K607" s="2166"/>
      <c r="L607" s="2168">
        <v>407259156.48000002</v>
      </c>
      <c r="M607" s="2166"/>
    </row>
    <row r="608" spans="1:15">
      <c r="A608" s="2520" t="s">
        <v>2648</v>
      </c>
      <c r="B608" s="2520"/>
      <c r="C608" s="2520"/>
      <c r="D608" s="2166"/>
      <c r="E608" s="2166"/>
      <c r="F608" s="2166"/>
      <c r="G608" s="2166"/>
      <c r="H608" s="2526">
        <v>-4026528.76</v>
      </c>
      <c r="I608" s="2526"/>
      <c r="J608" s="2526"/>
      <c r="K608" s="2166"/>
      <c r="L608" s="2168">
        <v>-406677495.30000001</v>
      </c>
      <c r="M608" s="2166"/>
    </row>
    <row r="609" spans="1:15">
      <c r="A609" s="2520" t="s">
        <v>2645</v>
      </c>
      <c r="B609" s="2520"/>
      <c r="C609" s="2520"/>
      <c r="D609" s="2166"/>
      <c r="E609" s="2166"/>
      <c r="F609" s="2166"/>
      <c r="G609" s="2166"/>
      <c r="H609" s="2525"/>
      <c r="I609" s="2525"/>
      <c r="J609" s="2525"/>
      <c r="K609" s="2166"/>
      <c r="L609" s="2167"/>
      <c r="M609" s="2166"/>
    </row>
    <row r="610" spans="1:15">
      <c r="A610" s="2520" t="s">
        <v>2645</v>
      </c>
      <c r="B610" s="2520"/>
      <c r="C610" s="2520"/>
      <c r="D610" s="2166"/>
      <c r="E610" s="2166"/>
      <c r="F610" s="2166"/>
      <c r="G610" s="2166"/>
      <c r="H610" s="2526">
        <v>20307.313999999998</v>
      </c>
      <c r="I610" s="2526"/>
      <c r="J610" s="2526"/>
      <c r="K610" s="2166"/>
      <c r="L610" s="2168">
        <v>2048116.49</v>
      </c>
      <c r="M610" s="2166"/>
    </row>
    <row r="611" spans="1:15">
      <c r="A611" s="2520" t="s">
        <v>2679</v>
      </c>
      <c r="B611" s="2520"/>
      <c r="C611" s="2520"/>
      <c r="D611" s="2166"/>
      <c r="E611" s="2166"/>
      <c r="F611" s="2166"/>
      <c r="G611" s="2166"/>
      <c r="H611" s="2526">
        <v>-40752.495000000003</v>
      </c>
      <c r="I611" s="2526"/>
      <c r="J611" s="2526"/>
      <c r="K611" s="2166"/>
      <c r="L611" s="2168">
        <v>-4115949</v>
      </c>
      <c r="M611" s="2166"/>
    </row>
    <row r="612" spans="1:15">
      <c r="A612" s="2520" t="s">
        <v>2649</v>
      </c>
      <c r="B612" s="2520"/>
      <c r="C612" s="2520"/>
      <c r="D612" s="2166"/>
      <c r="E612" s="2166"/>
      <c r="F612" s="2166"/>
      <c r="G612" s="2166"/>
      <c r="H612" s="2526">
        <v>24112.687999999998</v>
      </c>
      <c r="I612" s="2526"/>
      <c r="J612" s="2526"/>
      <c r="K612" s="2166"/>
      <c r="L612" s="2168">
        <v>2432758</v>
      </c>
      <c r="M612" s="2166"/>
    </row>
    <row r="613" spans="1:15">
      <c r="A613" s="2164"/>
      <c r="B613" s="2164"/>
      <c r="C613" s="2164"/>
      <c r="D613" s="2164"/>
      <c r="E613" s="2522" t="s">
        <v>2639</v>
      </c>
      <c r="F613" s="2522"/>
      <c r="G613" s="2164"/>
      <c r="H613" s="2528">
        <v>2027520.7145</v>
      </c>
      <c r="I613" s="2528"/>
      <c r="J613" s="2528"/>
      <c r="K613" s="2163"/>
      <c r="L613" s="2528">
        <v>204819737.06999999</v>
      </c>
      <c r="M613" s="2163"/>
    </row>
    <row r="614" spans="1:15">
      <c r="A614" s="2164"/>
      <c r="B614" s="2164"/>
      <c r="C614" s="2164"/>
      <c r="D614" s="2164"/>
      <c r="E614" s="2164"/>
      <c r="F614" s="2164"/>
      <c r="G614" s="2164"/>
      <c r="H614" s="2528"/>
      <c r="I614" s="2528"/>
      <c r="J614" s="2528"/>
      <c r="K614" s="2163"/>
      <c r="L614" s="2528"/>
      <c r="M614" s="2163"/>
    </row>
    <row r="615" spans="1:15">
      <c r="A615" s="2160" t="s">
        <v>2680</v>
      </c>
      <c r="B615" s="2161"/>
      <c r="C615" s="2160" t="s">
        <v>2681</v>
      </c>
      <c r="D615" s="2161"/>
      <c r="E615" s="2160" t="s">
        <v>2640</v>
      </c>
      <c r="F615" s="2161"/>
    </row>
    <row r="616" spans="1:15">
      <c r="A616" s="2163"/>
      <c r="B616" s="2163"/>
      <c r="C616" s="2163"/>
      <c r="D616" s="2163"/>
      <c r="E616" s="2163"/>
      <c r="F616" s="2163"/>
      <c r="G616" s="2163"/>
      <c r="H616" s="2163"/>
      <c r="I616" s="2163"/>
      <c r="J616" s="2163"/>
      <c r="K616" s="2163"/>
      <c r="L616" s="2163"/>
      <c r="M616" s="2163"/>
    </row>
    <row r="617" spans="1:15">
      <c r="A617" s="2164"/>
      <c r="H617" s="2522" t="s">
        <v>2637</v>
      </c>
      <c r="I617" s="2522"/>
      <c r="J617" s="2163"/>
      <c r="K617" s="2523">
        <v>1E-4</v>
      </c>
      <c r="L617" s="2523"/>
      <c r="M617" s="2163"/>
      <c r="N617" s="2527"/>
      <c r="O617" s="2163"/>
    </row>
    <row r="618" spans="1:15">
      <c r="H618" s="2163"/>
      <c r="I618" s="2163"/>
      <c r="J618" s="2163"/>
      <c r="K618" s="2523"/>
      <c r="L618" s="2523"/>
      <c r="N618" s="2527"/>
    </row>
    <row r="619" spans="1:15">
      <c r="A619" s="2165">
        <v>70568</v>
      </c>
      <c r="B619" s="2163"/>
      <c r="C619" s="2524" t="s">
        <v>2864</v>
      </c>
      <c r="D619" s="2524"/>
      <c r="E619" s="2524"/>
      <c r="F619" s="2524"/>
      <c r="G619" s="2524"/>
      <c r="H619" s="2524"/>
      <c r="I619" s="2524"/>
      <c r="J619" s="2163"/>
      <c r="K619" s="2163"/>
      <c r="L619" s="2163"/>
      <c r="M619" s="2163"/>
    </row>
    <row r="620" spans="1:15">
      <c r="A620" s="2163"/>
      <c r="B620" s="2163"/>
      <c r="C620" s="2163"/>
      <c r="D620" s="2163"/>
      <c r="E620" s="2163"/>
      <c r="F620" s="2163"/>
      <c r="G620" s="2163"/>
      <c r="H620" s="2163"/>
      <c r="I620" s="2163"/>
      <c r="J620" s="2163"/>
      <c r="K620" s="2163"/>
      <c r="L620" s="2163"/>
      <c r="M620" s="2163"/>
    </row>
    <row r="621" spans="1:15">
      <c r="A621" s="2520" t="s">
        <v>2649</v>
      </c>
      <c r="B621" s="2520"/>
      <c r="C621" s="2520"/>
      <c r="D621" s="2166"/>
      <c r="E621" s="2166"/>
      <c r="F621" s="2166"/>
      <c r="G621" s="2166"/>
      <c r="H621" s="2525">
        <v>4.1479999999999997</v>
      </c>
      <c r="I621" s="2525"/>
      <c r="J621" s="2525"/>
      <c r="K621" s="2166"/>
      <c r="L621" s="2167">
        <v>418.52</v>
      </c>
      <c r="M621" s="2166"/>
    </row>
    <row r="622" spans="1:15">
      <c r="A622" s="2164"/>
      <c r="B622" s="2164"/>
      <c r="C622" s="2164"/>
      <c r="D622" s="2164"/>
      <c r="E622" s="2522" t="s">
        <v>2639</v>
      </c>
      <c r="F622" s="2522"/>
      <c r="G622" s="2164"/>
      <c r="H622" s="2523">
        <v>4.1482999999999999</v>
      </c>
      <c r="I622" s="2523"/>
      <c r="J622" s="2523"/>
      <c r="K622" s="2163"/>
      <c r="L622" s="2523">
        <v>419.06</v>
      </c>
      <c r="M622" s="2163"/>
    </row>
    <row r="623" spans="1:15">
      <c r="A623" s="2164"/>
      <c r="B623" s="2164"/>
      <c r="C623" s="2164"/>
      <c r="D623" s="2164"/>
      <c r="E623" s="2164"/>
      <c r="F623" s="2164"/>
      <c r="G623" s="2164"/>
      <c r="H623" s="2523"/>
      <c r="I623" s="2523"/>
      <c r="J623" s="2523"/>
      <c r="K623" s="2163"/>
      <c r="L623" s="2523"/>
      <c r="M623" s="2163"/>
    </row>
    <row r="624" spans="1:15">
      <c r="A624" s="2160" t="s">
        <v>2680</v>
      </c>
      <c r="B624" s="2161"/>
      <c r="C624" s="2160" t="s">
        <v>2681</v>
      </c>
      <c r="D624" s="2161"/>
      <c r="E624" s="2160" t="s">
        <v>2640</v>
      </c>
      <c r="F624" s="2161"/>
    </row>
    <row r="625" spans="1:15">
      <c r="A625" s="2163"/>
      <c r="B625" s="2163"/>
      <c r="C625" s="2163"/>
      <c r="D625" s="2163"/>
      <c r="E625" s="2163"/>
      <c r="F625" s="2163"/>
      <c r="G625" s="2163"/>
      <c r="H625" s="2163"/>
      <c r="I625" s="2163"/>
      <c r="J625" s="2163"/>
      <c r="K625" s="2163"/>
      <c r="L625" s="2163"/>
      <c r="M625" s="2163"/>
    </row>
    <row r="626" spans="1:15">
      <c r="A626" s="2164"/>
      <c r="H626" s="2522" t="s">
        <v>2637</v>
      </c>
      <c r="I626" s="2522"/>
      <c r="J626" s="2163"/>
      <c r="K626" s="2523">
        <v>0</v>
      </c>
      <c r="L626" s="2523"/>
      <c r="M626" s="2163"/>
      <c r="N626" s="2527"/>
      <c r="O626" s="2163"/>
    </row>
    <row r="627" spans="1:15">
      <c r="H627" s="2163"/>
      <c r="I627" s="2163"/>
      <c r="J627" s="2163"/>
      <c r="K627" s="2523"/>
      <c r="L627" s="2523"/>
      <c r="N627" s="2527"/>
    </row>
    <row r="628" spans="1:15">
      <c r="A628" s="2165">
        <v>70577</v>
      </c>
      <c r="B628" s="2163"/>
      <c r="C628" s="2524" t="s">
        <v>2869</v>
      </c>
      <c r="D628" s="2524"/>
      <c r="E628" s="2524"/>
      <c r="F628" s="2524"/>
      <c r="G628" s="2524"/>
      <c r="H628" s="2524"/>
      <c r="I628" s="2524"/>
      <c r="J628" s="2163"/>
      <c r="K628" s="2163"/>
      <c r="L628" s="2163"/>
      <c r="M628" s="2163"/>
    </row>
    <row r="629" spans="1:15">
      <c r="A629" s="2163"/>
      <c r="B629" s="2163"/>
      <c r="C629" s="2163"/>
      <c r="D629" s="2163"/>
      <c r="E629" s="2163"/>
      <c r="F629" s="2163"/>
      <c r="G629" s="2163"/>
      <c r="H629" s="2163"/>
      <c r="I629" s="2163"/>
      <c r="J629" s="2163"/>
      <c r="K629" s="2163"/>
      <c r="L629" s="2163"/>
      <c r="M629" s="2163"/>
    </row>
    <row r="630" spans="1:15">
      <c r="A630" s="2529"/>
      <c r="B630" s="2529"/>
      <c r="C630" s="2529"/>
      <c r="D630" s="2166"/>
      <c r="E630" s="2166"/>
      <c r="F630" s="2166"/>
      <c r="G630" s="2166"/>
      <c r="H630" s="2525"/>
      <c r="I630" s="2525"/>
      <c r="J630" s="2525"/>
      <c r="K630" s="2166"/>
      <c r="L630" s="2167"/>
      <c r="M630" s="2166"/>
    </row>
    <row r="631" spans="1:15">
      <c r="A631" s="2164"/>
      <c r="B631" s="2164"/>
      <c r="C631" s="2164"/>
      <c r="D631" s="2164"/>
      <c r="E631" s="2522" t="s">
        <v>2639</v>
      </c>
      <c r="F631" s="2522"/>
      <c r="G631" s="2164"/>
      <c r="H631" s="2523">
        <v>0</v>
      </c>
      <c r="I631" s="2523"/>
      <c r="J631" s="2523"/>
      <c r="K631" s="2163"/>
      <c r="L631" s="2523">
        <v>0</v>
      </c>
      <c r="M631" s="2163"/>
    </row>
    <row r="632" spans="1:15">
      <c r="A632" s="2164"/>
      <c r="B632" s="2164"/>
      <c r="C632" s="2164"/>
      <c r="D632" s="2164"/>
      <c r="E632" s="2164"/>
      <c r="F632" s="2164"/>
      <c r="G632" s="2164"/>
      <c r="H632" s="2523"/>
      <c r="I632" s="2523"/>
      <c r="J632" s="2523"/>
      <c r="K632" s="2163"/>
      <c r="L632" s="2523"/>
      <c r="M632" s="2163"/>
    </row>
    <row r="633" spans="1:15">
      <c r="A633" s="2160" t="s">
        <v>2680</v>
      </c>
      <c r="B633" s="2161"/>
      <c r="C633" s="2160" t="s">
        <v>2681</v>
      </c>
      <c r="D633" s="2161"/>
      <c r="E633" s="2160" t="s">
        <v>2640</v>
      </c>
      <c r="F633" s="2161"/>
    </row>
    <row r="634" spans="1:15">
      <c r="A634" s="2163"/>
      <c r="B634" s="2163"/>
      <c r="C634" s="2163"/>
      <c r="D634" s="2163"/>
      <c r="E634" s="2163"/>
      <c r="F634" s="2163"/>
      <c r="G634" s="2163"/>
      <c r="H634" s="2163"/>
      <c r="I634" s="2163"/>
      <c r="J634" s="2163"/>
      <c r="K634" s="2163"/>
      <c r="L634" s="2163"/>
      <c r="M634" s="2163"/>
    </row>
    <row r="635" spans="1:15">
      <c r="A635" s="2164"/>
      <c r="H635" s="2522" t="s">
        <v>2637</v>
      </c>
      <c r="I635" s="2522"/>
      <c r="J635" s="2163"/>
      <c r="K635" s="2528">
        <v>15457.6034</v>
      </c>
      <c r="L635" s="2528"/>
      <c r="M635" s="2163"/>
      <c r="N635" s="2527" t="s">
        <v>3076</v>
      </c>
      <c r="O635" s="2163"/>
    </row>
    <row r="636" spans="1:15">
      <c r="H636" s="2163"/>
      <c r="I636" s="2163"/>
      <c r="J636" s="2163"/>
      <c r="K636" s="2528"/>
      <c r="L636" s="2528"/>
      <c r="N636" s="2527"/>
    </row>
    <row r="637" spans="1:15">
      <c r="A637" s="2165">
        <v>71101</v>
      </c>
      <c r="B637" s="2163"/>
      <c r="C637" s="2524" t="s">
        <v>2870</v>
      </c>
      <c r="D637" s="2524"/>
      <c r="E637" s="2524"/>
      <c r="F637" s="2524"/>
      <c r="G637" s="2524"/>
      <c r="H637" s="2524"/>
      <c r="I637" s="2524"/>
      <c r="J637" s="2163"/>
      <c r="K637" s="2163"/>
      <c r="L637" s="2163"/>
      <c r="M637" s="2163"/>
    </row>
    <row r="638" spans="1:15">
      <c r="A638" s="2163"/>
      <c r="B638" s="2163"/>
      <c r="C638" s="2163"/>
      <c r="D638" s="2163"/>
      <c r="E638" s="2163"/>
      <c r="F638" s="2163"/>
      <c r="G638" s="2163"/>
      <c r="H638" s="2163"/>
      <c r="I638" s="2163"/>
      <c r="J638" s="2163"/>
      <c r="K638" s="2163"/>
      <c r="L638" s="2163"/>
      <c r="M638" s="2163"/>
    </row>
    <row r="639" spans="1:15">
      <c r="A639" s="2520" t="s">
        <v>2647</v>
      </c>
      <c r="B639" s="2520"/>
      <c r="C639" s="2520"/>
      <c r="D639" s="2166"/>
      <c r="E639" s="2166"/>
      <c r="F639" s="2166"/>
      <c r="G639" s="2166"/>
      <c r="H639" s="2526">
        <v>17005.941999999999</v>
      </c>
      <c r="I639" s="2526"/>
      <c r="J639" s="2526"/>
      <c r="K639" s="2166"/>
      <c r="L639" s="2168">
        <v>1715153</v>
      </c>
      <c r="M639" s="2166"/>
    </row>
    <row r="640" spans="1:15">
      <c r="A640" s="2520" t="s">
        <v>2648</v>
      </c>
      <c r="B640" s="2520"/>
      <c r="C640" s="2520"/>
      <c r="D640" s="2166"/>
      <c r="E640" s="2166"/>
      <c r="F640" s="2166"/>
      <c r="G640" s="2166"/>
      <c r="H640" s="2526">
        <v>-33337.404000000002</v>
      </c>
      <c r="I640" s="2526"/>
      <c r="J640" s="2526"/>
      <c r="K640" s="2166"/>
      <c r="L640" s="2168">
        <v>-3363555.22</v>
      </c>
      <c r="M640" s="2166"/>
    </row>
    <row r="641" spans="1:15">
      <c r="A641" s="2520" t="s">
        <v>2645</v>
      </c>
      <c r="B641" s="2520"/>
      <c r="C641" s="2520"/>
      <c r="D641" s="2166"/>
      <c r="E641" s="2166"/>
      <c r="F641" s="2166"/>
      <c r="G641" s="2166"/>
      <c r="H641" s="2525"/>
      <c r="I641" s="2525"/>
      <c r="J641" s="2525"/>
      <c r="K641" s="2166"/>
      <c r="L641" s="2167"/>
      <c r="M641" s="2166"/>
    </row>
    <row r="642" spans="1:15">
      <c r="A642" s="2520" t="s">
        <v>2645</v>
      </c>
      <c r="B642" s="2520"/>
      <c r="C642" s="2520"/>
      <c r="D642" s="2166"/>
      <c r="E642" s="2166"/>
      <c r="F642" s="2166"/>
      <c r="G642" s="2166"/>
      <c r="H642" s="2525">
        <v>311.065</v>
      </c>
      <c r="I642" s="2525"/>
      <c r="J642" s="2525"/>
      <c r="K642" s="2166"/>
      <c r="L642" s="2168">
        <v>31372.76</v>
      </c>
      <c r="M642" s="2166"/>
    </row>
    <row r="643" spans="1:15">
      <c r="A643" s="2520" t="s">
        <v>2649</v>
      </c>
      <c r="B643" s="2520"/>
      <c r="C643" s="2520"/>
      <c r="D643" s="2166"/>
      <c r="E643" s="2166"/>
      <c r="F643" s="2166"/>
      <c r="G643" s="2166"/>
      <c r="H643" s="2525">
        <v>562.79399999999998</v>
      </c>
      <c r="I643" s="2525"/>
      <c r="J643" s="2525"/>
      <c r="K643" s="2166"/>
      <c r="L643" s="2168">
        <v>56781</v>
      </c>
      <c r="M643" s="2166"/>
    </row>
    <row r="644" spans="1:15">
      <c r="A644" s="2164"/>
      <c r="B644" s="2164"/>
      <c r="C644" s="2164"/>
      <c r="D644" s="2164"/>
      <c r="E644" s="2522" t="s">
        <v>2639</v>
      </c>
      <c r="F644" s="2522"/>
      <c r="G644" s="2164"/>
      <c r="H644" s="2523">
        <v>0</v>
      </c>
      <c r="I644" s="2523"/>
      <c r="J644" s="2523"/>
      <c r="K644" s="2163"/>
      <c r="L644" s="2523">
        <v>0</v>
      </c>
      <c r="M644" s="2163"/>
    </row>
    <row r="645" spans="1:15">
      <c r="A645" s="2164"/>
      <c r="B645" s="2164"/>
      <c r="C645" s="2164"/>
      <c r="D645" s="2164"/>
      <c r="E645" s="2164"/>
      <c r="F645" s="2164"/>
      <c r="G645" s="2164"/>
      <c r="H645" s="2523"/>
      <c r="I645" s="2523"/>
      <c r="J645" s="2523"/>
      <c r="K645" s="2163"/>
      <c r="L645" s="2523"/>
      <c r="M645" s="2163"/>
    </row>
    <row r="646" spans="1:15">
      <c r="A646" s="2160" t="s">
        <v>2680</v>
      </c>
      <c r="B646" s="2161"/>
      <c r="C646" s="2160" t="s">
        <v>2681</v>
      </c>
      <c r="D646" s="2161"/>
      <c r="E646" s="2160" t="s">
        <v>2640</v>
      </c>
      <c r="F646" s="2161"/>
    </row>
    <row r="647" spans="1:15">
      <c r="A647" s="2163"/>
      <c r="B647" s="2163"/>
      <c r="C647" s="2163"/>
      <c r="D647" s="2163"/>
      <c r="E647" s="2163"/>
      <c r="F647" s="2163"/>
      <c r="G647" s="2163"/>
      <c r="H647" s="2163"/>
      <c r="I647" s="2163"/>
      <c r="J647" s="2163"/>
      <c r="K647" s="2163"/>
      <c r="L647" s="2163"/>
      <c r="M647" s="2163"/>
    </row>
    <row r="648" spans="1:15">
      <c r="A648" s="2164"/>
      <c r="H648" s="2522" t="s">
        <v>2637</v>
      </c>
      <c r="I648" s="2522"/>
      <c r="J648" s="2163"/>
      <c r="K648" s="2528">
        <v>69713.229900000006</v>
      </c>
      <c r="L648" s="2528"/>
      <c r="M648" s="2163"/>
      <c r="N648" s="2527" t="s">
        <v>3077</v>
      </c>
      <c r="O648" s="2163"/>
    </row>
    <row r="649" spans="1:15">
      <c r="H649" s="2163"/>
      <c r="I649" s="2163"/>
      <c r="J649" s="2163"/>
      <c r="K649" s="2528"/>
      <c r="L649" s="2528"/>
      <c r="N649" s="2527"/>
    </row>
    <row r="650" spans="1:15">
      <c r="A650" s="2165">
        <v>73711</v>
      </c>
      <c r="B650" s="2163"/>
      <c r="C650" s="2524" t="s">
        <v>2871</v>
      </c>
      <c r="D650" s="2524"/>
      <c r="E650" s="2524"/>
      <c r="F650" s="2524"/>
      <c r="G650" s="2524"/>
      <c r="H650" s="2524"/>
      <c r="I650" s="2524"/>
      <c r="J650" s="2163"/>
      <c r="K650" s="2163"/>
      <c r="L650" s="2163"/>
      <c r="M650" s="2163"/>
    </row>
    <row r="651" spans="1:15">
      <c r="A651" s="2163"/>
      <c r="B651" s="2163"/>
      <c r="C651" s="2163"/>
      <c r="D651" s="2163"/>
      <c r="E651" s="2163"/>
      <c r="F651" s="2163"/>
      <c r="G651" s="2163"/>
      <c r="H651" s="2163"/>
      <c r="I651" s="2163"/>
      <c r="J651" s="2163"/>
      <c r="K651" s="2163"/>
      <c r="L651" s="2163"/>
      <c r="M651" s="2163"/>
    </row>
    <row r="652" spans="1:15">
      <c r="A652" s="2520" t="s">
        <v>2647</v>
      </c>
      <c r="B652" s="2520"/>
      <c r="C652" s="2520"/>
      <c r="D652" s="2166"/>
      <c r="E652" s="2166"/>
      <c r="F652" s="2166"/>
      <c r="G652" s="2166"/>
      <c r="H652" s="2526">
        <v>235385.823</v>
      </c>
      <c r="I652" s="2526"/>
      <c r="J652" s="2526"/>
      <c r="K652" s="2166"/>
      <c r="L652" s="2168">
        <v>23767462.210000001</v>
      </c>
      <c r="M652" s="2166"/>
    </row>
    <row r="653" spans="1:15">
      <c r="A653" s="2520" t="s">
        <v>2648</v>
      </c>
      <c r="B653" s="2520"/>
      <c r="C653" s="2520"/>
      <c r="D653" s="2166"/>
      <c r="E653" s="2166"/>
      <c r="F653" s="2166"/>
      <c r="G653" s="2166"/>
      <c r="H653" s="2526">
        <v>-235263.095</v>
      </c>
      <c r="I653" s="2526"/>
      <c r="J653" s="2526"/>
      <c r="K653" s="2166"/>
      <c r="L653" s="2168">
        <v>-23770993.289999999</v>
      </c>
      <c r="M653" s="2166"/>
    </row>
    <row r="654" spans="1:15">
      <c r="A654" s="2520" t="s">
        <v>2645</v>
      </c>
      <c r="B654" s="2520"/>
      <c r="C654" s="2520"/>
      <c r="D654" s="2166"/>
      <c r="E654" s="2166"/>
      <c r="F654" s="2166"/>
      <c r="G654" s="2166"/>
      <c r="H654" s="2525"/>
      <c r="I654" s="2525"/>
      <c r="J654" s="2525"/>
      <c r="K654" s="2166"/>
      <c r="L654" s="2167"/>
      <c r="M654" s="2166"/>
    </row>
    <row r="655" spans="1:15">
      <c r="A655" s="2520" t="s">
        <v>2645</v>
      </c>
      <c r="B655" s="2520"/>
      <c r="C655" s="2520"/>
      <c r="D655" s="2166"/>
      <c r="E655" s="2166"/>
      <c r="F655" s="2166"/>
      <c r="G655" s="2166"/>
      <c r="H655" s="2525">
        <v>323.14600000000002</v>
      </c>
      <c r="I655" s="2525"/>
      <c r="J655" s="2525"/>
      <c r="K655" s="2166"/>
      <c r="L655" s="2168">
        <v>32591.279999999999</v>
      </c>
      <c r="M655" s="2166"/>
    </row>
    <row r="656" spans="1:15">
      <c r="A656" s="2520" t="s">
        <v>2679</v>
      </c>
      <c r="B656" s="2520"/>
      <c r="C656" s="2520"/>
      <c r="D656" s="2166"/>
      <c r="E656" s="2166"/>
      <c r="F656" s="2166"/>
      <c r="G656" s="2166"/>
      <c r="H656" s="2526">
        <v>-41110.044000000002</v>
      </c>
      <c r="I656" s="2526"/>
      <c r="J656" s="2526"/>
      <c r="K656" s="2166"/>
      <c r="L656" s="2168">
        <v>-4150000</v>
      </c>
      <c r="M656" s="2166"/>
    </row>
    <row r="657" spans="1:15">
      <c r="A657" s="2520" t="s">
        <v>2649</v>
      </c>
      <c r="B657" s="2520"/>
      <c r="C657" s="2520"/>
      <c r="D657" s="2166"/>
      <c r="E657" s="2166"/>
      <c r="F657" s="2166"/>
      <c r="G657" s="2166"/>
      <c r="H657" s="2526">
        <v>22101.177</v>
      </c>
      <c r="I657" s="2526"/>
      <c r="J657" s="2526"/>
      <c r="K657" s="2166"/>
      <c r="L657" s="2168">
        <v>2201672.9900000002</v>
      </c>
      <c r="M657" s="2166"/>
    </row>
    <row r="658" spans="1:15">
      <c r="A658" s="2164"/>
      <c r="B658" s="2164"/>
      <c r="C658" s="2164"/>
      <c r="D658" s="2164"/>
      <c r="E658" s="2522" t="s">
        <v>2639</v>
      </c>
      <c r="F658" s="2522"/>
      <c r="G658" s="2164"/>
      <c r="H658" s="2528">
        <v>51150.237699999998</v>
      </c>
      <c r="I658" s="2528"/>
      <c r="J658" s="2528"/>
      <c r="K658" s="2163"/>
      <c r="L658" s="2528">
        <v>5167186.79</v>
      </c>
      <c r="M658" s="2163"/>
    </row>
    <row r="659" spans="1:15">
      <c r="A659" s="2164"/>
      <c r="B659" s="2164"/>
      <c r="C659" s="2164"/>
      <c r="D659" s="2164"/>
      <c r="E659" s="2164"/>
      <c r="F659" s="2164"/>
      <c r="G659" s="2164"/>
      <c r="H659" s="2528"/>
      <c r="I659" s="2528"/>
      <c r="J659" s="2528"/>
      <c r="K659" s="2163"/>
      <c r="L659" s="2528"/>
      <c r="M659" s="2163"/>
    </row>
    <row r="660" spans="1:15">
      <c r="A660" s="2160" t="s">
        <v>2680</v>
      </c>
      <c r="B660" s="2161"/>
      <c r="C660" s="2160" t="s">
        <v>2681</v>
      </c>
      <c r="D660" s="2161"/>
      <c r="E660" s="2160" t="s">
        <v>2640</v>
      </c>
      <c r="F660" s="2161"/>
    </row>
    <row r="661" spans="1:15">
      <c r="A661" s="2163"/>
      <c r="B661" s="2163"/>
      <c r="C661" s="2163"/>
      <c r="D661" s="2163"/>
      <c r="E661" s="2163"/>
      <c r="F661" s="2163"/>
      <c r="G661" s="2163"/>
      <c r="H661" s="2163"/>
      <c r="I661" s="2163"/>
      <c r="J661" s="2163"/>
      <c r="K661" s="2163"/>
      <c r="L661" s="2163"/>
      <c r="M661" s="2163"/>
    </row>
    <row r="662" spans="1:15">
      <c r="A662" s="2164"/>
      <c r="H662" s="2522" t="s">
        <v>2637</v>
      </c>
      <c r="I662" s="2522"/>
      <c r="J662" s="2163"/>
      <c r="K662" s="2528">
        <v>163095.25630000001</v>
      </c>
      <c r="L662" s="2528"/>
      <c r="M662" s="2163"/>
      <c r="N662" s="2527" t="s">
        <v>3078</v>
      </c>
      <c r="O662" s="2163"/>
    </row>
    <row r="663" spans="1:15">
      <c r="H663" s="2163"/>
      <c r="I663" s="2163"/>
      <c r="J663" s="2163"/>
      <c r="K663" s="2528"/>
      <c r="L663" s="2528"/>
      <c r="N663" s="2527"/>
    </row>
    <row r="664" spans="1:15">
      <c r="A664" s="2165">
        <v>76029</v>
      </c>
      <c r="B664" s="2163"/>
      <c r="C664" s="2524" t="s">
        <v>2872</v>
      </c>
      <c r="D664" s="2524"/>
      <c r="E664" s="2524"/>
      <c r="F664" s="2524"/>
      <c r="G664" s="2524"/>
      <c r="H664" s="2524"/>
      <c r="I664" s="2524"/>
      <c r="J664" s="2163"/>
      <c r="K664" s="2163"/>
      <c r="L664" s="2163"/>
      <c r="M664" s="2163"/>
    </row>
    <row r="665" spans="1:15">
      <c r="A665" s="2163"/>
      <c r="B665" s="2163"/>
      <c r="C665" s="2163"/>
      <c r="D665" s="2163"/>
      <c r="E665" s="2163"/>
      <c r="F665" s="2163"/>
      <c r="G665" s="2163"/>
      <c r="H665" s="2163"/>
      <c r="I665" s="2163"/>
      <c r="J665" s="2163"/>
      <c r="K665" s="2163"/>
      <c r="L665" s="2163"/>
      <c r="M665" s="2163"/>
    </row>
    <row r="666" spans="1:15">
      <c r="A666" s="2520" t="s">
        <v>2647</v>
      </c>
      <c r="B666" s="2520"/>
      <c r="C666" s="2520"/>
      <c r="D666" s="2166"/>
      <c r="E666" s="2166"/>
      <c r="F666" s="2166"/>
      <c r="G666" s="2166"/>
      <c r="H666" s="2526">
        <v>81701.217000000004</v>
      </c>
      <c r="I666" s="2526"/>
      <c r="J666" s="2526"/>
      <c r="K666" s="2166"/>
      <c r="L666" s="2168">
        <v>8240081.1900000004</v>
      </c>
      <c r="M666" s="2166"/>
    </row>
    <row r="667" spans="1:15">
      <c r="A667" s="2520" t="s">
        <v>2648</v>
      </c>
      <c r="B667" s="2520"/>
      <c r="C667" s="2520"/>
      <c r="D667" s="2166"/>
      <c r="E667" s="2166"/>
      <c r="F667" s="2166"/>
      <c r="G667" s="2166"/>
      <c r="H667" s="2526">
        <v>-203361.25599999999</v>
      </c>
      <c r="I667" s="2526"/>
      <c r="J667" s="2526"/>
      <c r="K667" s="2166"/>
      <c r="L667" s="2168">
        <v>-20527132.289999999</v>
      </c>
      <c r="M667" s="2166"/>
    </row>
    <row r="668" spans="1:15">
      <c r="A668" s="2164"/>
      <c r="B668" s="2164"/>
      <c r="C668" s="2164"/>
      <c r="D668" s="2164"/>
      <c r="E668" s="2522" t="s">
        <v>2639</v>
      </c>
      <c r="F668" s="2522"/>
      <c r="G668" s="2164"/>
      <c r="H668" s="2528">
        <v>41435.217499999999</v>
      </c>
      <c r="I668" s="2528"/>
      <c r="J668" s="2528"/>
      <c r="K668" s="2163"/>
      <c r="L668" s="2528">
        <v>4185777.38</v>
      </c>
      <c r="M668" s="2163"/>
    </row>
    <row r="669" spans="1:15">
      <c r="A669" s="2164"/>
      <c r="B669" s="2164"/>
      <c r="C669" s="2164"/>
      <c r="D669" s="2164"/>
      <c r="E669" s="2164"/>
      <c r="F669" s="2164"/>
      <c r="G669" s="2164"/>
      <c r="H669" s="2528"/>
      <c r="I669" s="2528"/>
      <c r="J669" s="2528"/>
      <c r="K669" s="2163"/>
      <c r="L669" s="2528"/>
      <c r="M669" s="2163"/>
    </row>
    <row r="670" spans="1:15">
      <c r="A670" s="2160" t="s">
        <v>2680</v>
      </c>
      <c r="B670" s="2161"/>
      <c r="C670" s="2160" t="s">
        <v>2681</v>
      </c>
      <c r="D670" s="2161"/>
      <c r="E670" s="2160" t="s">
        <v>2640</v>
      </c>
      <c r="F670" s="2161"/>
    </row>
    <row r="671" spans="1:15">
      <c r="A671" s="2163"/>
      <c r="B671" s="2163"/>
      <c r="C671" s="2163"/>
      <c r="D671" s="2163"/>
      <c r="E671" s="2163"/>
      <c r="F671" s="2163"/>
      <c r="G671" s="2163"/>
      <c r="H671" s="2163"/>
      <c r="I671" s="2163"/>
      <c r="J671" s="2163"/>
      <c r="K671" s="2163"/>
      <c r="L671" s="2163"/>
      <c r="M671" s="2163"/>
    </row>
    <row r="672" spans="1:15">
      <c r="A672" s="2164"/>
      <c r="H672" s="2522" t="s">
        <v>2637</v>
      </c>
      <c r="I672" s="2522"/>
      <c r="J672" s="2163"/>
      <c r="K672" s="2528">
        <v>551429.26969999995</v>
      </c>
      <c r="L672" s="2528"/>
      <c r="M672" s="2163"/>
      <c r="N672" s="2527" t="s">
        <v>3079</v>
      </c>
      <c r="O672" s="2163"/>
    </row>
    <row r="673" spans="1:15">
      <c r="H673" s="2163"/>
      <c r="I673" s="2163"/>
      <c r="J673" s="2163"/>
      <c r="K673" s="2528"/>
      <c r="L673" s="2528"/>
      <c r="N673" s="2527"/>
    </row>
    <row r="674" spans="1:15">
      <c r="A674" s="2165">
        <v>76840</v>
      </c>
      <c r="B674" s="2163"/>
      <c r="C674" s="2524" t="s">
        <v>2873</v>
      </c>
      <c r="D674" s="2524"/>
      <c r="E674" s="2524"/>
      <c r="F674" s="2524"/>
      <c r="G674" s="2524"/>
      <c r="H674" s="2524"/>
      <c r="I674" s="2524"/>
      <c r="J674" s="2163"/>
      <c r="K674" s="2163"/>
      <c r="L674" s="2163"/>
      <c r="M674" s="2163"/>
    </row>
    <row r="675" spans="1:15">
      <c r="A675" s="2163"/>
      <c r="B675" s="2163"/>
      <c r="C675" s="2163"/>
      <c r="D675" s="2163"/>
      <c r="E675" s="2163"/>
      <c r="F675" s="2163"/>
      <c r="G675" s="2163"/>
      <c r="H675" s="2163"/>
      <c r="I675" s="2163"/>
      <c r="J675" s="2163"/>
      <c r="K675" s="2163"/>
      <c r="L675" s="2163"/>
      <c r="M675" s="2163"/>
    </row>
    <row r="676" spans="1:15">
      <c r="A676" s="2520" t="s">
        <v>2647</v>
      </c>
      <c r="B676" s="2520"/>
      <c r="C676" s="2520"/>
      <c r="D676" s="2166"/>
      <c r="E676" s="2166"/>
      <c r="F676" s="2166"/>
      <c r="G676" s="2166"/>
      <c r="H676" s="2526">
        <v>1104472.8700000001</v>
      </c>
      <c r="I676" s="2526"/>
      <c r="J676" s="2526"/>
      <c r="K676" s="2166"/>
      <c r="L676" s="2168">
        <v>111392861.78</v>
      </c>
      <c r="M676" s="2166"/>
    </row>
    <row r="677" spans="1:15">
      <c r="A677" s="2520" t="s">
        <v>2648</v>
      </c>
      <c r="B677" s="2520"/>
      <c r="C677" s="2520"/>
      <c r="D677" s="2166"/>
      <c r="E677" s="2166"/>
      <c r="F677" s="2166"/>
      <c r="G677" s="2166"/>
      <c r="H677" s="2526">
        <v>-1103347.7439999999</v>
      </c>
      <c r="I677" s="2526"/>
      <c r="J677" s="2526"/>
      <c r="K677" s="2166"/>
      <c r="L677" s="2168">
        <v>-111437598.92</v>
      </c>
      <c r="M677" s="2166"/>
    </row>
    <row r="678" spans="1:15">
      <c r="A678" s="2520" t="s">
        <v>2645</v>
      </c>
      <c r="B678" s="2520"/>
      <c r="C678" s="2520"/>
      <c r="D678" s="2166"/>
      <c r="E678" s="2166"/>
      <c r="F678" s="2166"/>
      <c r="G678" s="2166"/>
      <c r="H678" s="2525"/>
      <c r="I678" s="2525"/>
      <c r="J678" s="2525"/>
      <c r="K678" s="2166"/>
      <c r="L678" s="2167"/>
      <c r="M678" s="2166"/>
    </row>
    <row r="679" spans="1:15">
      <c r="A679" s="2520" t="s">
        <v>2645</v>
      </c>
      <c r="B679" s="2520"/>
      <c r="C679" s="2520"/>
      <c r="D679" s="2166"/>
      <c r="E679" s="2166"/>
      <c r="F679" s="2166"/>
      <c r="G679" s="2166"/>
      <c r="H679" s="2526">
        <v>4794.9650000000001</v>
      </c>
      <c r="I679" s="2526"/>
      <c r="J679" s="2526"/>
      <c r="K679" s="2166"/>
      <c r="L679" s="2168">
        <v>483601.44</v>
      </c>
      <c r="M679" s="2166"/>
    </row>
    <row r="680" spans="1:15">
      <c r="A680" s="2520" t="s">
        <v>2649</v>
      </c>
      <c r="B680" s="2520"/>
      <c r="C680" s="2520"/>
      <c r="D680" s="2166"/>
      <c r="E680" s="2166"/>
      <c r="F680" s="2166"/>
      <c r="G680" s="2166"/>
      <c r="H680" s="2525">
        <v>69.168000000000006</v>
      </c>
      <c r="I680" s="2525"/>
      <c r="J680" s="2525"/>
      <c r="K680" s="2166"/>
      <c r="L680" s="2168">
        <v>6978.42</v>
      </c>
      <c r="M680" s="2166"/>
    </row>
    <row r="681" spans="1:15">
      <c r="A681" s="2164"/>
      <c r="B681" s="2164"/>
      <c r="C681" s="2164"/>
      <c r="D681" s="2164"/>
      <c r="E681" s="2522" t="s">
        <v>2639</v>
      </c>
      <c r="F681" s="2522"/>
      <c r="G681" s="2164"/>
      <c r="H681" s="2528">
        <v>557418.52769999998</v>
      </c>
      <c r="I681" s="2528"/>
      <c r="J681" s="2528"/>
      <c r="K681" s="2163"/>
      <c r="L681" s="2528">
        <v>56310308.18</v>
      </c>
      <c r="M681" s="2163"/>
    </row>
    <row r="682" spans="1:15">
      <c r="A682" s="2164"/>
      <c r="B682" s="2164"/>
      <c r="C682" s="2164"/>
      <c r="D682" s="2164"/>
      <c r="E682" s="2164"/>
      <c r="F682" s="2164"/>
      <c r="G682" s="2164"/>
      <c r="H682" s="2528"/>
      <c r="I682" s="2528"/>
      <c r="J682" s="2528"/>
      <c r="K682" s="2163"/>
      <c r="L682" s="2528"/>
      <c r="M682" s="2163"/>
    </row>
    <row r="683" spans="1:15">
      <c r="A683" s="2160" t="s">
        <v>2680</v>
      </c>
      <c r="B683" s="2161"/>
      <c r="C683" s="2160" t="s">
        <v>2681</v>
      </c>
      <c r="D683" s="2161"/>
      <c r="E683" s="2160" t="s">
        <v>2640</v>
      </c>
      <c r="F683" s="2161"/>
    </row>
    <row r="684" spans="1:15">
      <c r="A684" s="2163"/>
      <c r="B684" s="2163"/>
      <c r="C684" s="2163"/>
      <c r="D684" s="2163"/>
      <c r="E684" s="2163"/>
      <c r="F684" s="2163"/>
      <c r="G684" s="2163"/>
      <c r="H684" s="2163"/>
      <c r="I684" s="2163"/>
      <c r="J684" s="2163"/>
      <c r="K684" s="2163"/>
      <c r="L684" s="2163"/>
      <c r="M684" s="2163"/>
    </row>
    <row r="685" spans="1:15">
      <c r="A685" s="2164"/>
      <c r="H685" s="2522" t="s">
        <v>2637</v>
      </c>
      <c r="I685" s="2522"/>
      <c r="J685" s="2163"/>
      <c r="K685" s="2523">
        <v>0</v>
      </c>
      <c r="L685" s="2523"/>
      <c r="M685" s="2163"/>
      <c r="N685" s="2527"/>
      <c r="O685" s="2163"/>
    </row>
    <row r="686" spans="1:15">
      <c r="H686" s="2163"/>
      <c r="I686" s="2163"/>
      <c r="J686" s="2163"/>
      <c r="K686" s="2523"/>
      <c r="L686" s="2523"/>
      <c r="N686" s="2527"/>
    </row>
    <row r="687" spans="1:15">
      <c r="A687" s="2165">
        <v>77481</v>
      </c>
      <c r="B687" s="2163"/>
      <c r="C687" s="2524" t="s">
        <v>2874</v>
      </c>
      <c r="D687" s="2524"/>
      <c r="E687" s="2524"/>
      <c r="F687" s="2524"/>
      <c r="G687" s="2524"/>
      <c r="H687" s="2524"/>
      <c r="I687" s="2524"/>
      <c r="J687" s="2163"/>
      <c r="K687" s="2163"/>
      <c r="L687" s="2163"/>
      <c r="M687" s="2163"/>
    </row>
    <row r="688" spans="1:15">
      <c r="A688" s="2163"/>
      <c r="B688" s="2163"/>
      <c r="C688" s="2163"/>
      <c r="D688" s="2163"/>
      <c r="E688" s="2163"/>
      <c r="F688" s="2163"/>
      <c r="G688" s="2163"/>
      <c r="H688" s="2163"/>
      <c r="I688" s="2163"/>
      <c r="J688" s="2163"/>
      <c r="K688" s="2163"/>
      <c r="L688" s="2163"/>
      <c r="M688" s="2163"/>
    </row>
    <row r="689" spans="1:15">
      <c r="A689" s="2529"/>
      <c r="B689" s="2529"/>
      <c r="C689" s="2529"/>
      <c r="D689" s="2166"/>
      <c r="E689" s="2166"/>
      <c r="F689" s="2166"/>
      <c r="G689" s="2166"/>
      <c r="H689" s="2525"/>
      <c r="I689" s="2525"/>
      <c r="J689" s="2525"/>
      <c r="K689" s="2166"/>
      <c r="L689" s="2167"/>
      <c r="M689" s="2166"/>
    </row>
    <row r="690" spans="1:15">
      <c r="A690" s="2164"/>
      <c r="B690" s="2164"/>
      <c r="C690" s="2164"/>
      <c r="D690" s="2164"/>
      <c r="E690" s="2522" t="s">
        <v>2639</v>
      </c>
      <c r="F690" s="2522"/>
      <c r="G690" s="2164"/>
      <c r="H690" s="2523">
        <v>0</v>
      </c>
      <c r="I690" s="2523"/>
      <c r="J690" s="2523"/>
      <c r="K690" s="2163"/>
      <c r="L690" s="2523">
        <v>0</v>
      </c>
      <c r="M690" s="2163"/>
    </row>
    <row r="691" spans="1:15">
      <c r="A691" s="2164"/>
      <c r="B691" s="2164"/>
      <c r="C691" s="2164"/>
      <c r="D691" s="2164"/>
      <c r="E691" s="2164"/>
      <c r="F691" s="2164"/>
      <c r="G691" s="2164"/>
      <c r="H691" s="2523"/>
      <c r="I691" s="2523"/>
      <c r="J691" s="2523"/>
      <c r="K691" s="2163"/>
      <c r="L691" s="2523"/>
      <c r="M691" s="2163"/>
    </row>
    <row r="692" spans="1:15">
      <c r="A692" s="2160" t="s">
        <v>2680</v>
      </c>
      <c r="B692" s="2161"/>
      <c r="C692" s="2160" t="s">
        <v>2681</v>
      </c>
      <c r="D692" s="2161"/>
      <c r="E692" s="2160" t="s">
        <v>2640</v>
      </c>
      <c r="F692" s="2161"/>
    </row>
    <row r="693" spans="1:15">
      <c r="A693" s="2163"/>
      <c r="B693" s="2163"/>
      <c r="C693" s="2163"/>
      <c r="D693" s="2163"/>
      <c r="E693" s="2163"/>
      <c r="F693" s="2163"/>
      <c r="G693" s="2163"/>
      <c r="H693" s="2163"/>
      <c r="I693" s="2163"/>
      <c r="J693" s="2163"/>
      <c r="K693" s="2163"/>
      <c r="L693" s="2163"/>
      <c r="M693" s="2163"/>
    </row>
    <row r="694" spans="1:15">
      <c r="A694" s="2164"/>
      <c r="H694" s="2522" t="s">
        <v>2637</v>
      </c>
      <c r="I694" s="2522"/>
      <c r="J694" s="2163"/>
      <c r="K694" s="2528">
        <v>17189.517599999999</v>
      </c>
      <c r="L694" s="2528"/>
      <c r="M694" s="2163"/>
      <c r="N694" s="2527" t="s">
        <v>3080</v>
      </c>
      <c r="O694" s="2163"/>
    </row>
    <row r="695" spans="1:15">
      <c r="H695" s="2163"/>
      <c r="I695" s="2163"/>
      <c r="J695" s="2163"/>
      <c r="K695" s="2528"/>
      <c r="L695" s="2528"/>
      <c r="N695" s="2527"/>
    </row>
    <row r="696" spans="1:15">
      <c r="A696" s="2165">
        <v>79941</v>
      </c>
      <c r="B696" s="2163"/>
      <c r="C696" s="2524" t="s">
        <v>2866</v>
      </c>
      <c r="D696" s="2524"/>
      <c r="E696" s="2524"/>
      <c r="F696" s="2524"/>
      <c r="G696" s="2524"/>
      <c r="H696" s="2524"/>
      <c r="I696" s="2524"/>
      <c r="J696" s="2163"/>
      <c r="K696" s="2163"/>
      <c r="L696" s="2163"/>
      <c r="M696" s="2163"/>
    </row>
    <row r="697" spans="1:15">
      <c r="A697" s="2163"/>
      <c r="B697" s="2163"/>
      <c r="C697" s="2163"/>
      <c r="D697" s="2163"/>
      <c r="E697" s="2163"/>
      <c r="F697" s="2163"/>
      <c r="G697" s="2163"/>
      <c r="H697" s="2163"/>
      <c r="I697" s="2163"/>
      <c r="J697" s="2163"/>
      <c r="K697" s="2163"/>
      <c r="L697" s="2163"/>
      <c r="M697" s="2163"/>
    </row>
    <row r="698" spans="1:15">
      <c r="A698" s="2520" t="s">
        <v>2647</v>
      </c>
      <c r="B698" s="2520"/>
      <c r="C698" s="2520"/>
      <c r="D698" s="2166"/>
      <c r="E698" s="2166"/>
      <c r="F698" s="2166"/>
      <c r="G698" s="2166"/>
      <c r="H698" s="2526">
        <v>63128.601999999999</v>
      </c>
      <c r="I698" s="2526"/>
      <c r="J698" s="2526"/>
      <c r="K698" s="2166"/>
      <c r="L698" s="2168">
        <v>6368614.0899999999</v>
      </c>
      <c r="M698" s="2166"/>
    </row>
    <row r="699" spans="1:15">
      <c r="A699" s="2520" t="s">
        <v>2648</v>
      </c>
      <c r="B699" s="2520"/>
      <c r="C699" s="2520"/>
      <c r="D699" s="2166"/>
      <c r="E699" s="2166"/>
      <c r="F699" s="2166"/>
      <c r="G699" s="2166"/>
      <c r="H699" s="2526">
        <v>-80672.982000000004</v>
      </c>
      <c r="I699" s="2526"/>
      <c r="J699" s="2526"/>
      <c r="K699" s="2166"/>
      <c r="L699" s="2168">
        <v>-8143742.5</v>
      </c>
      <c r="M699" s="2166"/>
    </row>
    <row r="700" spans="1:15">
      <c r="A700" s="2520" t="s">
        <v>2645</v>
      </c>
      <c r="B700" s="2520"/>
      <c r="C700" s="2520"/>
      <c r="D700" s="2166"/>
      <c r="E700" s="2166"/>
      <c r="F700" s="2166"/>
      <c r="G700" s="2166"/>
      <c r="H700" s="2525"/>
      <c r="I700" s="2525"/>
      <c r="J700" s="2525"/>
      <c r="K700" s="2166"/>
      <c r="L700" s="2167"/>
      <c r="M700" s="2166"/>
    </row>
    <row r="701" spans="1:15">
      <c r="A701" s="2520" t="s">
        <v>2645</v>
      </c>
      <c r="B701" s="2520"/>
      <c r="C701" s="2520"/>
      <c r="D701" s="2166"/>
      <c r="E701" s="2166"/>
      <c r="F701" s="2166"/>
      <c r="G701" s="2166"/>
      <c r="H701" s="2525">
        <v>354.86200000000002</v>
      </c>
      <c r="I701" s="2525"/>
      <c r="J701" s="2525"/>
      <c r="K701" s="2166"/>
      <c r="L701" s="2168">
        <v>35790.019999999997</v>
      </c>
      <c r="M701" s="2166"/>
    </row>
    <row r="702" spans="1:15">
      <c r="A702" s="2520" t="s">
        <v>2649</v>
      </c>
      <c r="B702" s="2520"/>
      <c r="C702" s="2520"/>
      <c r="D702" s="2166"/>
      <c r="E702" s="2166"/>
      <c r="F702" s="2166"/>
      <c r="G702" s="2166"/>
      <c r="H702" s="2526">
        <v>3468.4720000000002</v>
      </c>
      <c r="I702" s="2526"/>
      <c r="J702" s="2526"/>
      <c r="K702" s="2166"/>
      <c r="L702" s="2168">
        <v>350000</v>
      </c>
      <c r="M702" s="2166"/>
    </row>
    <row r="703" spans="1:15">
      <c r="A703" s="2164"/>
      <c r="B703" s="2164"/>
      <c r="C703" s="2164"/>
      <c r="D703" s="2164"/>
      <c r="E703" s="2522" t="s">
        <v>2639</v>
      </c>
      <c r="F703" s="2522"/>
      <c r="G703" s="2164"/>
      <c r="H703" s="2528">
        <v>3468.4715999999999</v>
      </c>
      <c r="I703" s="2528"/>
      <c r="J703" s="2528"/>
      <c r="K703" s="2163"/>
      <c r="L703" s="2528">
        <v>350384.31</v>
      </c>
      <c r="M703" s="2163"/>
    </row>
    <row r="704" spans="1:15">
      <c r="A704" s="2164"/>
      <c r="B704" s="2164"/>
      <c r="C704" s="2164"/>
      <c r="D704" s="2164"/>
      <c r="E704" s="2164"/>
      <c r="F704" s="2164"/>
      <c r="G704" s="2164"/>
      <c r="H704" s="2528"/>
      <c r="I704" s="2528"/>
      <c r="J704" s="2528"/>
      <c r="K704" s="2163"/>
      <c r="L704" s="2528"/>
      <c r="M704" s="2163"/>
    </row>
    <row r="705" spans="1:15">
      <c r="A705" s="2160" t="s">
        <v>2680</v>
      </c>
      <c r="B705" s="2161"/>
      <c r="C705" s="2160" t="s">
        <v>2681</v>
      </c>
      <c r="D705" s="2161"/>
      <c r="E705" s="2160" t="s">
        <v>2640</v>
      </c>
      <c r="F705" s="2161"/>
    </row>
    <row r="706" spans="1:15">
      <c r="A706" s="2163"/>
      <c r="B706" s="2163"/>
      <c r="C706" s="2163"/>
      <c r="D706" s="2163"/>
      <c r="E706" s="2163"/>
      <c r="F706" s="2163"/>
      <c r="G706" s="2163"/>
      <c r="H706" s="2163"/>
      <c r="I706" s="2163"/>
      <c r="J706" s="2163"/>
      <c r="K706" s="2163"/>
      <c r="L706" s="2163"/>
      <c r="M706" s="2163"/>
    </row>
    <row r="707" spans="1:15">
      <c r="A707" s="2164"/>
      <c r="H707" s="2522" t="s">
        <v>2637</v>
      </c>
      <c r="I707" s="2522"/>
      <c r="J707" s="2163"/>
      <c r="K707" s="2528">
        <v>30017.081300000002</v>
      </c>
      <c r="L707" s="2528"/>
      <c r="M707" s="2163"/>
      <c r="N707" s="2527" t="s">
        <v>3081</v>
      </c>
      <c r="O707" s="2163"/>
    </row>
    <row r="708" spans="1:15">
      <c r="H708" s="2163"/>
      <c r="I708" s="2163"/>
      <c r="J708" s="2163"/>
      <c r="K708" s="2528"/>
      <c r="L708" s="2528"/>
      <c r="N708" s="2527"/>
    </row>
    <row r="709" spans="1:15">
      <c r="A709" s="2165">
        <v>81696</v>
      </c>
      <c r="B709" s="2163"/>
      <c r="C709" s="2524" t="s">
        <v>3059</v>
      </c>
      <c r="D709" s="2524"/>
      <c r="E709" s="2524"/>
      <c r="F709" s="2524"/>
      <c r="G709" s="2524"/>
      <c r="H709" s="2524"/>
      <c r="I709" s="2524"/>
      <c r="J709" s="2163"/>
      <c r="K709" s="2163"/>
      <c r="L709" s="2163"/>
      <c r="M709" s="2163"/>
    </row>
    <row r="710" spans="1:15">
      <c r="A710" s="2163"/>
      <c r="B710" s="2163"/>
      <c r="C710" s="2163"/>
      <c r="D710" s="2163"/>
      <c r="E710" s="2163"/>
      <c r="F710" s="2163"/>
      <c r="G710" s="2163"/>
      <c r="H710" s="2163"/>
      <c r="I710" s="2163"/>
      <c r="J710" s="2163"/>
      <c r="K710" s="2163"/>
      <c r="L710" s="2163"/>
      <c r="M710" s="2163"/>
    </row>
    <row r="711" spans="1:15">
      <c r="A711" s="2520" t="s">
        <v>2648</v>
      </c>
      <c r="B711" s="2520"/>
      <c r="C711" s="2520"/>
      <c r="D711" s="2166"/>
      <c r="E711" s="2166"/>
      <c r="F711" s="2166"/>
      <c r="G711" s="2166"/>
      <c r="H711" s="2526">
        <v>-510104.3</v>
      </c>
      <c r="I711" s="2526"/>
      <c r="J711" s="2526"/>
      <c r="K711" s="2166"/>
      <c r="L711" s="2168">
        <v>-51542527.299999997</v>
      </c>
      <c r="M711" s="2166"/>
    </row>
    <row r="712" spans="1:15">
      <c r="A712" s="2520" t="s">
        <v>2645</v>
      </c>
      <c r="B712" s="2520"/>
      <c r="C712" s="2520"/>
      <c r="D712" s="2166"/>
      <c r="E712" s="2166"/>
      <c r="F712" s="2166"/>
      <c r="G712" s="2166"/>
      <c r="H712" s="2525"/>
      <c r="I712" s="2525"/>
      <c r="J712" s="2525"/>
      <c r="K712" s="2166"/>
      <c r="L712" s="2167"/>
      <c r="M712" s="2166"/>
    </row>
    <row r="713" spans="1:15">
      <c r="A713" s="2520" t="s">
        <v>2645</v>
      </c>
      <c r="B713" s="2520"/>
      <c r="C713" s="2520"/>
      <c r="D713" s="2166"/>
      <c r="E713" s="2166"/>
      <c r="F713" s="2166"/>
      <c r="G713" s="2166"/>
      <c r="H713" s="2525">
        <v>131.55000000000001</v>
      </c>
      <c r="I713" s="2525"/>
      <c r="J713" s="2525"/>
      <c r="K713" s="2166"/>
      <c r="L713" s="2168">
        <v>13267.66</v>
      </c>
      <c r="M713" s="2166"/>
    </row>
    <row r="714" spans="1:15">
      <c r="A714" s="2520" t="s">
        <v>2649</v>
      </c>
      <c r="B714" s="2520"/>
      <c r="C714" s="2520"/>
      <c r="D714" s="2166"/>
      <c r="E714" s="2166"/>
      <c r="F714" s="2166"/>
      <c r="G714" s="2166"/>
      <c r="H714" s="2526">
        <v>549505.10800000001</v>
      </c>
      <c r="I714" s="2526"/>
      <c r="J714" s="2526"/>
      <c r="K714" s="2166"/>
      <c r="L714" s="2168">
        <v>55500000</v>
      </c>
      <c r="M714" s="2166"/>
    </row>
    <row r="715" spans="1:15">
      <c r="A715" s="2164"/>
      <c r="B715" s="2164"/>
      <c r="C715" s="2164"/>
      <c r="D715" s="2164"/>
      <c r="E715" s="2522" t="s">
        <v>2639</v>
      </c>
      <c r="F715" s="2522"/>
      <c r="G715" s="2164"/>
      <c r="H715" s="2528">
        <v>69549.440400000007</v>
      </c>
      <c r="I715" s="2528"/>
      <c r="J715" s="2528"/>
      <c r="K715" s="2163"/>
      <c r="L715" s="2528">
        <v>7025870.5599999996</v>
      </c>
      <c r="M715" s="2163"/>
    </row>
    <row r="716" spans="1:15">
      <c r="A716" s="2164"/>
      <c r="B716" s="2164"/>
      <c r="C716" s="2164"/>
      <c r="D716" s="2164"/>
      <c r="E716" s="2164"/>
      <c r="F716" s="2164"/>
      <c r="G716" s="2164"/>
      <c r="H716" s="2528"/>
      <c r="I716" s="2528"/>
      <c r="J716" s="2528"/>
      <c r="K716" s="2163"/>
      <c r="L716" s="2528"/>
      <c r="M716" s="2163"/>
    </row>
    <row r="717" spans="1:15">
      <c r="A717" s="2160" t="s">
        <v>2688</v>
      </c>
      <c r="B717" s="2161"/>
      <c r="C717" s="2160" t="s">
        <v>2689</v>
      </c>
      <c r="D717" s="2161"/>
      <c r="E717" s="2160" t="s">
        <v>2640</v>
      </c>
      <c r="F717" s="2161"/>
    </row>
    <row r="718" spans="1:15">
      <c r="A718" s="2163"/>
      <c r="B718" s="2163"/>
      <c r="C718" s="2163"/>
      <c r="D718" s="2163"/>
      <c r="E718" s="2163"/>
      <c r="F718" s="2163"/>
      <c r="G718" s="2163"/>
      <c r="H718" s="2163"/>
      <c r="I718" s="2163"/>
      <c r="J718" s="2163"/>
      <c r="K718" s="2163"/>
      <c r="L718" s="2163"/>
      <c r="M718" s="2163"/>
    </row>
    <row r="719" spans="1:15">
      <c r="A719" s="2164"/>
      <c r="H719" s="2522" t="s">
        <v>2637</v>
      </c>
      <c r="I719" s="2522"/>
      <c r="J719" s="2163"/>
      <c r="K719" s="2523">
        <v>0</v>
      </c>
      <c r="L719" s="2523"/>
      <c r="M719" s="2163"/>
      <c r="N719" s="2527"/>
      <c r="O719" s="2163"/>
    </row>
    <row r="720" spans="1:15">
      <c r="H720" s="2163"/>
      <c r="I720" s="2163"/>
      <c r="J720" s="2163"/>
      <c r="K720" s="2523"/>
      <c r="L720" s="2523"/>
      <c r="N720" s="2527"/>
    </row>
    <row r="721" spans="1:15">
      <c r="A721" s="2165">
        <v>4421</v>
      </c>
      <c r="B721" s="2163"/>
      <c r="C721" s="2524" t="s">
        <v>2854</v>
      </c>
      <c r="D721" s="2524"/>
      <c r="E721" s="2524"/>
      <c r="F721" s="2524"/>
      <c r="G721" s="2524"/>
      <c r="H721" s="2524"/>
      <c r="I721" s="2524"/>
      <c r="J721" s="2163"/>
      <c r="K721" s="2163"/>
      <c r="L721" s="2163"/>
      <c r="M721" s="2163"/>
    </row>
    <row r="722" spans="1:15">
      <c r="A722" s="2163"/>
      <c r="B722" s="2163"/>
      <c r="C722" s="2163"/>
      <c r="D722" s="2163"/>
      <c r="E722" s="2163"/>
      <c r="F722" s="2163"/>
      <c r="G722" s="2163"/>
      <c r="H722" s="2163"/>
      <c r="I722" s="2163"/>
      <c r="J722" s="2163"/>
      <c r="K722" s="2163"/>
      <c r="L722" s="2163"/>
      <c r="M722" s="2163"/>
    </row>
    <row r="723" spans="1:15">
      <c r="A723" s="2529"/>
      <c r="B723" s="2529"/>
      <c r="C723" s="2529"/>
      <c r="D723" s="2166"/>
      <c r="E723" s="2166"/>
      <c r="F723" s="2166"/>
      <c r="G723" s="2166"/>
      <c r="H723" s="2525"/>
      <c r="I723" s="2525"/>
      <c r="J723" s="2525"/>
      <c r="K723" s="2166"/>
      <c r="L723" s="2167"/>
      <c r="M723" s="2166"/>
    </row>
    <row r="724" spans="1:15">
      <c r="A724" s="2164"/>
      <c r="B724" s="2164"/>
      <c r="C724" s="2164"/>
      <c r="D724" s="2164"/>
      <c r="E724" s="2522" t="s">
        <v>2639</v>
      </c>
      <c r="F724" s="2522"/>
      <c r="G724" s="2164"/>
      <c r="H724" s="2523">
        <v>0</v>
      </c>
      <c r="I724" s="2523"/>
      <c r="J724" s="2523"/>
      <c r="K724" s="2163"/>
      <c r="L724" s="2523">
        <v>0</v>
      </c>
      <c r="M724" s="2163"/>
    </row>
    <row r="725" spans="1:15">
      <c r="A725" s="2164"/>
      <c r="B725" s="2164"/>
      <c r="C725" s="2164"/>
      <c r="D725" s="2164"/>
      <c r="E725" s="2164"/>
      <c r="F725" s="2164"/>
      <c r="G725" s="2164"/>
      <c r="H725" s="2523"/>
      <c r="I725" s="2523"/>
      <c r="J725" s="2523"/>
      <c r="K725" s="2163"/>
      <c r="L725" s="2523"/>
      <c r="M725" s="2163"/>
    </row>
    <row r="726" spans="1:15">
      <c r="A726" s="2160" t="s">
        <v>2688</v>
      </c>
      <c r="B726" s="2161"/>
      <c r="C726" s="2160" t="s">
        <v>2689</v>
      </c>
      <c r="D726" s="2161"/>
      <c r="E726" s="2160" t="s">
        <v>2640</v>
      </c>
      <c r="F726" s="2161"/>
    </row>
    <row r="727" spans="1:15">
      <c r="A727" s="2163"/>
      <c r="B727" s="2163"/>
      <c r="C727" s="2163"/>
      <c r="D727" s="2163"/>
      <c r="E727" s="2163"/>
      <c r="F727" s="2163"/>
      <c r="G727" s="2163"/>
      <c r="H727" s="2163"/>
      <c r="I727" s="2163"/>
      <c r="J727" s="2163"/>
      <c r="K727" s="2163"/>
      <c r="L727" s="2163"/>
      <c r="M727" s="2163"/>
    </row>
    <row r="728" spans="1:15">
      <c r="A728" s="2164"/>
      <c r="H728" s="2522" t="s">
        <v>2637</v>
      </c>
      <c r="I728" s="2522"/>
      <c r="J728" s="2163"/>
      <c r="K728" s="2523">
        <v>0</v>
      </c>
      <c r="L728" s="2523"/>
      <c r="M728" s="2163"/>
      <c r="N728" s="2527"/>
      <c r="O728" s="2163"/>
    </row>
    <row r="729" spans="1:15">
      <c r="H729" s="2163"/>
      <c r="I729" s="2163"/>
      <c r="J729" s="2163"/>
      <c r="K729" s="2523"/>
      <c r="L729" s="2523"/>
      <c r="N729" s="2527"/>
    </row>
    <row r="730" spans="1:15">
      <c r="A730" s="2165">
        <v>40147</v>
      </c>
      <c r="B730" s="2163"/>
      <c r="C730" s="2524" t="s">
        <v>2856</v>
      </c>
      <c r="D730" s="2524"/>
      <c r="E730" s="2524"/>
      <c r="F730" s="2524"/>
      <c r="G730" s="2524"/>
      <c r="H730" s="2524"/>
      <c r="I730" s="2524"/>
      <c r="J730" s="2163"/>
      <c r="K730" s="2163"/>
      <c r="L730" s="2163"/>
      <c r="M730" s="2163"/>
    </row>
    <row r="731" spans="1:15">
      <c r="A731" s="2163"/>
      <c r="B731" s="2163"/>
      <c r="C731" s="2163"/>
      <c r="D731" s="2163"/>
      <c r="E731" s="2163"/>
      <c r="F731" s="2163"/>
      <c r="G731" s="2163"/>
      <c r="H731" s="2163"/>
      <c r="I731" s="2163"/>
      <c r="J731" s="2163"/>
      <c r="K731" s="2163"/>
      <c r="L731" s="2163"/>
      <c r="M731" s="2163"/>
    </row>
    <row r="732" spans="1:15">
      <c r="A732" s="2529"/>
      <c r="B732" s="2529"/>
      <c r="C732" s="2529"/>
      <c r="D732" s="2166"/>
      <c r="E732" s="2166"/>
      <c r="F732" s="2166"/>
      <c r="G732" s="2166"/>
      <c r="H732" s="2525"/>
      <c r="I732" s="2525"/>
      <c r="J732" s="2525"/>
      <c r="K732" s="2166"/>
      <c r="L732" s="2167"/>
      <c r="M732" s="2166"/>
    </row>
    <row r="733" spans="1:15">
      <c r="A733" s="2164"/>
      <c r="B733" s="2164"/>
      <c r="C733" s="2164"/>
      <c r="D733" s="2164"/>
      <c r="E733" s="2522" t="s">
        <v>2639</v>
      </c>
      <c r="F733" s="2522"/>
      <c r="G733" s="2164"/>
      <c r="H733" s="2523">
        <v>0</v>
      </c>
      <c r="I733" s="2523"/>
      <c r="J733" s="2523"/>
      <c r="K733" s="2163"/>
      <c r="L733" s="2523">
        <v>0</v>
      </c>
      <c r="M733" s="2163"/>
    </row>
    <row r="734" spans="1:15">
      <c r="A734" s="2164"/>
      <c r="B734" s="2164"/>
      <c r="C734" s="2164"/>
      <c r="D734" s="2164"/>
      <c r="E734" s="2164"/>
      <c r="F734" s="2164"/>
      <c r="G734" s="2164"/>
      <c r="H734" s="2523"/>
      <c r="I734" s="2523"/>
      <c r="J734" s="2523"/>
      <c r="K734" s="2163"/>
      <c r="L734" s="2523"/>
      <c r="M734" s="2163"/>
    </row>
    <row r="735" spans="1:15">
      <c r="A735" s="2160" t="s">
        <v>2688</v>
      </c>
      <c r="B735" s="2161"/>
      <c r="C735" s="2160" t="s">
        <v>2689</v>
      </c>
      <c r="D735" s="2161"/>
      <c r="E735" s="2160" t="s">
        <v>2640</v>
      </c>
      <c r="F735" s="2161"/>
    </row>
    <row r="736" spans="1:15">
      <c r="A736" s="2163"/>
      <c r="B736" s="2163"/>
      <c r="C736" s="2163"/>
      <c r="D736" s="2163"/>
      <c r="E736" s="2163"/>
      <c r="F736" s="2163"/>
      <c r="G736" s="2163"/>
      <c r="H736" s="2163"/>
      <c r="I736" s="2163"/>
      <c r="J736" s="2163"/>
      <c r="K736" s="2163"/>
      <c r="L736" s="2163"/>
      <c r="M736" s="2163"/>
    </row>
    <row r="737" spans="1:15">
      <c r="A737" s="2164"/>
      <c r="H737" s="2522" t="s">
        <v>2637</v>
      </c>
      <c r="I737" s="2522"/>
      <c r="J737" s="2163"/>
      <c r="K737" s="2523">
        <v>0</v>
      </c>
      <c r="L737" s="2523"/>
      <c r="M737" s="2163"/>
      <c r="N737" s="2527"/>
      <c r="O737" s="2163"/>
    </row>
    <row r="738" spans="1:15">
      <c r="H738" s="2163"/>
      <c r="I738" s="2163"/>
      <c r="J738" s="2163"/>
      <c r="K738" s="2523"/>
      <c r="L738" s="2523"/>
      <c r="N738" s="2527"/>
    </row>
    <row r="739" spans="1:15">
      <c r="A739" s="2165">
        <v>34239</v>
      </c>
      <c r="B739" s="2163"/>
      <c r="C739" s="2524" t="s">
        <v>3054</v>
      </c>
      <c r="D739" s="2524"/>
      <c r="E739" s="2524"/>
      <c r="F739" s="2524"/>
      <c r="G739" s="2524"/>
      <c r="H739" s="2524"/>
      <c r="I739" s="2524"/>
      <c r="J739" s="2163"/>
      <c r="K739" s="2163"/>
      <c r="L739" s="2163"/>
      <c r="M739" s="2163"/>
    </row>
    <row r="740" spans="1:15">
      <c r="A740" s="2163"/>
      <c r="B740" s="2163"/>
      <c r="C740" s="2163"/>
      <c r="D740" s="2163"/>
      <c r="E740" s="2163"/>
      <c r="F740" s="2163"/>
      <c r="G740" s="2163"/>
      <c r="H740" s="2163"/>
      <c r="I740" s="2163"/>
      <c r="J740" s="2163"/>
      <c r="K740" s="2163"/>
      <c r="L740" s="2163"/>
      <c r="M740" s="2163"/>
    </row>
    <row r="741" spans="1:15">
      <c r="A741" s="2529"/>
      <c r="B741" s="2529"/>
      <c r="C741" s="2529"/>
      <c r="D741" s="2166"/>
      <c r="E741" s="2166"/>
      <c r="F741" s="2166"/>
      <c r="G741" s="2166"/>
      <c r="H741" s="2525"/>
      <c r="I741" s="2525"/>
      <c r="J741" s="2525"/>
      <c r="K741" s="2166"/>
      <c r="L741" s="2167"/>
      <c r="M741" s="2166"/>
    </row>
    <row r="742" spans="1:15">
      <c r="A742" s="2164"/>
      <c r="B742" s="2164"/>
      <c r="C742" s="2164"/>
      <c r="D742" s="2164"/>
      <c r="E742" s="2522" t="s">
        <v>2639</v>
      </c>
      <c r="F742" s="2522"/>
      <c r="G742" s="2164"/>
      <c r="H742" s="2523">
        <v>0</v>
      </c>
      <c r="I742" s="2523"/>
      <c r="J742" s="2523"/>
      <c r="K742" s="2163"/>
      <c r="L742" s="2523">
        <v>0</v>
      </c>
      <c r="M742" s="2163"/>
    </row>
    <row r="743" spans="1:15">
      <c r="A743" s="2164"/>
      <c r="B743" s="2164"/>
      <c r="C743" s="2164"/>
      <c r="D743" s="2164"/>
      <c r="E743" s="2164"/>
      <c r="F743" s="2164"/>
      <c r="G743" s="2164"/>
      <c r="H743" s="2523"/>
      <c r="I743" s="2523"/>
      <c r="J743" s="2523"/>
      <c r="K743" s="2163"/>
      <c r="L743" s="2523"/>
      <c r="M743" s="2163"/>
    </row>
    <row r="744" spans="1:15">
      <c r="A744" s="2160" t="s">
        <v>2688</v>
      </c>
      <c r="B744" s="2161"/>
      <c r="C744" s="2160" t="s">
        <v>2689</v>
      </c>
      <c r="D744" s="2161"/>
      <c r="E744" s="2160" t="s">
        <v>2640</v>
      </c>
      <c r="F744" s="2161"/>
    </row>
    <row r="745" spans="1:15">
      <c r="A745" s="2163"/>
      <c r="B745" s="2163"/>
      <c r="C745" s="2163"/>
      <c r="D745" s="2163"/>
      <c r="E745" s="2163"/>
      <c r="F745" s="2163"/>
      <c r="G745" s="2163"/>
      <c r="H745" s="2163"/>
      <c r="I745" s="2163"/>
      <c r="J745" s="2163"/>
      <c r="K745" s="2163"/>
      <c r="L745" s="2163"/>
      <c r="M745" s="2163"/>
    </row>
    <row r="746" spans="1:15">
      <c r="A746" s="2164"/>
      <c r="H746" s="2522" t="s">
        <v>2637</v>
      </c>
      <c r="I746" s="2522"/>
      <c r="J746" s="2163"/>
      <c r="K746" s="2528">
        <v>344130.5306</v>
      </c>
      <c r="L746" s="2528"/>
      <c r="M746" s="2163"/>
      <c r="N746" s="2527" t="s">
        <v>3082</v>
      </c>
      <c r="O746" s="2163"/>
    </row>
    <row r="747" spans="1:15">
      <c r="H747" s="2163"/>
      <c r="I747" s="2163"/>
      <c r="J747" s="2163"/>
      <c r="K747" s="2528"/>
      <c r="L747" s="2528"/>
      <c r="N747" s="2527"/>
    </row>
    <row r="748" spans="1:15">
      <c r="A748" s="2165">
        <v>54156</v>
      </c>
      <c r="B748" s="2163"/>
      <c r="C748" s="2524" t="s">
        <v>2875</v>
      </c>
      <c r="D748" s="2524"/>
      <c r="E748" s="2524"/>
      <c r="F748" s="2524"/>
      <c r="G748" s="2524"/>
      <c r="H748" s="2524"/>
      <c r="I748" s="2524"/>
      <c r="J748" s="2163"/>
      <c r="K748" s="2163"/>
      <c r="L748" s="2163"/>
      <c r="M748" s="2163"/>
    </row>
    <row r="749" spans="1:15">
      <c r="A749" s="2163"/>
      <c r="B749" s="2163"/>
      <c r="C749" s="2163"/>
      <c r="D749" s="2163"/>
      <c r="E749" s="2163"/>
      <c r="F749" s="2163"/>
      <c r="G749" s="2163"/>
      <c r="H749" s="2163"/>
      <c r="I749" s="2163"/>
      <c r="J749" s="2163"/>
      <c r="K749" s="2163"/>
      <c r="L749" s="2163"/>
      <c r="M749" s="2163"/>
    </row>
    <row r="750" spans="1:15">
      <c r="A750" s="2529"/>
      <c r="B750" s="2529"/>
      <c r="C750" s="2529"/>
      <c r="D750" s="2166"/>
      <c r="E750" s="2166"/>
      <c r="F750" s="2166"/>
      <c r="G750" s="2166"/>
      <c r="H750" s="2525"/>
      <c r="I750" s="2525"/>
      <c r="J750" s="2525"/>
      <c r="K750" s="2166"/>
      <c r="L750" s="2167"/>
      <c r="M750" s="2166"/>
    </row>
    <row r="751" spans="1:15">
      <c r="A751" s="2164"/>
      <c r="B751" s="2164"/>
      <c r="C751" s="2164"/>
      <c r="D751" s="2164"/>
      <c r="E751" s="2522" t="s">
        <v>2639</v>
      </c>
      <c r="F751" s="2522"/>
      <c r="G751" s="2164"/>
      <c r="H751" s="2528">
        <v>344130.5306</v>
      </c>
      <c r="I751" s="2528"/>
      <c r="J751" s="2528"/>
      <c r="K751" s="2163"/>
      <c r="L751" s="2528">
        <v>35649548.469999999</v>
      </c>
      <c r="M751" s="2163"/>
    </row>
    <row r="752" spans="1:15">
      <c r="A752" s="2164"/>
      <c r="B752" s="2164"/>
      <c r="C752" s="2164"/>
      <c r="D752" s="2164"/>
      <c r="E752" s="2164"/>
      <c r="F752" s="2164"/>
      <c r="G752" s="2164"/>
      <c r="H752" s="2528"/>
      <c r="I752" s="2528"/>
      <c r="J752" s="2528"/>
      <c r="K752" s="2163"/>
      <c r="L752" s="2528"/>
      <c r="M752" s="2163"/>
    </row>
    <row r="753" spans="1:15">
      <c r="A753" s="2160" t="s">
        <v>2688</v>
      </c>
      <c r="B753" s="2161"/>
      <c r="C753" s="2160" t="s">
        <v>2689</v>
      </c>
      <c r="D753" s="2161"/>
      <c r="E753" s="2160" t="s">
        <v>2640</v>
      </c>
      <c r="F753" s="2161"/>
    </row>
    <row r="754" spans="1:15">
      <c r="A754" s="2163"/>
      <c r="B754" s="2163"/>
      <c r="C754" s="2163"/>
      <c r="D754" s="2163"/>
      <c r="E754" s="2163"/>
      <c r="F754" s="2163"/>
      <c r="G754" s="2163"/>
      <c r="H754" s="2163"/>
      <c r="I754" s="2163"/>
      <c r="J754" s="2163"/>
      <c r="K754" s="2163"/>
      <c r="L754" s="2163"/>
      <c r="M754" s="2163"/>
    </row>
    <row r="755" spans="1:15">
      <c r="A755" s="2164"/>
      <c r="H755" s="2522" t="s">
        <v>2637</v>
      </c>
      <c r="I755" s="2522"/>
      <c r="J755" s="2163"/>
      <c r="K755" s="2523">
        <v>0</v>
      </c>
      <c r="L755" s="2523"/>
      <c r="M755" s="2163"/>
      <c r="N755" s="2527"/>
      <c r="O755" s="2163"/>
    </row>
    <row r="756" spans="1:15">
      <c r="H756" s="2163"/>
      <c r="I756" s="2163"/>
      <c r="J756" s="2163"/>
      <c r="K756" s="2523"/>
      <c r="L756" s="2523"/>
      <c r="N756" s="2527"/>
    </row>
    <row r="757" spans="1:15">
      <c r="A757" s="2165">
        <v>55049</v>
      </c>
      <c r="B757" s="2163"/>
      <c r="C757" s="2524" t="s">
        <v>2860</v>
      </c>
      <c r="D757" s="2524"/>
      <c r="E757" s="2524"/>
      <c r="F757" s="2524"/>
      <c r="G757" s="2524"/>
      <c r="H757" s="2524"/>
      <c r="I757" s="2524"/>
      <c r="J757" s="2163"/>
      <c r="K757" s="2163"/>
      <c r="L757" s="2163"/>
      <c r="M757" s="2163"/>
    </row>
    <row r="758" spans="1:15">
      <c r="A758" s="2163"/>
      <c r="B758" s="2163"/>
      <c r="C758" s="2163"/>
      <c r="D758" s="2163"/>
      <c r="E758" s="2163"/>
      <c r="F758" s="2163"/>
      <c r="G758" s="2163"/>
      <c r="H758" s="2163"/>
      <c r="I758" s="2163"/>
      <c r="J758" s="2163"/>
      <c r="K758" s="2163"/>
      <c r="L758" s="2163"/>
      <c r="M758" s="2163"/>
    </row>
    <row r="759" spans="1:15">
      <c r="A759" s="2529"/>
      <c r="B759" s="2529"/>
      <c r="C759" s="2529"/>
      <c r="D759" s="2166"/>
      <c r="E759" s="2166"/>
      <c r="F759" s="2166"/>
      <c r="G759" s="2166"/>
      <c r="H759" s="2525"/>
      <c r="I759" s="2525"/>
      <c r="J759" s="2525"/>
      <c r="K759" s="2166"/>
      <c r="L759" s="2167"/>
      <c r="M759" s="2166"/>
    </row>
    <row r="760" spans="1:15">
      <c r="A760" s="2164"/>
      <c r="B760" s="2164"/>
      <c r="C760" s="2164"/>
      <c r="D760" s="2164"/>
      <c r="E760" s="2522" t="s">
        <v>2639</v>
      </c>
      <c r="F760" s="2522"/>
      <c r="G760" s="2164"/>
      <c r="H760" s="2523">
        <v>0</v>
      </c>
      <c r="I760" s="2523"/>
      <c r="J760" s="2523"/>
      <c r="K760" s="2163"/>
      <c r="L760" s="2523">
        <v>0</v>
      </c>
      <c r="M760" s="2163"/>
    </row>
    <row r="761" spans="1:15">
      <c r="A761" s="2164"/>
      <c r="B761" s="2164"/>
      <c r="C761" s="2164"/>
      <c r="D761" s="2164"/>
      <c r="E761" s="2164"/>
      <c r="F761" s="2164"/>
      <c r="G761" s="2164"/>
      <c r="H761" s="2523"/>
      <c r="I761" s="2523"/>
      <c r="J761" s="2523"/>
      <c r="K761" s="2163"/>
      <c r="L761" s="2523"/>
      <c r="M761" s="2163"/>
    </row>
    <row r="762" spans="1:15">
      <c r="A762" s="2160" t="s">
        <v>2688</v>
      </c>
      <c r="B762" s="2161"/>
      <c r="C762" s="2160" t="s">
        <v>2689</v>
      </c>
      <c r="D762" s="2161"/>
      <c r="E762" s="2160" t="s">
        <v>2640</v>
      </c>
      <c r="F762" s="2161"/>
    </row>
    <row r="763" spans="1:15">
      <c r="A763" s="2163"/>
      <c r="B763" s="2163"/>
      <c r="C763" s="2163"/>
      <c r="D763" s="2163"/>
      <c r="E763" s="2163"/>
      <c r="F763" s="2163"/>
      <c r="G763" s="2163"/>
      <c r="H763" s="2163"/>
      <c r="I763" s="2163"/>
      <c r="J763" s="2163"/>
      <c r="K763" s="2163"/>
      <c r="L763" s="2163"/>
      <c r="M763" s="2163"/>
    </row>
    <row r="764" spans="1:15">
      <c r="A764" s="2164"/>
      <c r="H764" s="2522" t="s">
        <v>2637</v>
      </c>
      <c r="I764" s="2522"/>
      <c r="J764" s="2163"/>
      <c r="K764" s="2523">
        <v>0</v>
      </c>
      <c r="L764" s="2523"/>
      <c r="M764" s="2163"/>
      <c r="N764" s="2527"/>
      <c r="O764" s="2163"/>
    </row>
    <row r="765" spans="1:15">
      <c r="H765" s="2163"/>
      <c r="I765" s="2163"/>
      <c r="J765" s="2163"/>
      <c r="K765" s="2523"/>
      <c r="L765" s="2523"/>
      <c r="N765" s="2527"/>
    </row>
    <row r="766" spans="1:15">
      <c r="A766" s="2165">
        <v>55205</v>
      </c>
      <c r="B766" s="2163"/>
      <c r="C766" s="2524" t="s">
        <v>2861</v>
      </c>
      <c r="D766" s="2524"/>
      <c r="E766" s="2524"/>
      <c r="F766" s="2524"/>
      <c r="G766" s="2524"/>
      <c r="H766" s="2524"/>
      <c r="I766" s="2524"/>
      <c r="J766" s="2163"/>
      <c r="K766" s="2163"/>
      <c r="L766" s="2163"/>
      <c r="M766" s="2163"/>
    </row>
    <row r="767" spans="1:15">
      <c r="A767" s="2163"/>
      <c r="B767" s="2163"/>
      <c r="C767" s="2163"/>
      <c r="D767" s="2163"/>
      <c r="E767" s="2163"/>
      <c r="F767" s="2163"/>
      <c r="G767" s="2163"/>
      <c r="H767" s="2163"/>
      <c r="I767" s="2163"/>
      <c r="J767" s="2163"/>
      <c r="K767" s="2163"/>
      <c r="L767" s="2163"/>
      <c r="M767" s="2163"/>
    </row>
    <row r="768" spans="1:15">
      <c r="A768" s="2529"/>
      <c r="B768" s="2529"/>
      <c r="C768" s="2529"/>
      <c r="D768" s="2166"/>
      <c r="E768" s="2166"/>
      <c r="F768" s="2166"/>
      <c r="G768" s="2166"/>
      <c r="H768" s="2525"/>
      <c r="I768" s="2525"/>
      <c r="J768" s="2525"/>
      <c r="K768" s="2166"/>
      <c r="L768" s="2167"/>
      <c r="M768" s="2166"/>
    </row>
    <row r="769" spans="1:15">
      <c r="A769" s="2164"/>
      <c r="B769" s="2164"/>
      <c r="C769" s="2164"/>
      <c r="D769" s="2164"/>
      <c r="E769" s="2522" t="s">
        <v>2639</v>
      </c>
      <c r="F769" s="2522"/>
      <c r="G769" s="2164"/>
      <c r="H769" s="2523">
        <v>0</v>
      </c>
      <c r="I769" s="2523"/>
      <c r="J769" s="2523"/>
      <c r="K769" s="2163"/>
      <c r="L769" s="2523">
        <v>0</v>
      </c>
      <c r="M769" s="2163"/>
    </row>
    <row r="770" spans="1:15">
      <c r="A770" s="2164"/>
      <c r="B770" s="2164"/>
      <c r="C770" s="2164"/>
      <c r="D770" s="2164"/>
      <c r="E770" s="2164"/>
      <c r="F770" s="2164"/>
      <c r="G770" s="2164"/>
      <c r="H770" s="2523"/>
      <c r="I770" s="2523"/>
      <c r="J770" s="2523"/>
      <c r="K770" s="2163"/>
      <c r="L770" s="2523"/>
      <c r="M770" s="2163"/>
    </row>
    <row r="771" spans="1:15">
      <c r="A771" s="2160" t="s">
        <v>2688</v>
      </c>
      <c r="B771" s="2161"/>
      <c r="C771" s="2160" t="s">
        <v>2689</v>
      </c>
      <c r="D771" s="2161"/>
      <c r="E771" s="2160" t="s">
        <v>2640</v>
      </c>
      <c r="F771" s="2161"/>
    </row>
    <row r="772" spans="1:15">
      <c r="A772" s="2163"/>
      <c r="B772" s="2163"/>
      <c r="C772" s="2163"/>
      <c r="D772" s="2163"/>
      <c r="E772" s="2163"/>
      <c r="F772" s="2163"/>
      <c r="G772" s="2163"/>
      <c r="H772" s="2163"/>
      <c r="I772" s="2163"/>
      <c r="J772" s="2163"/>
      <c r="K772" s="2163"/>
      <c r="L772" s="2163"/>
      <c r="M772" s="2163"/>
    </row>
    <row r="773" spans="1:15">
      <c r="A773" s="2164"/>
      <c r="H773" s="2522" t="s">
        <v>2637</v>
      </c>
      <c r="I773" s="2522"/>
      <c r="J773" s="2163"/>
      <c r="K773" s="2528">
        <v>258144.61840000001</v>
      </c>
      <c r="L773" s="2528"/>
      <c r="M773" s="2163"/>
      <c r="N773" s="2527" t="s">
        <v>3083</v>
      </c>
      <c r="O773" s="2163"/>
    </row>
    <row r="774" spans="1:15">
      <c r="H774" s="2163"/>
      <c r="I774" s="2163"/>
      <c r="J774" s="2163"/>
      <c r="K774" s="2528"/>
      <c r="L774" s="2528"/>
      <c r="N774" s="2527"/>
    </row>
    <row r="775" spans="1:15">
      <c r="A775" s="2165">
        <v>67892</v>
      </c>
      <c r="B775" s="2163"/>
      <c r="C775" s="2524" t="s">
        <v>2865</v>
      </c>
      <c r="D775" s="2524"/>
      <c r="E775" s="2524"/>
      <c r="F775" s="2524"/>
      <c r="G775" s="2524"/>
      <c r="H775" s="2524"/>
      <c r="I775" s="2524"/>
      <c r="J775" s="2163"/>
      <c r="K775" s="2163"/>
      <c r="L775" s="2163"/>
      <c r="M775" s="2163"/>
    </row>
    <row r="776" spans="1:15">
      <c r="A776" s="2163"/>
      <c r="B776" s="2163"/>
      <c r="C776" s="2163"/>
      <c r="D776" s="2163"/>
      <c r="E776" s="2163"/>
      <c r="F776" s="2163"/>
      <c r="G776" s="2163"/>
      <c r="H776" s="2163"/>
      <c r="I776" s="2163"/>
      <c r="J776" s="2163"/>
      <c r="K776" s="2163"/>
      <c r="L776" s="2163"/>
      <c r="M776" s="2163"/>
    </row>
    <row r="777" spans="1:15">
      <c r="A777" s="2520" t="s">
        <v>2647</v>
      </c>
      <c r="B777" s="2520"/>
      <c r="C777" s="2520"/>
      <c r="D777" s="2166"/>
      <c r="E777" s="2166"/>
      <c r="F777" s="2166"/>
      <c r="G777" s="2166"/>
      <c r="H777" s="2526">
        <v>123884.251</v>
      </c>
      <c r="I777" s="2526"/>
      <c r="J777" s="2526"/>
      <c r="K777" s="2166"/>
      <c r="L777" s="2168">
        <v>12682377.060000001</v>
      </c>
      <c r="M777" s="2166"/>
    </row>
    <row r="778" spans="1:15">
      <c r="A778" s="2520" t="s">
        <v>2648</v>
      </c>
      <c r="B778" s="2520"/>
      <c r="C778" s="2520"/>
      <c r="D778" s="2166"/>
      <c r="E778" s="2166"/>
      <c r="F778" s="2166"/>
      <c r="G778" s="2166"/>
      <c r="H778" s="2526">
        <v>-219240.06899999999</v>
      </c>
      <c r="I778" s="2526"/>
      <c r="J778" s="2526"/>
      <c r="K778" s="2166"/>
      <c r="L778" s="2168">
        <v>-22620829</v>
      </c>
      <c r="M778" s="2166"/>
    </row>
    <row r="779" spans="1:15">
      <c r="A779" s="2520" t="s">
        <v>2679</v>
      </c>
      <c r="B779" s="2520"/>
      <c r="C779" s="2520"/>
      <c r="D779" s="2166"/>
      <c r="E779" s="2166"/>
      <c r="F779" s="2166"/>
      <c r="G779" s="2166"/>
      <c r="H779" s="2526">
        <v>-9754.8310000000001</v>
      </c>
      <c r="I779" s="2526"/>
      <c r="J779" s="2526"/>
      <c r="K779" s="2166"/>
      <c r="L779" s="2168">
        <v>-1000000</v>
      </c>
      <c r="M779" s="2166"/>
    </row>
    <row r="780" spans="1:15">
      <c r="A780" s="2520" t="s">
        <v>2649</v>
      </c>
      <c r="B780" s="2520"/>
      <c r="C780" s="2520"/>
      <c r="D780" s="2166"/>
      <c r="E780" s="2166"/>
      <c r="F780" s="2166"/>
      <c r="G780" s="2166"/>
      <c r="H780" s="2526">
        <v>2102.4119999999998</v>
      </c>
      <c r="I780" s="2526"/>
      <c r="J780" s="2526"/>
      <c r="K780" s="2166"/>
      <c r="L780" s="2168">
        <v>217511.5</v>
      </c>
      <c r="M780" s="2166"/>
    </row>
    <row r="781" spans="1:15">
      <c r="A781" s="2164"/>
      <c r="B781" s="2164"/>
      <c r="C781" s="2164"/>
      <c r="D781" s="2164"/>
      <c r="E781" s="2522" t="s">
        <v>2639</v>
      </c>
      <c r="F781" s="2522"/>
      <c r="G781" s="2164"/>
      <c r="H781" s="2528">
        <v>155136.37969999999</v>
      </c>
      <c r="I781" s="2528"/>
      <c r="J781" s="2528"/>
      <c r="K781" s="2163"/>
      <c r="L781" s="2528">
        <v>16071058.5</v>
      </c>
      <c r="M781" s="2163"/>
    </row>
    <row r="782" spans="1:15">
      <c r="A782" s="2164"/>
      <c r="B782" s="2164"/>
      <c r="C782" s="2164"/>
      <c r="D782" s="2164"/>
      <c r="E782" s="2164"/>
      <c r="F782" s="2164"/>
      <c r="G782" s="2164"/>
      <c r="H782" s="2528"/>
      <c r="I782" s="2528"/>
      <c r="J782" s="2528"/>
      <c r="K782" s="2163"/>
      <c r="L782" s="2528"/>
      <c r="M782" s="2163"/>
    </row>
    <row r="783" spans="1:15">
      <c r="A783" s="2160" t="s">
        <v>2688</v>
      </c>
      <c r="B783" s="2161"/>
      <c r="C783" s="2160" t="s">
        <v>2689</v>
      </c>
      <c r="D783" s="2161"/>
      <c r="E783" s="2160" t="s">
        <v>2640</v>
      </c>
      <c r="F783" s="2161"/>
    </row>
    <row r="784" spans="1:15">
      <c r="A784" s="2163"/>
      <c r="B784" s="2163"/>
      <c r="C784" s="2163"/>
      <c r="D784" s="2163"/>
      <c r="E784" s="2163"/>
      <c r="F784" s="2163"/>
      <c r="G784" s="2163"/>
      <c r="H784" s="2163"/>
      <c r="I784" s="2163"/>
      <c r="J784" s="2163"/>
      <c r="K784" s="2163"/>
      <c r="L784" s="2163"/>
      <c r="M784" s="2163"/>
    </row>
    <row r="785" spans="1:15">
      <c r="A785" s="2164"/>
      <c r="H785" s="2522" t="s">
        <v>2637</v>
      </c>
      <c r="I785" s="2522"/>
      <c r="J785" s="2163"/>
      <c r="K785" s="2528">
        <v>232318.7482</v>
      </c>
      <c r="L785" s="2528"/>
      <c r="M785" s="2163"/>
      <c r="N785" s="2527" t="s">
        <v>3084</v>
      </c>
      <c r="O785" s="2163"/>
    </row>
    <row r="786" spans="1:15">
      <c r="H786" s="2163"/>
      <c r="I786" s="2163"/>
      <c r="J786" s="2163"/>
      <c r="K786" s="2528"/>
      <c r="L786" s="2528"/>
      <c r="N786" s="2527"/>
    </row>
    <row r="787" spans="1:15">
      <c r="A787" s="2165">
        <v>69742</v>
      </c>
      <c r="B787" s="2163"/>
      <c r="C787" s="2524" t="s">
        <v>2876</v>
      </c>
      <c r="D787" s="2524"/>
      <c r="E787" s="2524"/>
      <c r="F787" s="2524"/>
      <c r="G787" s="2524"/>
      <c r="H787" s="2524"/>
      <c r="I787" s="2524"/>
      <c r="J787" s="2163"/>
      <c r="K787" s="2163"/>
      <c r="L787" s="2163"/>
      <c r="M787" s="2163"/>
    </row>
    <row r="788" spans="1:15">
      <c r="A788" s="2163"/>
      <c r="B788" s="2163"/>
      <c r="C788" s="2163"/>
      <c r="D788" s="2163"/>
      <c r="E788" s="2163"/>
      <c r="F788" s="2163"/>
      <c r="G788" s="2163"/>
      <c r="H788" s="2163"/>
      <c r="I788" s="2163"/>
      <c r="J788" s="2163"/>
      <c r="K788" s="2163"/>
      <c r="L788" s="2163"/>
      <c r="M788" s="2163"/>
    </row>
    <row r="789" spans="1:15">
      <c r="A789" s="2520" t="s">
        <v>2647</v>
      </c>
      <c r="B789" s="2520"/>
      <c r="C789" s="2520"/>
      <c r="D789" s="2166"/>
      <c r="E789" s="2166"/>
      <c r="F789" s="2166"/>
      <c r="G789" s="2166"/>
      <c r="H789" s="2526">
        <v>56490.288999999997</v>
      </c>
      <c r="I789" s="2526"/>
      <c r="J789" s="2526"/>
      <c r="K789" s="2166"/>
      <c r="L789" s="2168">
        <v>5786945</v>
      </c>
      <c r="M789" s="2166"/>
    </row>
    <row r="790" spans="1:15">
      <c r="A790" s="2520" t="s">
        <v>2648</v>
      </c>
      <c r="B790" s="2520"/>
      <c r="C790" s="2520"/>
      <c r="D790" s="2166"/>
      <c r="E790" s="2166"/>
      <c r="F790" s="2166"/>
      <c r="G790" s="2166"/>
      <c r="H790" s="2526">
        <v>-188741.19699999999</v>
      </c>
      <c r="I790" s="2526"/>
      <c r="J790" s="2526"/>
      <c r="K790" s="2166"/>
      <c r="L790" s="2168">
        <v>-19484000</v>
      </c>
      <c r="M790" s="2166"/>
    </row>
    <row r="791" spans="1:15">
      <c r="A791" s="2520" t="s">
        <v>2649</v>
      </c>
      <c r="B791" s="2520"/>
      <c r="C791" s="2520"/>
      <c r="D791" s="2166"/>
      <c r="E791" s="2166"/>
      <c r="F791" s="2166"/>
      <c r="G791" s="2166"/>
      <c r="H791" s="2526">
        <v>1859.2429999999999</v>
      </c>
      <c r="I791" s="2526"/>
      <c r="J791" s="2526"/>
      <c r="K791" s="2166"/>
      <c r="L791" s="2168">
        <v>192353.71</v>
      </c>
      <c r="M791" s="2166"/>
    </row>
    <row r="792" spans="1:15">
      <c r="A792" s="2164"/>
      <c r="B792" s="2164"/>
      <c r="C792" s="2164"/>
      <c r="D792" s="2164"/>
      <c r="E792" s="2522" t="s">
        <v>2639</v>
      </c>
      <c r="F792" s="2522"/>
      <c r="G792" s="2164"/>
      <c r="H792" s="2528">
        <v>101927.0821</v>
      </c>
      <c r="I792" s="2528"/>
      <c r="J792" s="2528"/>
      <c r="K792" s="2163"/>
      <c r="L792" s="2528">
        <v>10558942.41</v>
      </c>
      <c r="M792" s="2163"/>
    </row>
    <row r="793" spans="1:15">
      <c r="A793" s="2164"/>
      <c r="B793" s="2164"/>
      <c r="C793" s="2164"/>
      <c r="D793" s="2164"/>
      <c r="E793" s="2164"/>
      <c r="F793" s="2164"/>
      <c r="G793" s="2164"/>
      <c r="H793" s="2528"/>
      <c r="I793" s="2528"/>
      <c r="J793" s="2528"/>
      <c r="K793" s="2163"/>
      <c r="L793" s="2528"/>
      <c r="M793" s="2163"/>
    </row>
    <row r="794" spans="1:15">
      <c r="A794" s="2160" t="s">
        <v>2688</v>
      </c>
      <c r="B794" s="2161"/>
      <c r="C794" s="2160" t="s">
        <v>2689</v>
      </c>
      <c r="D794" s="2161"/>
      <c r="E794" s="2160" t="s">
        <v>2640</v>
      </c>
      <c r="F794" s="2161"/>
    </row>
    <row r="795" spans="1:15">
      <c r="A795" s="2163"/>
      <c r="B795" s="2163"/>
      <c r="C795" s="2163"/>
      <c r="D795" s="2163"/>
      <c r="E795" s="2163"/>
      <c r="F795" s="2163"/>
      <c r="G795" s="2163"/>
      <c r="H795" s="2163"/>
      <c r="I795" s="2163"/>
      <c r="J795" s="2163"/>
      <c r="K795" s="2163"/>
      <c r="L795" s="2163"/>
      <c r="M795" s="2163"/>
    </row>
    <row r="796" spans="1:15">
      <c r="A796" s="2164"/>
      <c r="H796" s="2522" t="s">
        <v>2637</v>
      </c>
      <c r="I796" s="2522"/>
      <c r="J796" s="2163"/>
      <c r="K796" s="2528">
        <v>75422.732099999994</v>
      </c>
      <c r="L796" s="2528"/>
      <c r="M796" s="2163"/>
      <c r="N796" s="2527" t="s">
        <v>3085</v>
      </c>
      <c r="O796" s="2163"/>
    </row>
    <row r="797" spans="1:15">
      <c r="H797" s="2163"/>
      <c r="I797" s="2163"/>
      <c r="J797" s="2163"/>
      <c r="K797" s="2528"/>
      <c r="L797" s="2528"/>
      <c r="N797" s="2527"/>
    </row>
    <row r="798" spans="1:15">
      <c r="A798" s="2165">
        <v>70568</v>
      </c>
      <c r="B798" s="2163"/>
      <c r="C798" s="2524" t="s">
        <v>2864</v>
      </c>
      <c r="D798" s="2524"/>
      <c r="E798" s="2524"/>
      <c r="F798" s="2524"/>
      <c r="G798" s="2524"/>
      <c r="H798" s="2524"/>
      <c r="I798" s="2524"/>
      <c r="J798" s="2163"/>
      <c r="K798" s="2163"/>
      <c r="L798" s="2163"/>
      <c r="M798" s="2163"/>
    </row>
    <row r="799" spans="1:15">
      <c r="A799" s="2163"/>
      <c r="B799" s="2163"/>
      <c r="C799" s="2163"/>
      <c r="D799" s="2163"/>
      <c r="E799" s="2163"/>
      <c r="F799" s="2163"/>
      <c r="G799" s="2163"/>
      <c r="H799" s="2163"/>
      <c r="I799" s="2163"/>
      <c r="J799" s="2163"/>
      <c r="K799" s="2163"/>
      <c r="L799" s="2163"/>
      <c r="M799" s="2163"/>
    </row>
    <row r="800" spans="1:15">
      <c r="A800" s="2520" t="s">
        <v>2647</v>
      </c>
      <c r="B800" s="2520"/>
      <c r="C800" s="2520"/>
      <c r="D800" s="2166"/>
      <c r="E800" s="2166"/>
      <c r="F800" s="2166"/>
      <c r="G800" s="2166"/>
      <c r="H800" s="2526">
        <v>4876.6130000000003</v>
      </c>
      <c r="I800" s="2526"/>
      <c r="J800" s="2526"/>
      <c r="K800" s="2166"/>
      <c r="L800" s="2168">
        <v>499014</v>
      </c>
      <c r="M800" s="2166"/>
    </row>
    <row r="801" spans="1:15">
      <c r="A801" s="2520" t="s">
        <v>2648</v>
      </c>
      <c r="B801" s="2520"/>
      <c r="C801" s="2520"/>
      <c r="D801" s="2166"/>
      <c r="E801" s="2166"/>
      <c r="F801" s="2166"/>
      <c r="G801" s="2166"/>
      <c r="H801" s="2526">
        <v>-40914.125</v>
      </c>
      <c r="I801" s="2526"/>
      <c r="J801" s="2526"/>
      <c r="K801" s="2166"/>
      <c r="L801" s="2168">
        <v>-4200000</v>
      </c>
      <c r="M801" s="2166"/>
    </row>
    <row r="802" spans="1:15">
      <c r="A802" s="2520" t="s">
        <v>2679</v>
      </c>
      <c r="B802" s="2520"/>
      <c r="C802" s="2520"/>
      <c r="D802" s="2166"/>
      <c r="E802" s="2166"/>
      <c r="F802" s="2166"/>
      <c r="G802" s="2166"/>
      <c r="H802" s="2525">
        <v>-483.209</v>
      </c>
      <c r="I802" s="2525"/>
      <c r="J802" s="2525"/>
      <c r="K802" s="2166"/>
      <c r="L802" s="2168">
        <v>-50000</v>
      </c>
      <c r="M802" s="2166"/>
    </row>
    <row r="803" spans="1:15">
      <c r="A803" s="2520" t="s">
        <v>2649</v>
      </c>
      <c r="B803" s="2520"/>
      <c r="C803" s="2520"/>
      <c r="D803" s="2166"/>
      <c r="E803" s="2166"/>
      <c r="F803" s="2166"/>
      <c r="G803" s="2166"/>
      <c r="H803" s="2525">
        <v>0.1</v>
      </c>
      <c r="I803" s="2525"/>
      <c r="J803" s="2525"/>
      <c r="K803" s="2166"/>
      <c r="L803" s="2167">
        <v>10.33</v>
      </c>
      <c r="M803" s="2166"/>
    </row>
    <row r="804" spans="1:15">
      <c r="A804" s="2164"/>
      <c r="B804" s="2164"/>
      <c r="C804" s="2164"/>
      <c r="D804" s="2164"/>
      <c r="E804" s="2522" t="s">
        <v>2639</v>
      </c>
      <c r="F804" s="2522"/>
      <c r="G804" s="2164"/>
      <c r="H804" s="2528">
        <v>38902.110200000003</v>
      </c>
      <c r="I804" s="2528"/>
      <c r="J804" s="2528"/>
      <c r="K804" s="2163"/>
      <c r="L804" s="2528">
        <v>4029990.19</v>
      </c>
      <c r="M804" s="2163"/>
    </row>
    <row r="805" spans="1:15">
      <c r="A805" s="2164"/>
      <c r="B805" s="2164"/>
      <c r="C805" s="2164"/>
      <c r="D805" s="2164"/>
      <c r="E805" s="2164"/>
      <c r="F805" s="2164"/>
      <c r="G805" s="2164"/>
      <c r="H805" s="2528"/>
      <c r="I805" s="2528"/>
      <c r="J805" s="2528"/>
      <c r="K805" s="2163"/>
      <c r="L805" s="2528"/>
      <c r="M805" s="2163"/>
    </row>
    <row r="806" spans="1:15">
      <c r="A806" s="2160" t="s">
        <v>2688</v>
      </c>
      <c r="B806" s="2161"/>
      <c r="C806" s="2160" t="s">
        <v>2689</v>
      </c>
      <c r="D806" s="2161"/>
      <c r="E806" s="2160" t="s">
        <v>2640</v>
      </c>
      <c r="F806" s="2161"/>
    </row>
    <row r="807" spans="1:15">
      <c r="A807" s="2163"/>
      <c r="B807" s="2163"/>
      <c r="C807" s="2163"/>
      <c r="D807" s="2163"/>
      <c r="E807" s="2163"/>
      <c r="F807" s="2163"/>
      <c r="G807" s="2163"/>
      <c r="H807" s="2163"/>
      <c r="I807" s="2163"/>
      <c r="J807" s="2163"/>
      <c r="K807" s="2163"/>
      <c r="L807" s="2163"/>
      <c r="M807" s="2163"/>
    </row>
    <row r="808" spans="1:15">
      <c r="A808" s="2164"/>
      <c r="H808" s="2522" t="s">
        <v>2637</v>
      </c>
      <c r="I808" s="2522"/>
      <c r="J808" s="2163"/>
      <c r="K808" s="2523">
        <v>0</v>
      </c>
      <c r="L808" s="2523"/>
      <c r="M808" s="2163"/>
      <c r="N808" s="2527"/>
      <c r="O808" s="2163"/>
    </row>
    <row r="809" spans="1:15">
      <c r="H809" s="2163"/>
      <c r="I809" s="2163"/>
      <c r="J809" s="2163"/>
      <c r="K809" s="2523"/>
      <c r="L809" s="2523"/>
      <c r="N809" s="2527"/>
    </row>
    <row r="810" spans="1:15">
      <c r="A810" s="2165">
        <v>76029</v>
      </c>
      <c r="B810" s="2163"/>
      <c r="C810" s="2524" t="s">
        <v>2872</v>
      </c>
      <c r="D810" s="2524"/>
      <c r="E810" s="2524"/>
      <c r="F810" s="2524"/>
      <c r="G810" s="2524"/>
      <c r="H810" s="2524"/>
      <c r="I810" s="2524"/>
      <c r="J810" s="2163"/>
      <c r="K810" s="2163"/>
      <c r="L810" s="2163"/>
      <c r="M810" s="2163"/>
    </row>
    <row r="811" spans="1:15">
      <c r="A811" s="2163"/>
      <c r="B811" s="2163"/>
      <c r="C811" s="2163"/>
      <c r="D811" s="2163"/>
      <c r="E811" s="2163"/>
      <c r="F811" s="2163"/>
      <c r="G811" s="2163"/>
      <c r="H811" s="2163"/>
      <c r="I811" s="2163"/>
      <c r="J811" s="2163"/>
      <c r="K811" s="2163"/>
      <c r="L811" s="2163"/>
      <c r="M811" s="2163"/>
    </row>
    <row r="812" spans="1:15">
      <c r="A812" s="2520" t="s">
        <v>2647</v>
      </c>
      <c r="B812" s="2520"/>
      <c r="C812" s="2520"/>
      <c r="D812" s="2166"/>
      <c r="E812" s="2166"/>
      <c r="F812" s="2166"/>
      <c r="G812" s="2166"/>
      <c r="H812" s="2526">
        <v>79820.838000000003</v>
      </c>
      <c r="I812" s="2526"/>
      <c r="J812" s="2526"/>
      <c r="K812" s="2166"/>
      <c r="L812" s="2168">
        <v>8226902.29</v>
      </c>
      <c r="M812" s="2166"/>
    </row>
    <row r="813" spans="1:15">
      <c r="A813" s="2520" t="s">
        <v>2648</v>
      </c>
      <c r="B813" s="2520"/>
      <c r="C813" s="2520"/>
      <c r="D813" s="2166"/>
      <c r="E813" s="2166"/>
      <c r="F813" s="2166"/>
      <c r="G813" s="2166"/>
      <c r="H813" s="2526">
        <v>-79820.838000000003</v>
      </c>
      <c r="I813" s="2526"/>
      <c r="J813" s="2526"/>
      <c r="K813" s="2166"/>
      <c r="L813" s="2168">
        <v>-8230382.4800000004</v>
      </c>
      <c r="M813" s="2166"/>
    </row>
    <row r="814" spans="1:15">
      <c r="A814" s="2164"/>
      <c r="B814" s="2164"/>
      <c r="C814" s="2164"/>
      <c r="D814" s="2164"/>
      <c r="E814" s="2522" t="s">
        <v>2639</v>
      </c>
      <c r="F814" s="2522"/>
      <c r="G814" s="2164"/>
      <c r="H814" s="2523">
        <v>0</v>
      </c>
      <c r="I814" s="2523"/>
      <c r="J814" s="2523"/>
      <c r="K814" s="2163"/>
      <c r="L814" s="2523">
        <v>0</v>
      </c>
      <c r="M814" s="2163"/>
    </row>
    <row r="815" spans="1:15">
      <c r="A815" s="2164"/>
      <c r="B815" s="2164"/>
      <c r="C815" s="2164"/>
      <c r="D815" s="2164"/>
      <c r="E815" s="2164"/>
      <c r="F815" s="2164"/>
      <c r="G815" s="2164"/>
      <c r="H815" s="2523"/>
      <c r="I815" s="2523"/>
      <c r="J815" s="2523"/>
      <c r="K815" s="2163"/>
      <c r="L815" s="2523"/>
      <c r="M815" s="2163"/>
    </row>
    <row r="816" spans="1:15">
      <c r="A816" s="2160" t="s">
        <v>2688</v>
      </c>
      <c r="B816" s="2161"/>
      <c r="C816" s="2160" t="s">
        <v>2689</v>
      </c>
      <c r="D816" s="2161"/>
      <c r="E816" s="2160" t="s">
        <v>2640</v>
      </c>
      <c r="F816" s="2161"/>
    </row>
    <row r="817" spans="1:20">
      <c r="A817" s="2163"/>
      <c r="B817" s="2163"/>
      <c r="C817" s="2163"/>
      <c r="D817" s="2163"/>
      <c r="E817" s="2163"/>
      <c r="F817" s="2163"/>
      <c r="G817" s="2163"/>
      <c r="H817" s="2163"/>
      <c r="I817" s="2163"/>
      <c r="J817" s="2163"/>
      <c r="K817" s="2163"/>
      <c r="L817" s="2163"/>
      <c r="M817" s="2163"/>
    </row>
    <row r="818" spans="1:20">
      <c r="A818" s="2164"/>
      <c r="H818" s="2522" t="s">
        <v>2637</v>
      </c>
      <c r="I818" s="2522"/>
      <c r="J818" s="2163"/>
      <c r="K818" s="2528">
        <v>106288.4307</v>
      </c>
      <c r="L818" s="2528"/>
      <c r="M818" s="2163"/>
      <c r="N818" s="2527" t="s">
        <v>3086</v>
      </c>
      <c r="O818" s="2163"/>
    </row>
    <row r="819" spans="1:20">
      <c r="H819" s="2163"/>
      <c r="I819" s="2163"/>
      <c r="J819" s="2163"/>
      <c r="K819" s="2528"/>
      <c r="L819" s="2528"/>
      <c r="N819" s="2527"/>
    </row>
    <row r="820" spans="1:20">
      <c r="A820" s="2165">
        <v>77481</v>
      </c>
      <c r="B820" s="2163"/>
      <c r="C820" s="2524" t="s">
        <v>2874</v>
      </c>
      <c r="D820" s="2524"/>
      <c r="E820" s="2524"/>
      <c r="F820" s="2524"/>
      <c r="G820" s="2524"/>
      <c r="H820" s="2524"/>
      <c r="I820" s="2524"/>
      <c r="J820" s="2163"/>
      <c r="K820" s="2163"/>
      <c r="L820" s="2163"/>
      <c r="M820" s="2163"/>
    </row>
    <row r="821" spans="1:20">
      <c r="A821" s="2163"/>
      <c r="B821" s="2163"/>
      <c r="C821" s="2163"/>
      <c r="D821" s="2163"/>
      <c r="E821" s="2163"/>
      <c r="F821" s="2163"/>
      <c r="G821" s="2163"/>
      <c r="H821" s="2163"/>
      <c r="I821" s="2163"/>
      <c r="J821" s="2163"/>
      <c r="K821" s="2163"/>
      <c r="L821" s="2163"/>
      <c r="M821" s="2163"/>
    </row>
    <row r="822" spans="1:20">
      <c r="A822" s="2520" t="s">
        <v>2647</v>
      </c>
      <c r="B822" s="2520"/>
      <c r="C822" s="2520"/>
      <c r="D822" s="2166"/>
      <c r="E822" s="2166"/>
      <c r="F822" s="2166"/>
      <c r="G822" s="2166"/>
      <c r="H822" s="2526">
        <v>8111.9219999999996</v>
      </c>
      <c r="I822" s="2526"/>
      <c r="J822" s="2526"/>
      <c r="K822" s="2166"/>
      <c r="L822" s="2168">
        <v>830665</v>
      </c>
      <c r="M822" s="2166"/>
    </row>
    <row r="823" spans="1:20">
      <c r="A823" s="2520" t="s">
        <v>2648</v>
      </c>
      <c r="B823" s="2520"/>
      <c r="C823" s="2520"/>
      <c r="D823" s="2166"/>
      <c r="E823" s="2166"/>
      <c r="F823" s="2166"/>
      <c r="G823" s="2166"/>
      <c r="H823" s="2526">
        <v>-6806.0990000000002</v>
      </c>
      <c r="I823" s="2526"/>
      <c r="J823" s="2526"/>
      <c r="K823" s="2166"/>
      <c r="L823" s="2168">
        <v>-700564</v>
      </c>
      <c r="M823" s="2166"/>
    </row>
    <row r="824" spans="1:20">
      <c r="A824" s="2164"/>
      <c r="B824" s="2164"/>
      <c r="C824" s="2164"/>
      <c r="D824" s="2164"/>
      <c r="E824" s="2522" t="s">
        <v>2639</v>
      </c>
      <c r="F824" s="2522"/>
      <c r="G824" s="2164"/>
      <c r="H824" s="2528">
        <v>107594.2536</v>
      </c>
      <c r="I824" s="2528"/>
      <c r="J824" s="2528"/>
      <c r="K824" s="2163"/>
      <c r="L824" s="2528">
        <v>11146022.27</v>
      </c>
      <c r="M824" s="2163"/>
    </row>
    <row r="825" spans="1:20">
      <c r="A825" s="2164"/>
      <c r="B825" s="2164"/>
      <c r="C825" s="2164"/>
      <c r="D825" s="2164"/>
      <c r="E825" s="2164"/>
      <c r="F825" s="2164"/>
      <c r="G825" s="2164"/>
      <c r="H825" s="2528"/>
      <c r="I825" s="2528"/>
      <c r="J825" s="2528"/>
      <c r="K825" s="2163"/>
      <c r="L825" s="2528"/>
      <c r="M825" s="2163"/>
    </row>
    <row r="826" spans="1:20" s="2171" customFormat="1">
      <c r="A826" s="2169" t="s">
        <v>2699</v>
      </c>
      <c r="B826" s="2170"/>
      <c r="C826" s="2169" t="s">
        <v>1069</v>
      </c>
      <c r="D826" s="2170"/>
      <c r="E826" s="2169" t="s">
        <v>2640</v>
      </c>
      <c r="F826" s="2170"/>
    </row>
    <row r="827" spans="1:20" s="2171" customFormat="1">
      <c r="A827" s="2172"/>
      <c r="B827" s="2172"/>
      <c r="C827" s="2172"/>
      <c r="D827" s="2172"/>
      <c r="E827" s="2172"/>
      <c r="F827" s="2172"/>
      <c r="G827" s="2172"/>
      <c r="H827" s="2172"/>
      <c r="I827" s="2172"/>
      <c r="J827" s="2172"/>
      <c r="K827" s="2172"/>
      <c r="L827" s="2172"/>
      <c r="M827" s="2172"/>
    </row>
    <row r="828" spans="1:20" s="2171" customFormat="1">
      <c r="A828" s="2170"/>
      <c r="H828" s="2531" t="s">
        <v>2637</v>
      </c>
      <c r="I828" s="2531"/>
      <c r="J828" s="2172"/>
      <c r="K828" s="2532">
        <v>407272.43070000003</v>
      </c>
      <c r="L828" s="2532"/>
      <c r="M828" s="2172"/>
      <c r="N828" s="2533" t="s">
        <v>3087</v>
      </c>
      <c r="O828" s="2172" t="s">
        <v>3088</v>
      </c>
      <c r="P828" s="2178">
        <f>K828+K865+K924+K933+K943+K954+K964+K975+K1014+K1023+K1034+K1061+K1070</f>
        <v>3742020.7581000002</v>
      </c>
    </row>
    <row r="829" spans="1:20" s="2171" customFormat="1">
      <c r="H829" s="2172"/>
      <c r="I829" s="2172"/>
      <c r="J829" s="2172"/>
      <c r="K829" s="2532"/>
      <c r="L829" s="2532"/>
      <c r="N829" s="2533"/>
      <c r="O829" s="2171" t="s">
        <v>3089</v>
      </c>
      <c r="P829" s="2176">
        <f>H833+H869+H880+H890+H900+H910+H937+H947+H949+H958+H968+H970+H979+H980+H990+H1000+H1027+H1029+H1047+H1074</f>
        <v>1649939.9219999998</v>
      </c>
      <c r="T829" s="2176">
        <f>L833+L869+L880+L890+L900+L910+L937+L947+L949+L958+L968+L970+L979+L980+L990+L1000+L1027+L1029+L1047+L1074</f>
        <v>152190808.5</v>
      </c>
    </row>
    <row r="830" spans="1:20" s="2171" customFormat="1">
      <c r="A830" s="2169">
        <v>2393</v>
      </c>
      <c r="B830" s="2172"/>
      <c r="C830" s="2534" t="s">
        <v>3048</v>
      </c>
      <c r="D830" s="2534"/>
      <c r="E830" s="2534"/>
      <c r="F830" s="2534"/>
      <c r="G830" s="2534"/>
      <c r="H830" s="2534"/>
      <c r="I830" s="2534"/>
      <c r="J830" s="2172"/>
      <c r="K830" s="2172"/>
      <c r="L830" s="2172"/>
      <c r="M830" s="2172"/>
      <c r="O830" s="2171" t="s">
        <v>3090</v>
      </c>
      <c r="P830" s="2176">
        <f>H832+H870+H879+H889+H899+H909+H928+H938+H948+H959+H969+H989+H999+H1028+H1065</f>
        <v>-1174140.8669999996</v>
      </c>
      <c r="T830" s="2176">
        <f>L832+L870+L879+L889+L899+L909+L928+L938+L948+L959+L969+L989+L999+L1028+L1065</f>
        <v>-98796396.820000008</v>
      </c>
    </row>
    <row r="831" spans="1:20" s="2171" customFormat="1">
      <c r="A831" s="2172"/>
      <c r="B831" s="2172"/>
      <c r="C831" s="2172"/>
      <c r="D831" s="2172"/>
      <c r="E831" s="2172"/>
      <c r="F831" s="2172"/>
      <c r="G831" s="2172"/>
      <c r="H831" s="2172"/>
      <c r="I831" s="2172"/>
      <c r="J831" s="2172"/>
      <c r="K831" s="2172"/>
      <c r="L831" s="2172"/>
      <c r="M831" s="2172"/>
      <c r="O831" s="2171" t="s">
        <v>3091</v>
      </c>
      <c r="P831" s="2178">
        <f>SUM(P828:P830)</f>
        <v>4217819.8130999999</v>
      </c>
    </row>
    <row r="832" spans="1:20" s="2171" customFormat="1">
      <c r="A832" s="2535" t="s">
        <v>2648</v>
      </c>
      <c r="B832" s="2535"/>
      <c r="C832" s="2535"/>
      <c r="D832" s="2173"/>
      <c r="E832" s="2173"/>
      <c r="F832" s="2173"/>
      <c r="G832" s="2173"/>
      <c r="H832" s="2536">
        <v>-21994.940999999999</v>
      </c>
      <c r="I832" s="2536"/>
      <c r="J832" s="2536"/>
      <c r="K832" s="2173"/>
      <c r="L832" s="2175">
        <v>-2000000</v>
      </c>
      <c r="M832" s="2173"/>
      <c r="P832" s="2176">
        <f>H834+H871+H929+H939+H950+H960+H971+H981+H1019+H1030+H1039+H1048+H1066+H1075</f>
        <v>4217819.82</v>
      </c>
    </row>
    <row r="833" spans="1:16" s="2171" customFormat="1">
      <c r="A833" s="2535" t="s">
        <v>2649</v>
      </c>
      <c r="B833" s="2535"/>
      <c r="C833" s="2535"/>
      <c r="D833" s="2173"/>
      <c r="E833" s="2173"/>
      <c r="F833" s="2173"/>
      <c r="G833" s="2173"/>
      <c r="H833" s="2536">
        <v>54241.760000000002</v>
      </c>
      <c r="I833" s="2536"/>
      <c r="J833" s="2536"/>
      <c r="K833" s="2173"/>
      <c r="L833" s="2175">
        <v>5000000</v>
      </c>
      <c r="M833" s="2173"/>
      <c r="P833" s="2179">
        <f>P832-P831</f>
        <v>6.9000003859400749E-3</v>
      </c>
    </row>
    <row r="834" spans="1:16" s="2171" customFormat="1">
      <c r="A834" s="2170"/>
      <c r="B834" s="2170"/>
      <c r="C834" s="2170"/>
      <c r="D834" s="2170"/>
      <c r="E834" s="2531" t="s">
        <v>2639</v>
      </c>
      <c r="F834" s="2531"/>
      <c r="G834" s="2170"/>
      <c r="H834" s="2532">
        <v>439519.24939999997</v>
      </c>
      <c r="I834" s="2532"/>
      <c r="J834" s="2532"/>
      <c r="K834" s="2172"/>
      <c r="L834" s="2532">
        <v>39965485.350000001</v>
      </c>
      <c r="M834" s="2172"/>
    </row>
    <row r="835" spans="1:16" s="2171" customFormat="1">
      <c r="A835" s="2170"/>
      <c r="B835" s="2170"/>
      <c r="C835" s="2170"/>
      <c r="D835" s="2170"/>
      <c r="E835" s="2170"/>
      <c r="F835" s="2170"/>
      <c r="G835" s="2170"/>
      <c r="H835" s="2532"/>
      <c r="I835" s="2532"/>
      <c r="J835" s="2532"/>
      <c r="K835" s="2172"/>
      <c r="L835" s="2532"/>
      <c r="M835" s="2172"/>
    </row>
    <row r="836" spans="1:16" s="2171" customFormat="1">
      <c r="A836" s="2169" t="s">
        <v>2699</v>
      </c>
      <c r="B836" s="2170"/>
      <c r="C836" s="2169" t="s">
        <v>1069</v>
      </c>
      <c r="D836" s="2170"/>
      <c r="E836" s="2169" t="s">
        <v>2640</v>
      </c>
      <c r="F836" s="2170"/>
    </row>
    <row r="837" spans="1:16" s="2171" customFormat="1">
      <c r="A837" s="2172"/>
      <c r="B837" s="2172"/>
      <c r="C837" s="2172"/>
      <c r="D837" s="2172"/>
      <c r="E837" s="2172"/>
      <c r="F837" s="2172"/>
      <c r="G837" s="2172"/>
      <c r="H837" s="2172"/>
      <c r="I837" s="2172"/>
      <c r="J837" s="2172"/>
      <c r="K837" s="2172"/>
      <c r="L837" s="2172"/>
      <c r="M837" s="2172"/>
    </row>
    <row r="838" spans="1:16" s="2171" customFormat="1">
      <c r="A838" s="2170"/>
      <c r="H838" s="2531" t="s">
        <v>2637</v>
      </c>
      <c r="I838" s="2531"/>
      <c r="J838" s="2172"/>
      <c r="K838" s="2537">
        <v>-1E-4</v>
      </c>
      <c r="L838" s="2537"/>
      <c r="M838" s="2172"/>
      <c r="N838" s="2533"/>
      <c r="O838" s="2172"/>
    </row>
    <row r="839" spans="1:16" s="2171" customFormat="1">
      <c r="H839" s="2172"/>
      <c r="I839" s="2172"/>
      <c r="J839" s="2172"/>
      <c r="K839" s="2537"/>
      <c r="L839" s="2537"/>
      <c r="N839" s="2533"/>
    </row>
    <row r="840" spans="1:16" s="2171" customFormat="1">
      <c r="A840" s="2169">
        <v>2593</v>
      </c>
      <c r="B840" s="2172"/>
      <c r="C840" s="2534" t="s">
        <v>2877</v>
      </c>
      <c r="D840" s="2534"/>
      <c r="E840" s="2534"/>
      <c r="F840" s="2534"/>
      <c r="G840" s="2534"/>
      <c r="H840" s="2534"/>
      <c r="I840" s="2534"/>
      <c r="J840" s="2172"/>
      <c r="K840" s="2172"/>
      <c r="L840" s="2172"/>
      <c r="M840" s="2172"/>
    </row>
    <row r="841" spans="1:16" s="2171" customFormat="1">
      <c r="A841" s="2172"/>
      <c r="B841" s="2172"/>
      <c r="C841" s="2172"/>
      <c r="D841" s="2172"/>
      <c r="E841" s="2172"/>
      <c r="F841" s="2172"/>
      <c r="G841" s="2172"/>
      <c r="H841" s="2172"/>
      <c r="I841" s="2172"/>
      <c r="J841" s="2172"/>
      <c r="K841" s="2172"/>
      <c r="L841" s="2172"/>
      <c r="M841" s="2172"/>
    </row>
    <row r="842" spans="1:16" s="2171" customFormat="1">
      <c r="A842" s="2538"/>
      <c r="B842" s="2538"/>
      <c r="C842" s="2538"/>
      <c r="D842" s="2173"/>
      <c r="E842" s="2173"/>
      <c r="F842" s="2173"/>
      <c r="G842" s="2173"/>
      <c r="H842" s="2539"/>
      <c r="I842" s="2539"/>
      <c r="J842" s="2539"/>
      <c r="K842" s="2173"/>
      <c r="L842" s="2174"/>
      <c r="M842" s="2173"/>
    </row>
    <row r="843" spans="1:16" s="2171" customFormat="1">
      <c r="A843" s="2170"/>
      <c r="B843" s="2170"/>
      <c r="C843" s="2170"/>
      <c r="D843" s="2170"/>
      <c r="E843" s="2531" t="s">
        <v>2639</v>
      </c>
      <c r="F843" s="2531"/>
      <c r="G843" s="2170"/>
      <c r="H843" s="2537">
        <v>-1E-4</v>
      </c>
      <c r="I843" s="2537"/>
      <c r="J843" s="2537"/>
      <c r="K843" s="2172"/>
      <c r="L843" s="2537">
        <v>-0.01</v>
      </c>
      <c r="M843" s="2172"/>
    </row>
    <row r="844" spans="1:16" s="2171" customFormat="1">
      <c r="A844" s="2170"/>
      <c r="B844" s="2170"/>
      <c r="C844" s="2170"/>
      <c r="D844" s="2170"/>
      <c r="E844" s="2170"/>
      <c r="F844" s="2170"/>
      <c r="G844" s="2170"/>
      <c r="H844" s="2537"/>
      <c r="I844" s="2537"/>
      <c r="J844" s="2537"/>
      <c r="K844" s="2172"/>
      <c r="L844" s="2537"/>
      <c r="M844" s="2172"/>
    </row>
    <row r="845" spans="1:16" s="2171" customFormat="1">
      <c r="A845" s="2169" t="s">
        <v>2699</v>
      </c>
      <c r="B845" s="2170"/>
      <c r="C845" s="2169" t="s">
        <v>1069</v>
      </c>
      <c r="D845" s="2170"/>
      <c r="E845" s="2169" t="s">
        <v>2640</v>
      </c>
      <c r="F845" s="2170"/>
    </row>
    <row r="846" spans="1:16" s="2171" customFormat="1">
      <c r="A846" s="2172"/>
      <c r="B846" s="2172"/>
      <c r="C846" s="2172"/>
      <c r="D846" s="2172"/>
      <c r="E846" s="2172"/>
      <c r="F846" s="2172"/>
      <c r="G846" s="2172"/>
      <c r="H846" s="2172"/>
      <c r="I846" s="2172"/>
      <c r="J846" s="2172"/>
      <c r="K846" s="2172"/>
      <c r="L846" s="2172"/>
      <c r="M846" s="2172"/>
    </row>
    <row r="847" spans="1:16" s="2171" customFormat="1">
      <c r="A847" s="2170"/>
      <c r="H847" s="2531" t="s">
        <v>2637</v>
      </c>
      <c r="I847" s="2531"/>
      <c r="J847" s="2172"/>
      <c r="K847" s="2537">
        <v>0</v>
      </c>
      <c r="L847" s="2537"/>
      <c r="M847" s="2172"/>
      <c r="N847" s="2533"/>
      <c r="O847" s="2172"/>
    </row>
    <row r="848" spans="1:16" s="2171" customFormat="1">
      <c r="H848" s="2172"/>
      <c r="I848" s="2172"/>
      <c r="J848" s="2172"/>
      <c r="K848" s="2537"/>
      <c r="L848" s="2537"/>
      <c r="N848" s="2533"/>
    </row>
    <row r="849" spans="1:15" s="2171" customFormat="1">
      <c r="A849" s="2169">
        <v>2802</v>
      </c>
      <c r="B849" s="2172"/>
      <c r="C849" s="2534" t="s">
        <v>2853</v>
      </c>
      <c r="D849" s="2534"/>
      <c r="E849" s="2534"/>
      <c r="F849" s="2534"/>
      <c r="G849" s="2534"/>
      <c r="H849" s="2534"/>
      <c r="I849" s="2534"/>
      <c r="J849" s="2172"/>
      <c r="K849" s="2172"/>
      <c r="L849" s="2172"/>
      <c r="M849" s="2172"/>
    </row>
    <row r="850" spans="1:15" s="2171" customFormat="1">
      <c r="A850" s="2172"/>
      <c r="B850" s="2172"/>
      <c r="C850" s="2172"/>
      <c r="D850" s="2172"/>
      <c r="E850" s="2172"/>
      <c r="F850" s="2172"/>
      <c r="G850" s="2172"/>
      <c r="H850" s="2172"/>
      <c r="I850" s="2172"/>
      <c r="J850" s="2172"/>
      <c r="K850" s="2172"/>
      <c r="L850" s="2172"/>
      <c r="M850" s="2172"/>
    </row>
    <row r="851" spans="1:15" s="2171" customFormat="1">
      <c r="A851" s="2538"/>
      <c r="B851" s="2538"/>
      <c r="C851" s="2538"/>
      <c r="D851" s="2173"/>
      <c r="E851" s="2173"/>
      <c r="F851" s="2173"/>
      <c r="G851" s="2173"/>
      <c r="H851" s="2539"/>
      <c r="I851" s="2539"/>
      <c r="J851" s="2539"/>
      <c r="K851" s="2173"/>
      <c r="L851" s="2174"/>
      <c r="M851" s="2173"/>
    </row>
    <row r="852" spans="1:15" s="2171" customFormat="1">
      <c r="A852" s="2170"/>
      <c r="B852" s="2170"/>
      <c r="C852" s="2170"/>
      <c r="D852" s="2170"/>
      <c r="E852" s="2531" t="s">
        <v>2639</v>
      </c>
      <c r="F852" s="2531"/>
      <c r="G852" s="2170"/>
      <c r="H852" s="2537">
        <v>0</v>
      </c>
      <c r="I852" s="2537"/>
      <c r="J852" s="2537"/>
      <c r="K852" s="2172"/>
      <c r="L852" s="2537">
        <v>0</v>
      </c>
      <c r="M852" s="2172"/>
    </row>
    <row r="853" spans="1:15" s="2171" customFormat="1">
      <c r="A853" s="2170"/>
      <c r="B853" s="2170"/>
      <c r="C853" s="2170"/>
      <c r="D853" s="2170"/>
      <c r="E853" s="2170"/>
      <c r="F853" s="2170"/>
      <c r="G853" s="2170"/>
      <c r="H853" s="2537"/>
      <c r="I853" s="2537"/>
      <c r="J853" s="2537"/>
      <c r="K853" s="2172"/>
      <c r="L853" s="2537"/>
      <c r="M853" s="2172"/>
    </row>
    <row r="854" spans="1:15" s="2171" customFormat="1">
      <c r="A854" s="2169" t="s">
        <v>2699</v>
      </c>
      <c r="B854" s="2170"/>
      <c r="C854" s="2169" t="s">
        <v>1069</v>
      </c>
      <c r="D854" s="2170"/>
      <c r="E854" s="2169" t="s">
        <v>2640</v>
      </c>
      <c r="F854" s="2170"/>
    </row>
    <row r="855" spans="1:15" s="2171" customFormat="1">
      <c r="A855" s="2172"/>
      <c r="B855" s="2172"/>
      <c r="C855" s="2172"/>
      <c r="D855" s="2172"/>
      <c r="E855" s="2172"/>
      <c r="F855" s="2172"/>
      <c r="G855" s="2172"/>
      <c r="H855" s="2172"/>
      <c r="I855" s="2172"/>
      <c r="J855" s="2172"/>
      <c r="K855" s="2172"/>
      <c r="L855" s="2172"/>
      <c r="M855" s="2172"/>
    </row>
    <row r="856" spans="1:15" s="2171" customFormat="1">
      <c r="A856" s="2170"/>
      <c r="H856" s="2531" t="s">
        <v>2637</v>
      </c>
      <c r="I856" s="2531"/>
      <c r="J856" s="2172"/>
      <c r="K856" s="2537">
        <v>0</v>
      </c>
      <c r="L856" s="2537"/>
      <c r="M856" s="2172"/>
      <c r="N856" s="2533"/>
      <c r="O856" s="2172"/>
    </row>
    <row r="857" spans="1:15" s="2171" customFormat="1">
      <c r="H857" s="2172"/>
      <c r="I857" s="2172"/>
      <c r="J857" s="2172"/>
      <c r="K857" s="2537"/>
      <c r="L857" s="2537"/>
      <c r="N857" s="2533"/>
    </row>
    <row r="858" spans="1:15" s="2171" customFormat="1">
      <c r="A858" s="2169">
        <v>2802</v>
      </c>
      <c r="B858" s="2172"/>
      <c r="C858" s="2534" t="s">
        <v>2853</v>
      </c>
      <c r="D858" s="2534"/>
      <c r="E858" s="2534"/>
      <c r="F858" s="2534"/>
      <c r="G858" s="2534"/>
      <c r="H858" s="2534"/>
      <c r="I858" s="2534"/>
      <c r="J858" s="2172"/>
      <c r="K858" s="2172"/>
      <c r="L858" s="2172"/>
      <c r="M858" s="2172"/>
    </row>
    <row r="859" spans="1:15" s="2171" customFormat="1">
      <c r="A859" s="2172"/>
      <c r="B859" s="2172"/>
      <c r="C859" s="2172"/>
      <c r="D859" s="2172"/>
      <c r="E859" s="2172"/>
      <c r="F859" s="2172"/>
      <c r="G859" s="2172"/>
      <c r="H859" s="2172"/>
      <c r="I859" s="2172"/>
      <c r="J859" s="2172"/>
      <c r="K859" s="2172"/>
      <c r="L859" s="2172"/>
      <c r="M859" s="2172"/>
    </row>
    <row r="860" spans="1:15" s="2171" customFormat="1">
      <c r="A860" s="2538"/>
      <c r="B860" s="2538"/>
      <c r="C860" s="2538"/>
      <c r="D860" s="2173"/>
      <c r="E860" s="2173"/>
      <c r="F860" s="2173"/>
      <c r="G860" s="2173"/>
      <c r="H860" s="2539"/>
      <c r="I860" s="2539"/>
      <c r="J860" s="2539"/>
      <c r="K860" s="2173"/>
      <c r="L860" s="2174"/>
      <c r="M860" s="2173"/>
    </row>
    <row r="861" spans="1:15" s="2171" customFormat="1">
      <c r="A861" s="2170"/>
      <c r="B861" s="2170"/>
      <c r="C861" s="2170"/>
      <c r="D861" s="2170"/>
      <c r="E861" s="2531" t="s">
        <v>2639</v>
      </c>
      <c r="F861" s="2531"/>
      <c r="G861" s="2170"/>
      <c r="H861" s="2537">
        <v>0</v>
      </c>
      <c r="I861" s="2537"/>
      <c r="J861" s="2537"/>
      <c r="K861" s="2172"/>
      <c r="L861" s="2537">
        <v>0</v>
      </c>
      <c r="M861" s="2172"/>
    </row>
    <row r="862" spans="1:15" s="2171" customFormat="1">
      <c r="A862" s="2170"/>
      <c r="B862" s="2170"/>
      <c r="C862" s="2170"/>
      <c r="D862" s="2170"/>
      <c r="E862" s="2170"/>
      <c r="F862" s="2170"/>
      <c r="G862" s="2170"/>
      <c r="H862" s="2537"/>
      <c r="I862" s="2537"/>
      <c r="J862" s="2537"/>
      <c r="K862" s="2172"/>
      <c r="L862" s="2537"/>
      <c r="M862" s="2172"/>
    </row>
    <row r="863" spans="1:15" s="2171" customFormat="1">
      <c r="A863" s="2169" t="s">
        <v>2699</v>
      </c>
      <c r="B863" s="2170"/>
      <c r="C863" s="2169" t="s">
        <v>1069</v>
      </c>
      <c r="D863" s="2170"/>
      <c r="E863" s="2169" t="s">
        <v>2640</v>
      </c>
      <c r="F863" s="2170"/>
    </row>
    <row r="864" spans="1:15" s="2171" customFormat="1">
      <c r="A864" s="2172"/>
      <c r="B864" s="2172"/>
      <c r="C864" s="2172"/>
      <c r="D864" s="2172"/>
      <c r="E864" s="2172"/>
      <c r="F864" s="2172"/>
      <c r="G864" s="2172"/>
      <c r="H864" s="2172"/>
      <c r="I864" s="2172"/>
      <c r="J864" s="2172"/>
      <c r="K864" s="2172"/>
      <c r="L864" s="2172"/>
      <c r="M864" s="2172"/>
    </row>
    <row r="865" spans="1:15" s="2171" customFormat="1">
      <c r="A865" s="2170"/>
      <c r="H865" s="2531" t="s">
        <v>2637</v>
      </c>
      <c r="I865" s="2531"/>
      <c r="J865" s="2172"/>
      <c r="K865" s="2532">
        <v>1190630.818</v>
      </c>
      <c r="L865" s="2532"/>
      <c r="M865" s="2172"/>
      <c r="N865" s="2533" t="s">
        <v>3092</v>
      </c>
      <c r="O865" s="2172"/>
    </row>
    <row r="866" spans="1:15" s="2171" customFormat="1">
      <c r="H866" s="2172"/>
      <c r="I866" s="2172"/>
      <c r="J866" s="2172"/>
      <c r="K866" s="2532"/>
      <c r="L866" s="2532"/>
      <c r="N866" s="2533"/>
    </row>
    <row r="867" spans="1:15" s="2171" customFormat="1">
      <c r="A867" s="2169">
        <v>4421</v>
      </c>
      <c r="B867" s="2172"/>
      <c r="C867" s="2534" t="s">
        <v>2854</v>
      </c>
      <c r="D867" s="2534"/>
      <c r="E867" s="2534"/>
      <c r="F867" s="2534"/>
      <c r="G867" s="2534"/>
      <c r="H867" s="2534"/>
      <c r="I867" s="2534"/>
      <c r="J867" s="2172"/>
      <c r="K867" s="2172"/>
      <c r="L867" s="2172"/>
      <c r="M867" s="2172"/>
    </row>
    <row r="868" spans="1:15" s="2171" customFormat="1">
      <c r="A868" s="2172"/>
      <c r="B868" s="2172"/>
      <c r="C868" s="2172"/>
      <c r="D868" s="2172"/>
      <c r="E868" s="2172"/>
      <c r="F868" s="2172"/>
      <c r="G868" s="2172"/>
      <c r="H868" s="2172"/>
      <c r="I868" s="2172"/>
      <c r="J868" s="2172"/>
      <c r="K868" s="2172"/>
      <c r="L868" s="2172"/>
      <c r="M868" s="2172"/>
    </row>
    <row r="869" spans="1:15" s="2171" customFormat="1">
      <c r="A869" s="2535" t="s">
        <v>2647</v>
      </c>
      <c r="B869" s="2535"/>
      <c r="C869" s="2535"/>
      <c r="D869" s="2173"/>
      <c r="E869" s="2173"/>
      <c r="F869" s="2173"/>
      <c r="G869" s="2173"/>
      <c r="H869" s="2536">
        <v>495641.65</v>
      </c>
      <c r="I869" s="2536"/>
      <c r="J869" s="2536"/>
      <c r="K869" s="2173"/>
      <c r="L869" s="2175">
        <v>45723175</v>
      </c>
      <c r="M869" s="2173"/>
    </row>
    <row r="870" spans="1:15" s="2171" customFormat="1">
      <c r="A870" s="2535" t="s">
        <v>2648</v>
      </c>
      <c r="B870" s="2535"/>
      <c r="C870" s="2535"/>
      <c r="D870" s="2173"/>
      <c r="E870" s="2173"/>
      <c r="F870" s="2173"/>
      <c r="G870" s="2173"/>
      <c r="H870" s="2536">
        <v>-371070.95400000003</v>
      </c>
      <c r="I870" s="2536"/>
      <c r="J870" s="2536"/>
      <c r="K870" s="2173"/>
      <c r="L870" s="2175">
        <v>-30659399</v>
      </c>
      <c r="M870" s="2173"/>
    </row>
    <row r="871" spans="1:15" s="2171" customFormat="1">
      <c r="A871" s="2170"/>
      <c r="B871" s="2170"/>
      <c r="C871" s="2170"/>
      <c r="D871" s="2170"/>
      <c r="E871" s="2531" t="s">
        <v>2639</v>
      </c>
      <c r="F871" s="2531"/>
      <c r="G871" s="2170"/>
      <c r="H871" s="2532">
        <v>1315201.5142999999</v>
      </c>
      <c r="I871" s="2532"/>
      <c r="J871" s="2532"/>
      <c r="K871" s="2172"/>
      <c r="L871" s="2532">
        <v>119591273.69</v>
      </c>
      <c r="M871" s="2172"/>
    </row>
    <row r="872" spans="1:15" s="2171" customFormat="1">
      <c r="A872" s="2170"/>
      <c r="B872" s="2170"/>
      <c r="C872" s="2170"/>
      <c r="D872" s="2170"/>
      <c r="E872" s="2170"/>
      <c r="F872" s="2170"/>
      <c r="G872" s="2170"/>
      <c r="H872" s="2532"/>
      <c r="I872" s="2532"/>
      <c r="J872" s="2532"/>
      <c r="K872" s="2172"/>
      <c r="L872" s="2532"/>
      <c r="M872" s="2172"/>
    </row>
    <row r="873" spans="1:15" s="2171" customFormat="1">
      <c r="A873" s="2169" t="s">
        <v>2699</v>
      </c>
      <c r="B873" s="2170"/>
      <c r="C873" s="2169" t="s">
        <v>1069</v>
      </c>
      <c r="D873" s="2170"/>
      <c r="E873" s="2169" t="s">
        <v>2640</v>
      </c>
      <c r="F873" s="2170"/>
    </row>
    <row r="874" spans="1:15" s="2171" customFormat="1">
      <c r="A874" s="2172"/>
      <c r="B874" s="2172"/>
      <c r="C874" s="2172"/>
      <c r="D874" s="2172"/>
      <c r="E874" s="2172"/>
      <c r="F874" s="2172"/>
      <c r="G874" s="2172"/>
      <c r="H874" s="2172"/>
      <c r="I874" s="2172"/>
      <c r="J874" s="2172"/>
      <c r="K874" s="2172"/>
      <c r="L874" s="2172"/>
      <c r="M874" s="2172"/>
    </row>
    <row r="875" spans="1:15" s="2171" customFormat="1">
      <c r="A875" s="2170"/>
      <c r="H875" s="2531" t="s">
        <v>2637</v>
      </c>
      <c r="I875" s="2531"/>
      <c r="J875" s="2172"/>
      <c r="K875" s="2537">
        <v>1E-4</v>
      </c>
      <c r="L875" s="2537"/>
      <c r="M875" s="2172"/>
      <c r="N875" s="2533"/>
      <c r="O875" s="2172"/>
    </row>
    <row r="876" spans="1:15" s="2171" customFormat="1">
      <c r="H876" s="2172"/>
      <c r="I876" s="2172"/>
      <c r="J876" s="2172"/>
      <c r="K876" s="2537"/>
      <c r="L876" s="2537"/>
      <c r="N876" s="2533"/>
    </row>
    <row r="877" spans="1:15" s="2171" customFormat="1">
      <c r="A877" s="2169">
        <v>16815</v>
      </c>
      <c r="B877" s="2172"/>
      <c r="C877" s="2534" t="s">
        <v>3049</v>
      </c>
      <c r="D877" s="2534"/>
      <c r="E877" s="2534"/>
      <c r="F877" s="2534"/>
      <c r="G877" s="2534"/>
      <c r="H877" s="2534"/>
      <c r="I877" s="2534"/>
      <c r="J877" s="2172"/>
      <c r="K877" s="2172"/>
      <c r="L877" s="2172"/>
      <c r="M877" s="2172"/>
    </row>
    <row r="878" spans="1:15" s="2171" customFormat="1">
      <c r="A878" s="2172"/>
      <c r="B878" s="2172"/>
      <c r="C878" s="2172"/>
      <c r="D878" s="2172"/>
      <c r="E878" s="2172"/>
      <c r="F878" s="2172"/>
      <c r="G878" s="2172"/>
      <c r="H878" s="2172"/>
      <c r="I878" s="2172"/>
      <c r="J878" s="2172"/>
      <c r="K878" s="2172"/>
      <c r="L878" s="2172"/>
      <c r="M878" s="2172"/>
    </row>
    <row r="879" spans="1:15" s="2171" customFormat="1">
      <c r="A879" s="2535" t="s">
        <v>2648</v>
      </c>
      <c r="B879" s="2535"/>
      <c r="C879" s="2535"/>
      <c r="D879" s="2173"/>
      <c r="E879" s="2173"/>
      <c r="F879" s="2173"/>
      <c r="G879" s="2173"/>
      <c r="H879" s="2539">
        <v>-7.7320000000000002</v>
      </c>
      <c r="I879" s="2539"/>
      <c r="J879" s="2539"/>
      <c r="K879" s="2173"/>
      <c r="L879" s="2174">
        <v>-714.39</v>
      </c>
      <c r="M879" s="2173"/>
    </row>
    <row r="880" spans="1:15" s="2171" customFormat="1">
      <c r="A880" s="2535" t="s">
        <v>2649</v>
      </c>
      <c r="B880" s="2535"/>
      <c r="C880" s="2535"/>
      <c r="D880" s="2173"/>
      <c r="E880" s="2173"/>
      <c r="F880" s="2173"/>
      <c r="G880" s="2173"/>
      <c r="H880" s="2539">
        <v>7.7320000000000002</v>
      </c>
      <c r="I880" s="2539"/>
      <c r="J880" s="2539"/>
      <c r="K880" s="2173"/>
      <c r="L880" s="2174">
        <v>728.82</v>
      </c>
      <c r="M880" s="2173"/>
    </row>
    <row r="881" spans="1:15" s="2171" customFormat="1">
      <c r="A881" s="2170"/>
      <c r="B881" s="2170"/>
      <c r="C881" s="2170"/>
      <c r="D881" s="2170"/>
      <c r="E881" s="2531" t="s">
        <v>2639</v>
      </c>
      <c r="F881" s="2531"/>
      <c r="G881" s="2170"/>
      <c r="H881" s="2537">
        <v>1E-4</v>
      </c>
      <c r="I881" s="2537"/>
      <c r="J881" s="2537"/>
      <c r="K881" s="2172"/>
      <c r="L881" s="2537">
        <v>0.01</v>
      </c>
      <c r="M881" s="2172"/>
    </row>
    <row r="882" spans="1:15" s="2171" customFormat="1">
      <c r="A882" s="2170"/>
      <c r="B882" s="2170"/>
      <c r="C882" s="2170"/>
      <c r="D882" s="2170"/>
      <c r="E882" s="2170"/>
      <c r="F882" s="2170"/>
      <c r="G882" s="2170"/>
      <c r="H882" s="2537"/>
      <c r="I882" s="2537"/>
      <c r="J882" s="2537"/>
      <c r="K882" s="2172"/>
      <c r="L882" s="2537"/>
      <c r="M882" s="2172"/>
    </row>
    <row r="883" spans="1:15" s="2171" customFormat="1">
      <c r="A883" s="2169" t="s">
        <v>2699</v>
      </c>
      <c r="B883" s="2170"/>
      <c r="C883" s="2169" t="s">
        <v>1069</v>
      </c>
      <c r="D883" s="2170"/>
      <c r="E883" s="2169" t="s">
        <v>2640</v>
      </c>
      <c r="F883" s="2170"/>
    </row>
    <row r="884" spans="1:15" s="2171" customFormat="1">
      <c r="A884" s="2172"/>
      <c r="B884" s="2172"/>
      <c r="C884" s="2172"/>
      <c r="D884" s="2172"/>
      <c r="E884" s="2172"/>
      <c r="F884" s="2172"/>
      <c r="G884" s="2172"/>
      <c r="H884" s="2172"/>
      <c r="I884" s="2172"/>
      <c r="J884" s="2172"/>
      <c r="K884" s="2172"/>
      <c r="L884" s="2172"/>
      <c r="M884" s="2172"/>
    </row>
    <row r="885" spans="1:15" s="2171" customFormat="1">
      <c r="A885" s="2170"/>
      <c r="H885" s="2531" t="s">
        <v>2637</v>
      </c>
      <c r="I885" s="2531"/>
      <c r="J885" s="2172"/>
      <c r="K885" s="2537">
        <v>1E-4</v>
      </c>
      <c r="L885" s="2537"/>
      <c r="M885" s="2172"/>
      <c r="N885" s="2533"/>
      <c r="O885" s="2172"/>
    </row>
    <row r="886" spans="1:15" s="2171" customFormat="1">
      <c r="H886" s="2172"/>
      <c r="I886" s="2172"/>
      <c r="J886" s="2172"/>
      <c r="K886" s="2537"/>
      <c r="L886" s="2537"/>
      <c r="N886" s="2533"/>
    </row>
    <row r="887" spans="1:15" s="2171" customFormat="1">
      <c r="A887" s="2169">
        <v>24369</v>
      </c>
      <c r="B887" s="2172"/>
      <c r="C887" s="2534" t="s">
        <v>3050</v>
      </c>
      <c r="D887" s="2534"/>
      <c r="E887" s="2534"/>
      <c r="F887" s="2534"/>
      <c r="G887" s="2534"/>
      <c r="H887" s="2534"/>
      <c r="I887" s="2534"/>
      <c r="J887" s="2172"/>
      <c r="K887" s="2172"/>
      <c r="L887" s="2172"/>
      <c r="M887" s="2172"/>
    </row>
    <row r="888" spans="1:15" s="2171" customFormat="1">
      <c r="A888" s="2172"/>
      <c r="B888" s="2172"/>
      <c r="C888" s="2172"/>
      <c r="D888" s="2172"/>
      <c r="E888" s="2172"/>
      <c r="F888" s="2172"/>
      <c r="G888" s="2172"/>
      <c r="H888" s="2172"/>
      <c r="I888" s="2172"/>
      <c r="J888" s="2172"/>
      <c r="K888" s="2172"/>
      <c r="L888" s="2172"/>
      <c r="M888" s="2172"/>
    </row>
    <row r="889" spans="1:15" s="2171" customFormat="1">
      <c r="A889" s="2535" t="s">
        <v>2648</v>
      </c>
      <c r="B889" s="2535"/>
      <c r="C889" s="2535"/>
      <c r="D889" s="2173"/>
      <c r="E889" s="2173"/>
      <c r="F889" s="2173"/>
      <c r="G889" s="2173"/>
      <c r="H889" s="2539">
        <v>-7.61</v>
      </c>
      <c r="I889" s="2539"/>
      <c r="J889" s="2539"/>
      <c r="K889" s="2173"/>
      <c r="L889" s="2174">
        <v>-703.07</v>
      </c>
      <c r="M889" s="2173"/>
    </row>
    <row r="890" spans="1:15" s="2171" customFormat="1">
      <c r="A890" s="2535" t="s">
        <v>2649</v>
      </c>
      <c r="B890" s="2535"/>
      <c r="C890" s="2535"/>
      <c r="D890" s="2173"/>
      <c r="E890" s="2173"/>
      <c r="F890" s="2173"/>
      <c r="G890" s="2173"/>
      <c r="H890" s="2539">
        <v>7.61</v>
      </c>
      <c r="I890" s="2539"/>
      <c r="J890" s="2539"/>
      <c r="K890" s="2173"/>
      <c r="L890" s="2174">
        <v>717.27</v>
      </c>
      <c r="M890" s="2173"/>
    </row>
    <row r="891" spans="1:15" s="2171" customFormat="1">
      <c r="A891" s="2170"/>
      <c r="B891" s="2170"/>
      <c r="C891" s="2170"/>
      <c r="D891" s="2170"/>
      <c r="E891" s="2531" t="s">
        <v>2639</v>
      </c>
      <c r="F891" s="2531"/>
      <c r="G891" s="2170"/>
      <c r="H891" s="2537">
        <v>1E-4</v>
      </c>
      <c r="I891" s="2537"/>
      <c r="J891" s="2537"/>
      <c r="K891" s="2172"/>
      <c r="L891" s="2537">
        <v>0.01</v>
      </c>
      <c r="M891" s="2172"/>
    </row>
    <row r="892" spans="1:15" s="2171" customFormat="1">
      <c r="A892" s="2170"/>
      <c r="B892" s="2170"/>
      <c r="C892" s="2170"/>
      <c r="D892" s="2170"/>
      <c r="E892" s="2170"/>
      <c r="F892" s="2170"/>
      <c r="G892" s="2170"/>
      <c r="H892" s="2537"/>
      <c r="I892" s="2537"/>
      <c r="J892" s="2537"/>
      <c r="K892" s="2172"/>
      <c r="L892" s="2537"/>
      <c r="M892" s="2172"/>
    </row>
    <row r="893" spans="1:15" s="2171" customFormat="1">
      <c r="A893" s="2169" t="s">
        <v>2699</v>
      </c>
      <c r="B893" s="2170"/>
      <c r="C893" s="2169" t="s">
        <v>1069</v>
      </c>
      <c r="D893" s="2170"/>
      <c r="E893" s="2169" t="s">
        <v>2640</v>
      </c>
      <c r="F893" s="2170"/>
    </row>
    <row r="894" spans="1:15" s="2171" customFormat="1">
      <c r="A894" s="2172"/>
      <c r="B894" s="2172"/>
      <c r="C894" s="2172"/>
      <c r="D894" s="2172"/>
      <c r="E894" s="2172"/>
      <c r="F894" s="2172"/>
      <c r="G894" s="2172"/>
      <c r="H894" s="2172"/>
      <c r="I894" s="2172"/>
      <c r="J894" s="2172"/>
      <c r="K894" s="2172"/>
      <c r="L894" s="2172"/>
      <c r="M894" s="2172"/>
    </row>
    <row r="895" spans="1:15" s="2171" customFormat="1">
      <c r="A895" s="2170"/>
      <c r="H895" s="2531" t="s">
        <v>2637</v>
      </c>
      <c r="I895" s="2531"/>
      <c r="J895" s="2172"/>
      <c r="K895" s="2537">
        <v>0</v>
      </c>
      <c r="L895" s="2537"/>
      <c r="M895" s="2172"/>
      <c r="N895" s="2533"/>
      <c r="O895" s="2172"/>
    </row>
    <row r="896" spans="1:15" s="2171" customFormat="1">
      <c r="H896" s="2172"/>
      <c r="I896" s="2172"/>
      <c r="J896" s="2172"/>
      <c r="K896" s="2537"/>
      <c r="L896" s="2537"/>
      <c r="N896" s="2533"/>
    </row>
    <row r="897" spans="1:15" s="2171" customFormat="1">
      <c r="A897" s="2169">
        <v>24368</v>
      </c>
      <c r="B897" s="2172"/>
      <c r="C897" s="2534" t="s">
        <v>3051</v>
      </c>
      <c r="D897" s="2534"/>
      <c r="E897" s="2534"/>
      <c r="F897" s="2534"/>
      <c r="G897" s="2534"/>
      <c r="H897" s="2534"/>
      <c r="I897" s="2534"/>
      <c r="J897" s="2172"/>
      <c r="K897" s="2172"/>
      <c r="L897" s="2172"/>
      <c r="M897" s="2172"/>
    </row>
    <row r="898" spans="1:15" s="2171" customFormat="1">
      <c r="A898" s="2172"/>
      <c r="B898" s="2172"/>
      <c r="C898" s="2172"/>
      <c r="D898" s="2172"/>
      <c r="E898" s="2172"/>
      <c r="F898" s="2172"/>
      <c r="G898" s="2172"/>
      <c r="H898" s="2172"/>
      <c r="I898" s="2172"/>
      <c r="J898" s="2172"/>
      <c r="K898" s="2172"/>
      <c r="L898" s="2172"/>
      <c r="M898" s="2172"/>
    </row>
    <row r="899" spans="1:15" s="2171" customFormat="1">
      <c r="A899" s="2535" t="s">
        <v>2648</v>
      </c>
      <c r="B899" s="2535"/>
      <c r="C899" s="2535"/>
      <c r="D899" s="2173"/>
      <c r="E899" s="2173"/>
      <c r="F899" s="2173"/>
      <c r="G899" s="2173"/>
      <c r="H899" s="2539">
        <v>-15.013</v>
      </c>
      <c r="I899" s="2539"/>
      <c r="J899" s="2539"/>
      <c r="K899" s="2173"/>
      <c r="L899" s="2175">
        <v>-1387.08</v>
      </c>
      <c r="M899" s="2173"/>
    </row>
    <row r="900" spans="1:15" s="2171" customFormat="1">
      <c r="A900" s="2535" t="s">
        <v>2649</v>
      </c>
      <c r="B900" s="2535"/>
      <c r="C900" s="2535"/>
      <c r="D900" s="2173"/>
      <c r="E900" s="2173"/>
      <c r="F900" s="2173"/>
      <c r="G900" s="2173"/>
      <c r="H900" s="2539">
        <v>15.013</v>
      </c>
      <c r="I900" s="2539"/>
      <c r="J900" s="2539"/>
      <c r="K900" s="2173"/>
      <c r="L900" s="2175">
        <v>1415.1</v>
      </c>
      <c r="M900" s="2173"/>
    </row>
    <row r="901" spans="1:15" s="2171" customFormat="1">
      <c r="A901" s="2170"/>
      <c r="B901" s="2170"/>
      <c r="C901" s="2170"/>
      <c r="D901" s="2170"/>
      <c r="E901" s="2531" t="s">
        <v>2639</v>
      </c>
      <c r="F901" s="2531"/>
      <c r="G901" s="2170"/>
      <c r="H901" s="2537">
        <v>0</v>
      </c>
      <c r="I901" s="2537"/>
      <c r="J901" s="2537"/>
      <c r="K901" s="2172"/>
      <c r="L901" s="2537">
        <v>0</v>
      </c>
      <c r="M901" s="2172"/>
    </row>
    <row r="902" spans="1:15" s="2171" customFormat="1">
      <c r="A902" s="2170"/>
      <c r="B902" s="2170"/>
      <c r="C902" s="2170"/>
      <c r="D902" s="2170"/>
      <c r="E902" s="2170"/>
      <c r="F902" s="2170"/>
      <c r="G902" s="2170"/>
      <c r="H902" s="2537"/>
      <c r="I902" s="2537"/>
      <c r="J902" s="2537"/>
      <c r="K902" s="2172"/>
      <c r="L902" s="2537"/>
      <c r="M902" s="2172"/>
    </row>
    <row r="903" spans="1:15" s="2171" customFormat="1">
      <c r="A903" s="2169" t="s">
        <v>2699</v>
      </c>
      <c r="B903" s="2170"/>
      <c r="C903" s="2169" t="s">
        <v>1069</v>
      </c>
      <c r="D903" s="2170"/>
      <c r="E903" s="2169" t="s">
        <v>2640</v>
      </c>
      <c r="F903" s="2170"/>
    </row>
    <row r="904" spans="1:15" s="2171" customFormat="1">
      <c r="A904" s="2172"/>
      <c r="B904" s="2172"/>
      <c r="C904" s="2172"/>
      <c r="D904" s="2172"/>
      <c r="E904" s="2172"/>
      <c r="F904" s="2172"/>
      <c r="G904" s="2172"/>
      <c r="H904" s="2172"/>
      <c r="I904" s="2172"/>
      <c r="J904" s="2172"/>
      <c r="K904" s="2172"/>
      <c r="L904" s="2172"/>
      <c r="M904" s="2172"/>
    </row>
    <row r="905" spans="1:15" s="2171" customFormat="1">
      <c r="A905" s="2170"/>
      <c r="H905" s="2531" t="s">
        <v>2637</v>
      </c>
      <c r="I905" s="2531"/>
      <c r="J905" s="2172"/>
      <c r="K905" s="2537">
        <v>1E-4</v>
      </c>
      <c r="L905" s="2537"/>
      <c r="M905" s="2172"/>
      <c r="N905" s="2533"/>
      <c r="O905" s="2172"/>
    </row>
    <row r="906" spans="1:15" s="2171" customFormat="1">
      <c r="H906" s="2172"/>
      <c r="I906" s="2172"/>
      <c r="J906" s="2172"/>
      <c r="K906" s="2537"/>
      <c r="L906" s="2537"/>
      <c r="N906" s="2533"/>
    </row>
    <row r="907" spans="1:15" s="2171" customFormat="1">
      <c r="A907" s="2169">
        <v>24482</v>
      </c>
      <c r="B907" s="2172"/>
      <c r="C907" s="2534" t="s">
        <v>3052</v>
      </c>
      <c r="D907" s="2534"/>
      <c r="E907" s="2534"/>
      <c r="F907" s="2534"/>
      <c r="G907" s="2534"/>
      <c r="H907" s="2534"/>
      <c r="I907" s="2534"/>
      <c r="J907" s="2172"/>
      <c r="K907" s="2172"/>
      <c r="L907" s="2172"/>
      <c r="M907" s="2172"/>
    </row>
    <row r="908" spans="1:15" s="2171" customFormat="1">
      <c r="A908" s="2172"/>
      <c r="B908" s="2172"/>
      <c r="C908" s="2172"/>
      <c r="D908" s="2172"/>
      <c r="E908" s="2172"/>
      <c r="F908" s="2172"/>
      <c r="G908" s="2172"/>
      <c r="H908" s="2172"/>
      <c r="I908" s="2172"/>
      <c r="J908" s="2172"/>
      <c r="K908" s="2172"/>
      <c r="L908" s="2172"/>
      <c r="M908" s="2172"/>
    </row>
    <row r="909" spans="1:15" s="2171" customFormat="1">
      <c r="A909" s="2535" t="s">
        <v>2648</v>
      </c>
      <c r="B909" s="2535"/>
      <c r="C909" s="2535"/>
      <c r="D909" s="2173"/>
      <c r="E909" s="2173"/>
      <c r="F909" s="2173"/>
      <c r="G909" s="2173"/>
      <c r="H909" s="2539">
        <v>-25.763000000000002</v>
      </c>
      <c r="I909" s="2539"/>
      <c r="J909" s="2539"/>
      <c r="K909" s="2173"/>
      <c r="L909" s="2175">
        <v>-2380.2600000000002</v>
      </c>
      <c r="M909" s="2173"/>
    </row>
    <row r="910" spans="1:15" s="2171" customFormat="1">
      <c r="A910" s="2535" t="s">
        <v>2649</v>
      </c>
      <c r="B910" s="2535"/>
      <c r="C910" s="2535"/>
      <c r="D910" s="2173"/>
      <c r="E910" s="2173"/>
      <c r="F910" s="2173"/>
      <c r="G910" s="2173"/>
      <c r="H910" s="2539">
        <v>25.763000000000002</v>
      </c>
      <c r="I910" s="2539"/>
      <c r="J910" s="2539"/>
      <c r="K910" s="2173"/>
      <c r="L910" s="2175">
        <v>2428.34</v>
      </c>
      <c r="M910" s="2173"/>
    </row>
    <row r="911" spans="1:15" s="2171" customFormat="1">
      <c r="A911" s="2170"/>
      <c r="B911" s="2170"/>
      <c r="C911" s="2170"/>
      <c r="D911" s="2170"/>
      <c r="E911" s="2531" t="s">
        <v>2639</v>
      </c>
      <c r="F911" s="2531"/>
      <c r="G911" s="2170"/>
      <c r="H911" s="2537">
        <v>1E-4</v>
      </c>
      <c r="I911" s="2537"/>
      <c r="J911" s="2537"/>
      <c r="K911" s="2172"/>
      <c r="L911" s="2537">
        <v>0.01</v>
      </c>
      <c r="M911" s="2172"/>
    </row>
    <row r="912" spans="1:15" s="2171" customFormat="1">
      <c r="A912" s="2170"/>
      <c r="B912" s="2170"/>
      <c r="C912" s="2170"/>
      <c r="D912" s="2170"/>
      <c r="E912" s="2170"/>
      <c r="F912" s="2170"/>
      <c r="G912" s="2170"/>
      <c r="H912" s="2537"/>
      <c r="I912" s="2537"/>
      <c r="J912" s="2537"/>
      <c r="K912" s="2172"/>
      <c r="L912" s="2537"/>
      <c r="M912" s="2172"/>
    </row>
    <row r="913" spans="1:15" s="2171" customFormat="1">
      <c r="A913" s="2169" t="s">
        <v>2699</v>
      </c>
      <c r="B913" s="2170"/>
      <c r="C913" s="2169" t="s">
        <v>1069</v>
      </c>
      <c r="D913" s="2170"/>
      <c r="E913" s="2169" t="s">
        <v>2640</v>
      </c>
      <c r="F913" s="2170"/>
    </row>
    <row r="914" spans="1:15" s="2171" customFormat="1">
      <c r="A914" s="2172"/>
      <c r="B914" s="2172"/>
      <c r="C914" s="2172"/>
      <c r="D914" s="2172"/>
      <c r="E914" s="2172"/>
      <c r="F914" s="2172"/>
      <c r="G914" s="2172"/>
      <c r="H914" s="2172"/>
      <c r="I914" s="2172"/>
      <c r="J914" s="2172"/>
      <c r="K914" s="2172"/>
      <c r="L914" s="2172"/>
      <c r="M914" s="2172"/>
    </row>
    <row r="915" spans="1:15" s="2171" customFormat="1">
      <c r="A915" s="2170"/>
      <c r="H915" s="2531" t="s">
        <v>2637</v>
      </c>
      <c r="I915" s="2531"/>
      <c r="J915" s="2172"/>
      <c r="K915" s="2537">
        <v>1E-4</v>
      </c>
      <c r="L915" s="2537"/>
      <c r="M915" s="2172"/>
      <c r="N915" s="2533"/>
      <c r="O915" s="2172"/>
    </row>
    <row r="916" spans="1:15" s="2171" customFormat="1">
      <c r="H916" s="2172"/>
      <c r="I916" s="2172"/>
      <c r="J916" s="2172"/>
      <c r="K916" s="2537"/>
      <c r="L916" s="2537"/>
      <c r="N916" s="2533"/>
    </row>
    <row r="917" spans="1:15" s="2171" customFormat="1">
      <c r="A917" s="2169">
        <v>24558</v>
      </c>
      <c r="B917" s="2172"/>
      <c r="C917" s="2534" t="s">
        <v>3053</v>
      </c>
      <c r="D917" s="2534"/>
      <c r="E917" s="2534"/>
      <c r="F917" s="2534"/>
      <c r="G917" s="2534"/>
      <c r="H917" s="2534"/>
      <c r="I917" s="2534"/>
      <c r="J917" s="2172"/>
      <c r="K917" s="2172"/>
      <c r="L917" s="2172"/>
      <c r="M917" s="2172"/>
    </row>
    <row r="918" spans="1:15" s="2171" customFormat="1">
      <c r="A918" s="2172"/>
      <c r="B918" s="2172"/>
      <c r="C918" s="2172"/>
      <c r="D918" s="2172"/>
      <c r="E918" s="2172"/>
      <c r="F918" s="2172"/>
      <c r="G918" s="2172"/>
      <c r="H918" s="2172"/>
      <c r="I918" s="2172"/>
      <c r="J918" s="2172"/>
      <c r="K918" s="2172"/>
      <c r="L918" s="2172"/>
      <c r="M918" s="2172"/>
    </row>
    <row r="919" spans="1:15" s="2171" customFormat="1">
      <c r="A919" s="2538"/>
      <c r="B919" s="2538"/>
      <c r="C919" s="2538"/>
      <c r="D919" s="2173"/>
      <c r="E919" s="2173"/>
      <c r="F919" s="2173"/>
      <c r="G919" s="2173"/>
      <c r="H919" s="2539"/>
      <c r="I919" s="2539"/>
      <c r="J919" s="2539"/>
      <c r="K919" s="2173"/>
      <c r="L919" s="2174"/>
      <c r="M919" s="2173"/>
    </row>
    <row r="920" spans="1:15" s="2171" customFormat="1">
      <c r="A920" s="2170"/>
      <c r="B920" s="2170"/>
      <c r="C920" s="2170"/>
      <c r="D920" s="2170"/>
      <c r="E920" s="2531" t="s">
        <v>2639</v>
      </c>
      <c r="F920" s="2531"/>
      <c r="G920" s="2170"/>
      <c r="H920" s="2537">
        <v>1E-4</v>
      </c>
      <c r="I920" s="2537"/>
      <c r="J920" s="2537"/>
      <c r="K920" s="2172"/>
      <c r="L920" s="2537">
        <v>0.01</v>
      </c>
      <c r="M920" s="2172"/>
    </row>
    <row r="921" spans="1:15" s="2171" customFormat="1">
      <c r="A921" s="2170"/>
      <c r="B921" s="2170"/>
      <c r="C921" s="2170"/>
      <c r="D921" s="2170"/>
      <c r="E921" s="2170"/>
      <c r="F921" s="2170"/>
      <c r="G921" s="2170"/>
      <c r="H921" s="2537"/>
      <c r="I921" s="2537"/>
      <c r="J921" s="2537"/>
      <c r="K921" s="2172"/>
      <c r="L921" s="2537"/>
      <c r="M921" s="2172"/>
    </row>
    <row r="922" spans="1:15" s="2171" customFormat="1">
      <c r="A922" s="2169" t="s">
        <v>2699</v>
      </c>
      <c r="B922" s="2170"/>
      <c r="C922" s="2169" t="s">
        <v>1069</v>
      </c>
      <c r="D922" s="2170"/>
      <c r="E922" s="2169" t="s">
        <v>2640</v>
      </c>
      <c r="F922" s="2170"/>
    </row>
    <row r="923" spans="1:15" s="2171" customFormat="1">
      <c r="A923" s="2172"/>
      <c r="B923" s="2172"/>
      <c r="C923" s="2172"/>
      <c r="D923" s="2172"/>
      <c r="E923" s="2172"/>
      <c r="F923" s="2172"/>
      <c r="G923" s="2172"/>
      <c r="H923" s="2172"/>
      <c r="I923" s="2172"/>
      <c r="J923" s="2172"/>
      <c r="K923" s="2172"/>
      <c r="L923" s="2172"/>
      <c r="M923" s="2172"/>
    </row>
    <row r="924" spans="1:15" s="2171" customFormat="1">
      <c r="A924" s="2170"/>
      <c r="H924" s="2531" t="s">
        <v>2637</v>
      </c>
      <c r="I924" s="2531"/>
      <c r="J924" s="2172"/>
      <c r="K924" s="2532">
        <v>476881.26659999997</v>
      </c>
      <c r="L924" s="2532"/>
      <c r="M924" s="2172"/>
      <c r="N924" s="2533" t="s">
        <v>3093</v>
      </c>
      <c r="O924" s="2172"/>
    </row>
    <row r="925" spans="1:15" s="2171" customFormat="1">
      <c r="H925" s="2172"/>
      <c r="I925" s="2172"/>
      <c r="J925" s="2172"/>
      <c r="K925" s="2532"/>
      <c r="L925" s="2532"/>
      <c r="N925" s="2533"/>
    </row>
    <row r="926" spans="1:15" s="2171" customFormat="1">
      <c r="A926" s="2169">
        <v>34239</v>
      </c>
      <c r="B926" s="2172"/>
      <c r="C926" s="2534" t="s">
        <v>3054</v>
      </c>
      <c r="D926" s="2534"/>
      <c r="E926" s="2534"/>
      <c r="F926" s="2534"/>
      <c r="G926" s="2534"/>
      <c r="H926" s="2534"/>
      <c r="I926" s="2534"/>
      <c r="J926" s="2172"/>
      <c r="K926" s="2172"/>
      <c r="L926" s="2172"/>
      <c r="M926" s="2172"/>
    </row>
    <row r="927" spans="1:15" s="2171" customFormat="1">
      <c r="A927" s="2172"/>
      <c r="B927" s="2172"/>
      <c r="C927" s="2172"/>
      <c r="D927" s="2172"/>
      <c r="E927" s="2172"/>
      <c r="F927" s="2172"/>
      <c r="G927" s="2172"/>
      <c r="H927" s="2172"/>
      <c r="I927" s="2172"/>
      <c r="J927" s="2172"/>
      <c r="K927" s="2172"/>
      <c r="L927" s="2172"/>
      <c r="M927" s="2172"/>
    </row>
    <row r="928" spans="1:15" s="2171" customFormat="1">
      <c r="A928" s="2535" t="s">
        <v>2648</v>
      </c>
      <c r="B928" s="2535"/>
      <c r="C928" s="2535"/>
      <c r="D928" s="2173"/>
      <c r="E928" s="2173"/>
      <c r="F928" s="2173"/>
      <c r="G928" s="2173"/>
      <c r="H928" s="2536">
        <v>-67547.194000000003</v>
      </c>
      <c r="I928" s="2536"/>
      <c r="J928" s="2536"/>
      <c r="K928" s="2173"/>
      <c r="L928" s="2175">
        <v>-6000000</v>
      </c>
      <c r="M928" s="2173"/>
    </row>
    <row r="929" spans="1:15" s="2171" customFormat="1">
      <c r="A929" s="2170"/>
      <c r="B929" s="2170"/>
      <c r="C929" s="2170"/>
      <c r="D929" s="2170"/>
      <c r="E929" s="2531" t="s">
        <v>2639</v>
      </c>
      <c r="F929" s="2531"/>
      <c r="G929" s="2170"/>
      <c r="H929" s="2532">
        <v>409334.07290000003</v>
      </c>
      <c r="I929" s="2532"/>
      <c r="J929" s="2532"/>
      <c r="K929" s="2172"/>
      <c r="L929" s="2532">
        <v>37220747.25</v>
      </c>
      <c r="M929" s="2172"/>
    </row>
    <row r="930" spans="1:15" s="2171" customFormat="1">
      <c r="A930" s="2170"/>
      <c r="B930" s="2170"/>
      <c r="C930" s="2170"/>
      <c r="D930" s="2170"/>
      <c r="E930" s="2170"/>
      <c r="F930" s="2170"/>
      <c r="G930" s="2170"/>
      <c r="H930" s="2532"/>
      <c r="I930" s="2532"/>
      <c r="J930" s="2532"/>
      <c r="K930" s="2172"/>
      <c r="L930" s="2532"/>
      <c r="M930" s="2172"/>
    </row>
    <row r="931" spans="1:15" s="2171" customFormat="1">
      <c r="A931" s="2169" t="s">
        <v>2699</v>
      </c>
      <c r="B931" s="2170"/>
      <c r="C931" s="2169" t="s">
        <v>1069</v>
      </c>
      <c r="D931" s="2170"/>
      <c r="E931" s="2169" t="s">
        <v>2640</v>
      </c>
      <c r="F931" s="2170"/>
    </row>
    <row r="932" spans="1:15" s="2171" customFormat="1">
      <c r="A932" s="2172"/>
      <c r="B932" s="2172"/>
      <c r="C932" s="2172"/>
      <c r="D932" s="2172"/>
      <c r="E932" s="2172"/>
      <c r="F932" s="2172"/>
      <c r="G932" s="2172"/>
      <c r="H932" s="2172"/>
      <c r="I932" s="2172"/>
      <c r="J932" s="2172"/>
      <c r="K932" s="2172"/>
      <c r="L932" s="2172"/>
      <c r="M932" s="2172"/>
    </row>
    <row r="933" spans="1:15" s="2171" customFormat="1">
      <c r="A933" s="2170"/>
      <c r="H933" s="2531" t="s">
        <v>2637</v>
      </c>
      <c r="I933" s="2531"/>
      <c r="J933" s="2172"/>
      <c r="K933" s="2532">
        <v>515113.08149999997</v>
      </c>
      <c r="L933" s="2532"/>
      <c r="M933" s="2172"/>
      <c r="N933" s="2533" t="s">
        <v>3094</v>
      </c>
      <c r="O933" s="2172"/>
    </row>
    <row r="934" spans="1:15" s="2171" customFormat="1">
      <c r="H934" s="2172"/>
      <c r="I934" s="2172"/>
      <c r="J934" s="2172"/>
      <c r="K934" s="2532"/>
      <c r="L934" s="2532"/>
      <c r="N934" s="2533"/>
    </row>
    <row r="935" spans="1:15" s="2171" customFormat="1">
      <c r="A935" s="2169">
        <v>54909</v>
      </c>
      <c r="B935" s="2172"/>
      <c r="C935" s="2534" t="s">
        <v>2858</v>
      </c>
      <c r="D935" s="2534"/>
      <c r="E935" s="2534"/>
      <c r="F935" s="2534"/>
      <c r="G935" s="2534"/>
      <c r="H935" s="2534"/>
      <c r="I935" s="2534"/>
      <c r="J935" s="2172"/>
      <c r="K935" s="2172"/>
      <c r="L935" s="2172"/>
      <c r="M935" s="2172"/>
    </row>
    <row r="936" spans="1:15" s="2171" customFormat="1">
      <c r="A936" s="2172"/>
      <c r="B936" s="2172"/>
      <c r="C936" s="2172"/>
      <c r="D936" s="2172"/>
      <c r="E936" s="2172"/>
      <c r="F936" s="2172"/>
      <c r="G936" s="2172"/>
      <c r="H936" s="2172"/>
      <c r="I936" s="2172"/>
      <c r="J936" s="2172"/>
      <c r="K936" s="2172"/>
      <c r="L936" s="2172"/>
      <c r="M936" s="2172"/>
    </row>
    <row r="937" spans="1:15" s="2171" customFormat="1">
      <c r="A937" s="2535" t="s">
        <v>2647</v>
      </c>
      <c r="B937" s="2535"/>
      <c r="C937" s="2535"/>
      <c r="D937" s="2173"/>
      <c r="E937" s="2173"/>
      <c r="F937" s="2173"/>
      <c r="G937" s="2173"/>
      <c r="H937" s="2536">
        <v>393998.59899999999</v>
      </c>
      <c r="I937" s="2536"/>
      <c r="J937" s="2536"/>
      <c r="K937" s="2173"/>
      <c r="L937" s="2175">
        <v>36348013</v>
      </c>
      <c r="M937" s="2173"/>
    </row>
    <row r="938" spans="1:15" s="2171" customFormat="1">
      <c r="A938" s="2535" t="s">
        <v>2648</v>
      </c>
      <c r="B938" s="2535"/>
      <c r="C938" s="2535"/>
      <c r="D938" s="2173"/>
      <c r="E938" s="2173"/>
      <c r="F938" s="2173"/>
      <c r="G938" s="2173"/>
      <c r="H938" s="2536">
        <v>-515113.08100000001</v>
      </c>
      <c r="I938" s="2536"/>
      <c r="J938" s="2536"/>
      <c r="K938" s="2173"/>
      <c r="L938" s="2175">
        <v>-43702999.640000001</v>
      </c>
      <c r="M938" s="2173"/>
    </row>
    <row r="939" spans="1:15" s="2171" customFormat="1">
      <c r="A939" s="2170"/>
      <c r="B939" s="2170"/>
      <c r="C939" s="2170"/>
      <c r="D939" s="2170"/>
      <c r="E939" s="2531" t="s">
        <v>2639</v>
      </c>
      <c r="F939" s="2531"/>
      <c r="G939" s="2170"/>
      <c r="H939" s="2532">
        <v>393998.59940000001</v>
      </c>
      <c r="I939" s="2532"/>
      <c r="J939" s="2532"/>
      <c r="K939" s="2172"/>
      <c r="L939" s="2532">
        <v>35826292.640000001</v>
      </c>
      <c r="M939" s="2172"/>
    </row>
    <row r="940" spans="1:15" s="2171" customFormat="1">
      <c r="A940" s="2170"/>
      <c r="B940" s="2170"/>
      <c r="C940" s="2170"/>
      <c r="D940" s="2170"/>
      <c r="E940" s="2170"/>
      <c r="F940" s="2170"/>
      <c r="G940" s="2170"/>
      <c r="H940" s="2532"/>
      <c r="I940" s="2532"/>
      <c r="J940" s="2532"/>
      <c r="K940" s="2172"/>
      <c r="L940" s="2532"/>
      <c r="M940" s="2172"/>
    </row>
    <row r="941" spans="1:15" s="2171" customFormat="1">
      <c r="A941" s="2169" t="s">
        <v>2699</v>
      </c>
      <c r="B941" s="2170"/>
      <c r="C941" s="2169" t="s">
        <v>1069</v>
      </c>
      <c r="D941" s="2170"/>
      <c r="E941" s="2169" t="s">
        <v>2640</v>
      </c>
      <c r="F941" s="2170"/>
    </row>
    <row r="942" spans="1:15" s="2171" customFormat="1">
      <c r="A942" s="2172"/>
      <c r="B942" s="2172"/>
      <c r="C942" s="2172"/>
      <c r="D942" s="2172"/>
      <c r="E942" s="2172"/>
      <c r="F942" s="2172"/>
      <c r="G942" s="2172"/>
      <c r="H942" s="2172"/>
      <c r="I942" s="2172"/>
      <c r="J942" s="2172"/>
      <c r="K942" s="2172"/>
      <c r="L942" s="2172"/>
      <c r="M942" s="2172"/>
    </row>
    <row r="943" spans="1:15" s="2171" customFormat="1">
      <c r="A943" s="2170"/>
      <c r="H943" s="2531" t="s">
        <v>2637</v>
      </c>
      <c r="I943" s="2531"/>
      <c r="J943" s="2172"/>
      <c r="K943" s="2532">
        <v>177298.7162</v>
      </c>
      <c r="L943" s="2532"/>
      <c r="M943" s="2172"/>
      <c r="N943" s="2533" t="s">
        <v>3095</v>
      </c>
      <c r="O943" s="2172"/>
    </row>
    <row r="944" spans="1:15" s="2171" customFormat="1">
      <c r="H944" s="2172"/>
      <c r="I944" s="2172"/>
      <c r="J944" s="2172"/>
      <c r="K944" s="2532"/>
      <c r="L944" s="2532"/>
      <c r="N944" s="2533"/>
    </row>
    <row r="945" spans="1:15" s="2171" customFormat="1">
      <c r="A945" s="2169">
        <v>54982</v>
      </c>
      <c r="B945" s="2172"/>
      <c r="C945" s="2534" t="s">
        <v>2859</v>
      </c>
      <c r="D945" s="2534"/>
      <c r="E945" s="2534"/>
      <c r="F945" s="2534"/>
      <c r="G945" s="2534"/>
      <c r="H945" s="2534"/>
      <c r="I945" s="2534"/>
      <c r="J945" s="2172"/>
      <c r="K945" s="2172"/>
      <c r="L945" s="2172"/>
      <c r="M945" s="2172"/>
    </row>
    <row r="946" spans="1:15" s="2171" customFormat="1">
      <c r="A946" s="2172"/>
      <c r="B946" s="2172"/>
      <c r="C946" s="2172"/>
      <c r="D946" s="2172"/>
      <c r="E946" s="2172"/>
      <c r="F946" s="2172"/>
      <c r="G946" s="2172"/>
      <c r="H946" s="2172"/>
      <c r="I946" s="2172"/>
      <c r="J946" s="2172"/>
      <c r="K946" s="2172"/>
      <c r="L946" s="2172"/>
      <c r="M946" s="2172"/>
    </row>
    <row r="947" spans="1:15" s="2171" customFormat="1">
      <c r="A947" s="2535" t="s">
        <v>2647</v>
      </c>
      <c r="B947" s="2535"/>
      <c r="C947" s="2535"/>
      <c r="D947" s="2173"/>
      <c r="E947" s="2173"/>
      <c r="F947" s="2173"/>
      <c r="G947" s="2173"/>
      <c r="H947" s="2536">
        <v>133086.71100000001</v>
      </c>
      <c r="I947" s="2536"/>
      <c r="J947" s="2536"/>
      <c r="K947" s="2173"/>
      <c r="L947" s="2175">
        <v>12207312</v>
      </c>
      <c r="M947" s="2173"/>
    </row>
    <row r="948" spans="1:15" s="2171" customFormat="1">
      <c r="A948" s="2535" t="s">
        <v>2648</v>
      </c>
      <c r="B948" s="2535"/>
      <c r="C948" s="2535"/>
      <c r="D948" s="2173"/>
      <c r="E948" s="2173"/>
      <c r="F948" s="2173"/>
      <c r="G948" s="2173"/>
      <c r="H948" s="2536">
        <v>-73241.304000000004</v>
      </c>
      <c r="I948" s="2536"/>
      <c r="J948" s="2536"/>
      <c r="K948" s="2173"/>
      <c r="L948" s="2175">
        <v>-5991395</v>
      </c>
      <c r="M948" s="2173"/>
    </row>
    <row r="949" spans="1:15" s="2171" customFormat="1">
      <c r="A949" s="2535" t="s">
        <v>2649</v>
      </c>
      <c r="B949" s="2535"/>
      <c r="C949" s="2535"/>
      <c r="D949" s="2173"/>
      <c r="E949" s="2173"/>
      <c r="F949" s="2173"/>
      <c r="G949" s="2173"/>
      <c r="H949" s="2539">
        <v>218.309</v>
      </c>
      <c r="I949" s="2539"/>
      <c r="J949" s="2539"/>
      <c r="K949" s="2173"/>
      <c r="L949" s="2175">
        <v>20577</v>
      </c>
      <c r="M949" s="2173"/>
    </row>
    <row r="950" spans="1:15" s="2171" customFormat="1">
      <c r="A950" s="2170"/>
      <c r="B950" s="2170"/>
      <c r="C950" s="2170"/>
      <c r="D950" s="2170"/>
      <c r="E950" s="2531" t="s">
        <v>2639</v>
      </c>
      <c r="F950" s="2531"/>
      <c r="G950" s="2170"/>
      <c r="H950" s="2532">
        <v>237362.43179999999</v>
      </c>
      <c r="I950" s="2532"/>
      <c r="J950" s="2532"/>
      <c r="K950" s="2172"/>
      <c r="L950" s="2532">
        <v>21583365.93</v>
      </c>
      <c r="M950" s="2172"/>
    </row>
    <row r="951" spans="1:15" s="2171" customFormat="1">
      <c r="A951" s="2170"/>
      <c r="B951" s="2170"/>
      <c r="C951" s="2170"/>
      <c r="D951" s="2170"/>
      <c r="E951" s="2170"/>
      <c r="F951" s="2170"/>
      <c r="G951" s="2170"/>
      <c r="H951" s="2532"/>
      <c r="I951" s="2532"/>
      <c r="J951" s="2532"/>
      <c r="K951" s="2172"/>
      <c r="L951" s="2532"/>
      <c r="M951" s="2172"/>
    </row>
    <row r="952" spans="1:15" s="2171" customFormat="1">
      <c r="A952" s="2169" t="s">
        <v>2699</v>
      </c>
      <c r="B952" s="2170"/>
      <c r="C952" s="2169" t="s">
        <v>1069</v>
      </c>
      <c r="D952" s="2170"/>
      <c r="E952" s="2169" t="s">
        <v>2640</v>
      </c>
      <c r="F952" s="2170"/>
    </row>
    <row r="953" spans="1:15" s="2171" customFormat="1">
      <c r="A953" s="2172"/>
      <c r="B953" s="2172"/>
      <c r="C953" s="2172"/>
      <c r="D953" s="2172"/>
      <c r="E953" s="2172"/>
      <c r="F953" s="2172"/>
      <c r="G953" s="2172"/>
      <c r="H953" s="2172"/>
      <c r="I953" s="2172"/>
      <c r="J953" s="2172"/>
      <c r="K953" s="2172"/>
      <c r="L953" s="2172"/>
      <c r="M953" s="2172"/>
    </row>
    <row r="954" spans="1:15" s="2171" customFormat="1">
      <c r="A954" s="2170"/>
      <c r="H954" s="2531" t="s">
        <v>2637</v>
      </c>
      <c r="I954" s="2531"/>
      <c r="J954" s="2172"/>
      <c r="K954" s="2532">
        <v>152119.5385</v>
      </c>
      <c r="L954" s="2532"/>
      <c r="M954" s="2172"/>
      <c r="N954" s="2533" t="s">
        <v>3096</v>
      </c>
      <c r="O954" s="2172"/>
    </row>
    <row r="955" spans="1:15" s="2171" customFormat="1">
      <c r="H955" s="2172"/>
      <c r="I955" s="2172"/>
      <c r="J955" s="2172"/>
      <c r="K955" s="2532"/>
      <c r="L955" s="2532"/>
      <c r="N955" s="2533"/>
    </row>
    <row r="956" spans="1:15" s="2171" customFormat="1">
      <c r="A956" s="2169">
        <v>55049</v>
      </c>
      <c r="B956" s="2172"/>
      <c r="C956" s="2534" t="s">
        <v>2860</v>
      </c>
      <c r="D956" s="2534"/>
      <c r="E956" s="2534"/>
      <c r="F956" s="2534"/>
      <c r="G956" s="2534"/>
      <c r="H956" s="2534"/>
      <c r="I956" s="2534"/>
      <c r="J956" s="2172"/>
      <c r="K956" s="2172"/>
      <c r="L956" s="2172"/>
      <c r="M956" s="2172"/>
    </row>
    <row r="957" spans="1:15" s="2171" customFormat="1">
      <c r="A957" s="2172"/>
      <c r="B957" s="2172"/>
      <c r="C957" s="2172"/>
      <c r="D957" s="2172"/>
      <c r="E957" s="2172"/>
      <c r="F957" s="2172"/>
      <c r="G957" s="2172"/>
      <c r="H957" s="2172"/>
      <c r="I957" s="2172"/>
      <c r="J957" s="2172"/>
      <c r="K957" s="2172"/>
      <c r="L957" s="2172"/>
      <c r="M957" s="2172"/>
    </row>
    <row r="958" spans="1:15" s="2171" customFormat="1">
      <c r="A958" s="2535" t="s">
        <v>2647</v>
      </c>
      <c r="B958" s="2535"/>
      <c r="C958" s="2535"/>
      <c r="D958" s="2173"/>
      <c r="E958" s="2173"/>
      <c r="F958" s="2173"/>
      <c r="G958" s="2173"/>
      <c r="H958" s="2536">
        <v>61774.161999999997</v>
      </c>
      <c r="I958" s="2536"/>
      <c r="J958" s="2536"/>
      <c r="K958" s="2173"/>
      <c r="L958" s="2175">
        <v>5697151</v>
      </c>
      <c r="M958" s="2173"/>
    </row>
    <row r="959" spans="1:15" s="2171" customFormat="1">
      <c r="A959" s="2535" t="s">
        <v>2648</v>
      </c>
      <c r="B959" s="2535"/>
      <c r="C959" s="2535"/>
      <c r="D959" s="2173"/>
      <c r="E959" s="2173"/>
      <c r="F959" s="2173"/>
      <c r="G959" s="2173"/>
      <c r="H959" s="2536">
        <v>-48447.953999999998</v>
      </c>
      <c r="I959" s="2536"/>
      <c r="J959" s="2536"/>
      <c r="K959" s="2173"/>
      <c r="L959" s="2175">
        <v>-4005334</v>
      </c>
      <c r="M959" s="2173"/>
    </row>
    <row r="960" spans="1:15" s="2171" customFormat="1">
      <c r="A960" s="2170"/>
      <c r="B960" s="2170"/>
      <c r="C960" s="2170"/>
      <c r="D960" s="2170"/>
      <c r="E960" s="2531" t="s">
        <v>2639</v>
      </c>
      <c r="F960" s="2531"/>
      <c r="G960" s="2170"/>
      <c r="H960" s="2532">
        <v>165445.7458</v>
      </c>
      <c r="I960" s="2532"/>
      <c r="J960" s="2532"/>
      <c r="K960" s="2172"/>
      <c r="L960" s="2532">
        <v>15043981.67</v>
      </c>
      <c r="M960" s="2172"/>
    </row>
    <row r="961" spans="1:15" s="2171" customFormat="1">
      <c r="A961" s="2170"/>
      <c r="B961" s="2170"/>
      <c r="C961" s="2170"/>
      <c r="D961" s="2170"/>
      <c r="E961" s="2170"/>
      <c r="F961" s="2170"/>
      <c r="G961" s="2170"/>
      <c r="H961" s="2532"/>
      <c r="I961" s="2532"/>
      <c r="J961" s="2532"/>
      <c r="K961" s="2172"/>
      <c r="L961" s="2532"/>
      <c r="M961" s="2172"/>
    </row>
    <row r="962" spans="1:15" s="2171" customFormat="1">
      <c r="A962" s="2169" t="s">
        <v>2699</v>
      </c>
      <c r="B962" s="2170"/>
      <c r="C962" s="2169" t="s">
        <v>1069</v>
      </c>
      <c r="D962" s="2170"/>
      <c r="E962" s="2169" t="s">
        <v>2640</v>
      </c>
      <c r="F962" s="2170"/>
    </row>
    <row r="963" spans="1:15" s="2171" customFormat="1">
      <c r="A963" s="2172"/>
      <c r="B963" s="2172"/>
      <c r="C963" s="2172"/>
      <c r="D963" s="2172"/>
      <c r="E963" s="2172"/>
      <c r="F963" s="2172"/>
      <c r="G963" s="2172"/>
      <c r="H963" s="2172"/>
      <c r="I963" s="2172"/>
      <c r="J963" s="2172"/>
      <c r="K963" s="2172"/>
      <c r="L963" s="2172"/>
      <c r="M963" s="2172"/>
    </row>
    <row r="964" spans="1:15" s="2171" customFormat="1">
      <c r="A964" s="2170"/>
      <c r="H964" s="2531" t="s">
        <v>2637</v>
      </c>
      <c r="I964" s="2531"/>
      <c r="J964" s="2172"/>
      <c r="K964" s="2532">
        <v>85052.886899999998</v>
      </c>
      <c r="L964" s="2532"/>
      <c r="M964" s="2172"/>
      <c r="N964" s="2533" t="s">
        <v>3097</v>
      </c>
      <c r="O964" s="2172"/>
    </row>
    <row r="965" spans="1:15" s="2171" customFormat="1">
      <c r="H965" s="2172"/>
      <c r="I965" s="2172"/>
      <c r="J965" s="2172"/>
      <c r="K965" s="2532"/>
      <c r="L965" s="2532"/>
      <c r="N965" s="2533"/>
    </row>
    <row r="966" spans="1:15" s="2171" customFormat="1">
      <c r="A966" s="2169">
        <v>62002</v>
      </c>
      <c r="B966" s="2172"/>
      <c r="C966" s="2534" t="s">
        <v>2862</v>
      </c>
      <c r="D966" s="2534"/>
      <c r="E966" s="2534"/>
      <c r="F966" s="2534"/>
      <c r="G966" s="2534"/>
      <c r="H966" s="2534"/>
      <c r="I966" s="2534"/>
      <c r="J966" s="2172"/>
      <c r="K966" s="2172"/>
      <c r="L966" s="2172"/>
      <c r="M966" s="2172"/>
    </row>
    <row r="967" spans="1:15" s="2171" customFormat="1">
      <c r="A967" s="2172"/>
      <c r="B967" s="2172"/>
      <c r="C967" s="2172"/>
      <c r="D967" s="2172"/>
      <c r="E967" s="2172"/>
      <c r="F967" s="2172"/>
      <c r="G967" s="2172"/>
      <c r="H967" s="2172"/>
      <c r="I967" s="2172"/>
      <c r="J967" s="2172"/>
      <c r="K967" s="2172"/>
      <c r="L967" s="2172"/>
      <c r="M967" s="2172"/>
    </row>
    <row r="968" spans="1:15" s="2171" customFormat="1">
      <c r="A968" s="2535" t="s">
        <v>2647</v>
      </c>
      <c r="B968" s="2535"/>
      <c r="C968" s="2535"/>
      <c r="D968" s="2173"/>
      <c r="E968" s="2173"/>
      <c r="F968" s="2173"/>
      <c r="G968" s="2173"/>
      <c r="H968" s="2536">
        <v>265216.565</v>
      </c>
      <c r="I968" s="2536"/>
      <c r="J968" s="2536"/>
      <c r="K968" s="2173"/>
      <c r="L968" s="2175">
        <v>24413626.989999998</v>
      </c>
      <c r="M968" s="2173"/>
    </row>
    <row r="969" spans="1:15" s="2171" customFormat="1">
      <c r="A969" s="2535" t="s">
        <v>2648</v>
      </c>
      <c r="B969" s="2535"/>
      <c r="C969" s="2535"/>
      <c r="D969" s="2173"/>
      <c r="E969" s="2173"/>
      <c r="F969" s="2173"/>
      <c r="G969" s="2173"/>
      <c r="H969" s="2536">
        <v>-44175.91</v>
      </c>
      <c r="I969" s="2536"/>
      <c r="J969" s="2536"/>
      <c r="K969" s="2173"/>
      <c r="L969" s="2175">
        <v>-3695138</v>
      </c>
      <c r="M969" s="2173"/>
    </row>
    <row r="970" spans="1:15" s="2171" customFormat="1">
      <c r="A970" s="2535" t="s">
        <v>2649</v>
      </c>
      <c r="B970" s="2535"/>
      <c r="C970" s="2535"/>
      <c r="D970" s="2173"/>
      <c r="E970" s="2173"/>
      <c r="F970" s="2173"/>
      <c r="G970" s="2173"/>
      <c r="H970" s="2539">
        <v>17.547999999999998</v>
      </c>
      <c r="I970" s="2539"/>
      <c r="J970" s="2539"/>
      <c r="K970" s="2173"/>
      <c r="L970" s="2175">
        <v>1654</v>
      </c>
      <c r="M970" s="2173"/>
    </row>
    <row r="971" spans="1:15" s="2171" customFormat="1">
      <c r="A971" s="2170"/>
      <c r="B971" s="2170"/>
      <c r="C971" s="2170"/>
      <c r="D971" s="2170"/>
      <c r="E971" s="2531" t="s">
        <v>2639</v>
      </c>
      <c r="F971" s="2531"/>
      <c r="G971" s="2170"/>
      <c r="H971" s="2532">
        <v>306111.08909999998</v>
      </c>
      <c r="I971" s="2532"/>
      <c r="J971" s="2532"/>
      <c r="K971" s="2172"/>
      <c r="L971" s="2532">
        <v>27834681.329999998</v>
      </c>
      <c r="M971" s="2172"/>
    </row>
    <row r="972" spans="1:15" s="2171" customFormat="1">
      <c r="A972" s="2170"/>
      <c r="B972" s="2170"/>
      <c r="C972" s="2170"/>
      <c r="D972" s="2170"/>
      <c r="E972" s="2170"/>
      <c r="F972" s="2170"/>
      <c r="G972" s="2170"/>
      <c r="H972" s="2532"/>
      <c r="I972" s="2532"/>
      <c r="J972" s="2532"/>
      <c r="K972" s="2172"/>
      <c r="L972" s="2532"/>
      <c r="M972" s="2172"/>
    </row>
    <row r="973" spans="1:15" s="2171" customFormat="1">
      <c r="A973" s="2169" t="s">
        <v>2699</v>
      </c>
      <c r="B973" s="2170"/>
      <c r="C973" s="2169" t="s">
        <v>1069</v>
      </c>
      <c r="D973" s="2170"/>
      <c r="E973" s="2169" t="s">
        <v>2640</v>
      </c>
      <c r="F973" s="2170"/>
    </row>
    <row r="974" spans="1:15" s="2171" customFormat="1">
      <c r="A974" s="2172"/>
      <c r="B974" s="2172"/>
      <c r="C974" s="2172"/>
      <c r="D974" s="2172"/>
      <c r="E974" s="2172"/>
      <c r="F974" s="2172"/>
      <c r="G974" s="2172"/>
      <c r="H974" s="2172"/>
      <c r="I974" s="2172"/>
      <c r="J974" s="2172"/>
      <c r="K974" s="2172"/>
      <c r="L974" s="2172"/>
      <c r="M974" s="2172"/>
    </row>
    <row r="975" spans="1:15" s="2171" customFormat="1">
      <c r="A975" s="2170"/>
      <c r="H975" s="2531" t="s">
        <v>2637</v>
      </c>
      <c r="I975" s="2531"/>
      <c r="J975" s="2172"/>
      <c r="K975" s="2532">
        <v>16932.491999999998</v>
      </c>
      <c r="L975" s="2532"/>
      <c r="M975" s="2172"/>
      <c r="N975" s="2533" t="s">
        <v>3098</v>
      </c>
      <c r="O975" s="2172"/>
    </row>
    <row r="976" spans="1:15" s="2171" customFormat="1">
      <c r="H976" s="2172"/>
      <c r="I976" s="2172"/>
      <c r="J976" s="2172"/>
      <c r="K976" s="2532"/>
      <c r="L976" s="2532"/>
      <c r="N976" s="2533"/>
    </row>
    <row r="977" spans="1:15" s="2171" customFormat="1">
      <c r="A977" s="2169">
        <v>63906</v>
      </c>
      <c r="B977" s="2172"/>
      <c r="C977" s="2534" t="s">
        <v>2863</v>
      </c>
      <c r="D977" s="2534"/>
      <c r="E977" s="2534"/>
      <c r="F977" s="2534"/>
      <c r="G977" s="2534"/>
      <c r="H977" s="2534"/>
      <c r="I977" s="2534"/>
      <c r="J977" s="2172"/>
      <c r="K977" s="2172"/>
      <c r="L977" s="2172"/>
      <c r="M977" s="2172"/>
    </row>
    <row r="978" spans="1:15" s="2171" customFormat="1">
      <c r="A978" s="2172"/>
      <c r="B978" s="2172"/>
      <c r="C978" s="2172"/>
      <c r="D978" s="2172"/>
      <c r="E978" s="2172"/>
      <c r="F978" s="2172"/>
      <c r="G978" s="2172"/>
      <c r="H978" s="2172"/>
      <c r="I978" s="2172"/>
      <c r="J978" s="2172"/>
      <c r="K978" s="2172"/>
      <c r="L978" s="2172"/>
      <c r="M978" s="2172"/>
    </row>
    <row r="979" spans="1:15" s="2171" customFormat="1">
      <c r="A979" s="2535" t="s">
        <v>2647</v>
      </c>
      <c r="B979" s="2535"/>
      <c r="C979" s="2535"/>
      <c r="D979" s="2173"/>
      <c r="E979" s="2173"/>
      <c r="F979" s="2173"/>
      <c r="G979" s="2173"/>
      <c r="H979" s="2536">
        <v>35385.425999999999</v>
      </c>
      <c r="I979" s="2536"/>
      <c r="J979" s="2536"/>
      <c r="K979" s="2173"/>
      <c r="L979" s="2175">
        <v>3315345.63</v>
      </c>
      <c r="M979" s="2173"/>
    </row>
    <row r="980" spans="1:15" s="2171" customFormat="1">
      <c r="A980" s="2535" t="s">
        <v>2649</v>
      </c>
      <c r="B980" s="2535"/>
      <c r="C980" s="2535"/>
      <c r="D980" s="2173"/>
      <c r="E980" s="2173"/>
      <c r="F980" s="2173"/>
      <c r="G980" s="2173"/>
      <c r="H980" s="2539">
        <v>94.316999999999993</v>
      </c>
      <c r="I980" s="2539"/>
      <c r="J980" s="2539"/>
      <c r="K980" s="2173"/>
      <c r="L980" s="2175">
        <v>8890</v>
      </c>
      <c r="M980" s="2173"/>
    </row>
    <row r="981" spans="1:15" s="2171" customFormat="1">
      <c r="A981" s="2170"/>
      <c r="B981" s="2170"/>
      <c r="C981" s="2170"/>
      <c r="D981" s="2170"/>
      <c r="E981" s="2531" t="s">
        <v>2639</v>
      </c>
      <c r="F981" s="2531"/>
      <c r="G981" s="2170"/>
      <c r="H981" s="2532">
        <v>52412.234900000003</v>
      </c>
      <c r="I981" s="2532"/>
      <c r="J981" s="2532"/>
      <c r="K981" s="2172"/>
      <c r="L981" s="2532">
        <v>4765844.5199999996</v>
      </c>
      <c r="M981" s="2172"/>
    </row>
    <row r="982" spans="1:15" s="2171" customFormat="1">
      <c r="A982" s="2170"/>
      <c r="B982" s="2170"/>
      <c r="C982" s="2170"/>
      <c r="D982" s="2170"/>
      <c r="E982" s="2170"/>
      <c r="F982" s="2170"/>
      <c r="G982" s="2170"/>
      <c r="H982" s="2532"/>
      <c r="I982" s="2532"/>
      <c r="J982" s="2532"/>
      <c r="K982" s="2172"/>
      <c r="L982" s="2532"/>
      <c r="M982" s="2172"/>
    </row>
    <row r="983" spans="1:15" s="2171" customFormat="1">
      <c r="A983" s="2169" t="s">
        <v>2699</v>
      </c>
      <c r="B983" s="2170"/>
      <c r="C983" s="2169" t="s">
        <v>1069</v>
      </c>
      <c r="D983" s="2170"/>
      <c r="E983" s="2169" t="s">
        <v>2640</v>
      </c>
      <c r="F983" s="2170"/>
    </row>
    <row r="984" spans="1:15" s="2171" customFormat="1">
      <c r="A984" s="2172"/>
      <c r="B984" s="2172"/>
      <c r="C984" s="2172"/>
      <c r="D984" s="2172"/>
      <c r="E984" s="2172"/>
      <c r="F984" s="2172"/>
      <c r="G984" s="2172"/>
      <c r="H984" s="2172"/>
      <c r="I984" s="2172"/>
      <c r="J984" s="2172"/>
      <c r="K984" s="2172"/>
      <c r="L984" s="2172"/>
      <c r="M984" s="2172"/>
    </row>
    <row r="985" spans="1:15" s="2171" customFormat="1">
      <c r="A985" s="2170"/>
      <c r="H985" s="2531" t="s">
        <v>2637</v>
      </c>
      <c r="I985" s="2531"/>
      <c r="J985" s="2172"/>
      <c r="K985" s="2537">
        <v>1.03E-2</v>
      </c>
      <c r="L985" s="2537"/>
      <c r="M985" s="2172"/>
      <c r="N985" s="2533">
        <v>1</v>
      </c>
      <c r="O985" s="2172"/>
    </row>
    <row r="986" spans="1:15" s="2171" customFormat="1">
      <c r="H986" s="2172"/>
      <c r="I986" s="2172"/>
      <c r="J986" s="2172"/>
      <c r="K986" s="2537"/>
      <c r="L986" s="2537"/>
      <c r="N986" s="2533"/>
    </row>
    <row r="987" spans="1:15" s="2171" customFormat="1">
      <c r="A987" s="2169">
        <v>67892</v>
      </c>
      <c r="B987" s="2172"/>
      <c r="C987" s="2534" t="s">
        <v>2865</v>
      </c>
      <c r="D987" s="2534"/>
      <c r="E987" s="2534"/>
      <c r="F987" s="2534"/>
      <c r="G987" s="2534"/>
      <c r="H987" s="2534"/>
      <c r="I987" s="2534"/>
      <c r="J987" s="2172"/>
      <c r="K987" s="2172"/>
      <c r="L987" s="2172"/>
      <c r="M987" s="2172"/>
    </row>
    <row r="988" spans="1:15" s="2171" customFormat="1">
      <c r="A988" s="2172"/>
      <c r="B988" s="2172"/>
      <c r="C988" s="2172"/>
      <c r="D988" s="2172"/>
      <c r="E988" s="2172"/>
      <c r="F988" s="2172"/>
      <c r="G988" s="2172"/>
      <c r="H988" s="2172"/>
      <c r="I988" s="2172"/>
      <c r="J988" s="2172"/>
      <c r="K988" s="2172"/>
      <c r="L988" s="2172"/>
      <c r="M988" s="2172"/>
    </row>
    <row r="989" spans="1:15" s="2171" customFormat="1">
      <c r="A989" s="2535" t="s">
        <v>2648</v>
      </c>
      <c r="B989" s="2535"/>
      <c r="C989" s="2535"/>
      <c r="D989" s="2173"/>
      <c r="E989" s="2173"/>
      <c r="F989" s="2173"/>
      <c r="G989" s="2173"/>
      <c r="H989" s="2539">
        <v>-3.2690000000000001</v>
      </c>
      <c r="I989" s="2539"/>
      <c r="J989" s="2539"/>
      <c r="K989" s="2173"/>
      <c r="L989" s="2174">
        <v>-297.23</v>
      </c>
      <c r="M989" s="2173"/>
    </row>
    <row r="990" spans="1:15" s="2171" customFormat="1">
      <c r="A990" s="2535" t="s">
        <v>2649</v>
      </c>
      <c r="B990" s="2535"/>
      <c r="C990" s="2535"/>
      <c r="D990" s="2173"/>
      <c r="E990" s="2173"/>
      <c r="F990" s="2173"/>
      <c r="G990" s="2173"/>
      <c r="H990" s="2539">
        <v>3.2589999999999999</v>
      </c>
      <c r="I990" s="2539"/>
      <c r="J990" s="2539"/>
      <c r="K990" s="2173"/>
      <c r="L990" s="2174">
        <v>307.13</v>
      </c>
      <c r="M990" s="2173"/>
    </row>
    <row r="991" spans="1:15" s="2171" customFormat="1">
      <c r="A991" s="2170"/>
      <c r="B991" s="2170"/>
      <c r="C991" s="2170"/>
      <c r="D991" s="2170"/>
      <c r="E991" s="2531" t="s">
        <v>2639</v>
      </c>
      <c r="F991" s="2531"/>
      <c r="G991" s="2170"/>
      <c r="H991" s="2537">
        <v>0</v>
      </c>
      <c r="I991" s="2537"/>
      <c r="J991" s="2537"/>
      <c r="K991" s="2172"/>
      <c r="L991" s="2537">
        <v>0</v>
      </c>
      <c r="M991" s="2172"/>
    </row>
    <row r="992" spans="1:15" s="2171" customFormat="1">
      <c r="A992" s="2170"/>
      <c r="B992" s="2170"/>
      <c r="C992" s="2170"/>
      <c r="D992" s="2170"/>
      <c r="E992" s="2170"/>
      <c r="F992" s="2170"/>
      <c r="G992" s="2170"/>
      <c r="H992" s="2537"/>
      <c r="I992" s="2537"/>
      <c r="J992" s="2537"/>
      <c r="K992" s="2172"/>
      <c r="L992" s="2537"/>
      <c r="M992" s="2172"/>
    </row>
    <row r="993" spans="1:15" s="2171" customFormat="1">
      <c r="A993" s="2169" t="s">
        <v>2699</v>
      </c>
      <c r="B993" s="2170"/>
      <c r="C993" s="2169" t="s">
        <v>1069</v>
      </c>
      <c r="D993" s="2170"/>
      <c r="E993" s="2169" t="s">
        <v>2640</v>
      </c>
      <c r="F993" s="2170"/>
    </row>
    <row r="994" spans="1:15" s="2171" customFormat="1">
      <c r="A994" s="2172"/>
      <c r="B994" s="2172"/>
      <c r="C994" s="2172"/>
      <c r="D994" s="2172"/>
      <c r="E994" s="2172"/>
      <c r="F994" s="2172"/>
      <c r="G994" s="2172"/>
      <c r="H994" s="2172"/>
      <c r="I994" s="2172"/>
      <c r="J994" s="2172"/>
      <c r="K994" s="2172"/>
      <c r="L994" s="2172"/>
      <c r="M994" s="2172"/>
    </row>
    <row r="995" spans="1:15" s="2171" customFormat="1">
      <c r="A995" s="2170"/>
      <c r="H995" s="2531" t="s">
        <v>2637</v>
      </c>
      <c r="I995" s="2531"/>
      <c r="J995" s="2172"/>
      <c r="K995" s="2537">
        <v>0</v>
      </c>
      <c r="L995" s="2537"/>
      <c r="M995" s="2172"/>
      <c r="N995" s="2533"/>
      <c r="O995" s="2172"/>
    </row>
    <row r="996" spans="1:15" s="2171" customFormat="1">
      <c r="H996" s="2172"/>
      <c r="I996" s="2172"/>
      <c r="J996" s="2172"/>
      <c r="K996" s="2537"/>
      <c r="L996" s="2537"/>
      <c r="N996" s="2533"/>
    </row>
    <row r="997" spans="1:15" s="2171" customFormat="1">
      <c r="A997" s="2169">
        <v>69521</v>
      </c>
      <c r="B997" s="2172"/>
      <c r="C997" s="2534" t="s">
        <v>2868</v>
      </c>
      <c r="D997" s="2534"/>
      <c r="E997" s="2534"/>
      <c r="F997" s="2534"/>
      <c r="G997" s="2534"/>
      <c r="H997" s="2534"/>
      <c r="I997" s="2534"/>
      <c r="J997" s="2172"/>
      <c r="K997" s="2172"/>
      <c r="L997" s="2172"/>
      <c r="M997" s="2172"/>
    </row>
    <row r="998" spans="1:15" s="2171" customFormat="1">
      <c r="A998" s="2172"/>
      <c r="B998" s="2172"/>
      <c r="C998" s="2172"/>
      <c r="D998" s="2172"/>
      <c r="E998" s="2172"/>
      <c r="F998" s="2172"/>
      <c r="G998" s="2172"/>
      <c r="H998" s="2172"/>
      <c r="I998" s="2172"/>
      <c r="J998" s="2172"/>
      <c r="K998" s="2172"/>
      <c r="L998" s="2172"/>
      <c r="M998" s="2172"/>
    </row>
    <row r="999" spans="1:15" s="2171" customFormat="1">
      <c r="A999" s="2535" t="s">
        <v>2648</v>
      </c>
      <c r="B999" s="2535"/>
      <c r="C999" s="2535"/>
      <c r="D999" s="2173"/>
      <c r="E999" s="2173"/>
      <c r="F999" s="2173"/>
      <c r="G999" s="2173"/>
      <c r="H999" s="2539">
        <v>-144.60599999999999</v>
      </c>
      <c r="I999" s="2539"/>
      <c r="J999" s="2539"/>
      <c r="K999" s="2173"/>
      <c r="L999" s="2175">
        <v>-13360.15</v>
      </c>
      <c r="M999" s="2173"/>
    </row>
    <row r="1000" spans="1:15" s="2171" customFormat="1">
      <c r="A1000" s="2535" t="s">
        <v>2649</v>
      </c>
      <c r="B1000" s="2535"/>
      <c r="C1000" s="2535"/>
      <c r="D1000" s="2173"/>
      <c r="E1000" s="2173"/>
      <c r="F1000" s="2173"/>
      <c r="G1000" s="2173"/>
      <c r="H1000" s="2539">
        <v>144.60599999999999</v>
      </c>
      <c r="I1000" s="2539"/>
      <c r="J1000" s="2539"/>
      <c r="K1000" s="2173"/>
      <c r="L1000" s="2175">
        <v>13630</v>
      </c>
      <c r="M1000" s="2173"/>
    </row>
    <row r="1001" spans="1:15" s="2171" customFormat="1">
      <c r="A1001" s="2170"/>
      <c r="B1001" s="2170"/>
      <c r="C1001" s="2170"/>
      <c r="D1001" s="2170"/>
      <c r="E1001" s="2531" t="s">
        <v>2639</v>
      </c>
      <c r="F1001" s="2531"/>
      <c r="G1001" s="2170"/>
      <c r="H1001" s="2537">
        <v>0</v>
      </c>
      <c r="I1001" s="2537"/>
      <c r="J1001" s="2537"/>
      <c r="K1001" s="2172"/>
      <c r="L1001" s="2537">
        <v>0</v>
      </c>
      <c r="M1001" s="2172"/>
    </row>
    <row r="1002" spans="1:15" s="2171" customFormat="1">
      <c r="A1002" s="2170"/>
      <c r="B1002" s="2170"/>
      <c r="C1002" s="2170"/>
      <c r="D1002" s="2170"/>
      <c r="E1002" s="2170"/>
      <c r="F1002" s="2170"/>
      <c r="G1002" s="2170"/>
      <c r="H1002" s="2537"/>
      <c r="I1002" s="2537"/>
      <c r="J1002" s="2537"/>
      <c r="K1002" s="2172"/>
      <c r="L1002" s="2537"/>
      <c r="M1002" s="2172"/>
    </row>
    <row r="1003" spans="1:15" s="2171" customFormat="1">
      <c r="A1003" s="2169" t="s">
        <v>2699</v>
      </c>
      <c r="B1003" s="2170"/>
      <c r="C1003" s="2169" t="s">
        <v>1069</v>
      </c>
      <c r="D1003" s="2170"/>
      <c r="E1003" s="2169" t="s">
        <v>2640</v>
      </c>
      <c r="F1003" s="2170"/>
    </row>
    <row r="1004" spans="1:15" s="2171" customFormat="1">
      <c r="A1004" s="2172"/>
      <c r="B1004" s="2172"/>
      <c r="C1004" s="2172"/>
      <c r="D1004" s="2172"/>
      <c r="E1004" s="2172"/>
      <c r="F1004" s="2172"/>
      <c r="G1004" s="2172"/>
      <c r="H1004" s="2172"/>
      <c r="I1004" s="2172"/>
      <c r="J1004" s="2172"/>
      <c r="K1004" s="2172"/>
      <c r="L1004" s="2172"/>
      <c r="M1004" s="2172"/>
    </row>
    <row r="1005" spans="1:15" s="2171" customFormat="1">
      <c r="A1005" s="2170"/>
      <c r="H1005" s="2531" t="s">
        <v>2637</v>
      </c>
      <c r="I1005" s="2531"/>
      <c r="J1005" s="2172"/>
      <c r="K1005" s="2537">
        <v>0</v>
      </c>
      <c r="L1005" s="2537"/>
      <c r="M1005" s="2172"/>
      <c r="N1005" s="2533"/>
      <c r="O1005" s="2172"/>
    </row>
    <row r="1006" spans="1:15" s="2171" customFormat="1">
      <c r="H1006" s="2172"/>
      <c r="I1006" s="2172"/>
      <c r="J1006" s="2172"/>
      <c r="K1006" s="2537"/>
      <c r="L1006" s="2537"/>
      <c r="N1006" s="2533"/>
    </row>
    <row r="1007" spans="1:15" s="2171" customFormat="1">
      <c r="A1007" s="2169">
        <v>70568</v>
      </c>
      <c r="B1007" s="2172"/>
      <c r="C1007" s="2534" t="s">
        <v>2864</v>
      </c>
      <c r="D1007" s="2534"/>
      <c r="E1007" s="2534"/>
      <c r="F1007" s="2534"/>
      <c r="G1007" s="2534"/>
      <c r="H1007" s="2534"/>
      <c r="I1007" s="2534"/>
      <c r="J1007" s="2172"/>
      <c r="K1007" s="2172"/>
      <c r="L1007" s="2172"/>
      <c r="M1007" s="2172"/>
    </row>
    <row r="1008" spans="1:15" s="2171" customFormat="1">
      <c r="A1008" s="2172"/>
      <c r="B1008" s="2172"/>
      <c r="C1008" s="2172"/>
      <c r="D1008" s="2172"/>
      <c r="E1008" s="2172"/>
      <c r="F1008" s="2172"/>
      <c r="G1008" s="2172"/>
      <c r="H1008" s="2172"/>
      <c r="I1008" s="2172"/>
      <c r="J1008" s="2172"/>
      <c r="K1008" s="2172"/>
      <c r="L1008" s="2172"/>
      <c r="M1008" s="2172"/>
    </row>
    <row r="1009" spans="1:15" s="2171" customFormat="1">
      <c r="A1009" s="2538"/>
      <c r="B1009" s="2538"/>
      <c r="C1009" s="2538"/>
      <c r="D1009" s="2173"/>
      <c r="E1009" s="2173"/>
      <c r="F1009" s="2173"/>
      <c r="G1009" s="2173"/>
      <c r="H1009" s="2539"/>
      <c r="I1009" s="2539"/>
      <c r="J1009" s="2539"/>
      <c r="K1009" s="2173"/>
      <c r="L1009" s="2174"/>
      <c r="M1009" s="2173"/>
    </row>
    <row r="1010" spans="1:15" s="2171" customFormat="1">
      <c r="A1010" s="2170"/>
      <c r="B1010" s="2170"/>
      <c r="C1010" s="2170"/>
      <c r="D1010" s="2170"/>
      <c r="E1010" s="2531" t="s">
        <v>2639</v>
      </c>
      <c r="F1010" s="2531"/>
      <c r="G1010" s="2170"/>
      <c r="H1010" s="2537">
        <v>0</v>
      </c>
      <c r="I1010" s="2537"/>
      <c r="J1010" s="2537"/>
      <c r="K1010" s="2172"/>
      <c r="L1010" s="2537">
        <v>0</v>
      </c>
      <c r="M1010" s="2172"/>
    </row>
    <row r="1011" spans="1:15" s="2171" customFormat="1">
      <c r="A1011" s="2170"/>
      <c r="B1011" s="2170"/>
      <c r="C1011" s="2170"/>
      <c r="D1011" s="2170"/>
      <c r="E1011" s="2170"/>
      <c r="F1011" s="2170"/>
      <c r="G1011" s="2170"/>
      <c r="H1011" s="2537"/>
      <c r="I1011" s="2537"/>
      <c r="J1011" s="2537"/>
      <c r="K1011" s="2172"/>
      <c r="L1011" s="2537"/>
      <c r="M1011" s="2172"/>
    </row>
    <row r="1012" spans="1:15" s="2171" customFormat="1">
      <c r="A1012" s="2169" t="s">
        <v>2699</v>
      </c>
      <c r="B1012" s="2170"/>
      <c r="C1012" s="2169" t="s">
        <v>1069</v>
      </c>
      <c r="D1012" s="2170"/>
      <c r="E1012" s="2169" t="s">
        <v>2640</v>
      </c>
      <c r="F1012" s="2170"/>
    </row>
    <row r="1013" spans="1:15" s="2171" customFormat="1">
      <c r="A1013" s="2172"/>
      <c r="B1013" s="2172"/>
      <c r="C1013" s="2172"/>
      <c r="D1013" s="2172"/>
      <c r="E1013" s="2172"/>
      <c r="F1013" s="2172"/>
      <c r="G1013" s="2172"/>
      <c r="H1013" s="2172"/>
      <c r="I1013" s="2172"/>
      <c r="J1013" s="2172"/>
      <c r="K1013" s="2172"/>
      <c r="L1013" s="2172"/>
      <c r="M1013" s="2172"/>
    </row>
    <row r="1014" spans="1:15" s="2171" customFormat="1">
      <c r="A1014" s="2170"/>
      <c r="H1014" s="2531" t="s">
        <v>2637</v>
      </c>
      <c r="I1014" s="2531"/>
      <c r="J1014" s="2172"/>
      <c r="K1014" s="2532">
        <v>555886.99710000004</v>
      </c>
      <c r="L1014" s="2532"/>
      <c r="M1014" s="2172"/>
      <c r="N1014" s="2533" t="s">
        <v>3099</v>
      </c>
      <c r="O1014" s="2172"/>
    </row>
    <row r="1015" spans="1:15" s="2171" customFormat="1">
      <c r="H1015" s="2172"/>
      <c r="I1015" s="2172"/>
      <c r="J1015" s="2172"/>
      <c r="K1015" s="2532"/>
      <c r="L1015" s="2532"/>
      <c r="N1015" s="2533"/>
    </row>
    <row r="1016" spans="1:15" s="2171" customFormat="1">
      <c r="A1016" s="2169">
        <v>70577</v>
      </c>
      <c r="B1016" s="2172"/>
      <c r="C1016" s="2534" t="s">
        <v>2869</v>
      </c>
      <c r="D1016" s="2534"/>
      <c r="E1016" s="2534"/>
      <c r="F1016" s="2534"/>
      <c r="G1016" s="2534"/>
      <c r="H1016" s="2534"/>
      <c r="I1016" s="2534"/>
      <c r="J1016" s="2172"/>
      <c r="K1016" s="2172"/>
      <c r="L1016" s="2172"/>
      <c r="M1016" s="2172"/>
    </row>
    <row r="1017" spans="1:15" s="2171" customFormat="1">
      <c r="A1017" s="2172"/>
      <c r="B1017" s="2172"/>
      <c r="C1017" s="2172"/>
      <c r="D1017" s="2172"/>
      <c r="E1017" s="2172"/>
      <c r="F1017" s="2172"/>
      <c r="G1017" s="2172"/>
      <c r="H1017" s="2172"/>
      <c r="I1017" s="2172"/>
      <c r="J1017" s="2172"/>
      <c r="K1017" s="2172"/>
      <c r="L1017" s="2172"/>
      <c r="M1017" s="2172"/>
    </row>
    <row r="1018" spans="1:15" s="2171" customFormat="1">
      <c r="A1018" s="2538"/>
      <c r="B1018" s="2538"/>
      <c r="C1018" s="2538"/>
      <c r="D1018" s="2173"/>
      <c r="E1018" s="2173"/>
      <c r="F1018" s="2173"/>
      <c r="G1018" s="2173"/>
      <c r="H1018" s="2539"/>
      <c r="I1018" s="2539"/>
      <c r="J1018" s="2539"/>
      <c r="K1018" s="2173"/>
      <c r="L1018" s="2174"/>
      <c r="M1018" s="2173"/>
    </row>
    <row r="1019" spans="1:15" s="2171" customFormat="1">
      <c r="A1019" s="2170"/>
      <c r="B1019" s="2170"/>
      <c r="C1019" s="2170"/>
      <c r="D1019" s="2170"/>
      <c r="E1019" s="2531" t="s">
        <v>2639</v>
      </c>
      <c r="F1019" s="2531"/>
      <c r="G1019" s="2170"/>
      <c r="H1019" s="2532">
        <v>555886.99710000004</v>
      </c>
      <c r="I1019" s="2532"/>
      <c r="J1019" s="2532"/>
      <c r="K1019" s="2172"/>
      <c r="L1019" s="2532">
        <v>50546804.649999999</v>
      </c>
      <c r="M1019" s="2172"/>
    </row>
    <row r="1020" spans="1:15" s="2171" customFormat="1">
      <c r="A1020" s="2170"/>
      <c r="B1020" s="2170"/>
      <c r="C1020" s="2170"/>
      <c r="D1020" s="2170"/>
      <c r="E1020" s="2170"/>
      <c r="F1020" s="2170"/>
      <c r="G1020" s="2170"/>
      <c r="H1020" s="2532"/>
      <c r="I1020" s="2532"/>
      <c r="J1020" s="2532"/>
      <c r="K1020" s="2172"/>
      <c r="L1020" s="2532"/>
      <c r="M1020" s="2172"/>
    </row>
    <row r="1021" spans="1:15" s="2171" customFormat="1">
      <c r="A1021" s="2169" t="s">
        <v>2699</v>
      </c>
      <c r="B1021" s="2170"/>
      <c r="C1021" s="2169" t="s">
        <v>1069</v>
      </c>
      <c r="D1021" s="2170"/>
      <c r="E1021" s="2169" t="s">
        <v>2640</v>
      </c>
      <c r="F1021" s="2170"/>
    </row>
    <row r="1022" spans="1:15" s="2171" customFormat="1">
      <c r="A1022" s="2172"/>
      <c r="B1022" s="2172"/>
      <c r="C1022" s="2172"/>
      <c r="D1022" s="2172"/>
      <c r="E1022" s="2172"/>
      <c r="F1022" s="2172"/>
      <c r="G1022" s="2172"/>
      <c r="H1022" s="2172"/>
      <c r="I1022" s="2172"/>
      <c r="J1022" s="2172"/>
      <c r="K1022" s="2172"/>
      <c r="L1022" s="2172"/>
      <c r="M1022" s="2172"/>
    </row>
    <row r="1023" spans="1:15" s="2171" customFormat="1">
      <c r="A1023" s="2170"/>
      <c r="H1023" s="2531" t="s">
        <v>2637</v>
      </c>
      <c r="I1023" s="2531"/>
      <c r="J1023" s="2172"/>
      <c r="K1023" s="2532">
        <v>82170.773499999996</v>
      </c>
      <c r="L1023" s="2532"/>
      <c r="M1023" s="2172"/>
      <c r="N1023" s="2533" t="s">
        <v>3100</v>
      </c>
      <c r="O1023" s="2172"/>
    </row>
    <row r="1024" spans="1:15" s="2171" customFormat="1">
      <c r="H1024" s="2172"/>
      <c r="I1024" s="2172"/>
      <c r="J1024" s="2172"/>
      <c r="K1024" s="2532"/>
      <c r="L1024" s="2532"/>
      <c r="N1024" s="2533"/>
    </row>
    <row r="1025" spans="1:15" s="2171" customFormat="1">
      <c r="A1025" s="2169">
        <v>71101</v>
      </c>
      <c r="B1025" s="2172"/>
      <c r="C1025" s="2534" t="s">
        <v>2870</v>
      </c>
      <c r="D1025" s="2534"/>
      <c r="E1025" s="2534"/>
      <c r="F1025" s="2534"/>
      <c r="G1025" s="2534"/>
      <c r="H1025" s="2534"/>
      <c r="I1025" s="2534"/>
      <c r="J1025" s="2172"/>
      <c r="K1025" s="2172"/>
      <c r="L1025" s="2172"/>
      <c r="M1025" s="2172"/>
    </row>
    <row r="1026" spans="1:15" s="2171" customFormat="1">
      <c r="A1026" s="2172"/>
      <c r="B1026" s="2172"/>
      <c r="C1026" s="2172"/>
      <c r="D1026" s="2172"/>
      <c r="E1026" s="2172"/>
      <c r="F1026" s="2172"/>
      <c r="G1026" s="2172"/>
      <c r="H1026" s="2172"/>
      <c r="I1026" s="2172"/>
      <c r="J1026" s="2172"/>
      <c r="K1026" s="2172"/>
      <c r="L1026" s="2172"/>
      <c r="M1026" s="2172"/>
    </row>
    <row r="1027" spans="1:15" s="2171" customFormat="1">
      <c r="A1027" s="2535" t="s">
        <v>2647</v>
      </c>
      <c r="B1027" s="2535"/>
      <c r="C1027" s="2535"/>
      <c r="D1027" s="2173"/>
      <c r="E1027" s="2173"/>
      <c r="F1027" s="2173"/>
      <c r="G1027" s="2173"/>
      <c r="H1027" s="2536">
        <v>36022.427000000003</v>
      </c>
      <c r="I1027" s="2536"/>
      <c r="J1027" s="2536"/>
      <c r="K1027" s="2173"/>
      <c r="L1027" s="2175">
        <v>3363081.22</v>
      </c>
      <c r="M1027" s="2173"/>
    </row>
    <row r="1028" spans="1:15" s="2171" customFormat="1">
      <c r="A1028" s="2535" t="s">
        <v>2648</v>
      </c>
      <c r="B1028" s="2535"/>
      <c r="C1028" s="2535"/>
      <c r="D1028" s="2173"/>
      <c r="E1028" s="2173"/>
      <c r="F1028" s="2173"/>
      <c r="G1028" s="2173"/>
      <c r="H1028" s="2536">
        <v>-21066.201000000001</v>
      </c>
      <c r="I1028" s="2536"/>
      <c r="J1028" s="2536"/>
      <c r="K1028" s="2173"/>
      <c r="L1028" s="2175">
        <v>-1723289</v>
      </c>
      <c r="M1028" s="2173"/>
    </row>
    <row r="1029" spans="1:15" s="2171" customFormat="1">
      <c r="A1029" s="2535" t="s">
        <v>2649</v>
      </c>
      <c r="B1029" s="2535"/>
      <c r="C1029" s="2535"/>
      <c r="D1029" s="2173"/>
      <c r="E1029" s="2173"/>
      <c r="F1029" s="2173"/>
      <c r="G1029" s="2173"/>
      <c r="H1029" s="2539">
        <v>19.181999999999999</v>
      </c>
      <c r="I1029" s="2539"/>
      <c r="J1029" s="2539"/>
      <c r="K1029" s="2173"/>
      <c r="L1029" s="2175">
        <v>1808</v>
      </c>
      <c r="M1029" s="2173"/>
    </row>
    <row r="1030" spans="1:15" s="2171" customFormat="1">
      <c r="A1030" s="2170"/>
      <c r="B1030" s="2170"/>
      <c r="C1030" s="2170"/>
      <c r="D1030" s="2170"/>
      <c r="E1030" s="2531" t="s">
        <v>2639</v>
      </c>
      <c r="F1030" s="2531"/>
      <c r="G1030" s="2170"/>
      <c r="H1030" s="2532">
        <v>97146.180399999997</v>
      </c>
      <c r="I1030" s="2532"/>
      <c r="J1030" s="2532"/>
      <c r="K1030" s="2172"/>
      <c r="L1030" s="2532">
        <v>8833502.1799999997</v>
      </c>
      <c r="M1030" s="2172"/>
    </row>
    <row r="1031" spans="1:15" s="2171" customFormat="1">
      <c r="A1031" s="2170"/>
      <c r="B1031" s="2170"/>
      <c r="C1031" s="2170"/>
      <c r="D1031" s="2170"/>
      <c r="E1031" s="2170"/>
      <c r="F1031" s="2170"/>
      <c r="G1031" s="2170"/>
      <c r="H1031" s="2532"/>
      <c r="I1031" s="2532"/>
      <c r="J1031" s="2532"/>
      <c r="K1031" s="2172"/>
      <c r="L1031" s="2532"/>
      <c r="M1031" s="2172"/>
    </row>
    <row r="1032" spans="1:15" s="2171" customFormat="1">
      <c r="A1032" s="2169" t="s">
        <v>2699</v>
      </c>
      <c r="B1032" s="2170"/>
      <c r="C1032" s="2169" t="s">
        <v>1069</v>
      </c>
      <c r="D1032" s="2170"/>
      <c r="E1032" s="2169" t="s">
        <v>2640</v>
      </c>
      <c r="F1032" s="2170"/>
    </row>
    <row r="1033" spans="1:15" s="2171" customFormat="1">
      <c r="A1033" s="2172"/>
      <c r="B1033" s="2172"/>
      <c r="C1033" s="2172"/>
      <c r="D1033" s="2172"/>
      <c r="E1033" s="2172"/>
      <c r="F1033" s="2172"/>
      <c r="G1033" s="2172"/>
      <c r="H1033" s="2172"/>
      <c r="I1033" s="2172"/>
      <c r="J1033" s="2172"/>
      <c r="K1033" s="2172"/>
      <c r="L1033" s="2172"/>
      <c r="M1033" s="2172"/>
    </row>
    <row r="1034" spans="1:15" s="2171" customFormat="1">
      <c r="A1034" s="2170"/>
      <c r="H1034" s="2531" t="s">
        <v>2637</v>
      </c>
      <c r="I1034" s="2531"/>
      <c r="J1034" s="2172"/>
      <c r="K1034" s="2537">
        <v>120.7377</v>
      </c>
      <c r="L1034" s="2537"/>
      <c r="M1034" s="2172"/>
      <c r="N1034" s="2533" t="s">
        <v>3101</v>
      </c>
      <c r="O1034" s="2172"/>
    </row>
    <row r="1035" spans="1:15" s="2171" customFormat="1">
      <c r="H1035" s="2172"/>
      <c r="I1035" s="2172"/>
      <c r="J1035" s="2172"/>
      <c r="K1035" s="2537"/>
      <c r="L1035" s="2537"/>
      <c r="N1035" s="2533"/>
    </row>
    <row r="1036" spans="1:15" s="2171" customFormat="1">
      <c r="A1036" s="2169">
        <v>73711</v>
      </c>
      <c r="B1036" s="2172"/>
      <c r="C1036" s="2534" t="s">
        <v>2871</v>
      </c>
      <c r="D1036" s="2534"/>
      <c r="E1036" s="2534"/>
      <c r="F1036" s="2534"/>
      <c r="G1036" s="2534"/>
      <c r="H1036" s="2534"/>
      <c r="I1036" s="2534"/>
      <c r="J1036" s="2172"/>
      <c r="K1036" s="2172"/>
      <c r="L1036" s="2172"/>
      <c r="M1036" s="2172"/>
    </row>
    <row r="1037" spans="1:15" s="2171" customFormat="1">
      <c r="A1037" s="2172"/>
      <c r="B1037" s="2172"/>
      <c r="C1037" s="2172"/>
      <c r="D1037" s="2172"/>
      <c r="E1037" s="2172"/>
      <c r="F1037" s="2172"/>
      <c r="G1037" s="2172"/>
      <c r="H1037" s="2172"/>
      <c r="I1037" s="2172"/>
      <c r="J1037" s="2172"/>
      <c r="K1037" s="2172"/>
      <c r="L1037" s="2172"/>
      <c r="M1037" s="2172"/>
    </row>
    <row r="1038" spans="1:15" s="2171" customFormat="1">
      <c r="A1038" s="2538"/>
      <c r="B1038" s="2538"/>
      <c r="C1038" s="2538"/>
      <c r="D1038" s="2173"/>
      <c r="E1038" s="2173"/>
      <c r="F1038" s="2173"/>
      <c r="G1038" s="2173"/>
      <c r="H1038" s="2539"/>
      <c r="I1038" s="2539"/>
      <c r="J1038" s="2539"/>
      <c r="K1038" s="2173"/>
      <c r="L1038" s="2174"/>
      <c r="M1038" s="2173"/>
    </row>
    <row r="1039" spans="1:15" s="2171" customFormat="1">
      <c r="A1039" s="2170"/>
      <c r="B1039" s="2170"/>
      <c r="C1039" s="2170"/>
      <c r="D1039" s="2170"/>
      <c r="E1039" s="2531" t="s">
        <v>2639</v>
      </c>
      <c r="F1039" s="2531"/>
      <c r="G1039" s="2170"/>
      <c r="H1039" s="2537">
        <v>120.7377</v>
      </c>
      <c r="I1039" s="2537"/>
      <c r="J1039" s="2537"/>
      <c r="K1039" s="2172"/>
      <c r="L1039" s="2532">
        <v>10978.68</v>
      </c>
      <c r="M1039" s="2172"/>
    </row>
    <row r="1040" spans="1:15" s="2171" customFormat="1">
      <c r="A1040" s="2170"/>
      <c r="B1040" s="2170"/>
      <c r="C1040" s="2170"/>
      <c r="D1040" s="2170"/>
      <c r="E1040" s="2170"/>
      <c r="F1040" s="2170"/>
      <c r="G1040" s="2170"/>
      <c r="H1040" s="2537"/>
      <c r="I1040" s="2537"/>
      <c r="J1040" s="2537"/>
      <c r="K1040" s="2172"/>
      <c r="L1040" s="2532"/>
      <c r="M1040" s="2172"/>
    </row>
    <row r="1041" spans="1:15" s="2171" customFormat="1">
      <c r="A1041" s="2169" t="s">
        <v>2699</v>
      </c>
      <c r="B1041" s="2170"/>
      <c r="C1041" s="2169" t="s">
        <v>1069</v>
      </c>
      <c r="D1041" s="2170"/>
      <c r="E1041" s="2169" t="s">
        <v>2640</v>
      </c>
      <c r="F1041" s="2170"/>
    </row>
    <row r="1042" spans="1:15" s="2171" customFormat="1">
      <c r="A1042" s="2172"/>
      <c r="B1042" s="2172"/>
      <c r="C1042" s="2172"/>
      <c r="D1042" s="2172"/>
      <c r="E1042" s="2172"/>
      <c r="F1042" s="2172"/>
      <c r="G1042" s="2172"/>
      <c r="H1042" s="2172"/>
      <c r="I1042" s="2172"/>
      <c r="J1042" s="2172"/>
      <c r="K1042" s="2172"/>
      <c r="L1042" s="2172"/>
      <c r="M1042" s="2172"/>
    </row>
    <row r="1043" spans="1:15" s="2171" customFormat="1">
      <c r="A1043" s="2170"/>
      <c r="H1043" s="2531" t="s">
        <v>2637</v>
      </c>
      <c r="I1043" s="2531"/>
      <c r="J1043" s="2172"/>
      <c r="K1043" s="2537">
        <v>1E-4</v>
      </c>
      <c r="L1043" s="2537"/>
      <c r="M1043" s="2172"/>
      <c r="N1043" s="2533"/>
      <c r="O1043" s="2172"/>
    </row>
    <row r="1044" spans="1:15" s="2171" customFormat="1">
      <c r="H1044" s="2172"/>
      <c r="I1044" s="2172"/>
      <c r="J1044" s="2172"/>
      <c r="K1044" s="2537"/>
      <c r="L1044" s="2537"/>
      <c r="N1044" s="2533"/>
    </row>
    <row r="1045" spans="1:15" s="2171" customFormat="1">
      <c r="A1045" s="2169">
        <v>76029</v>
      </c>
      <c r="B1045" s="2172"/>
      <c r="C1045" s="2534" t="s">
        <v>2872</v>
      </c>
      <c r="D1045" s="2534"/>
      <c r="E1045" s="2534"/>
      <c r="F1045" s="2534"/>
      <c r="G1045" s="2534"/>
      <c r="H1045" s="2534"/>
      <c r="I1045" s="2534"/>
      <c r="J1045" s="2172"/>
      <c r="K1045" s="2172"/>
      <c r="L1045" s="2172"/>
      <c r="M1045" s="2172"/>
    </row>
    <row r="1046" spans="1:15" s="2171" customFormat="1">
      <c r="A1046" s="2172"/>
      <c r="B1046" s="2172"/>
      <c r="C1046" s="2172"/>
      <c r="D1046" s="2172"/>
      <c r="E1046" s="2172"/>
      <c r="F1046" s="2172"/>
      <c r="G1046" s="2172"/>
      <c r="H1046" s="2172"/>
      <c r="I1046" s="2172"/>
      <c r="J1046" s="2172"/>
      <c r="K1046" s="2172"/>
      <c r="L1046" s="2172"/>
      <c r="M1046" s="2172"/>
    </row>
    <row r="1047" spans="1:15" s="2171" customFormat="1">
      <c r="A1047" s="2535" t="s">
        <v>2647</v>
      </c>
      <c r="B1047" s="2535"/>
      <c r="C1047" s="2535"/>
      <c r="D1047" s="2173"/>
      <c r="E1047" s="2173"/>
      <c r="F1047" s="2173"/>
      <c r="G1047" s="2173"/>
      <c r="H1047" s="2536">
        <v>132590.875</v>
      </c>
      <c r="I1047" s="2536"/>
      <c r="J1047" s="2536"/>
      <c r="K1047" s="2173"/>
      <c r="L1047" s="2175">
        <v>12270948</v>
      </c>
      <c r="M1047" s="2173"/>
    </row>
    <row r="1048" spans="1:15" s="2171" customFormat="1">
      <c r="A1048" s="2170"/>
      <c r="B1048" s="2170"/>
      <c r="C1048" s="2170"/>
      <c r="D1048" s="2170"/>
      <c r="E1048" s="2531" t="s">
        <v>2639</v>
      </c>
      <c r="F1048" s="2531"/>
      <c r="G1048" s="2170"/>
      <c r="H1048" s="2532">
        <v>132590.875</v>
      </c>
      <c r="I1048" s="2532"/>
      <c r="J1048" s="2532"/>
      <c r="K1048" s="2172"/>
      <c r="L1048" s="2532">
        <v>12056488.26</v>
      </c>
      <c r="M1048" s="2172"/>
    </row>
    <row r="1049" spans="1:15" s="2171" customFormat="1">
      <c r="A1049" s="2170"/>
      <c r="B1049" s="2170"/>
      <c r="C1049" s="2170"/>
      <c r="D1049" s="2170"/>
      <c r="E1049" s="2170"/>
      <c r="F1049" s="2170"/>
      <c r="G1049" s="2170"/>
      <c r="H1049" s="2532"/>
      <c r="I1049" s="2532"/>
      <c r="J1049" s="2532"/>
      <c r="K1049" s="2172"/>
      <c r="L1049" s="2532"/>
      <c r="M1049" s="2172"/>
    </row>
    <row r="1050" spans="1:15" s="2171" customFormat="1">
      <c r="A1050" s="2169" t="s">
        <v>2699</v>
      </c>
      <c r="B1050" s="2170"/>
      <c r="C1050" s="2169" t="s">
        <v>1069</v>
      </c>
      <c r="D1050" s="2170"/>
      <c r="E1050" s="2169" t="s">
        <v>2640</v>
      </c>
      <c r="F1050" s="2170"/>
    </row>
    <row r="1051" spans="1:15" s="2171" customFormat="1">
      <c r="A1051" s="2172"/>
      <c r="B1051" s="2172"/>
      <c r="C1051" s="2172"/>
      <c r="D1051" s="2172"/>
      <c r="E1051" s="2172"/>
      <c r="F1051" s="2172"/>
      <c r="G1051" s="2172"/>
      <c r="H1051" s="2172"/>
      <c r="I1051" s="2172"/>
      <c r="J1051" s="2172"/>
      <c r="K1051" s="2172"/>
      <c r="L1051" s="2172"/>
      <c r="M1051" s="2172"/>
    </row>
    <row r="1052" spans="1:15" s="2171" customFormat="1">
      <c r="A1052" s="2170"/>
      <c r="H1052" s="2531" t="s">
        <v>2637</v>
      </c>
      <c r="I1052" s="2531"/>
      <c r="J1052" s="2172"/>
      <c r="K1052" s="2537">
        <v>1E-4</v>
      </c>
      <c r="L1052" s="2537"/>
      <c r="M1052" s="2172"/>
      <c r="N1052" s="2533"/>
      <c r="O1052" s="2172"/>
    </row>
    <row r="1053" spans="1:15" s="2171" customFormat="1">
      <c r="H1053" s="2172"/>
      <c r="I1053" s="2172"/>
      <c r="J1053" s="2172"/>
      <c r="K1053" s="2537"/>
      <c r="L1053" s="2537"/>
      <c r="N1053" s="2533"/>
    </row>
    <row r="1054" spans="1:15" s="2171" customFormat="1">
      <c r="A1054" s="2169">
        <v>76840</v>
      </c>
      <c r="B1054" s="2172"/>
      <c r="C1054" s="2534" t="s">
        <v>2873</v>
      </c>
      <c r="D1054" s="2534"/>
      <c r="E1054" s="2534"/>
      <c r="F1054" s="2534"/>
      <c r="G1054" s="2534"/>
      <c r="H1054" s="2534"/>
      <c r="I1054" s="2534"/>
      <c r="J1054" s="2172"/>
      <c r="K1054" s="2172"/>
      <c r="L1054" s="2172"/>
      <c r="M1054" s="2172"/>
    </row>
    <row r="1055" spans="1:15" s="2171" customFormat="1">
      <c r="A1055" s="2172"/>
      <c r="B1055" s="2172"/>
      <c r="C1055" s="2172"/>
      <c r="D1055" s="2172"/>
      <c r="E1055" s="2172"/>
      <c r="F1055" s="2172"/>
      <c r="G1055" s="2172"/>
      <c r="H1055" s="2172"/>
      <c r="I1055" s="2172"/>
      <c r="J1055" s="2172"/>
      <c r="K1055" s="2172"/>
      <c r="L1055" s="2172"/>
      <c r="M1055" s="2172"/>
    </row>
    <row r="1056" spans="1:15" s="2171" customFormat="1">
      <c r="A1056" s="2538"/>
      <c r="B1056" s="2538"/>
      <c r="C1056" s="2538"/>
      <c r="D1056" s="2173"/>
      <c r="E1056" s="2173"/>
      <c r="F1056" s="2173"/>
      <c r="G1056" s="2173"/>
      <c r="H1056" s="2539"/>
      <c r="I1056" s="2539"/>
      <c r="J1056" s="2539"/>
      <c r="K1056" s="2173"/>
      <c r="L1056" s="2174"/>
      <c r="M1056" s="2173"/>
    </row>
    <row r="1057" spans="1:15" s="2171" customFormat="1">
      <c r="A1057" s="2170"/>
      <c r="B1057" s="2170"/>
      <c r="C1057" s="2170"/>
      <c r="D1057" s="2170"/>
      <c r="E1057" s="2531" t="s">
        <v>2639</v>
      </c>
      <c r="F1057" s="2531"/>
      <c r="G1057" s="2170"/>
      <c r="H1057" s="2537">
        <v>1E-4</v>
      </c>
      <c r="I1057" s="2537"/>
      <c r="J1057" s="2537"/>
      <c r="K1057" s="2172"/>
      <c r="L1057" s="2537">
        <v>0.01</v>
      </c>
      <c r="M1057" s="2172"/>
    </row>
    <row r="1058" spans="1:15" s="2171" customFormat="1">
      <c r="A1058" s="2170"/>
      <c r="B1058" s="2170"/>
      <c r="C1058" s="2170"/>
      <c r="D1058" s="2170"/>
      <c r="E1058" s="2170"/>
      <c r="F1058" s="2170"/>
      <c r="G1058" s="2170"/>
      <c r="H1058" s="2537"/>
      <c r="I1058" s="2537"/>
      <c r="J1058" s="2537"/>
      <c r="K1058" s="2172"/>
      <c r="L1058" s="2537"/>
      <c r="M1058" s="2172"/>
    </row>
    <row r="1059" spans="1:15" s="2171" customFormat="1">
      <c r="A1059" s="2169" t="s">
        <v>2699</v>
      </c>
      <c r="B1059" s="2170"/>
      <c r="C1059" s="2169" t="s">
        <v>1069</v>
      </c>
      <c r="D1059" s="2170"/>
      <c r="E1059" s="2169" t="s">
        <v>2640</v>
      </c>
      <c r="F1059" s="2170"/>
    </row>
    <row r="1060" spans="1:15" s="2171" customFormat="1">
      <c r="A1060" s="2172"/>
      <c r="B1060" s="2172"/>
      <c r="C1060" s="2172"/>
      <c r="D1060" s="2172"/>
      <c r="E1060" s="2172"/>
      <c r="F1060" s="2172"/>
      <c r="G1060" s="2172"/>
      <c r="H1060" s="2172"/>
      <c r="I1060" s="2172"/>
      <c r="J1060" s="2172"/>
      <c r="K1060" s="2172"/>
      <c r="L1060" s="2172"/>
      <c r="M1060" s="2172"/>
    </row>
    <row r="1061" spans="1:15" s="2171" customFormat="1">
      <c r="A1061" s="2170"/>
      <c r="H1061" s="2531" t="s">
        <v>2637</v>
      </c>
      <c r="I1061" s="2531"/>
      <c r="J1061" s="2172"/>
      <c r="K1061" s="2532">
        <v>75793.972800000003</v>
      </c>
      <c r="L1061" s="2532"/>
      <c r="M1061" s="2172"/>
      <c r="N1061" s="2533" t="s">
        <v>3102</v>
      </c>
      <c r="O1061" s="2172"/>
    </row>
    <row r="1062" spans="1:15" s="2171" customFormat="1">
      <c r="H1062" s="2172"/>
      <c r="I1062" s="2172"/>
      <c r="J1062" s="2172"/>
      <c r="K1062" s="2532"/>
      <c r="L1062" s="2532"/>
      <c r="N1062" s="2533"/>
    </row>
    <row r="1063" spans="1:15" s="2171" customFormat="1">
      <c r="A1063" s="2169">
        <v>79941</v>
      </c>
      <c r="B1063" s="2172"/>
      <c r="C1063" s="2534" t="s">
        <v>2866</v>
      </c>
      <c r="D1063" s="2534"/>
      <c r="E1063" s="2534"/>
      <c r="F1063" s="2534"/>
      <c r="G1063" s="2534"/>
      <c r="H1063" s="2534"/>
      <c r="I1063" s="2534"/>
      <c r="J1063" s="2172"/>
      <c r="K1063" s="2172"/>
      <c r="L1063" s="2172"/>
      <c r="M1063" s="2172"/>
    </row>
    <row r="1064" spans="1:15" s="2171" customFormat="1">
      <c r="A1064" s="2172"/>
      <c r="B1064" s="2172"/>
      <c r="C1064" s="2172"/>
      <c r="D1064" s="2172"/>
      <c r="E1064" s="2172"/>
      <c r="F1064" s="2172"/>
      <c r="G1064" s="2172"/>
      <c r="H1064" s="2172"/>
      <c r="I1064" s="2172"/>
      <c r="J1064" s="2172"/>
      <c r="K1064" s="2172"/>
      <c r="L1064" s="2172"/>
      <c r="M1064" s="2172"/>
    </row>
    <row r="1065" spans="1:15" s="2171" customFormat="1">
      <c r="A1065" s="2535" t="s">
        <v>2648</v>
      </c>
      <c r="B1065" s="2535"/>
      <c r="C1065" s="2535"/>
      <c r="D1065" s="2173"/>
      <c r="E1065" s="2173"/>
      <c r="F1065" s="2173"/>
      <c r="G1065" s="2173"/>
      <c r="H1065" s="2536">
        <v>-11279.334999999999</v>
      </c>
      <c r="I1065" s="2536"/>
      <c r="J1065" s="2536"/>
      <c r="K1065" s="2173"/>
      <c r="L1065" s="2180">
        <v>-1000000</v>
      </c>
      <c r="M1065" s="2173"/>
    </row>
    <row r="1066" spans="1:15" s="2171" customFormat="1">
      <c r="A1066" s="2170"/>
      <c r="B1066" s="2170"/>
      <c r="C1066" s="2170"/>
      <c r="D1066" s="2170"/>
      <c r="E1066" s="2531" t="s">
        <v>2639</v>
      </c>
      <c r="F1066" s="2531"/>
      <c r="G1066" s="2170"/>
      <c r="H1066" s="2532">
        <v>64514.637699999999</v>
      </c>
      <c r="I1066" s="2532"/>
      <c r="J1066" s="2532"/>
      <c r="K1066" s="2172"/>
      <c r="L1066" s="2532">
        <v>5866316.0099999998</v>
      </c>
      <c r="M1066" s="2172"/>
    </row>
    <row r="1067" spans="1:15" s="2171" customFormat="1">
      <c r="A1067" s="2170"/>
      <c r="B1067" s="2170"/>
      <c r="C1067" s="2170"/>
      <c r="D1067" s="2170"/>
      <c r="E1067" s="2170"/>
      <c r="F1067" s="2170"/>
      <c r="G1067" s="2170"/>
      <c r="H1067" s="2532"/>
      <c r="I1067" s="2532"/>
      <c r="J1067" s="2532"/>
      <c r="K1067" s="2172"/>
      <c r="L1067" s="2532"/>
      <c r="M1067" s="2172"/>
    </row>
    <row r="1068" spans="1:15" s="2171" customFormat="1">
      <c r="A1068" s="2169" t="s">
        <v>2699</v>
      </c>
      <c r="B1068" s="2170"/>
      <c r="C1068" s="2169" t="s">
        <v>1069</v>
      </c>
      <c r="D1068" s="2170"/>
      <c r="E1068" s="2169" t="s">
        <v>2640</v>
      </c>
      <c r="F1068" s="2170"/>
    </row>
    <row r="1069" spans="1:15" s="2171" customFormat="1">
      <c r="A1069" s="2172"/>
      <c r="B1069" s="2172"/>
      <c r="C1069" s="2172"/>
      <c r="D1069" s="2172"/>
      <c r="E1069" s="2172"/>
      <c r="F1069" s="2172"/>
      <c r="G1069" s="2172"/>
      <c r="H1069" s="2172"/>
      <c r="I1069" s="2172"/>
      <c r="J1069" s="2172"/>
      <c r="K1069" s="2172"/>
      <c r="L1069" s="2172"/>
      <c r="M1069" s="2172"/>
    </row>
    <row r="1070" spans="1:15" s="2171" customFormat="1">
      <c r="A1070" s="2170"/>
      <c r="H1070" s="2531" t="s">
        <v>2637</v>
      </c>
      <c r="I1070" s="2531"/>
      <c r="J1070" s="2172"/>
      <c r="K1070" s="2532">
        <v>6747.0465999999997</v>
      </c>
      <c r="L1070" s="2532"/>
      <c r="M1070" s="2172"/>
      <c r="N1070" s="2533" t="s">
        <v>3103</v>
      </c>
      <c r="O1070" s="2172"/>
    </row>
    <row r="1071" spans="1:15" s="2171" customFormat="1">
      <c r="H1071" s="2172"/>
      <c r="I1071" s="2172"/>
      <c r="J1071" s="2172"/>
      <c r="K1071" s="2532"/>
      <c r="L1071" s="2532"/>
      <c r="N1071" s="2533"/>
    </row>
    <row r="1072" spans="1:15" s="2171" customFormat="1">
      <c r="A1072" s="2169">
        <v>81696</v>
      </c>
      <c r="B1072" s="2172"/>
      <c r="C1072" s="2534" t="s">
        <v>3059</v>
      </c>
      <c r="D1072" s="2534"/>
      <c r="E1072" s="2534"/>
      <c r="F1072" s="2534"/>
      <c r="G1072" s="2534"/>
      <c r="H1072" s="2534"/>
      <c r="I1072" s="2534"/>
      <c r="J1072" s="2172"/>
      <c r="K1072" s="2172"/>
      <c r="L1072" s="2172"/>
      <c r="M1072" s="2172"/>
    </row>
    <row r="1073" spans="1:15" s="2171" customFormat="1">
      <c r="A1073" s="2172"/>
      <c r="B1073" s="2172"/>
      <c r="C1073" s="2172"/>
      <c r="D1073" s="2172"/>
      <c r="E1073" s="2172"/>
      <c r="F1073" s="2172"/>
      <c r="G1073" s="2172"/>
      <c r="H1073" s="2172"/>
      <c r="I1073" s="2172"/>
      <c r="J1073" s="2172"/>
      <c r="K1073" s="2172"/>
      <c r="L1073" s="2172"/>
      <c r="M1073" s="2172"/>
    </row>
    <row r="1074" spans="1:15" s="2171" customFormat="1">
      <c r="A1074" s="2535" t="s">
        <v>2647</v>
      </c>
      <c r="B1074" s="2535"/>
      <c r="C1074" s="2535"/>
      <c r="D1074" s="2173"/>
      <c r="E1074" s="2173"/>
      <c r="F1074" s="2173"/>
      <c r="G1074" s="2173"/>
      <c r="H1074" s="2536">
        <v>41428.408000000003</v>
      </c>
      <c r="I1074" s="2536"/>
      <c r="J1074" s="2536"/>
      <c r="K1074" s="2173"/>
      <c r="L1074" s="2175">
        <v>3800000</v>
      </c>
      <c r="M1074" s="2173"/>
    </row>
    <row r="1075" spans="1:15" s="2171" customFormat="1">
      <c r="A1075" s="2170"/>
      <c r="B1075" s="2170"/>
      <c r="C1075" s="2170"/>
      <c r="D1075" s="2170"/>
      <c r="E1075" s="2531" t="s">
        <v>2639</v>
      </c>
      <c r="F1075" s="2531"/>
      <c r="G1075" s="2170"/>
      <c r="H1075" s="2532">
        <v>48175.4545</v>
      </c>
      <c r="I1075" s="2532"/>
      <c r="J1075" s="2532"/>
      <c r="K1075" s="2172"/>
      <c r="L1075" s="2532">
        <v>4380594.08</v>
      </c>
      <c r="M1075" s="2172"/>
    </row>
    <row r="1076" spans="1:15" s="2171" customFormat="1">
      <c r="A1076" s="2170"/>
      <c r="B1076" s="2170"/>
      <c r="C1076" s="2170"/>
      <c r="D1076" s="2170"/>
      <c r="E1076" s="2170"/>
      <c r="F1076" s="2170"/>
      <c r="G1076" s="2170"/>
      <c r="H1076" s="2532"/>
      <c r="I1076" s="2532"/>
      <c r="J1076" s="2532"/>
      <c r="K1076" s="2172"/>
      <c r="L1076" s="2532"/>
      <c r="M1076" s="2172"/>
    </row>
    <row r="1077" spans="1:15">
      <c r="A1077" s="2160" t="s">
        <v>1195</v>
      </c>
      <c r="B1077" s="2161"/>
      <c r="C1077" s="2160" t="s">
        <v>2706</v>
      </c>
      <c r="D1077" s="2161"/>
      <c r="E1077" s="2160" t="s">
        <v>2640</v>
      </c>
      <c r="F1077" s="2161"/>
    </row>
    <row r="1078" spans="1:15">
      <c r="A1078" s="2163"/>
      <c r="B1078" s="2163"/>
      <c r="C1078" s="2163"/>
      <c r="D1078" s="2163"/>
      <c r="E1078" s="2163"/>
      <c r="F1078" s="2163"/>
      <c r="G1078" s="2163"/>
      <c r="H1078" s="2163"/>
      <c r="I1078" s="2163"/>
      <c r="J1078" s="2163"/>
      <c r="K1078" s="2163"/>
      <c r="L1078" s="2163"/>
      <c r="M1078" s="2163"/>
    </row>
    <row r="1079" spans="1:15">
      <c r="A1079" s="2164"/>
      <c r="H1079" s="2522" t="s">
        <v>2637</v>
      </c>
      <c r="I1079" s="2522"/>
      <c r="J1079" s="2163"/>
      <c r="K1079" s="2523">
        <v>0</v>
      </c>
      <c r="L1079" s="2523"/>
      <c r="M1079" s="2163"/>
      <c r="N1079" s="2527"/>
      <c r="O1079" s="2163"/>
    </row>
    <row r="1080" spans="1:15">
      <c r="H1080" s="2163"/>
      <c r="I1080" s="2163"/>
      <c r="J1080" s="2163"/>
      <c r="K1080" s="2523"/>
      <c r="L1080" s="2523"/>
      <c r="N1080" s="2527"/>
    </row>
    <row r="1081" spans="1:15">
      <c r="A1081" s="2165">
        <v>2593</v>
      </c>
      <c r="B1081" s="2163"/>
      <c r="C1081" s="2524" t="s">
        <v>2877</v>
      </c>
      <c r="D1081" s="2524"/>
      <c r="E1081" s="2524"/>
      <c r="F1081" s="2524"/>
      <c r="G1081" s="2524"/>
      <c r="H1081" s="2524"/>
      <c r="I1081" s="2524"/>
      <c r="J1081" s="2163"/>
      <c r="K1081" s="2163"/>
      <c r="L1081" s="2163"/>
      <c r="M1081" s="2163"/>
    </row>
    <row r="1082" spans="1:15">
      <c r="A1082" s="2163"/>
      <c r="B1082" s="2163"/>
      <c r="C1082" s="2163"/>
      <c r="D1082" s="2163"/>
      <c r="E1082" s="2163"/>
      <c r="F1082" s="2163"/>
      <c r="G1082" s="2163"/>
      <c r="H1082" s="2163"/>
      <c r="I1082" s="2163"/>
      <c r="J1082" s="2163"/>
      <c r="K1082" s="2163"/>
      <c r="L1082" s="2163"/>
      <c r="M1082" s="2163"/>
    </row>
    <row r="1083" spans="1:15">
      <c r="A1083" s="2529"/>
      <c r="B1083" s="2529"/>
      <c r="C1083" s="2529"/>
      <c r="D1083" s="2166"/>
      <c r="E1083" s="2166"/>
      <c r="F1083" s="2166"/>
      <c r="G1083" s="2166"/>
      <c r="H1083" s="2525"/>
      <c r="I1083" s="2525"/>
      <c r="J1083" s="2525"/>
      <c r="K1083" s="2166"/>
      <c r="L1083" s="2167"/>
      <c r="M1083" s="2166"/>
    </row>
    <row r="1084" spans="1:15">
      <c r="A1084" s="2164"/>
      <c r="B1084" s="2164"/>
      <c r="C1084" s="2164"/>
      <c r="D1084" s="2164"/>
      <c r="E1084" s="2522" t="s">
        <v>2639</v>
      </c>
      <c r="F1084" s="2522"/>
      <c r="G1084" s="2164"/>
      <c r="H1084" s="2523">
        <v>0</v>
      </c>
      <c r="I1084" s="2523"/>
      <c r="J1084" s="2523"/>
      <c r="K1084" s="2163"/>
      <c r="L1084" s="2523">
        <v>0</v>
      </c>
      <c r="M1084" s="2163"/>
    </row>
    <row r="1085" spans="1:15">
      <c r="A1085" s="2164"/>
      <c r="B1085" s="2164"/>
      <c r="C1085" s="2164"/>
      <c r="D1085" s="2164"/>
      <c r="E1085" s="2164"/>
      <c r="F1085" s="2164"/>
      <c r="G1085" s="2164"/>
      <c r="H1085" s="2523"/>
      <c r="I1085" s="2523"/>
      <c r="J1085" s="2523"/>
      <c r="K1085" s="2163"/>
      <c r="L1085" s="2523"/>
      <c r="M1085" s="2163"/>
    </row>
    <row r="1086" spans="1:15">
      <c r="A1086" s="2160" t="s">
        <v>1195</v>
      </c>
      <c r="B1086" s="2161"/>
      <c r="C1086" s="2160" t="s">
        <v>2706</v>
      </c>
      <c r="D1086" s="2161"/>
      <c r="E1086" s="2160" t="s">
        <v>2640</v>
      </c>
      <c r="F1086" s="2161"/>
    </row>
    <row r="1087" spans="1:15">
      <c r="A1087" s="2163"/>
      <c r="B1087" s="2163"/>
      <c r="C1087" s="2163"/>
      <c r="D1087" s="2163"/>
      <c r="E1087" s="2163"/>
      <c r="F1087" s="2163"/>
      <c r="G1087" s="2163"/>
      <c r="H1087" s="2163"/>
      <c r="I1087" s="2163"/>
      <c r="J1087" s="2163"/>
      <c r="K1087" s="2163"/>
      <c r="L1087" s="2163"/>
      <c r="M1087" s="2163"/>
    </row>
    <row r="1088" spans="1:15">
      <c r="A1088" s="2164"/>
      <c r="H1088" s="2522" t="s">
        <v>2637</v>
      </c>
      <c r="I1088" s="2522"/>
      <c r="J1088" s="2163"/>
      <c r="K1088" s="2523">
        <v>0</v>
      </c>
      <c r="L1088" s="2523"/>
      <c r="M1088" s="2163"/>
      <c r="N1088" s="2527"/>
      <c r="O1088" s="2163"/>
    </row>
    <row r="1089" spans="1:15">
      <c r="H1089" s="2163"/>
      <c r="I1089" s="2163"/>
      <c r="J1089" s="2163"/>
      <c r="K1089" s="2523"/>
      <c r="L1089" s="2523"/>
      <c r="N1089" s="2527"/>
    </row>
    <row r="1090" spans="1:15">
      <c r="A1090" s="2165">
        <v>2802</v>
      </c>
      <c r="B1090" s="2163"/>
      <c r="C1090" s="2524" t="s">
        <v>2853</v>
      </c>
      <c r="D1090" s="2524"/>
      <c r="E1090" s="2524"/>
      <c r="F1090" s="2524"/>
      <c r="G1090" s="2524"/>
      <c r="H1090" s="2524"/>
      <c r="I1090" s="2524"/>
      <c r="J1090" s="2163"/>
      <c r="K1090" s="2163"/>
      <c r="L1090" s="2163"/>
      <c r="M1090" s="2163"/>
    </row>
    <row r="1091" spans="1:15">
      <c r="A1091" s="2163"/>
      <c r="B1091" s="2163"/>
      <c r="C1091" s="2163"/>
      <c r="D1091" s="2163"/>
      <c r="E1091" s="2163"/>
      <c r="F1091" s="2163"/>
      <c r="G1091" s="2163"/>
      <c r="H1091" s="2163"/>
      <c r="I1091" s="2163"/>
      <c r="J1091" s="2163"/>
      <c r="K1091" s="2163"/>
      <c r="L1091" s="2163"/>
      <c r="M1091" s="2163"/>
    </row>
    <row r="1092" spans="1:15">
      <c r="A1092" s="2529"/>
      <c r="B1092" s="2529"/>
      <c r="C1092" s="2529"/>
      <c r="D1092" s="2166"/>
      <c r="E1092" s="2166"/>
      <c r="F1092" s="2166"/>
      <c r="G1092" s="2166"/>
      <c r="H1092" s="2525"/>
      <c r="I1092" s="2525"/>
      <c r="J1092" s="2525"/>
      <c r="K1092" s="2166"/>
      <c r="L1092" s="2167"/>
      <c r="M1092" s="2166"/>
    </row>
    <row r="1093" spans="1:15">
      <c r="A1093" s="2164"/>
      <c r="B1093" s="2164"/>
      <c r="C1093" s="2164"/>
      <c r="D1093" s="2164"/>
      <c r="E1093" s="2522" t="s">
        <v>2639</v>
      </c>
      <c r="F1093" s="2522"/>
      <c r="G1093" s="2164"/>
      <c r="H1093" s="2523">
        <v>0</v>
      </c>
      <c r="I1093" s="2523"/>
      <c r="J1093" s="2523"/>
      <c r="K1093" s="2163"/>
      <c r="L1093" s="2523">
        <v>0</v>
      </c>
      <c r="M1093" s="2163"/>
    </row>
    <row r="1094" spans="1:15">
      <c r="A1094" s="2164"/>
      <c r="B1094" s="2164"/>
      <c r="C1094" s="2164"/>
      <c r="D1094" s="2164"/>
      <c r="E1094" s="2164"/>
      <c r="F1094" s="2164"/>
      <c r="G1094" s="2164"/>
      <c r="H1094" s="2523"/>
      <c r="I1094" s="2523"/>
      <c r="J1094" s="2523"/>
      <c r="K1094" s="2163"/>
      <c r="L1094" s="2523"/>
      <c r="M1094" s="2163"/>
    </row>
    <row r="1095" spans="1:15">
      <c r="A1095" s="2160" t="s">
        <v>1195</v>
      </c>
      <c r="B1095" s="2161"/>
      <c r="C1095" s="2160" t="s">
        <v>2706</v>
      </c>
      <c r="D1095" s="2161"/>
      <c r="E1095" s="2160" t="s">
        <v>2640</v>
      </c>
      <c r="F1095" s="2161"/>
    </row>
    <row r="1096" spans="1:15">
      <c r="A1096" s="2163"/>
      <c r="B1096" s="2163"/>
      <c r="C1096" s="2163"/>
      <c r="D1096" s="2163"/>
      <c r="E1096" s="2163"/>
      <c r="F1096" s="2163"/>
      <c r="G1096" s="2163"/>
      <c r="H1096" s="2163"/>
      <c r="I1096" s="2163"/>
      <c r="J1096" s="2163"/>
      <c r="K1096" s="2163"/>
      <c r="L1096" s="2163"/>
      <c r="M1096" s="2163"/>
    </row>
    <row r="1097" spans="1:15">
      <c r="A1097" s="2164"/>
      <c r="H1097" s="2522" t="s">
        <v>2637</v>
      </c>
      <c r="I1097" s="2522"/>
      <c r="J1097" s="2163"/>
      <c r="K1097" s="2523">
        <v>0</v>
      </c>
      <c r="L1097" s="2523"/>
      <c r="M1097" s="2163"/>
      <c r="N1097" s="2527"/>
      <c r="O1097" s="2163"/>
    </row>
    <row r="1098" spans="1:15">
      <c r="H1098" s="2163"/>
      <c r="I1098" s="2163"/>
      <c r="J1098" s="2163"/>
      <c r="K1098" s="2523"/>
      <c r="L1098" s="2523"/>
      <c r="N1098" s="2527"/>
    </row>
    <row r="1099" spans="1:15">
      <c r="A1099" s="2165">
        <v>2802</v>
      </c>
      <c r="B1099" s="2163"/>
      <c r="C1099" s="2524" t="s">
        <v>2853</v>
      </c>
      <c r="D1099" s="2524"/>
      <c r="E1099" s="2524"/>
      <c r="F1099" s="2524"/>
      <c r="G1099" s="2524"/>
      <c r="H1099" s="2524"/>
      <c r="I1099" s="2524"/>
      <c r="J1099" s="2163"/>
      <c r="K1099" s="2163"/>
      <c r="L1099" s="2163"/>
      <c r="M1099" s="2163"/>
    </row>
    <row r="1100" spans="1:15">
      <c r="A1100" s="2163"/>
      <c r="B1100" s="2163"/>
      <c r="C1100" s="2163"/>
      <c r="D1100" s="2163"/>
      <c r="E1100" s="2163"/>
      <c r="F1100" s="2163"/>
      <c r="G1100" s="2163"/>
      <c r="H1100" s="2163"/>
      <c r="I1100" s="2163"/>
      <c r="J1100" s="2163"/>
      <c r="K1100" s="2163"/>
      <c r="L1100" s="2163"/>
      <c r="M1100" s="2163"/>
    </row>
    <row r="1101" spans="1:15">
      <c r="A1101" s="2529"/>
      <c r="B1101" s="2529"/>
      <c r="C1101" s="2529"/>
      <c r="D1101" s="2166"/>
      <c r="E1101" s="2166"/>
      <c r="F1101" s="2166"/>
      <c r="G1101" s="2166"/>
      <c r="H1101" s="2525"/>
      <c r="I1101" s="2525"/>
      <c r="J1101" s="2525"/>
      <c r="K1101" s="2166"/>
      <c r="L1101" s="2167"/>
      <c r="M1101" s="2166"/>
    </row>
    <row r="1102" spans="1:15">
      <c r="A1102" s="2164"/>
      <c r="B1102" s="2164"/>
      <c r="C1102" s="2164"/>
      <c r="D1102" s="2164"/>
      <c r="E1102" s="2522" t="s">
        <v>2639</v>
      </c>
      <c r="F1102" s="2522"/>
      <c r="G1102" s="2164"/>
      <c r="H1102" s="2523">
        <v>0</v>
      </c>
      <c r="I1102" s="2523"/>
      <c r="J1102" s="2523"/>
      <c r="K1102" s="2163"/>
      <c r="L1102" s="2523">
        <v>0</v>
      </c>
      <c r="M1102" s="2163"/>
    </row>
    <row r="1103" spans="1:15">
      <c r="A1103" s="2164"/>
      <c r="B1103" s="2164"/>
      <c r="C1103" s="2164"/>
      <c r="D1103" s="2164"/>
      <c r="E1103" s="2164"/>
      <c r="F1103" s="2164"/>
      <c r="G1103" s="2164"/>
      <c r="H1103" s="2523"/>
      <c r="I1103" s="2523"/>
      <c r="J1103" s="2523"/>
      <c r="K1103" s="2163"/>
      <c r="L1103" s="2523"/>
      <c r="M1103" s="2163"/>
    </row>
    <row r="1104" spans="1:15">
      <c r="A1104" s="2160" t="s">
        <v>1195</v>
      </c>
      <c r="B1104" s="2161"/>
      <c r="C1104" s="2160" t="s">
        <v>2706</v>
      </c>
      <c r="D1104" s="2161"/>
      <c r="E1104" s="2160" t="s">
        <v>2640</v>
      </c>
      <c r="F1104" s="2161"/>
    </row>
    <row r="1105" spans="1:15">
      <c r="A1105" s="2163"/>
      <c r="B1105" s="2163"/>
      <c r="C1105" s="2163"/>
      <c r="D1105" s="2163"/>
      <c r="E1105" s="2163"/>
      <c r="F1105" s="2163"/>
      <c r="G1105" s="2163"/>
      <c r="H1105" s="2163"/>
      <c r="I1105" s="2163"/>
      <c r="J1105" s="2163"/>
      <c r="K1105" s="2163"/>
      <c r="L1105" s="2163"/>
      <c r="M1105" s="2163"/>
    </row>
    <row r="1106" spans="1:15">
      <c r="A1106" s="2164"/>
      <c r="H1106" s="2522" t="s">
        <v>2637</v>
      </c>
      <c r="I1106" s="2522"/>
      <c r="J1106" s="2163"/>
      <c r="K1106" s="2523">
        <v>0</v>
      </c>
      <c r="L1106" s="2523"/>
      <c r="M1106" s="2163"/>
      <c r="N1106" s="2527"/>
      <c r="O1106" s="2163"/>
    </row>
    <row r="1107" spans="1:15">
      <c r="H1107" s="2163"/>
      <c r="I1107" s="2163"/>
      <c r="J1107" s="2163"/>
      <c r="K1107" s="2523"/>
      <c r="L1107" s="2523"/>
      <c r="N1107" s="2527"/>
    </row>
    <row r="1108" spans="1:15">
      <c r="A1108" s="2165">
        <v>55205</v>
      </c>
      <c r="B1108" s="2163"/>
      <c r="C1108" s="2524" t="s">
        <v>2861</v>
      </c>
      <c r="D1108" s="2524"/>
      <c r="E1108" s="2524"/>
      <c r="F1108" s="2524"/>
      <c r="G1108" s="2524"/>
      <c r="H1108" s="2524"/>
      <c r="I1108" s="2524"/>
      <c r="J1108" s="2163"/>
      <c r="K1108" s="2163"/>
      <c r="L1108" s="2163"/>
      <c r="M1108" s="2163"/>
    </row>
    <row r="1109" spans="1:15">
      <c r="A1109" s="2163"/>
      <c r="B1109" s="2163"/>
      <c r="C1109" s="2163"/>
      <c r="D1109" s="2163"/>
      <c r="E1109" s="2163"/>
      <c r="F1109" s="2163"/>
      <c r="G1109" s="2163"/>
      <c r="H1109" s="2163"/>
      <c r="I1109" s="2163"/>
      <c r="J1109" s="2163"/>
      <c r="K1109" s="2163"/>
      <c r="L1109" s="2163"/>
      <c r="M1109" s="2163"/>
    </row>
    <row r="1110" spans="1:15">
      <c r="A1110" s="2529"/>
      <c r="B1110" s="2529"/>
      <c r="C1110" s="2529"/>
      <c r="D1110" s="2166"/>
      <c r="E1110" s="2166"/>
      <c r="F1110" s="2166"/>
      <c r="G1110" s="2166"/>
      <c r="H1110" s="2525"/>
      <c r="I1110" s="2525"/>
      <c r="J1110" s="2525"/>
      <c r="K1110" s="2166"/>
      <c r="L1110" s="2167"/>
      <c r="M1110" s="2166"/>
    </row>
    <row r="1111" spans="1:15">
      <c r="A1111" s="2164"/>
      <c r="B1111" s="2164"/>
      <c r="C1111" s="2164"/>
      <c r="D1111" s="2164"/>
      <c r="E1111" s="2522" t="s">
        <v>2639</v>
      </c>
      <c r="F1111" s="2522"/>
      <c r="G1111" s="2164"/>
      <c r="H1111" s="2523">
        <v>0</v>
      </c>
      <c r="I1111" s="2523"/>
      <c r="J1111" s="2523"/>
      <c r="K1111" s="2163"/>
      <c r="L1111" s="2523">
        <v>0</v>
      </c>
      <c r="M1111" s="2163"/>
    </row>
    <row r="1112" spans="1:15">
      <c r="A1112" s="2164"/>
      <c r="B1112" s="2164"/>
      <c r="C1112" s="2164"/>
      <c r="D1112" s="2164"/>
      <c r="E1112" s="2164"/>
      <c r="F1112" s="2164"/>
      <c r="G1112" s="2164"/>
      <c r="H1112" s="2523"/>
      <c r="I1112" s="2523"/>
      <c r="J1112" s="2523"/>
      <c r="K1112" s="2163"/>
      <c r="L1112" s="2523"/>
      <c r="M1112" s="2163"/>
    </row>
    <row r="1113" spans="1:15">
      <c r="A1113" s="2160" t="s">
        <v>1195</v>
      </c>
      <c r="B1113" s="2161"/>
      <c r="C1113" s="2160" t="s">
        <v>2706</v>
      </c>
      <c r="D1113" s="2161"/>
      <c r="E1113" s="2160" t="s">
        <v>2640</v>
      </c>
      <c r="F1113" s="2161"/>
    </row>
    <row r="1114" spans="1:15">
      <c r="A1114" s="2163"/>
      <c r="B1114" s="2163"/>
      <c r="C1114" s="2163"/>
      <c r="D1114" s="2163"/>
      <c r="E1114" s="2163"/>
      <c r="F1114" s="2163"/>
      <c r="G1114" s="2163"/>
      <c r="H1114" s="2163"/>
      <c r="I1114" s="2163"/>
      <c r="J1114" s="2163"/>
      <c r="K1114" s="2163"/>
      <c r="L1114" s="2163"/>
      <c r="M1114" s="2163"/>
    </row>
    <row r="1115" spans="1:15">
      <c r="A1115" s="2164"/>
      <c r="H1115" s="2522" t="s">
        <v>2637</v>
      </c>
      <c r="I1115" s="2522"/>
      <c r="J1115" s="2163"/>
      <c r="K1115" s="2523">
        <v>0</v>
      </c>
      <c r="L1115" s="2523"/>
      <c r="M1115" s="2163"/>
      <c r="N1115" s="2527"/>
      <c r="O1115" s="2163"/>
    </row>
    <row r="1116" spans="1:15">
      <c r="H1116" s="2163"/>
      <c r="I1116" s="2163"/>
      <c r="J1116" s="2163"/>
      <c r="K1116" s="2523"/>
      <c r="L1116" s="2523"/>
      <c r="N1116" s="2527"/>
    </row>
    <row r="1117" spans="1:15">
      <c r="A1117" s="2165">
        <v>60827</v>
      </c>
      <c r="B1117" s="2163"/>
      <c r="C1117" s="2524" t="s">
        <v>2878</v>
      </c>
      <c r="D1117" s="2524"/>
      <c r="E1117" s="2524"/>
      <c r="F1117" s="2524"/>
      <c r="G1117" s="2524"/>
      <c r="H1117" s="2524"/>
      <c r="I1117" s="2524"/>
      <c r="J1117" s="2163"/>
      <c r="K1117" s="2163"/>
      <c r="L1117" s="2163"/>
      <c r="M1117" s="2163"/>
    </row>
    <row r="1118" spans="1:15">
      <c r="A1118" s="2163"/>
      <c r="B1118" s="2163"/>
      <c r="C1118" s="2163"/>
      <c r="D1118" s="2163"/>
      <c r="E1118" s="2163"/>
      <c r="F1118" s="2163"/>
      <c r="G1118" s="2163"/>
      <c r="H1118" s="2163"/>
      <c r="I1118" s="2163"/>
      <c r="J1118" s="2163"/>
      <c r="K1118" s="2163"/>
      <c r="L1118" s="2163"/>
      <c r="M1118" s="2163"/>
    </row>
    <row r="1119" spans="1:15">
      <c r="A1119" s="2529"/>
      <c r="B1119" s="2529"/>
      <c r="C1119" s="2529"/>
      <c r="D1119" s="2166"/>
      <c r="E1119" s="2166"/>
      <c r="F1119" s="2166"/>
      <c r="G1119" s="2166"/>
      <c r="H1119" s="2525"/>
      <c r="I1119" s="2525"/>
      <c r="J1119" s="2525"/>
      <c r="K1119" s="2166"/>
      <c r="L1119" s="2167"/>
      <c r="M1119" s="2166"/>
    </row>
    <row r="1120" spans="1:15">
      <c r="A1120" s="2164"/>
      <c r="B1120" s="2164"/>
      <c r="C1120" s="2164"/>
      <c r="D1120" s="2164"/>
      <c r="E1120" s="2522" t="s">
        <v>2639</v>
      </c>
      <c r="F1120" s="2522"/>
      <c r="G1120" s="2164"/>
      <c r="H1120" s="2523">
        <v>0</v>
      </c>
      <c r="I1120" s="2523"/>
      <c r="J1120" s="2523"/>
      <c r="K1120" s="2163"/>
      <c r="L1120" s="2523">
        <v>0</v>
      </c>
      <c r="M1120" s="2163"/>
    </row>
    <row r="1121" spans="1:15">
      <c r="A1121" s="2164"/>
      <c r="B1121" s="2164"/>
      <c r="C1121" s="2164"/>
      <c r="D1121" s="2164"/>
      <c r="E1121" s="2164"/>
      <c r="F1121" s="2164"/>
      <c r="G1121" s="2164"/>
      <c r="H1121" s="2523"/>
      <c r="I1121" s="2523"/>
      <c r="J1121" s="2523"/>
      <c r="K1121" s="2163"/>
      <c r="L1121" s="2523"/>
      <c r="M1121" s="2163"/>
    </row>
    <row r="1122" spans="1:15">
      <c r="A1122" s="2160" t="s">
        <v>1195</v>
      </c>
      <c r="B1122" s="2161"/>
      <c r="C1122" s="2160" t="s">
        <v>2706</v>
      </c>
      <c r="D1122" s="2161"/>
      <c r="E1122" s="2160" t="s">
        <v>2640</v>
      </c>
      <c r="F1122" s="2161"/>
    </row>
    <row r="1123" spans="1:15">
      <c r="A1123" s="2163"/>
      <c r="B1123" s="2163"/>
      <c r="C1123" s="2163"/>
      <c r="D1123" s="2163"/>
      <c r="E1123" s="2163"/>
      <c r="F1123" s="2163"/>
      <c r="G1123" s="2163"/>
      <c r="H1123" s="2163"/>
      <c r="I1123" s="2163"/>
      <c r="J1123" s="2163"/>
      <c r="K1123" s="2163"/>
      <c r="L1123" s="2163"/>
      <c r="M1123" s="2163"/>
    </row>
    <row r="1124" spans="1:15">
      <c r="A1124" s="2164"/>
      <c r="H1124" s="2522" t="s">
        <v>2637</v>
      </c>
      <c r="I1124" s="2522"/>
      <c r="J1124" s="2163"/>
      <c r="K1124" s="2523">
        <v>0</v>
      </c>
      <c r="L1124" s="2523"/>
      <c r="M1124" s="2163"/>
      <c r="N1124" s="2527"/>
      <c r="O1124" s="2163"/>
    </row>
    <row r="1125" spans="1:15">
      <c r="H1125" s="2163"/>
      <c r="I1125" s="2163"/>
      <c r="J1125" s="2163"/>
      <c r="K1125" s="2523"/>
      <c r="L1125" s="2523"/>
      <c r="N1125" s="2527"/>
    </row>
    <row r="1126" spans="1:15">
      <c r="A1126" s="2165">
        <v>70568</v>
      </c>
      <c r="B1126" s="2163"/>
      <c r="C1126" s="2524" t="s">
        <v>2864</v>
      </c>
      <c r="D1126" s="2524"/>
      <c r="E1126" s="2524"/>
      <c r="F1126" s="2524"/>
      <c r="G1126" s="2524"/>
      <c r="H1126" s="2524"/>
      <c r="I1126" s="2524"/>
      <c r="J1126" s="2163"/>
      <c r="K1126" s="2163"/>
      <c r="L1126" s="2163"/>
      <c r="M1126" s="2163"/>
    </row>
    <row r="1127" spans="1:15">
      <c r="A1127" s="2163"/>
      <c r="B1127" s="2163"/>
      <c r="C1127" s="2163"/>
      <c r="D1127" s="2163"/>
      <c r="E1127" s="2163"/>
      <c r="F1127" s="2163"/>
      <c r="G1127" s="2163"/>
      <c r="H1127" s="2163"/>
      <c r="I1127" s="2163"/>
      <c r="J1127" s="2163"/>
      <c r="K1127" s="2163"/>
      <c r="L1127" s="2163"/>
      <c r="M1127" s="2163"/>
    </row>
    <row r="1128" spans="1:15">
      <c r="A1128" s="2529"/>
      <c r="B1128" s="2529"/>
      <c r="C1128" s="2529"/>
      <c r="D1128" s="2166"/>
      <c r="E1128" s="2166"/>
      <c r="F1128" s="2166"/>
      <c r="G1128" s="2166"/>
      <c r="H1128" s="2525"/>
      <c r="I1128" s="2525"/>
      <c r="J1128" s="2525"/>
      <c r="K1128" s="2166"/>
      <c r="L1128" s="2167"/>
      <c r="M1128" s="2166"/>
    </row>
    <row r="1129" spans="1:15">
      <c r="A1129" s="2164"/>
      <c r="B1129" s="2164"/>
      <c r="C1129" s="2164"/>
      <c r="D1129" s="2164"/>
      <c r="E1129" s="2522" t="s">
        <v>2639</v>
      </c>
      <c r="F1129" s="2522"/>
      <c r="G1129" s="2164"/>
      <c r="H1129" s="2523">
        <v>0</v>
      </c>
      <c r="I1129" s="2523"/>
      <c r="J1129" s="2523"/>
      <c r="K1129" s="2163"/>
      <c r="L1129" s="2523">
        <v>0</v>
      </c>
      <c r="M1129" s="2163"/>
    </row>
    <row r="1130" spans="1:15">
      <c r="A1130" s="2164"/>
      <c r="B1130" s="2164"/>
      <c r="C1130" s="2164"/>
      <c r="D1130" s="2164"/>
      <c r="E1130" s="2164"/>
      <c r="F1130" s="2164"/>
      <c r="G1130" s="2164"/>
      <c r="H1130" s="2523"/>
      <c r="I1130" s="2523"/>
      <c r="J1130" s="2523"/>
      <c r="K1130" s="2163"/>
      <c r="L1130" s="2523"/>
      <c r="M1130" s="2163"/>
    </row>
    <row r="1131" spans="1:15">
      <c r="A1131" s="2160" t="s">
        <v>2712</v>
      </c>
      <c r="B1131" s="2161"/>
      <c r="C1131" s="2160" t="s">
        <v>2713</v>
      </c>
      <c r="D1131" s="2161"/>
      <c r="E1131" s="2160" t="s">
        <v>2640</v>
      </c>
      <c r="F1131" s="2161"/>
    </row>
    <row r="1132" spans="1:15">
      <c r="A1132" s="2163"/>
      <c r="B1132" s="2163"/>
      <c r="C1132" s="2163"/>
      <c r="D1132" s="2163"/>
      <c r="E1132" s="2163"/>
      <c r="F1132" s="2163"/>
      <c r="G1132" s="2163"/>
      <c r="H1132" s="2163"/>
      <c r="I1132" s="2163"/>
      <c r="J1132" s="2163"/>
      <c r="K1132" s="2163"/>
      <c r="L1132" s="2163"/>
      <c r="M1132" s="2163"/>
    </row>
    <row r="1133" spans="1:15">
      <c r="A1133" s="2164"/>
      <c r="H1133" s="2522" t="s">
        <v>2637</v>
      </c>
      <c r="I1133" s="2522"/>
      <c r="J1133" s="2163"/>
      <c r="K1133" s="2523">
        <v>0</v>
      </c>
      <c r="L1133" s="2523"/>
      <c r="M1133" s="2163"/>
      <c r="N1133" s="2527"/>
      <c r="O1133" s="2163"/>
    </row>
    <row r="1134" spans="1:15">
      <c r="H1134" s="2163"/>
      <c r="I1134" s="2163"/>
      <c r="J1134" s="2163"/>
      <c r="K1134" s="2523"/>
      <c r="L1134" s="2523"/>
      <c r="N1134" s="2527"/>
    </row>
    <row r="1135" spans="1:15">
      <c r="A1135" s="2165">
        <v>67892</v>
      </c>
      <c r="B1135" s="2163"/>
      <c r="C1135" s="2524" t="s">
        <v>2865</v>
      </c>
      <c r="D1135" s="2524"/>
      <c r="E1135" s="2524"/>
      <c r="F1135" s="2524"/>
      <c r="G1135" s="2524"/>
      <c r="H1135" s="2524"/>
      <c r="I1135" s="2524"/>
      <c r="J1135" s="2163"/>
      <c r="K1135" s="2163"/>
      <c r="L1135" s="2163"/>
      <c r="M1135" s="2163"/>
    </row>
    <row r="1136" spans="1:15">
      <c r="A1136" s="2163"/>
      <c r="B1136" s="2163"/>
      <c r="C1136" s="2163"/>
      <c r="D1136" s="2163"/>
      <c r="E1136" s="2163"/>
      <c r="F1136" s="2163"/>
      <c r="G1136" s="2163"/>
      <c r="H1136" s="2163"/>
      <c r="I1136" s="2163"/>
      <c r="J1136" s="2163"/>
      <c r="K1136" s="2163"/>
      <c r="L1136" s="2163"/>
      <c r="M1136" s="2163"/>
    </row>
    <row r="1137" spans="1:15">
      <c r="A1137" s="2520" t="s">
        <v>2648</v>
      </c>
      <c r="B1137" s="2520"/>
      <c r="C1137" s="2520"/>
      <c r="D1137" s="2166"/>
      <c r="E1137" s="2166"/>
      <c r="F1137" s="2166"/>
      <c r="G1137" s="2166"/>
      <c r="H1137" s="2525">
        <v>-21.027000000000001</v>
      </c>
      <c r="I1137" s="2525"/>
      <c r="J1137" s="2525"/>
      <c r="K1137" s="2166"/>
      <c r="L1137" s="2167">
        <v>-238.23</v>
      </c>
      <c r="M1137" s="2166"/>
    </row>
    <row r="1138" spans="1:15">
      <c r="A1138" s="2520" t="s">
        <v>2649</v>
      </c>
      <c r="B1138" s="2520"/>
      <c r="C1138" s="2520"/>
      <c r="D1138" s="2166"/>
      <c r="E1138" s="2166"/>
      <c r="F1138" s="2166"/>
      <c r="G1138" s="2166"/>
      <c r="H1138" s="2525">
        <v>21.027000000000001</v>
      </c>
      <c r="I1138" s="2525"/>
      <c r="J1138" s="2525"/>
      <c r="K1138" s="2166"/>
      <c r="L1138" s="2167">
        <v>244.75</v>
      </c>
      <c r="M1138" s="2166"/>
    </row>
    <row r="1139" spans="1:15">
      <c r="A1139" s="2164"/>
      <c r="B1139" s="2164"/>
      <c r="C1139" s="2164"/>
      <c r="D1139" s="2164"/>
      <c r="E1139" s="2522" t="s">
        <v>2639</v>
      </c>
      <c r="F1139" s="2522"/>
      <c r="G1139" s="2164"/>
      <c r="H1139" s="2523">
        <v>0</v>
      </c>
      <c r="I1139" s="2523"/>
      <c r="J1139" s="2523"/>
      <c r="K1139" s="2163"/>
      <c r="L1139" s="2523">
        <v>0</v>
      </c>
      <c r="M1139" s="2163"/>
    </row>
    <row r="1140" spans="1:15">
      <c r="A1140" s="2164"/>
      <c r="B1140" s="2164"/>
      <c r="C1140" s="2164"/>
      <c r="D1140" s="2164"/>
      <c r="E1140" s="2164"/>
      <c r="F1140" s="2164"/>
      <c r="G1140" s="2164"/>
      <c r="H1140" s="2523"/>
      <c r="I1140" s="2523"/>
      <c r="J1140" s="2523"/>
      <c r="K1140" s="2163"/>
      <c r="L1140" s="2523"/>
      <c r="M1140" s="2163"/>
    </row>
    <row r="1141" spans="1:15">
      <c r="A1141" s="2160" t="s">
        <v>2723</v>
      </c>
      <c r="B1141" s="2161"/>
      <c r="C1141" s="2160" t="s">
        <v>2724</v>
      </c>
      <c r="D1141" s="2161"/>
      <c r="E1141" s="2160" t="s">
        <v>2722</v>
      </c>
      <c r="F1141" s="2161"/>
    </row>
    <row r="1142" spans="1:15">
      <c r="A1142" s="2163"/>
      <c r="B1142" s="2163"/>
      <c r="C1142" s="2163"/>
      <c r="D1142" s="2163"/>
      <c r="E1142" s="2163"/>
      <c r="F1142" s="2163"/>
      <c r="G1142" s="2163"/>
      <c r="H1142" s="2163"/>
      <c r="I1142" s="2163"/>
      <c r="J1142" s="2163"/>
      <c r="K1142" s="2163"/>
      <c r="L1142" s="2163"/>
      <c r="M1142" s="2163"/>
    </row>
    <row r="1143" spans="1:15">
      <c r="A1143" s="2164"/>
      <c r="H1143" s="2522" t="s">
        <v>2637</v>
      </c>
      <c r="I1143" s="2522"/>
      <c r="J1143" s="2163"/>
      <c r="K1143" s="2523">
        <v>0</v>
      </c>
      <c r="L1143" s="2523"/>
      <c r="M1143" s="2163"/>
      <c r="N1143" s="2527"/>
      <c r="O1143" s="2163"/>
    </row>
    <row r="1144" spans="1:15">
      <c r="H1144" s="2163"/>
      <c r="I1144" s="2163"/>
      <c r="J1144" s="2163"/>
      <c r="K1144" s="2523"/>
      <c r="L1144" s="2523"/>
      <c r="N1144" s="2527"/>
    </row>
    <row r="1145" spans="1:15">
      <c r="A1145" s="2165">
        <v>2393</v>
      </c>
      <c r="B1145" s="2163"/>
      <c r="C1145" s="2524" t="s">
        <v>3048</v>
      </c>
      <c r="D1145" s="2524"/>
      <c r="E1145" s="2524"/>
      <c r="F1145" s="2524"/>
      <c r="G1145" s="2524"/>
      <c r="H1145" s="2524"/>
      <c r="I1145" s="2524"/>
      <c r="J1145" s="2163"/>
      <c r="K1145" s="2163"/>
      <c r="L1145" s="2163"/>
      <c r="M1145" s="2163"/>
    </row>
    <row r="1146" spans="1:15">
      <c r="A1146" s="2163"/>
      <c r="B1146" s="2163"/>
      <c r="C1146" s="2163"/>
      <c r="D1146" s="2163"/>
      <c r="E1146" s="2163"/>
      <c r="F1146" s="2163"/>
      <c r="G1146" s="2163"/>
      <c r="H1146" s="2163"/>
      <c r="I1146" s="2163"/>
      <c r="J1146" s="2163"/>
      <c r="K1146" s="2163"/>
      <c r="L1146" s="2163"/>
      <c r="M1146" s="2163"/>
    </row>
    <row r="1147" spans="1:15">
      <c r="A1147" s="2520" t="s">
        <v>2647</v>
      </c>
      <c r="B1147" s="2520"/>
      <c r="C1147" s="2520"/>
      <c r="D1147" s="2166"/>
      <c r="E1147" s="2166"/>
      <c r="F1147" s="2166"/>
      <c r="G1147" s="2166"/>
      <c r="H1147" s="2526">
        <v>419522.712</v>
      </c>
      <c r="I1147" s="2526"/>
      <c r="J1147" s="2526"/>
      <c r="K1147" s="2166"/>
      <c r="L1147" s="2168">
        <v>4300000</v>
      </c>
      <c r="M1147" s="2166"/>
    </row>
    <row r="1148" spans="1:15">
      <c r="A1148" s="2520" t="s">
        <v>2649</v>
      </c>
      <c r="B1148" s="2520"/>
      <c r="C1148" s="2520"/>
      <c r="D1148" s="2166"/>
      <c r="E1148" s="2166"/>
      <c r="F1148" s="2166"/>
      <c r="G1148" s="2166"/>
      <c r="H1148" s="2526">
        <v>346191.88900000002</v>
      </c>
      <c r="I1148" s="2526"/>
      <c r="J1148" s="2526"/>
      <c r="K1148" s="2166"/>
      <c r="L1148" s="2168">
        <v>3500000</v>
      </c>
      <c r="M1148" s="2166"/>
    </row>
    <row r="1149" spans="1:15">
      <c r="A1149" s="2164"/>
      <c r="B1149" s="2164"/>
      <c r="C1149" s="2164"/>
      <c r="D1149" s="2164"/>
      <c r="E1149" s="2522" t="s">
        <v>2639</v>
      </c>
      <c r="F1149" s="2522"/>
      <c r="G1149" s="2164"/>
      <c r="H1149" s="2528">
        <v>765714.60160000005</v>
      </c>
      <c r="I1149" s="2528"/>
      <c r="J1149" s="2528"/>
      <c r="K1149" s="2163"/>
      <c r="L1149" s="2528">
        <v>7695431.75</v>
      </c>
      <c r="M1149" s="2163"/>
    </row>
    <row r="1150" spans="1:15">
      <c r="A1150" s="2164"/>
      <c r="B1150" s="2164"/>
      <c r="C1150" s="2164"/>
      <c r="D1150" s="2164"/>
      <c r="E1150" s="2164"/>
      <c r="F1150" s="2164"/>
      <c r="G1150" s="2164"/>
      <c r="H1150" s="2528"/>
      <c r="I1150" s="2528"/>
      <c r="J1150" s="2528"/>
      <c r="K1150" s="2163"/>
      <c r="L1150" s="2528"/>
      <c r="M1150" s="2163"/>
    </row>
    <row r="1151" spans="1:15">
      <c r="A1151" s="2160" t="s">
        <v>2723</v>
      </c>
      <c r="B1151" s="2161"/>
      <c r="C1151" s="2160" t="s">
        <v>2724</v>
      </c>
      <c r="D1151" s="2161"/>
      <c r="E1151" s="2160" t="s">
        <v>2722</v>
      </c>
      <c r="F1151" s="2161"/>
    </row>
    <row r="1152" spans="1:15">
      <c r="A1152" s="2163"/>
      <c r="B1152" s="2163"/>
      <c r="C1152" s="2163"/>
      <c r="D1152" s="2163"/>
      <c r="E1152" s="2163"/>
      <c r="F1152" s="2163"/>
      <c r="G1152" s="2163"/>
      <c r="H1152" s="2163"/>
      <c r="I1152" s="2163"/>
      <c r="J1152" s="2163"/>
      <c r="K1152" s="2163"/>
      <c r="L1152" s="2163"/>
      <c r="M1152" s="2163"/>
    </row>
    <row r="1153" spans="1:15">
      <c r="A1153" s="2164"/>
      <c r="H1153" s="2522" t="s">
        <v>2637</v>
      </c>
      <c r="I1153" s="2522"/>
      <c r="J1153" s="2163"/>
      <c r="K1153" s="2523">
        <v>0</v>
      </c>
      <c r="L1153" s="2523"/>
      <c r="M1153" s="2163"/>
      <c r="N1153" s="2527"/>
      <c r="O1153" s="2163"/>
    </row>
    <row r="1154" spans="1:15">
      <c r="H1154" s="2163"/>
      <c r="I1154" s="2163"/>
      <c r="J1154" s="2163"/>
      <c r="K1154" s="2523"/>
      <c r="L1154" s="2523"/>
      <c r="N1154" s="2527"/>
    </row>
    <row r="1155" spans="1:15">
      <c r="A1155" s="2165">
        <v>2802</v>
      </c>
      <c r="B1155" s="2163"/>
      <c r="C1155" s="2524" t="s">
        <v>2853</v>
      </c>
      <c r="D1155" s="2524"/>
      <c r="E1155" s="2524"/>
      <c r="F1155" s="2524"/>
      <c r="G1155" s="2524"/>
      <c r="H1155" s="2524"/>
      <c r="I1155" s="2524"/>
      <c r="J1155" s="2163"/>
      <c r="K1155" s="2163"/>
      <c r="L1155" s="2163"/>
      <c r="M1155" s="2163"/>
    </row>
    <row r="1156" spans="1:15">
      <c r="A1156" s="2163"/>
      <c r="B1156" s="2163"/>
      <c r="C1156" s="2163"/>
      <c r="D1156" s="2163"/>
      <c r="E1156" s="2163"/>
      <c r="F1156" s="2163"/>
      <c r="G1156" s="2163"/>
      <c r="H1156" s="2163"/>
      <c r="I1156" s="2163"/>
      <c r="J1156" s="2163"/>
      <c r="K1156" s="2163"/>
      <c r="L1156" s="2163"/>
      <c r="M1156" s="2163"/>
    </row>
    <row r="1157" spans="1:15">
      <c r="A1157" s="2529"/>
      <c r="B1157" s="2529"/>
      <c r="C1157" s="2529"/>
      <c r="D1157" s="2166"/>
      <c r="E1157" s="2166"/>
      <c r="F1157" s="2166"/>
      <c r="G1157" s="2166"/>
      <c r="H1157" s="2525"/>
      <c r="I1157" s="2525"/>
      <c r="J1157" s="2525"/>
      <c r="K1157" s="2166"/>
      <c r="L1157" s="2167"/>
      <c r="M1157" s="2166"/>
    </row>
    <row r="1158" spans="1:15">
      <c r="A1158" s="2164"/>
      <c r="B1158" s="2164"/>
      <c r="C1158" s="2164"/>
      <c r="D1158" s="2164"/>
      <c r="E1158" s="2522" t="s">
        <v>2639</v>
      </c>
      <c r="F1158" s="2522"/>
      <c r="G1158" s="2164"/>
      <c r="H1158" s="2523">
        <v>0</v>
      </c>
      <c r="I1158" s="2523"/>
      <c r="J1158" s="2523"/>
      <c r="K1158" s="2163"/>
      <c r="L1158" s="2523">
        <v>0</v>
      </c>
      <c r="M1158" s="2163"/>
    </row>
    <row r="1159" spans="1:15">
      <c r="A1159" s="2164"/>
      <c r="B1159" s="2164"/>
      <c r="C1159" s="2164"/>
      <c r="D1159" s="2164"/>
      <c r="E1159" s="2164"/>
      <c r="F1159" s="2164"/>
      <c r="G1159" s="2164"/>
      <c r="H1159" s="2523"/>
      <c r="I1159" s="2523"/>
      <c r="J1159" s="2523"/>
      <c r="K1159" s="2163"/>
      <c r="L1159" s="2523"/>
      <c r="M1159" s="2163"/>
    </row>
    <row r="1160" spans="1:15">
      <c r="A1160" s="2160" t="s">
        <v>2723</v>
      </c>
      <c r="B1160" s="2161"/>
      <c r="C1160" s="2160" t="s">
        <v>2724</v>
      </c>
      <c r="D1160" s="2161"/>
      <c r="E1160" s="2160" t="s">
        <v>2722</v>
      </c>
      <c r="F1160" s="2161"/>
    </row>
    <row r="1161" spans="1:15">
      <c r="A1161" s="2163"/>
      <c r="B1161" s="2163"/>
      <c r="C1161" s="2163"/>
      <c r="D1161" s="2163"/>
      <c r="E1161" s="2163"/>
      <c r="F1161" s="2163"/>
      <c r="G1161" s="2163"/>
      <c r="H1161" s="2163"/>
      <c r="I1161" s="2163"/>
      <c r="J1161" s="2163"/>
      <c r="K1161" s="2163"/>
      <c r="L1161" s="2163"/>
      <c r="M1161" s="2163"/>
    </row>
    <row r="1162" spans="1:15">
      <c r="A1162" s="2164"/>
      <c r="H1162" s="2522" t="s">
        <v>2637</v>
      </c>
      <c r="I1162" s="2522"/>
      <c r="J1162" s="2163"/>
      <c r="K1162" s="2523">
        <v>0</v>
      </c>
      <c r="L1162" s="2523"/>
      <c r="M1162" s="2163"/>
      <c r="N1162" s="2527"/>
      <c r="O1162" s="2163"/>
    </row>
    <row r="1163" spans="1:15">
      <c r="H1163" s="2163"/>
      <c r="I1163" s="2163"/>
      <c r="J1163" s="2163"/>
      <c r="K1163" s="2523"/>
      <c r="L1163" s="2523"/>
      <c r="N1163" s="2527"/>
    </row>
    <row r="1164" spans="1:15">
      <c r="A1164" s="2165">
        <v>4421</v>
      </c>
      <c r="B1164" s="2163"/>
      <c r="C1164" s="2524" t="s">
        <v>2854</v>
      </c>
      <c r="D1164" s="2524"/>
      <c r="E1164" s="2524"/>
      <c r="F1164" s="2524"/>
      <c r="G1164" s="2524"/>
      <c r="H1164" s="2524"/>
      <c r="I1164" s="2524"/>
      <c r="J1164" s="2163"/>
      <c r="K1164" s="2163"/>
      <c r="L1164" s="2163"/>
      <c r="M1164" s="2163"/>
    </row>
    <row r="1165" spans="1:15">
      <c r="A1165" s="2163"/>
      <c r="B1165" s="2163"/>
      <c r="C1165" s="2163"/>
      <c r="D1165" s="2163"/>
      <c r="E1165" s="2163"/>
      <c r="F1165" s="2163"/>
      <c r="G1165" s="2163"/>
      <c r="H1165" s="2163"/>
      <c r="I1165" s="2163"/>
      <c r="J1165" s="2163"/>
      <c r="K1165" s="2163"/>
      <c r="L1165" s="2163"/>
      <c r="M1165" s="2163"/>
    </row>
    <row r="1166" spans="1:15">
      <c r="A1166" s="2529"/>
      <c r="B1166" s="2529"/>
      <c r="C1166" s="2529"/>
      <c r="D1166" s="2166"/>
      <c r="E1166" s="2166"/>
      <c r="F1166" s="2166"/>
      <c r="G1166" s="2166"/>
      <c r="H1166" s="2525"/>
      <c r="I1166" s="2525"/>
      <c r="J1166" s="2525"/>
      <c r="K1166" s="2166"/>
      <c r="L1166" s="2167"/>
      <c r="M1166" s="2166"/>
    </row>
    <row r="1167" spans="1:15">
      <c r="A1167" s="2164"/>
      <c r="B1167" s="2164"/>
      <c r="C1167" s="2164"/>
      <c r="D1167" s="2164"/>
      <c r="E1167" s="2522" t="s">
        <v>2639</v>
      </c>
      <c r="F1167" s="2522"/>
      <c r="G1167" s="2164"/>
      <c r="H1167" s="2523">
        <v>0</v>
      </c>
      <c r="I1167" s="2523"/>
      <c r="J1167" s="2523"/>
      <c r="K1167" s="2163"/>
      <c r="L1167" s="2523">
        <v>0</v>
      </c>
      <c r="M1167" s="2163"/>
    </row>
    <row r="1168" spans="1:15">
      <c r="A1168" s="2164"/>
      <c r="B1168" s="2164"/>
      <c r="C1168" s="2164"/>
      <c r="D1168" s="2164"/>
      <c r="E1168" s="2164"/>
      <c r="F1168" s="2164"/>
      <c r="G1168" s="2164"/>
      <c r="H1168" s="2523"/>
      <c r="I1168" s="2523"/>
      <c r="J1168" s="2523"/>
      <c r="K1168" s="2163"/>
      <c r="L1168" s="2523"/>
      <c r="M1168" s="2163"/>
    </row>
    <row r="1169" spans="1:15">
      <c r="A1169" s="2160" t="s">
        <v>2723</v>
      </c>
      <c r="B1169" s="2161"/>
      <c r="C1169" s="2160" t="s">
        <v>2724</v>
      </c>
      <c r="D1169" s="2161"/>
      <c r="E1169" s="2160" t="s">
        <v>2722</v>
      </c>
      <c r="F1169" s="2161"/>
    </row>
    <row r="1170" spans="1:15">
      <c r="A1170" s="2163"/>
      <c r="B1170" s="2163"/>
      <c r="C1170" s="2163"/>
      <c r="D1170" s="2163"/>
      <c r="E1170" s="2163"/>
      <c r="F1170" s="2163"/>
      <c r="G1170" s="2163"/>
      <c r="H1170" s="2163"/>
      <c r="I1170" s="2163"/>
      <c r="J1170" s="2163"/>
      <c r="K1170" s="2163"/>
      <c r="L1170" s="2163"/>
      <c r="M1170" s="2163"/>
    </row>
    <row r="1171" spans="1:15">
      <c r="A1171" s="2164"/>
      <c r="H1171" s="2522" t="s">
        <v>2637</v>
      </c>
      <c r="I1171" s="2522"/>
      <c r="J1171" s="2163"/>
      <c r="K1171" s="2528">
        <v>1794592.3176</v>
      </c>
      <c r="L1171" s="2528"/>
      <c r="M1171" s="2163"/>
      <c r="N1171" s="2527" t="s">
        <v>3104</v>
      </c>
      <c r="O1171" s="2163"/>
    </row>
    <row r="1172" spans="1:15">
      <c r="H1172" s="2163"/>
      <c r="I1172" s="2163"/>
      <c r="J1172" s="2163"/>
      <c r="K1172" s="2528"/>
      <c r="L1172" s="2528"/>
      <c r="N1172" s="2527"/>
    </row>
    <row r="1173" spans="1:15">
      <c r="A1173" s="2165">
        <v>40147</v>
      </c>
      <c r="B1173" s="2163"/>
      <c r="C1173" s="2524" t="s">
        <v>2856</v>
      </c>
      <c r="D1173" s="2524"/>
      <c r="E1173" s="2524"/>
      <c r="F1173" s="2524"/>
      <c r="G1173" s="2524"/>
      <c r="H1173" s="2524"/>
      <c r="I1173" s="2524"/>
      <c r="J1173" s="2163"/>
      <c r="K1173" s="2163"/>
      <c r="L1173" s="2163"/>
      <c r="M1173" s="2163"/>
    </row>
    <row r="1174" spans="1:15">
      <c r="A1174" s="2163"/>
      <c r="B1174" s="2163"/>
      <c r="C1174" s="2163"/>
      <c r="D1174" s="2163"/>
      <c r="E1174" s="2163"/>
      <c r="F1174" s="2163"/>
      <c r="G1174" s="2163"/>
      <c r="H1174" s="2163"/>
      <c r="I1174" s="2163"/>
      <c r="J1174" s="2163"/>
      <c r="K1174" s="2163"/>
      <c r="L1174" s="2163"/>
      <c r="M1174" s="2163"/>
    </row>
    <row r="1175" spans="1:15">
      <c r="A1175" s="2529"/>
      <c r="B1175" s="2529"/>
      <c r="C1175" s="2529"/>
      <c r="D1175" s="2166"/>
      <c r="E1175" s="2166"/>
      <c r="F1175" s="2166"/>
      <c r="G1175" s="2166"/>
      <c r="H1175" s="2525"/>
      <c r="I1175" s="2525"/>
      <c r="J1175" s="2525"/>
      <c r="K1175" s="2166"/>
      <c r="L1175" s="2167"/>
      <c r="M1175" s="2166"/>
    </row>
    <row r="1176" spans="1:15">
      <c r="A1176" s="2164"/>
      <c r="B1176" s="2164"/>
      <c r="C1176" s="2164"/>
      <c r="D1176" s="2164"/>
      <c r="E1176" s="2522" t="s">
        <v>2639</v>
      </c>
      <c r="F1176" s="2522"/>
      <c r="G1176" s="2164"/>
      <c r="H1176" s="2528">
        <v>1794592.3176</v>
      </c>
      <c r="I1176" s="2528"/>
      <c r="J1176" s="2528"/>
      <c r="K1176" s="2163"/>
      <c r="L1176" s="2528">
        <v>18035652.789999999</v>
      </c>
      <c r="M1176" s="2163"/>
    </row>
    <row r="1177" spans="1:15">
      <c r="A1177" s="2164"/>
      <c r="B1177" s="2164"/>
      <c r="C1177" s="2164"/>
      <c r="D1177" s="2164"/>
      <c r="E1177" s="2164"/>
      <c r="F1177" s="2164"/>
      <c r="G1177" s="2164"/>
      <c r="H1177" s="2528"/>
      <c r="I1177" s="2528"/>
      <c r="J1177" s="2528"/>
      <c r="K1177" s="2163"/>
      <c r="L1177" s="2528"/>
      <c r="M1177" s="2163"/>
    </row>
    <row r="1178" spans="1:15">
      <c r="A1178" s="2160" t="s">
        <v>2723</v>
      </c>
      <c r="B1178" s="2161"/>
      <c r="C1178" s="2160" t="s">
        <v>2724</v>
      </c>
      <c r="D1178" s="2161"/>
      <c r="E1178" s="2160" t="s">
        <v>2722</v>
      </c>
      <c r="F1178" s="2161"/>
    </row>
    <row r="1179" spans="1:15">
      <c r="A1179" s="2163"/>
      <c r="B1179" s="2163"/>
      <c r="C1179" s="2163"/>
      <c r="D1179" s="2163"/>
      <c r="E1179" s="2163"/>
      <c r="F1179" s="2163"/>
      <c r="G1179" s="2163"/>
      <c r="H1179" s="2163"/>
      <c r="I1179" s="2163"/>
      <c r="J1179" s="2163"/>
      <c r="K1179" s="2163"/>
      <c r="L1179" s="2163"/>
      <c r="M1179" s="2163"/>
    </row>
    <row r="1180" spans="1:15">
      <c r="A1180" s="2164"/>
      <c r="H1180" s="2522" t="s">
        <v>2637</v>
      </c>
      <c r="I1180" s="2522"/>
      <c r="J1180" s="2163"/>
      <c r="K1180" s="2528">
        <v>4298663.2914000005</v>
      </c>
      <c r="L1180" s="2528"/>
      <c r="M1180" s="2163"/>
      <c r="N1180" s="2527" t="s">
        <v>3105</v>
      </c>
      <c r="O1180" s="2163"/>
    </row>
    <row r="1181" spans="1:15">
      <c r="H1181" s="2163"/>
      <c r="I1181" s="2163"/>
      <c r="J1181" s="2163"/>
      <c r="K1181" s="2528"/>
      <c r="L1181" s="2528"/>
      <c r="N1181" s="2527"/>
    </row>
    <row r="1182" spans="1:15">
      <c r="A1182" s="2165">
        <v>34239</v>
      </c>
      <c r="B1182" s="2163"/>
      <c r="C1182" s="2524" t="s">
        <v>3054</v>
      </c>
      <c r="D1182" s="2524"/>
      <c r="E1182" s="2524"/>
      <c r="F1182" s="2524"/>
      <c r="G1182" s="2524"/>
      <c r="H1182" s="2524"/>
      <c r="I1182" s="2524"/>
      <c r="J1182" s="2163"/>
      <c r="K1182" s="2163"/>
      <c r="L1182" s="2163"/>
      <c r="M1182" s="2163"/>
    </row>
    <row r="1183" spans="1:15">
      <c r="A1183" s="2163"/>
      <c r="B1183" s="2163"/>
      <c r="C1183" s="2163"/>
      <c r="D1183" s="2163"/>
      <c r="E1183" s="2163"/>
      <c r="F1183" s="2163"/>
      <c r="G1183" s="2163"/>
      <c r="H1183" s="2163"/>
      <c r="I1183" s="2163"/>
      <c r="J1183" s="2163"/>
      <c r="K1183" s="2163"/>
      <c r="L1183" s="2163"/>
      <c r="M1183" s="2163"/>
    </row>
    <row r="1184" spans="1:15">
      <c r="A1184" s="2520" t="s">
        <v>2648</v>
      </c>
      <c r="B1184" s="2520"/>
      <c r="C1184" s="2520"/>
      <c r="D1184" s="2166"/>
      <c r="E1184" s="2166"/>
      <c r="F1184" s="2166"/>
      <c r="G1184" s="2166"/>
      <c r="H1184" s="2526">
        <v>-607601.06499999994</v>
      </c>
      <c r="I1184" s="2526"/>
      <c r="J1184" s="2526"/>
      <c r="K1184" s="2166"/>
      <c r="L1184" s="2168">
        <v>-6000000</v>
      </c>
      <c r="M1184" s="2166"/>
    </row>
    <row r="1185" spans="1:15">
      <c r="A1185" s="2164"/>
      <c r="B1185" s="2164"/>
      <c r="C1185" s="2164"/>
      <c r="D1185" s="2164"/>
      <c r="E1185" s="2522" t="s">
        <v>2639</v>
      </c>
      <c r="F1185" s="2522"/>
      <c r="G1185" s="2164"/>
      <c r="H1185" s="2528">
        <v>3691062.2263000002</v>
      </c>
      <c r="I1185" s="2528"/>
      <c r="J1185" s="2528"/>
      <c r="K1185" s="2163"/>
      <c r="L1185" s="2528">
        <v>37095175.369999997</v>
      </c>
      <c r="M1185" s="2163"/>
    </row>
    <row r="1186" spans="1:15">
      <c r="A1186" s="2164"/>
      <c r="B1186" s="2164"/>
      <c r="C1186" s="2164"/>
      <c r="D1186" s="2164"/>
      <c r="E1186" s="2164"/>
      <c r="F1186" s="2164"/>
      <c r="G1186" s="2164"/>
      <c r="H1186" s="2528"/>
      <c r="I1186" s="2528"/>
      <c r="J1186" s="2528"/>
      <c r="K1186" s="2163"/>
      <c r="L1186" s="2528"/>
      <c r="M1186" s="2163"/>
    </row>
    <row r="1187" spans="1:15">
      <c r="A1187" s="2160" t="s">
        <v>2723</v>
      </c>
      <c r="B1187" s="2161"/>
      <c r="C1187" s="2160" t="s">
        <v>2724</v>
      </c>
      <c r="D1187" s="2161"/>
      <c r="E1187" s="2160" t="s">
        <v>2722</v>
      </c>
      <c r="F1187" s="2161"/>
    </row>
    <row r="1188" spans="1:15">
      <c r="A1188" s="2163"/>
      <c r="B1188" s="2163"/>
      <c r="C1188" s="2163"/>
      <c r="D1188" s="2163"/>
      <c r="E1188" s="2163"/>
      <c r="F1188" s="2163"/>
      <c r="G1188" s="2163"/>
      <c r="H1188" s="2163"/>
      <c r="I1188" s="2163"/>
      <c r="J1188" s="2163"/>
      <c r="K1188" s="2163"/>
      <c r="L1188" s="2163"/>
      <c r="M1188" s="2163"/>
    </row>
    <row r="1189" spans="1:15">
      <c r="A1189" s="2164"/>
      <c r="H1189" s="2522" t="s">
        <v>2637</v>
      </c>
      <c r="I1189" s="2522"/>
      <c r="J1189" s="2163"/>
      <c r="K1189" s="2528">
        <v>3636319.6217</v>
      </c>
      <c r="L1189" s="2528"/>
      <c r="M1189" s="2163"/>
      <c r="N1189" s="2527" t="s">
        <v>3106</v>
      </c>
      <c r="O1189" s="2163"/>
    </row>
    <row r="1190" spans="1:15">
      <c r="H1190" s="2163"/>
      <c r="I1190" s="2163"/>
      <c r="J1190" s="2163"/>
      <c r="K1190" s="2528"/>
      <c r="L1190" s="2528"/>
      <c r="N1190" s="2527"/>
    </row>
    <row r="1191" spans="1:15">
      <c r="A1191" s="2165">
        <v>54156</v>
      </c>
      <c r="B1191" s="2163"/>
      <c r="C1191" s="2524" t="s">
        <v>2875</v>
      </c>
      <c r="D1191" s="2524"/>
      <c r="E1191" s="2524"/>
      <c r="F1191" s="2524"/>
      <c r="G1191" s="2524"/>
      <c r="H1191" s="2524"/>
      <c r="I1191" s="2524"/>
      <c r="J1191" s="2163"/>
      <c r="K1191" s="2163"/>
      <c r="L1191" s="2163"/>
      <c r="M1191" s="2163"/>
    </row>
    <row r="1192" spans="1:15">
      <c r="A1192" s="2163"/>
      <c r="B1192" s="2163"/>
      <c r="C1192" s="2163"/>
      <c r="D1192" s="2163"/>
      <c r="E1192" s="2163"/>
      <c r="F1192" s="2163"/>
      <c r="G1192" s="2163"/>
      <c r="H1192" s="2163"/>
      <c r="I1192" s="2163"/>
      <c r="J1192" s="2163"/>
      <c r="K1192" s="2163"/>
      <c r="L1192" s="2163"/>
      <c r="M1192" s="2163"/>
    </row>
    <row r="1193" spans="1:15">
      <c r="A1193" s="2529"/>
      <c r="B1193" s="2529"/>
      <c r="C1193" s="2529"/>
      <c r="D1193" s="2166"/>
      <c r="E1193" s="2166"/>
      <c r="F1193" s="2166"/>
      <c r="G1193" s="2166"/>
      <c r="H1193" s="2525"/>
      <c r="I1193" s="2525"/>
      <c r="J1193" s="2525"/>
      <c r="K1193" s="2166"/>
      <c r="L1193" s="2167"/>
      <c r="M1193" s="2166"/>
    </row>
    <row r="1194" spans="1:15">
      <c r="A1194" s="2164"/>
      <c r="B1194" s="2164"/>
      <c r="C1194" s="2164"/>
      <c r="D1194" s="2164"/>
      <c r="E1194" s="2522" t="s">
        <v>2639</v>
      </c>
      <c r="F1194" s="2522"/>
      <c r="G1194" s="2164"/>
      <c r="H1194" s="2528">
        <v>3636319.6217</v>
      </c>
      <c r="I1194" s="2528"/>
      <c r="J1194" s="2528"/>
      <c r="K1194" s="2163"/>
      <c r="L1194" s="2528">
        <v>36545012.200000003</v>
      </c>
      <c r="M1194" s="2163"/>
    </row>
    <row r="1195" spans="1:15">
      <c r="A1195" s="2164"/>
      <c r="B1195" s="2164"/>
      <c r="C1195" s="2164"/>
      <c r="D1195" s="2164"/>
      <c r="E1195" s="2164"/>
      <c r="F1195" s="2164"/>
      <c r="G1195" s="2164"/>
      <c r="H1195" s="2528"/>
      <c r="I1195" s="2528"/>
      <c r="J1195" s="2528"/>
      <c r="K1195" s="2163"/>
      <c r="L1195" s="2528"/>
      <c r="M1195" s="2163"/>
    </row>
    <row r="1196" spans="1:15">
      <c r="A1196" s="2160" t="s">
        <v>2723</v>
      </c>
      <c r="B1196" s="2161"/>
      <c r="C1196" s="2160" t="s">
        <v>2724</v>
      </c>
      <c r="D1196" s="2161"/>
      <c r="E1196" s="2160" t="s">
        <v>2722</v>
      </c>
      <c r="F1196" s="2161"/>
    </row>
    <row r="1197" spans="1:15">
      <c r="A1197" s="2163"/>
      <c r="B1197" s="2163"/>
      <c r="C1197" s="2163"/>
      <c r="D1197" s="2163"/>
      <c r="E1197" s="2163"/>
      <c r="F1197" s="2163"/>
      <c r="G1197" s="2163"/>
      <c r="H1197" s="2163"/>
      <c r="I1197" s="2163"/>
      <c r="J1197" s="2163"/>
      <c r="K1197" s="2163"/>
      <c r="L1197" s="2163"/>
      <c r="M1197" s="2163"/>
    </row>
    <row r="1198" spans="1:15">
      <c r="A1198" s="2164"/>
      <c r="H1198" s="2522" t="s">
        <v>2637</v>
      </c>
      <c r="I1198" s="2522"/>
      <c r="J1198" s="2163"/>
      <c r="K1198" s="2523">
        <v>0</v>
      </c>
      <c r="L1198" s="2523"/>
      <c r="M1198" s="2163"/>
      <c r="N1198" s="2527"/>
      <c r="O1198" s="2163"/>
    </row>
    <row r="1199" spans="1:15">
      <c r="H1199" s="2163"/>
      <c r="I1199" s="2163"/>
      <c r="J1199" s="2163"/>
      <c r="K1199" s="2523"/>
      <c r="L1199" s="2523"/>
      <c r="N1199" s="2527"/>
    </row>
    <row r="1200" spans="1:15">
      <c r="A1200" s="2165">
        <v>54909</v>
      </c>
      <c r="B1200" s="2163"/>
      <c r="C1200" s="2524" t="s">
        <v>2858</v>
      </c>
      <c r="D1200" s="2524"/>
      <c r="E1200" s="2524"/>
      <c r="F1200" s="2524"/>
      <c r="G1200" s="2524"/>
      <c r="H1200" s="2524"/>
      <c r="I1200" s="2524"/>
      <c r="J1200" s="2163"/>
      <c r="K1200" s="2163"/>
      <c r="L1200" s="2163"/>
      <c r="M1200" s="2163"/>
    </row>
    <row r="1201" spans="1:15">
      <c r="A1201" s="2163"/>
      <c r="B1201" s="2163"/>
      <c r="C1201" s="2163"/>
      <c r="D1201" s="2163"/>
      <c r="E1201" s="2163"/>
      <c r="F1201" s="2163"/>
      <c r="G1201" s="2163"/>
      <c r="H1201" s="2163"/>
      <c r="I1201" s="2163"/>
      <c r="J1201" s="2163"/>
      <c r="K1201" s="2163"/>
      <c r="L1201" s="2163"/>
      <c r="M1201" s="2163"/>
    </row>
    <row r="1202" spans="1:15">
      <c r="A1202" s="2529"/>
      <c r="B1202" s="2529"/>
      <c r="C1202" s="2529"/>
      <c r="D1202" s="2166"/>
      <c r="E1202" s="2166"/>
      <c r="F1202" s="2166"/>
      <c r="G1202" s="2166"/>
      <c r="H1202" s="2525"/>
      <c r="I1202" s="2525"/>
      <c r="J1202" s="2525"/>
      <c r="K1202" s="2166"/>
      <c r="L1202" s="2167"/>
      <c r="M1202" s="2166"/>
    </row>
    <row r="1203" spans="1:15">
      <c r="A1203" s="2164"/>
      <c r="B1203" s="2164"/>
      <c r="C1203" s="2164"/>
      <c r="D1203" s="2164"/>
      <c r="E1203" s="2522" t="s">
        <v>2639</v>
      </c>
      <c r="F1203" s="2522"/>
      <c r="G1203" s="2164"/>
      <c r="H1203" s="2523">
        <v>0</v>
      </c>
      <c r="I1203" s="2523"/>
      <c r="J1203" s="2523"/>
      <c r="K1203" s="2163"/>
      <c r="L1203" s="2523">
        <v>0</v>
      </c>
      <c r="M1203" s="2163"/>
    </row>
    <row r="1204" spans="1:15">
      <c r="A1204" s="2164"/>
      <c r="B1204" s="2164"/>
      <c r="C1204" s="2164"/>
      <c r="D1204" s="2164"/>
      <c r="E1204" s="2164"/>
      <c r="F1204" s="2164"/>
      <c r="G1204" s="2164"/>
      <c r="H1204" s="2523"/>
      <c r="I1204" s="2523"/>
      <c r="J1204" s="2523"/>
      <c r="K1204" s="2163"/>
      <c r="L1204" s="2523"/>
      <c r="M1204" s="2163"/>
    </row>
    <row r="1205" spans="1:15">
      <c r="A1205" s="2160" t="s">
        <v>2723</v>
      </c>
      <c r="B1205" s="2161"/>
      <c r="C1205" s="2160" t="s">
        <v>2724</v>
      </c>
      <c r="D1205" s="2161"/>
      <c r="E1205" s="2160" t="s">
        <v>2722</v>
      </c>
      <c r="F1205" s="2161"/>
    </row>
    <row r="1206" spans="1:15">
      <c r="A1206" s="2163"/>
      <c r="B1206" s="2163"/>
      <c r="C1206" s="2163"/>
      <c r="D1206" s="2163"/>
      <c r="E1206" s="2163"/>
      <c r="F1206" s="2163"/>
      <c r="G1206" s="2163"/>
      <c r="H1206" s="2163"/>
      <c r="I1206" s="2163"/>
      <c r="J1206" s="2163"/>
      <c r="K1206" s="2163"/>
      <c r="L1206" s="2163"/>
      <c r="M1206" s="2163"/>
    </row>
    <row r="1207" spans="1:15">
      <c r="A1207" s="2164"/>
      <c r="H1207" s="2522" t="s">
        <v>2637</v>
      </c>
      <c r="I1207" s="2522"/>
      <c r="J1207" s="2163"/>
      <c r="K1207" s="2523">
        <v>7.85E-2</v>
      </c>
      <c r="L1207" s="2523"/>
      <c r="M1207" s="2163"/>
      <c r="N1207" s="2527">
        <v>1</v>
      </c>
      <c r="O1207" s="2163"/>
    </row>
    <row r="1208" spans="1:15">
      <c r="H1208" s="2163"/>
      <c r="I1208" s="2163"/>
      <c r="J1208" s="2163"/>
      <c r="K1208" s="2523"/>
      <c r="L1208" s="2523"/>
      <c r="N1208" s="2527"/>
    </row>
    <row r="1209" spans="1:15">
      <c r="A1209" s="2165">
        <v>54982</v>
      </c>
      <c r="B1209" s="2163"/>
      <c r="C1209" s="2524" t="s">
        <v>2859</v>
      </c>
      <c r="D1209" s="2524"/>
      <c r="E1209" s="2524"/>
      <c r="F1209" s="2524"/>
      <c r="G1209" s="2524"/>
      <c r="H1209" s="2524"/>
      <c r="I1209" s="2524"/>
      <c r="J1209" s="2163"/>
      <c r="K1209" s="2163"/>
      <c r="L1209" s="2163"/>
      <c r="M1209" s="2163"/>
    </row>
    <row r="1210" spans="1:15">
      <c r="A1210" s="2163"/>
      <c r="B1210" s="2163"/>
      <c r="C1210" s="2163"/>
      <c r="D1210" s="2163"/>
      <c r="E1210" s="2163"/>
      <c r="F1210" s="2163"/>
      <c r="G1210" s="2163"/>
      <c r="H1210" s="2163"/>
      <c r="I1210" s="2163"/>
      <c r="J1210" s="2163"/>
      <c r="K1210" s="2163"/>
      <c r="L1210" s="2163"/>
      <c r="M1210" s="2163"/>
    </row>
    <row r="1211" spans="1:15">
      <c r="A1211" s="2529"/>
      <c r="B1211" s="2529"/>
      <c r="C1211" s="2529"/>
      <c r="D1211" s="2166"/>
      <c r="E1211" s="2166"/>
      <c r="F1211" s="2166"/>
      <c r="G1211" s="2166"/>
      <c r="H1211" s="2525"/>
      <c r="I1211" s="2525"/>
      <c r="J1211" s="2525"/>
      <c r="K1211" s="2166"/>
      <c r="L1211" s="2167"/>
      <c r="M1211" s="2166"/>
    </row>
    <row r="1212" spans="1:15">
      <c r="A1212" s="2164"/>
      <c r="B1212" s="2164"/>
      <c r="C1212" s="2164"/>
      <c r="D1212" s="2164"/>
      <c r="E1212" s="2522" t="s">
        <v>2639</v>
      </c>
      <c r="F1212" s="2522"/>
      <c r="G1212" s="2164"/>
      <c r="H1212" s="2523">
        <v>7.85E-2</v>
      </c>
      <c r="I1212" s="2523"/>
      <c r="J1212" s="2523"/>
      <c r="K1212" s="2163"/>
      <c r="L1212" s="2523">
        <v>0.79</v>
      </c>
      <c r="M1212" s="2163"/>
    </row>
    <row r="1213" spans="1:15">
      <c r="A1213" s="2164"/>
      <c r="B1213" s="2164"/>
      <c r="C1213" s="2164"/>
      <c r="D1213" s="2164"/>
      <c r="E1213" s="2164"/>
      <c r="F1213" s="2164"/>
      <c r="G1213" s="2164"/>
      <c r="H1213" s="2523"/>
      <c r="I1213" s="2523"/>
      <c r="J1213" s="2523"/>
      <c r="K1213" s="2163"/>
      <c r="L1213" s="2523"/>
      <c r="M1213" s="2163"/>
    </row>
    <row r="1214" spans="1:15">
      <c r="A1214" s="2160" t="s">
        <v>2723</v>
      </c>
      <c r="B1214" s="2161"/>
      <c r="C1214" s="2160" t="s">
        <v>2724</v>
      </c>
      <c r="D1214" s="2161"/>
      <c r="E1214" s="2160" t="s">
        <v>2722</v>
      </c>
      <c r="F1214" s="2161"/>
    </row>
    <row r="1215" spans="1:15">
      <c r="A1215" s="2163"/>
      <c r="B1215" s="2163"/>
      <c r="C1215" s="2163"/>
      <c r="D1215" s="2163"/>
      <c r="E1215" s="2163"/>
      <c r="F1215" s="2163"/>
      <c r="G1215" s="2163"/>
      <c r="H1215" s="2163"/>
      <c r="I1215" s="2163"/>
      <c r="J1215" s="2163"/>
      <c r="K1215" s="2163"/>
      <c r="L1215" s="2163"/>
      <c r="M1215" s="2163"/>
    </row>
    <row r="1216" spans="1:15">
      <c r="A1216" s="2164"/>
      <c r="H1216" s="2522" t="s">
        <v>2637</v>
      </c>
      <c r="I1216" s="2522"/>
      <c r="J1216" s="2163"/>
      <c r="K1216" s="2523">
        <v>0</v>
      </c>
      <c r="L1216" s="2523"/>
      <c r="M1216" s="2163"/>
      <c r="N1216" s="2527"/>
      <c r="O1216" s="2163"/>
    </row>
    <row r="1217" spans="1:15">
      <c r="H1217" s="2163"/>
      <c r="I1217" s="2163"/>
      <c r="J1217" s="2163"/>
      <c r="K1217" s="2523"/>
      <c r="L1217" s="2523"/>
      <c r="N1217" s="2527"/>
    </row>
    <row r="1218" spans="1:15">
      <c r="A1218" s="2165">
        <v>55049</v>
      </c>
      <c r="B1218" s="2163"/>
      <c r="C1218" s="2524" t="s">
        <v>2860</v>
      </c>
      <c r="D1218" s="2524"/>
      <c r="E1218" s="2524"/>
      <c r="F1218" s="2524"/>
      <c r="G1218" s="2524"/>
      <c r="H1218" s="2524"/>
      <c r="I1218" s="2524"/>
      <c r="J1218" s="2163"/>
      <c r="K1218" s="2163"/>
      <c r="L1218" s="2163"/>
      <c r="M1218" s="2163"/>
    </row>
    <row r="1219" spans="1:15">
      <c r="A1219" s="2163"/>
      <c r="B1219" s="2163"/>
      <c r="C1219" s="2163"/>
      <c r="D1219" s="2163"/>
      <c r="E1219" s="2163"/>
      <c r="F1219" s="2163"/>
      <c r="G1219" s="2163"/>
      <c r="H1219" s="2163"/>
      <c r="I1219" s="2163"/>
      <c r="J1219" s="2163"/>
      <c r="K1219" s="2163"/>
      <c r="L1219" s="2163"/>
      <c r="M1219" s="2163"/>
    </row>
    <row r="1220" spans="1:15">
      <c r="A1220" s="2529"/>
      <c r="B1220" s="2529"/>
      <c r="C1220" s="2529"/>
      <c r="D1220" s="2166"/>
      <c r="E1220" s="2166"/>
      <c r="F1220" s="2166"/>
      <c r="G1220" s="2166"/>
      <c r="H1220" s="2525"/>
      <c r="I1220" s="2525"/>
      <c r="J1220" s="2525"/>
      <c r="K1220" s="2166"/>
      <c r="L1220" s="2167"/>
      <c r="M1220" s="2166"/>
    </row>
    <row r="1221" spans="1:15">
      <c r="A1221" s="2164"/>
      <c r="B1221" s="2164"/>
      <c r="C1221" s="2164"/>
      <c r="D1221" s="2164"/>
      <c r="E1221" s="2522" t="s">
        <v>2639</v>
      </c>
      <c r="F1221" s="2522"/>
      <c r="G1221" s="2164"/>
      <c r="H1221" s="2523">
        <v>0</v>
      </c>
      <c r="I1221" s="2523"/>
      <c r="J1221" s="2523"/>
      <c r="K1221" s="2163"/>
      <c r="L1221" s="2523">
        <v>0</v>
      </c>
      <c r="M1221" s="2163"/>
    </row>
    <row r="1222" spans="1:15">
      <c r="A1222" s="2164"/>
      <c r="B1222" s="2164"/>
      <c r="C1222" s="2164"/>
      <c r="D1222" s="2164"/>
      <c r="E1222" s="2164"/>
      <c r="F1222" s="2164"/>
      <c r="G1222" s="2164"/>
      <c r="H1222" s="2523"/>
      <c r="I1222" s="2523"/>
      <c r="J1222" s="2523"/>
      <c r="K1222" s="2163"/>
      <c r="L1222" s="2523"/>
      <c r="M1222" s="2163"/>
    </row>
    <row r="1223" spans="1:15">
      <c r="A1223" s="2160" t="s">
        <v>2723</v>
      </c>
      <c r="B1223" s="2161"/>
      <c r="C1223" s="2160" t="s">
        <v>2724</v>
      </c>
      <c r="D1223" s="2161"/>
      <c r="E1223" s="2160" t="s">
        <v>2722</v>
      </c>
      <c r="F1223" s="2161"/>
    </row>
    <row r="1224" spans="1:15">
      <c r="A1224" s="2163"/>
      <c r="B1224" s="2163"/>
      <c r="C1224" s="2163"/>
      <c r="D1224" s="2163"/>
      <c r="E1224" s="2163"/>
      <c r="F1224" s="2163"/>
      <c r="G1224" s="2163"/>
      <c r="H1224" s="2163"/>
      <c r="I1224" s="2163"/>
      <c r="J1224" s="2163"/>
      <c r="K1224" s="2163"/>
      <c r="L1224" s="2163"/>
      <c r="M1224" s="2163"/>
    </row>
    <row r="1225" spans="1:15">
      <c r="A1225" s="2164"/>
      <c r="H1225" s="2522" t="s">
        <v>2637</v>
      </c>
      <c r="I1225" s="2522"/>
      <c r="J1225" s="2163"/>
      <c r="K1225" s="2523">
        <v>0</v>
      </c>
      <c r="L1225" s="2523"/>
      <c r="M1225" s="2163"/>
      <c r="N1225" s="2527"/>
      <c r="O1225" s="2163"/>
    </row>
    <row r="1226" spans="1:15">
      <c r="H1226" s="2163"/>
      <c r="I1226" s="2163"/>
      <c r="J1226" s="2163"/>
      <c r="K1226" s="2523"/>
      <c r="L1226" s="2523"/>
      <c r="N1226" s="2527"/>
    </row>
    <row r="1227" spans="1:15">
      <c r="A1227" s="2165">
        <v>62002</v>
      </c>
      <c r="B1227" s="2163"/>
      <c r="C1227" s="2524" t="s">
        <v>2862</v>
      </c>
      <c r="D1227" s="2524"/>
      <c r="E1227" s="2524"/>
      <c r="F1227" s="2524"/>
      <c r="G1227" s="2524"/>
      <c r="H1227" s="2524"/>
      <c r="I1227" s="2524"/>
      <c r="J1227" s="2163"/>
      <c r="K1227" s="2163"/>
      <c r="L1227" s="2163"/>
      <c r="M1227" s="2163"/>
    </row>
    <row r="1228" spans="1:15">
      <c r="A1228" s="2163"/>
      <c r="B1228" s="2163"/>
      <c r="C1228" s="2163"/>
      <c r="D1228" s="2163"/>
      <c r="E1228" s="2163"/>
      <c r="F1228" s="2163"/>
      <c r="G1228" s="2163"/>
      <c r="H1228" s="2163"/>
      <c r="I1228" s="2163"/>
      <c r="J1228" s="2163"/>
      <c r="K1228" s="2163"/>
      <c r="L1228" s="2163"/>
      <c r="M1228" s="2163"/>
    </row>
    <row r="1229" spans="1:15">
      <c r="A1229" s="2529"/>
      <c r="B1229" s="2529"/>
      <c r="C1229" s="2529"/>
      <c r="D1229" s="2166"/>
      <c r="E1229" s="2166"/>
      <c r="F1229" s="2166"/>
      <c r="G1229" s="2166"/>
      <c r="H1229" s="2525"/>
      <c r="I1229" s="2525"/>
      <c r="J1229" s="2525"/>
      <c r="K1229" s="2166"/>
      <c r="L1229" s="2167"/>
      <c r="M1229" s="2166"/>
    </row>
    <row r="1230" spans="1:15">
      <c r="A1230" s="2164"/>
      <c r="B1230" s="2164"/>
      <c r="C1230" s="2164"/>
      <c r="D1230" s="2164"/>
      <c r="E1230" s="2522" t="s">
        <v>2639</v>
      </c>
      <c r="F1230" s="2522"/>
      <c r="G1230" s="2164"/>
      <c r="H1230" s="2523">
        <v>0</v>
      </c>
      <c r="I1230" s="2523"/>
      <c r="J1230" s="2523"/>
      <c r="K1230" s="2163"/>
      <c r="L1230" s="2523">
        <v>0</v>
      </c>
      <c r="M1230" s="2163"/>
    </row>
    <row r="1231" spans="1:15">
      <c r="A1231" s="2164"/>
      <c r="B1231" s="2164"/>
      <c r="C1231" s="2164"/>
      <c r="D1231" s="2164"/>
      <c r="E1231" s="2164"/>
      <c r="F1231" s="2164"/>
      <c r="G1231" s="2164"/>
      <c r="H1231" s="2523"/>
      <c r="I1231" s="2523"/>
      <c r="J1231" s="2523"/>
      <c r="K1231" s="2163"/>
      <c r="L1231" s="2523"/>
      <c r="M1231" s="2163"/>
    </row>
    <row r="1232" spans="1:15">
      <c r="A1232" s="2160" t="s">
        <v>2723</v>
      </c>
      <c r="B1232" s="2161"/>
      <c r="C1232" s="2160" t="s">
        <v>2724</v>
      </c>
      <c r="D1232" s="2161"/>
      <c r="E1232" s="2160" t="s">
        <v>2722</v>
      </c>
      <c r="F1232" s="2161"/>
    </row>
    <row r="1233" spans="1:15">
      <c r="A1233" s="2163"/>
      <c r="B1233" s="2163"/>
      <c r="C1233" s="2163"/>
      <c r="D1233" s="2163"/>
      <c r="E1233" s="2163"/>
      <c r="F1233" s="2163"/>
      <c r="G1233" s="2163"/>
      <c r="H1233" s="2163"/>
      <c r="I1233" s="2163"/>
      <c r="J1233" s="2163"/>
      <c r="K1233" s="2163"/>
      <c r="L1233" s="2163"/>
      <c r="M1233" s="2163"/>
    </row>
    <row r="1234" spans="1:15">
      <c r="A1234" s="2164"/>
      <c r="H1234" s="2522" t="s">
        <v>2637</v>
      </c>
      <c r="I1234" s="2522"/>
      <c r="J1234" s="2163"/>
      <c r="K1234" s="2523">
        <v>1E-4</v>
      </c>
      <c r="L1234" s="2523"/>
      <c r="M1234" s="2163"/>
      <c r="N1234" s="2527"/>
      <c r="O1234" s="2163"/>
    </row>
    <row r="1235" spans="1:15">
      <c r="H1235" s="2163"/>
      <c r="I1235" s="2163"/>
      <c r="J1235" s="2163"/>
      <c r="K1235" s="2523"/>
      <c r="L1235" s="2523"/>
      <c r="N1235" s="2527"/>
    </row>
    <row r="1236" spans="1:15">
      <c r="A1236" s="2165">
        <v>63906</v>
      </c>
      <c r="B1236" s="2163"/>
      <c r="C1236" s="2524" t="s">
        <v>2863</v>
      </c>
      <c r="D1236" s="2524"/>
      <c r="E1236" s="2524"/>
      <c r="F1236" s="2524"/>
      <c r="G1236" s="2524"/>
      <c r="H1236" s="2524"/>
      <c r="I1236" s="2524"/>
      <c r="J1236" s="2163"/>
      <c r="K1236" s="2163"/>
      <c r="L1236" s="2163"/>
      <c r="M1236" s="2163"/>
    </row>
    <row r="1237" spans="1:15">
      <c r="A1237" s="2163"/>
      <c r="B1237" s="2163"/>
      <c r="C1237" s="2163"/>
      <c r="D1237" s="2163"/>
      <c r="E1237" s="2163"/>
      <c r="F1237" s="2163"/>
      <c r="G1237" s="2163"/>
      <c r="H1237" s="2163"/>
      <c r="I1237" s="2163"/>
      <c r="J1237" s="2163"/>
      <c r="K1237" s="2163"/>
      <c r="L1237" s="2163"/>
      <c r="M1237" s="2163"/>
    </row>
    <row r="1238" spans="1:15">
      <c r="A1238" s="2529"/>
      <c r="B1238" s="2529"/>
      <c r="C1238" s="2529"/>
      <c r="D1238" s="2166"/>
      <c r="E1238" s="2166"/>
      <c r="F1238" s="2166"/>
      <c r="G1238" s="2166"/>
      <c r="H1238" s="2525"/>
      <c r="I1238" s="2525"/>
      <c r="J1238" s="2525"/>
      <c r="K1238" s="2166"/>
      <c r="L1238" s="2167"/>
      <c r="M1238" s="2166"/>
    </row>
    <row r="1239" spans="1:15">
      <c r="A1239" s="2164"/>
      <c r="B1239" s="2164"/>
      <c r="C1239" s="2164"/>
      <c r="D1239" s="2164"/>
      <c r="E1239" s="2522" t="s">
        <v>2639</v>
      </c>
      <c r="F1239" s="2522"/>
      <c r="G1239" s="2164"/>
      <c r="H1239" s="2523">
        <v>1E-4</v>
      </c>
      <c r="I1239" s="2523"/>
      <c r="J1239" s="2523"/>
      <c r="K1239" s="2163"/>
      <c r="L1239" s="2523">
        <v>0</v>
      </c>
      <c r="M1239" s="2163"/>
    </row>
    <row r="1240" spans="1:15">
      <c r="A1240" s="2164"/>
      <c r="B1240" s="2164"/>
      <c r="C1240" s="2164"/>
      <c r="D1240" s="2164"/>
      <c r="E1240" s="2164"/>
      <c r="F1240" s="2164"/>
      <c r="G1240" s="2164"/>
      <c r="H1240" s="2523"/>
      <c r="I1240" s="2523"/>
      <c r="J1240" s="2523"/>
      <c r="K1240" s="2163"/>
      <c r="L1240" s="2523"/>
      <c r="M1240" s="2163"/>
    </row>
    <row r="1241" spans="1:15">
      <c r="A1241" s="2160" t="s">
        <v>2723</v>
      </c>
      <c r="B1241" s="2161"/>
      <c r="C1241" s="2160" t="s">
        <v>2724</v>
      </c>
      <c r="D1241" s="2161"/>
      <c r="E1241" s="2160" t="s">
        <v>2722</v>
      </c>
      <c r="F1241" s="2161"/>
    </row>
    <row r="1242" spans="1:15">
      <c r="A1242" s="2163"/>
      <c r="B1242" s="2163"/>
      <c r="C1242" s="2163"/>
      <c r="D1242" s="2163"/>
      <c r="E1242" s="2163"/>
      <c r="F1242" s="2163"/>
      <c r="G1242" s="2163"/>
      <c r="H1242" s="2163"/>
      <c r="I1242" s="2163"/>
      <c r="J1242" s="2163"/>
      <c r="K1242" s="2163"/>
      <c r="L1242" s="2163"/>
      <c r="M1242" s="2163"/>
    </row>
    <row r="1243" spans="1:15">
      <c r="A1243" s="2164"/>
      <c r="H1243" s="2522" t="s">
        <v>2637</v>
      </c>
      <c r="I1243" s="2522"/>
      <c r="J1243" s="2163"/>
      <c r="K1243" s="2528">
        <v>3766200.4541000002</v>
      </c>
      <c r="L1243" s="2528"/>
      <c r="M1243" s="2163"/>
      <c r="N1243" s="2527" t="s">
        <v>3107</v>
      </c>
      <c r="O1243" s="2163"/>
    </row>
    <row r="1244" spans="1:15">
      <c r="H1244" s="2163"/>
      <c r="I1244" s="2163"/>
      <c r="J1244" s="2163"/>
      <c r="K1244" s="2528"/>
      <c r="L1244" s="2528"/>
      <c r="N1244" s="2527"/>
    </row>
    <row r="1245" spans="1:15">
      <c r="A1245" s="2165">
        <v>67892</v>
      </c>
      <c r="B1245" s="2163"/>
      <c r="C1245" s="2524" t="s">
        <v>2865</v>
      </c>
      <c r="D1245" s="2524"/>
      <c r="E1245" s="2524"/>
      <c r="F1245" s="2524"/>
      <c r="G1245" s="2524"/>
      <c r="H1245" s="2524"/>
      <c r="I1245" s="2524"/>
      <c r="J1245" s="2163"/>
      <c r="K1245" s="2163"/>
      <c r="L1245" s="2163"/>
      <c r="M1245" s="2163"/>
    </row>
    <row r="1246" spans="1:15">
      <c r="A1246" s="2163"/>
      <c r="B1246" s="2163"/>
      <c r="C1246" s="2163"/>
      <c r="D1246" s="2163"/>
      <c r="E1246" s="2163"/>
      <c r="F1246" s="2163"/>
      <c r="G1246" s="2163"/>
      <c r="H1246" s="2163"/>
      <c r="I1246" s="2163"/>
      <c r="J1246" s="2163"/>
      <c r="K1246" s="2163"/>
      <c r="L1246" s="2163"/>
      <c r="M1246" s="2163"/>
    </row>
    <row r="1247" spans="1:15">
      <c r="A1247" s="2520" t="s">
        <v>2647</v>
      </c>
      <c r="B1247" s="2520"/>
      <c r="C1247" s="2520"/>
      <c r="D1247" s="2166"/>
      <c r="E1247" s="2166"/>
      <c r="F1247" s="2166"/>
      <c r="G1247" s="2166"/>
      <c r="H1247" s="2526">
        <v>2205609.7689999999</v>
      </c>
      <c r="I1247" s="2526"/>
      <c r="J1247" s="2526"/>
      <c r="K1247" s="2166"/>
      <c r="L1247" s="2168">
        <v>22620829</v>
      </c>
      <c r="M1247" s="2166"/>
    </row>
    <row r="1248" spans="1:15">
      <c r="A1248" s="2520" t="s">
        <v>2648</v>
      </c>
      <c r="B1248" s="2520"/>
      <c r="C1248" s="2520"/>
      <c r="D1248" s="2166"/>
      <c r="E1248" s="2166"/>
      <c r="F1248" s="2166"/>
      <c r="G1248" s="2166"/>
      <c r="H1248" s="2526">
        <v>-1370708.568</v>
      </c>
      <c r="I1248" s="2526"/>
      <c r="J1248" s="2526"/>
      <c r="K1248" s="2166"/>
      <c r="L1248" s="2168">
        <v>-12851742</v>
      </c>
      <c r="M1248" s="2166"/>
    </row>
    <row r="1249" spans="1:15">
      <c r="A1249" s="2520" t="s">
        <v>2679</v>
      </c>
      <c r="B1249" s="2520"/>
      <c r="C1249" s="2520"/>
      <c r="D1249" s="2166"/>
      <c r="E1249" s="2166"/>
      <c r="F1249" s="2166"/>
      <c r="G1249" s="2166"/>
      <c r="H1249" s="2526">
        <v>-52798.31</v>
      </c>
      <c r="I1249" s="2526"/>
      <c r="J1249" s="2526"/>
      <c r="K1249" s="2166"/>
      <c r="L1249" s="2168">
        <v>-500000</v>
      </c>
      <c r="M1249" s="2166"/>
    </row>
    <row r="1250" spans="1:15">
      <c r="A1250" s="2520" t="s">
        <v>2649</v>
      </c>
      <c r="B1250" s="2520"/>
      <c r="C1250" s="2520"/>
      <c r="D1250" s="2166"/>
      <c r="E1250" s="2166"/>
      <c r="F1250" s="2166"/>
      <c r="G1250" s="2166"/>
      <c r="H1250" s="2526">
        <v>23734.187999999998</v>
      </c>
      <c r="I1250" s="2526"/>
      <c r="J1250" s="2526"/>
      <c r="K1250" s="2166"/>
      <c r="L1250" s="2168">
        <v>247547.58</v>
      </c>
      <c r="M1250" s="2166"/>
    </row>
    <row r="1251" spans="1:15">
      <c r="A1251" s="2164"/>
      <c r="B1251" s="2164"/>
      <c r="C1251" s="2164"/>
      <c r="D1251" s="2164"/>
      <c r="E1251" s="2522" t="s">
        <v>2639</v>
      </c>
      <c r="F1251" s="2522"/>
      <c r="G1251" s="2164"/>
      <c r="H1251" s="2528">
        <v>4572037.5325999996</v>
      </c>
      <c r="I1251" s="2528"/>
      <c r="J1251" s="2528"/>
      <c r="K1251" s="2163"/>
      <c r="L1251" s="2528">
        <v>45948977.200000003</v>
      </c>
      <c r="M1251" s="2163"/>
    </row>
    <row r="1252" spans="1:15">
      <c r="A1252" s="2164"/>
      <c r="B1252" s="2164"/>
      <c r="C1252" s="2164"/>
      <c r="D1252" s="2164"/>
      <c r="E1252" s="2164"/>
      <c r="F1252" s="2164"/>
      <c r="G1252" s="2164"/>
      <c r="H1252" s="2528"/>
      <c r="I1252" s="2528"/>
      <c r="J1252" s="2528"/>
      <c r="K1252" s="2163"/>
      <c r="L1252" s="2528"/>
      <c r="M1252" s="2163"/>
    </row>
    <row r="1253" spans="1:15">
      <c r="A1253" s="2160" t="s">
        <v>2723</v>
      </c>
      <c r="B1253" s="2161"/>
      <c r="C1253" s="2160" t="s">
        <v>2724</v>
      </c>
      <c r="D1253" s="2161"/>
      <c r="E1253" s="2160" t="s">
        <v>2722</v>
      </c>
      <c r="F1253" s="2161"/>
    </row>
    <row r="1254" spans="1:15">
      <c r="A1254" s="2163"/>
      <c r="B1254" s="2163"/>
      <c r="C1254" s="2163"/>
      <c r="D1254" s="2163"/>
      <c r="E1254" s="2163"/>
      <c r="F1254" s="2163"/>
      <c r="G1254" s="2163"/>
      <c r="H1254" s="2163"/>
      <c r="I1254" s="2163"/>
      <c r="J1254" s="2163"/>
      <c r="K1254" s="2163"/>
      <c r="L1254" s="2163"/>
      <c r="M1254" s="2163"/>
    </row>
    <row r="1255" spans="1:15">
      <c r="A1255" s="2164"/>
      <c r="H1255" s="2522" t="s">
        <v>2637</v>
      </c>
      <c r="I1255" s="2522"/>
      <c r="J1255" s="2163"/>
      <c r="K1255" s="2523">
        <v>0</v>
      </c>
      <c r="L1255" s="2523"/>
      <c r="M1255" s="2163"/>
      <c r="N1255" s="2527"/>
      <c r="O1255" s="2163"/>
    </row>
    <row r="1256" spans="1:15">
      <c r="H1256" s="2163"/>
      <c r="I1256" s="2163"/>
      <c r="J1256" s="2163"/>
      <c r="K1256" s="2523"/>
      <c r="L1256" s="2523"/>
      <c r="N1256" s="2527"/>
    </row>
    <row r="1257" spans="1:15">
      <c r="A1257" s="2165">
        <v>69521</v>
      </c>
      <c r="B1257" s="2163"/>
      <c r="C1257" s="2524" t="s">
        <v>2868</v>
      </c>
      <c r="D1257" s="2524"/>
      <c r="E1257" s="2524"/>
      <c r="F1257" s="2524"/>
      <c r="G1257" s="2524"/>
      <c r="H1257" s="2524"/>
      <c r="I1257" s="2524"/>
      <c r="J1257" s="2163"/>
      <c r="K1257" s="2163"/>
      <c r="L1257" s="2163"/>
      <c r="M1257" s="2163"/>
    </row>
    <row r="1258" spans="1:15">
      <c r="A1258" s="2163"/>
      <c r="B1258" s="2163"/>
      <c r="C1258" s="2163"/>
      <c r="D1258" s="2163"/>
      <c r="E1258" s="2163"/>
      <c r="F1258" s="2163"/>
      <c r="G1258" s="2163"/>
      <c r="H1258" s="2163"/>
      <c r="I1258" s="2163"/>
      <c r="J1258" s="2163"/>
      <c r="K1258" s="2163"/>
      <c r="L1258" s="2163"/>
      <c r="M1258" s="2163"/>
    </row>
    <row r="1259" spans="1:15">
      <c r="A1259" s="2520" t="s">
        <v>2648</v>
      </c>
      <c r="B1259" s="2520"/>
      <c r="C1259" s="2520"/>
      <c r="D1259" s="2166"/>
      <c r="E1259" s="2166"/>
      <c r="F1259" s="2166"/>
      <c r="G1259" s="2166"/>
      <c r="H1259" s="2526">
        <v>-1599.904</v>
      </c>
      <c r="I1259" s="2526"/>
      <c r="J1259" s="2526"/>
      <c r="K1259" s="2166"/>
      <c r="L1259" s="2168">
        <v>-16351.02</v>
      </c>
      <c r="M1259" s="2166"/>
    </row>
    <row r="1260" spans="1:15">
      <c r="A1260" s="2520" t="s">
        <v>2649</v>
      </c>
      <c r="B1260" s="2520"/>
      <c r="C1260" s="2520"/>
      <c r="D1260" s="2166"/>
      <c r="E1260" s="2166"/>
      <c r="F1260" s="2166"/>
      <c r="G1260" s="2166"/>
      <c r="H1260" s="2526">
        <v>1599.904</v>
      </c>
      <c r="I1260" s="2526"/>
      <c r="J1260" s="2526"/>
      <c r="K1260" s="2166"/>
      <c r="L1260" s="2168">
        <v>16687</v>
      </c>
      <c r="M1260" s="2166"/>
    </row>
    <row r="1261" spans="1:15">
      <c r="A1261" s="2164"/>
      <c r="B1261" s="2164"/>
      <c r="C1261" s="2164"/>
      <c r="D1261" s="2164"/>
      <c r="E1261" s="2522" t="s">
        <v>2639</v>
      </c>
      <c r="F1261" s="2522"/>
      <c r="G1261" s="2164"/>
      <c r="H1261" s="2523">
        <v>0</v>
      </c>
      <c r="I1261" s="2523"/>
      <c r="J1261" s="2523"/>
      <c r="K1261" s="2163"/>
      <c r="L1261" s="2523">
        <v>0</v>
      </c>
      <c r="M1261" s="2163"/>
    </row>
    <row r="1262" spans="1:15">
      <c r="A1262" s="2164"/>
      <c r="B1262" s="2164"/>
      <c r="C1262" s="2164"/>
      <c r="D1262" s="2164"/>
      <c r="E1262" s="2164"/>
      <c r="F1262" s="2164"/>
      <c r="G1262" s="2164"/>
      <c r="H1262" s="2523"/>
      <c r="I1262" s="2523"/>
      <c r="J1262" s="2523"/>
      <c r="K1262" s="2163"/>
      <c r="L1262" s="2523"/>
      <c r="M1262" s="2163"/>
    </row>
    <row r="1263" spans="1:15">
      <c r="A1263" s="2160" t="s">
        <v>2723</v>
      </c>
      <c r="B1263" s="2161"/>
      <c r="C1263" s="2160" t="s">
        <v>2724</v>
      </c>
      <c r="D1263" s="2161"/>
      <c r="E1263" s="2160" t="s">
        <v>2722</v>
      </c>
      <c r="F1263" s="2161"/>
    </row>
    <row r="1264" spans="1:15">
      <c r="A1264" s="2163"/>
      <c r="B1264" s="2163"/>
      <c r="C1264" s="2163"/>
      <c r="D1264" s="2163"/>
      <c r="E1264" s="2163"/>
      <c r="F1264" s="2163"/>
      <c r="G1264" s="2163"/>
      <c r="H1264" s="2163"/>
      <c r="I1264" s="2163"/>
      <c r="J1264" s="2163"/>
      <c r="K1264" s="2163"/>
      <c r="L1264" s="2163"/>
      <c r="M1264" s="2163"/>
    </row>
    <row r="1265" spans="1:15">
      <c r="A1265" s="2164"/>
      <c r="H1265" s="2522" t="s">
        <v>2637</v>
      </c>
      <c r="I1265" s="2522"/>
      <c r="J1265" s="2163"/>
      <c r="K1265" s="2528">
        <v>1716569.4849</v>
      </c>
      <c r="L1265" s="2528"/>
      <c r="M1265" s="2163"/>
      <c r="N1265" s="2527" t="s">
        <v>3108</v>
      </c>
      <c r="O1265" s="2163"/>
    </row>
    <row r="1266" spans="1:15">
      <c r="H1266" s="2163"/>
      <c r="I1266" s="2163"/>
      <c r="J1266" s="2163"/>
      <c r="K1266" s="2528"/>
      <c r="L1266" s="2528"/>
      <c r="N1266" s="2527"/>
    </row>
    <row r="1267" spans="1:15">
      <c r="A1267" s="2165">
        <v>69742</v>
      </c>
      <c r="B1267" s="2163"/>
      <c r="C1267" s="2524" t="s">
        <v>2876</v>
      </c>
      <c r="D1267" s="2524"/>
      <c r="E1267" s="2524"/>
      <c r="F1267" s="2524"/>
      <c r="G1267" s="2524"/>
      <c r="H1267" s="2524"/>
      <c r="I1267" s="2524"/>
      <c r="J1267" s="2163"/>
      <c r="K1267" s="2163"/>
      <c r="L1267" s="2163"/>
      <c r="M1267" s="2163"/>
    </row>
    <row r="1268" spans="1:15">
      <c r="A1268" s="2163"/>
      <c r="B1268" s="2163"/>
      <c r="C1268" s="2163"/>
      <c r="D1268" s="2163"/>
      <c r="E1268" s="2163"/>
      <c r="F1268" s="2163"/>
      <c r="G1268" s="2163"/>
      <c r="H1268" s="2163"/>
      <c r="I1268" s="2163"/>
      <c r="J1268" s="2163"/>
      <c r="K1268" s="2163"/>
      <c r="L1268" s="2163"/>
      <c r="M1268" s="2163"/>
    </row>
    <row r="1269" spans="1:15">
      <c r="A1269" s="2520" t="s">
        <v>2647</v>
      </c>
      <c r="B1269" s="2520"/>
      <c r="C1269" s="2520"/>
      <c r="D1269" s="2166"/>
      <c r="E1269" s="2166"/>
      <c r="F1269" s="2166"/>
      <c r="G1269" s="2166"/>
      <c r="H1269" s="2526">
        <v>1877838.4750000001</v>
      </c>
      <c r="I1269" s="2526"/>
      <c r="J1269" s="2526"/>
      <c r="K1269" s="2166"/>
      <c r="L1269" s="2168">
        <v>19484000</v>
      </c>
      <c r="M1269" s="2166"/>
    </row>
    <row r="1270" spans="1:15">
      <c r="A1270" s="2520" t="s">
        <v>2648</v>
      </c>
      <c r="B1270" s="2520"/>
      <c r="C1270" s="2520"/>
      <c r="D1270" s="2166"/>
      <c r="E1270" s="2166"/>
      <c r="F1270" s="2166"/>
      <c r="G1270" s="2166"/>
      <c r="H1270" s="2526">
        <v>-620070.29399999999</v>
      </c>
      <c r="I1270" s="2526"/>
      <c r="J1270" s="2526"/>
      <c r="K1270" s="2166"/>
      <c r="L1270" s="2168">
        <v>-5855247</v>
      </c>
      <c r="M1270" s="2166"/>
    </row>
    <row r="1271" spans="1:15">
      <c r="A1271" s="2520" t="s">
        <v>2649</v>
      </c>
      <c r="B1271" s="2520"/>
      <c r="C1271" s="2520"/>
      <c r="D1271" s="2166"/>
      <c r="E1271" s="2166"/>
      <c r="F1271" s="2166"/>
      <c r="G1271" s="2166"/>
      <c r="H1271" s="2526">
        <v>11670.184999999999</v>
      </c>
      <c r="I1271" s="2526"/>
      <c r="J1271" s="2526"/>
      <c r="K1271" s="2166"/>
      <c r="L1271" s="2168">
        <v>121720.03</v>
      </c>
      <c r="M1271" s="2166"/>
    </row>
    <row r="1272" spans="1:15">
      <c r="A1272" s="2164"/>
      <c r="B1272" s="2164"/>
      <c r="C1272" s="2164"/>
      <c r="D1272" s="2164"/>
      <c r="E1272" s="2522" t="s">
        <v>2639</v>
      </c>
      <c r="F1272" s="2522"/>
      <c r="G1272" s="2164"/>
      <c r="H1272" s="2528">
        <v>2986007.8508000001</v>
      </c>
      <c r="I1272" s="2528"/>
      <c r="J1272" s="2528"/>
      <c r="K1272" s="2163"/>
      <c r="L1272" s="2528">
        <v>30009378.899999999</v>
      </c>
      <c r="M1272" s="2163"/>
    </row>
    <row r="1273" spans="1:15">
      <c r="A1273" s="2164"/>
      <c r="B1273" s="2164"/>
      <c r="C1273" s="2164"/>
      <c r="D1273" s="2164"/>
      <c r="E1273" s="2164"/>
      <c r="F1273" s="2164"/>
      <c r="G1273" s="2164"/>
      <c r="H1273" s="2528"/>
      <c r="I1273" s="2528"/>
      <c r="J1273" s="2528"/>
      <c r="K1273" s="2163"/>
      <c r="L1273" s="2528"/>
      <c r="M1273" s="2163"/>
    </row>
    <row r="1274" spans="1:15">
      <c r="A1274" s="2160" t="s">
        <v>2723</v>
      </c>
      <c r="B1274" s="2161"/>
      <c r="C1274" s="2160" t="s">
        <v>2724</v>
      </c>
      <c r="D1274" s="2161"/>
      <c r="E1274" s="2160" t="s">
        <v>2722</v>
      </c>
      <c r="F1274" s="2161"/>
    </row>
    <row r="1275" spans="1:15">
      <c r="A1275" s="2163"/>
      <c r="B1275" s="2163"/>
      <c r="C1275" s="2163"/>
      <c r="D1275" s="2163"/>
      <c r="E1275" s="2163"/>
      <c r="F1275" s="2163"/>
      <c r="G1275" s="2163"/>
      <c r="H1275" s="2163"/>
      <c r="I1275" s="2163"/>
      <c r="J1275" s="2163"/>
      <c r="K1275" s="2163"/>
      <c r="L1275" s="2163"/>
      <c r="M1275" s="2163"/>
    </row>
    <row r="1276" spans="1:15">
      <c r="A1276" s="2164"/>
      <c r="H1276" s="2522" t="s">
        <v>2637</v>
      </c>
      <c r="I1276" s="2522"/>
      <c r="J1276" s="2163"/>
      <c r="K1276" s="2523">
        <v>0</v>
      </c>
      <c r="L1276" s="2523"/>
      <c r="M1276" s="2163"/>
      <c r="N1276" s="2527"/>
      <c r="O1276" s="2163"/>
    </row>
    <row r="1277" spans="1:15">
      <c r="H1277" s="2163"/>
      <c r="I1277" s="2163"/>
      <c r="J1277" s="2163"/>
      <c r="K1277" s="2523"/>
      <c r="L1277" s="2523"/>
      <c r="N1277" s="2527"/>
    </row>
    <row r="1278" spans="1:15">
      <c r="A1278" s="2165">
        <v>70568</v>
      </c>
      <c r="B1278" s="2163"/>
      <c r="C1278" s="2524" t="s">
        <v>2864</v>
      </c>
      <c r="D1278" s="2524"/>
      <c r="E1278" s="2524"/>
      <c r="F1278" s="2524"/>
      <c r="G1278" s="2524"/>
      <c r="H1278" s="2524"/>
      <c r="I1278" s="2524"/>
      <c r="J1278" s="2163"/>
      <c r="K1278" s="2163"/>
      <c r="L1278" s="2163"/>
      <c r="M1278" s="2163"/>
    </row>
    <row r="1279" spans="1:15">
      <c r="A1279" s="2163"/>
      <c r="B1279" s="2163"/>
      <c r="C1279" s="2163"/>
      <c r="D1279" s="2163"/>
      <c r="E1279" s="2163"/>
      <c r="F1279" s="2163"/>
      <c r="G1279" s="2163"/>
      <c r="H1279" s="2163"/>
      <c r="I1279" s="2163"/>
      <c r="J1279" s="2163"/>
      <c r="K1279" s="2163"/>
      <c r="L1279" s="2163"/>
      <c r="M1279" s="2163"/>
    </row>
    <row r="1280" spans="1:15">
      <c r="A1280" s="2520" t="s">
        <v>2647</v>
      </c>
      <c r="B1280" s="2520"/>
      <c r="C1280" s="2520"/>
      <c r="D1280" s="2166"/>
      <c r="E1280" s="2166"/>
      <c r="F1280" s="2166"/>
      <c r="G1280" s="2166"/>
      <c r="H1280" s="2526">
        <v>149468.08900000001</v>
      </c>
      <c r="I1280" s="2526"/>
      <c r="J1280" s="2526"/>
      <c r="K1280" s="2166"/>
      <c r="L1280" s="2168">
        <v>1498441</v>
      </c>
      <c r="M1280" s="2166"/>
    </row>
    <row r="1281" spans="1:15">
      <c r="A1281" s="2520" t="s">
        <v>2649</v>
      </c>
      <c r="B1281" s="2520"/>
      <c r="C1281" s="2520"/>
      <c r="D1281" s="2166"/>
      <c r="E1281" s="2166"/>
      <c r="F1281" s="2166"/>
      <c r="G1281" s="2166"/>
      <c r="H1281" s="2525">
        <v>430.58499999999998</v>
      </c>
      <c r="I1281" s="2525"/>
      <c r="J1281" s="2525"/>
      <c r="K1281" s="2166"/>
      <c r="L1281" s="2168">
        <v>4491</v>
      </c>
      <c r="M1281" s="2166"/>
    </row>
    <row r="1282" spans="1:15">
      <c r="A1282" s="2164"/>
      <c r="B1282" s="2164"/>
      <c r="C1282" s="2164"/>
      <c r="D1282" s="2164"/>
      <c r="E1282" s="2522" t="s">
        <v>2639</v>
      </c>
      <c r="F1282" s="2522"/>
      <c r="G1282" s="2164"/>
      <c r="H1282" s="2528">
        <v>149898.67379999999</v>
      </c>
      <c r="I1282" s="2528"/>
      <c r="J1282" s="2528"/>
      <c r="K1282" s="2163"/>
      <c r="L1282" s="2528">
        <v>1506481.67</v>
      </c>
      <c r="M1282" s="2163"/>
    </row>
    <row r="1283" spans="1:15">
      <c r="A1283" s="2164"/>
      <c r="B1283" s="2164"/>
      <c r="C1283" s="2164"/>
      <c r="D1283" s="2164"/>
      <c r="E1283" s="2164"/>
      <c r="F1283" s="2164"/>
      <c r="G1283" s="2164"/>
      <c r="H1283" s="2528"/>
      <c r="I1283" s="2528"/>
      <c r="J1283" s="2528"/>
      <c r="K1283" s="2163"/>
      <c r="L1283" s="2528"/>
      <c r="M1283" s="2163"/>
    </row>
    <row r="1284" spans="1:15">
      <c r="A1284" s="2160" t="s">
        <v>2723</v>
      </c>
      <c r="B1284" s="2161"/>
      <c r="C1284" s="2160" t="s">
        <v>2724</v>
      </c>
      <c r="D1284" s="2161"/>
      <c r="E1284" s="2160" t="s">
        <v>2722</v>
      </c>
      <c r="F1284" s="2161"/>
    </row>
    <row r="1285" spans="1:15">
      <c r="A1285" s="2163"/>
      <c r="B1285" s="2163"/>
      <c r="C1285" s="2163"/>
      <c r="D1285" s="2163"/>
      <c r="E1285" s="2163"/>
      <c r="F1285" s="2163"/>
      <c r="G1285" s="2163"/>
      <c r="H1285" s="2163"/>
      <c r="I1285" s="2163"/>
      <c r="J1285" s="2163"/>
      <c r="K1285" s="2163"/>
      <c r="L1285" s="2163"/>
      <c r="M1285" s="2163"/>
    </row>
    <row r="1286" spans="1:15">
      <c r="A1286" s="2164"/>
      <c r="H1286" s="2522" t="s">
        <v>2637</v>
      </c>
      <c r="I1286" s="2522"/>
      <c r="J1286" s="2163"/>
      <c r="K1286" s="2528">
        <v>235651.37849999999</v>
      </c>
      <c r="L1286" s="2528"/>
      <c r="M1286" s="2163"/>
      <c r="N1286" s="2527" t="s">
        <v>3109</v>
      </c>
      <c r="O1286" s="2163"/>
    </row>
    <row r="1287" spans="1:15">
      <c r="H1287" s="2163"/>
      <c r="I1287" s="2163"/>
      <c r="J1287" s="2163"/>
      <c r="K1287" s="2528"/>
      <c r="L1287" s="2528"/>
      <c r="N1287" s="2527"/>
    </row>
    <row r="1288" spans="1:15">
      <c r="A1288" s="2165">
        <v>77481</v>
      </c>
      <c r="B1288" s="2163"/>
      <c r="C1288" s="2524" t="s">
        <v>2874</v>
      </c>
      <c r="D1288" s="2524"/>
      <c r="E1288" s="2524"/>
      <c r="F1288" s="2524"/>
      <c r="G1288" s="2524"/>
      <c r="H1288" s="2524"/>
      <c r="I1288" s="2524"/>
      <c r="J1288" s="2163"/>
      <c r="K1288" s="2163"/>
      <c r="L1288" s="2163"/>
      <c r="M1288" s="2163"/>
    </row>
    <row r="1289" spans="1:15">
      <c r="A1289" s="2163"/>
      <c r="B1289" s="2163"/>
      <c r="C1289" s="2163"/>
      <c r="D1289" s="2163"/>
      <c r="E1289" s="2163"/>
      <c r="F1289" s="2163"/>
      <c r="G1289" s="2163"/>
      <c r="H1289" s="2163"/>
      <c r="I1289" s="2163"/>
      <c r="J1289" s="2163"/>
      <c r="K1289" s="2163"/>
      <c r="L1289" s="2163"/>
      <c r="M1289" s="2163"/>
    </row>
    <row r="1290" spans="1:15">
      <c r="A1290" s="2520" t="s">
        <v>2647</v>
      </c>
      <c r="B1290" s="2520"/>
      <c r="C1290" s="2520"/>
      <c r="D1290" s="2166"/>
      <c r="E1290" s="2166"/>
      <c r="F1290" s="2166"/>
      <c r="G1290" s="2166"/>
      <c r="H1290" s="2526">
        <v>69500.396999999997</v>
      </c>
      <c r="I1290" s="2526"/>
      <c r="J1290" s="2526"/>
      <c r="K1290" s="2166"/>
      <c r="L1290" s="2168">
        <v>700564</v>
      </c>
      <c r="M1290" s="2166"/>
    </row>
    <row r="1291" spans="1:15">
      <c r="A1291" s="2520" t="s">
        <v>2648</v>
      </c>
      <c r="B1291" s="2520"/>
      <c r="C1291" s="2520"/>
      <c r="D1291" s="2166"/>
      <c r="E1291" s="2166"/>
      <c r="F1291" s="2166"/>
      <c r="G1291" s="2166"/>
      <c r="H1291" s="2526">
        <v>-88343.712</v>
      </c>
      <c r="I1291" s="2526"/>
      <c r="J1291" s="2526"/>
      <c r="K1291" s="2166"/>
      <c r="L1291" s="2168">
        <v>-830665</v>
      </c>
      <c r="M1291" s="2166"/>
    </row>
    <row r="1292" spans="1:15">
      <c r="A1292" s="2164"/>
      <c r="B1292" s="2164"/>
      <c r="C1292" s="2164"/>
      <c r="D1292" s="2164"/>
      <c r="E1292" s="2522" t="s">
        <v>2639</v>
      </c>
      <c r="F1292" s="2522"/>
      <c r="G1292" s="2164"/>
      <c r="H1292" s="2528">
        <v>216808.06299999999</v>
      </c>
      <c r="I1292" s="2528"/>
      <c r="J1292" s="2528"/>
      <c r="K1292" s="2163"/>
      <c r="L1292" s="2528">
        <v>2178921.0299999998</v>
      </c>
      <c r="M1292" s="2163"/>
    </row>
    <row r="1293" spans="1:15">
      <c r="A1293" s="2164"/>
      <c r="B1293" s="2164"/>
      <c r="C1293" s="2164"/>
      <c r="D1293" s="2164"/>
      <c r="E1293" s="2164"/>
      <c r="F1293" s="2164"/>
      <c r="G1293" s="2164"/>
      <c r="H1293" s="2528"/>
      <c r="I1293" s="2528"/>
      <c r="J1293" s="2528"/>
      <c r="K1293" s="2163"/>
      <c r="L1293" s="2528"/>
      <c r="M1293" s="2163"/>
    </row>
    <row r="1294" spans="1:15">
      <c r="A1294" s="2160" t="s">
        <v>2723</v>
      </c>
      <c r="B1294" s="2161"/>
      <c r="C1294" s="2160" t="s">
        <v>2724</v>
      </c>
      <c r="D1294" s="2161"/>
      <c r="E1294" s="2160" t="s">
        <v>2722</v>
      </c>
      <c r="F1294" s="2161"/>
    </row>
    <row r="1295" spans="1:15">
      <c r="A1295" s="2163"/>
      <c r="B1295" s="2163"/>
      <c r="C1295" s="2163"/>
      <c r="D1295" s="2163"/>
      <c r="E1295" s="2163"/>
      <c r="F1295" s="2163"/>
      <c r="G1295" s="2163"/>
      <c r="H1295" s="2163"/>
      <c r="I1295" s="2163"/>
      <c r="J1295" s="2163"/>
      <c r="K1295" s="2163"/>
      <c r="L1295" s="2163"/>
      <c r="M1295" s="2163"/>
    </row>
    <row r="1296" spans="1:15">
      <c r="A1296" s="2164"/>
      <c r="H1296" s="2522" t="s">
        <v>2637</v>
      </c>
      <c r="I1296" s="2522"/>
      <c r="J1296" s="2163"/>
      <c r="K1296" s="2528">
        <v>689092.10880000005</v>
      </c>
      <c r="L1296" s="2528"/>
      <c r="M1296" s="2163"/>
      <c r="N1296" s="2527" t="s">
        <v>3110</v>
      </c>
      <c r="O1296" s="2163"/>
    </row>
    <row r="1297" spans="1:15">
      <c r="H1297" s="2163"/>
      <c r="I1297" s="2163"/>
      <c r="J1297" s="2163"/>
      <c r="K1297" s="2528"/>
      <c r="L1297" s="2528"/>
      <c r="N1297" s="2527"/>
    </row>
    <row r="1298" spans="1:15">
      <c r="A1298" s="2165">
        <v>79941</v>
      </c>
      <c r="B1298" s="2163"/>
      <c r="C1298" s="2524" t="s">
        <v>2866</v>
      </c>
      <c r="D1298" s="2524"/>
      <c r="E1298" s="2524"/>
      <c r="F1298" s="2524"/>
      <c r="G1298" s="2524"/>
      <c r="H1298" s="2524"/>
      <c r="I1298" s="2524"/>
      <c r="J1298" s="2163"/>
      <c r="K1298" s="2163"/>
      <c r="L1298" s="2163"/>
      <c r="M1298" s="2163"/>
    </row>
    <row r="1299" spans="1:15">
      <c r="A1299" s="2163"/>
      <c r="B1299" s="2163"/>
      <c r="C1299" s="2163"/>
      <c r="D1299" s="2163"/>
      <c r="E1299" s="2163"/>
      <c r="F1299" s="2163"/>
      <c r="G1299" s="2163"/>
      <c r="H1299" s="2163"/>
      <c r="I1299" s="2163"/>
      <c r="J1299" s="2163"/>
      <c r="K1299" s="2163"/>
      <c r="L1299" s="2163"/>
      <c r="M1299" s="2163"/>
    </row>
    <row r="1300" spans="1:15">
      <c r="A1300" s="2520" t="s">
        <v>2648</v>
      </c>
      <c r="B1300" s="2520"/>
      <c r="C1300" s="2520"/>
      <c r="D1300" s="2166"/>
      <c r="E1300" s="2166"/>
      <c r="F1300" s="2166"/>
      <c r="G1300" s="2166"/>
      <c r="H1300" s="2526">
        <v>-101428.226</v>
      </c>
      <c r="I1300" s="2526"/>
      <c r="J1300" s="2526"/>
      <c r="K1300" s="2166"/>
      <c r="L1300" s="2177">
        <v>-1000000</v>
      </c>
      <c r="M1300" s="2166"/>
    </row>
    <row r="1301" spans="1:15">
      <c r="A1301" s="2164"/>
      <c r="B1301" s="2164"/>
      <c r="C1301" s="2164"/>
      <c r="D1301" s="2164"/>
      <c r="E1301" s="2522" t="s">
        <v>2639</v>
      </c>
      <c r="F1301" s="2522"/>
      <c r="G1301" s="2164"/>
      <c r="H1301" s="2528">
        <v>587663.88320000004</v>
      </c>
      <c r="I1301" s="2528"/>
      <c r="J1301" s="2528"/>
      <c r="K1301" s="2163"/>
      <c r="L1301" s="2528">
        <v>5906022.0300000003</v>
      </c>
      <c r="M1301" s="2163"/>
    </row>
    <row r="1302" spans="1:15">
      <c r="A1302" s="2164"/>
      <c r="B1302" s="2164"/>
      <c r="C1302" s="2164"/>
      <c r="D1302" s="2164"/>
      <c r="E1302" s="2164"/>
      <c r="F1302" s="2164"/>
      <c r="G1302" s="2164"/>
      <c r="H1302" s="2528"/>
      <c r="I1302" s="2528"/>
      <c r="J1302" s="2528"/>
      <c r="K1302" s="2163"/>
      <c r="L1302" s="2528"/>
      <c r="M1302" s="2163"/>
    </row>
    <row r="1303" spans="1:15">
      <c r="A1303" s="2160" t="s">
        <v>2723</v>
      </c>
      <c r="B1303" s="2161"/>
      <c r="C1303" s="2160" t="s">
        <v>2724</v>
      </c>
      <c r="D1303" s="2161"/>
      <c r="E1303" s="2160" t="s">
        <v>2722</v>
      </c>
      <c r="F1303" s="2161"/>
    </row>
    <row r="1304" spans="1:15">
      <c r="A1304" s="2163"/>
      <c r="B1304" s="2163"/>
      <c r="C1304" s="2163"/>
      <c r="D1304" s="2163"/>
      <c r="E1304" s="2163"/>
      <c r="F1304" s="2163"/>
      <c r="G1304" s="2163"/>
      <c r="H1304" s="2163"/>
      <c r="I1304" s="2163"/>
      <c r="J1304" s="2163"/>
      <c r="K1304" s="2163"/>
      <c r="L1304" s="2163"/>
      <c r="M1304" s="2163"/>
    </row>
    <row r="1305" spans="1:15">
      <c r="A1305" s="2164"/>
      <c r="H1305" s="2522" t="s">
        <v>2637</v>
      </c>
      <c r="I1305" s="2522"/>
      <c r="J1305" s="2163"/>
      <c r="K1305" s="2528">
        <v>61497.071900000003</v>
      </c>
      <c r="L1305" s="2528"/>
      <c r="M1305" s="2163"/>
      <c r="N1305" s="2527" t="s">
        <v>3111</v>
      </c>
      <c r="O1305" s="2163"/>
    </row>
    <row r="1306" spans="1:15">
      <c r="H1306" s="2163"/>
      <c r="I1306" s="2163"/>
      <c r="J1306" s="2163"/>
      <c r="K1306" s="2528"/>
      <c r="L1306" s="2528"/>
      <c r="N1306" s="2527"/>
    </row>
    <row r="1307" spans="1:15">
      <c r="A1307" s="2165">
        <v>81696</v>
      </c>
      <c r="B1307" s="2163"/>
      <c r="C1307" s="2524" t="s">
        <v>3059</v>
      </c>
      <c r="D1307" s="2524"/>
      <c r="E1307" s="2524"/>
      <c r="F1307" s="2524"/>
      <c r="G1307" s="2524"/>
      <c r="H1307" s="2524"/>
      <c r="I1307" s="2524"/>
      <c r="J1307" s="2163"/>
      <c r="K1307" s="2163"/>
      <c r="L1307" s="2163"/>
      <c r="M1307" s="2163"/>
    </row>
    <row r="1308" spans="1:15">
      <c r="A1308" s="2163"/>
      <c r="B1308" s="2163"/>
      <c r="C1308" s="2163"/>
      <c r="D1308" s="2163"/>
      <c r="E1308" s="2163"/>
      <c r="F1308" s="2163"/>
      <c r="G1308" s="2163"/>
      <c r="H1308" s="2163"/>
      <c r="I1308" s="2163"/>
      <c r="J1308" s="2163"/>
      <c r="K1308" s="2163"/>
      <c r="L1308" s="2163"/>
      <c r="M1308" s="2163"/>
    </row>
    <row r="1309" spans="1:15">
      <c r="A1309" s="2520" t="s">
        <v>2647</v>
      </c>
      <c r="B1309" s="2520"/>
      <c r="C1309" s="2520"/>
      <c r="D1309" s="2166"/>
      <c r="E1309" s="2166"/>
      <c r="F1309" s="2166"/>
      <c r="G1309" s="2166"/>
      <c r="H1309" s="2526">
        <v>365709.40700000001</v>
      </c>
      <c r="I1309" s="2526"/>
      <c r="J1309" s="2526"/>
      <c r="K1309" s="2166"/>
      <c r="L1309" s="2168">
        <v>3750000</v>
      </c>
      <c r="M1309" s="2166"/>
    </row>
    <row r="1310" spans="1:15">
      <c r="A1310" s="2520" t="s">
        <v>2679</v>
      </c>
      <c r="B1310" s="2520"/>
      <c r="C1310" s="2520"/>
      <c r="D1310" s="2166"/>
      <c r="E1310" s="2166"/>
      <c r="F1310" s="2166"/>
      <c r="G1310" s="2166"/>
      <c r="H1310" s="2526">
        <v>-372549.02</v>
      </c>
      <c r="I1310" s="2526"/>
      <c r="J1310" s="2526"/>
      <c r="K1310" s="2166"/>
      <c r="L1310" s="2168">
        <v>-3800000</v>
      </c>
      <c r="M1310" s="2166"/>
    </row>
    <row r="1311" spans="1:15">
      <c r="A1311" s="2520" t="s">
        <v>2649</v>
      </c>
      <c r="B1311" s="2520"/>
      <c r="C1311" s="2520"/>
      <c r="D1311" s="2166"/>
      <c r="E1311" s="2166"/>
      <c r="F1311" s="2166"/>
      <c r="G1311" s="2166"/>
      <c r="H1311" s="2526">
        <v>375865.48</v>
      </c>
      <c r="I1311" s="2526"/>
      <c r="J1311" s="2526"/>
      <c r="K1311" s="2166"/>
      <c r="L1311" s="2168">
        <v>3800000</v>
      </c>
      <c r="M1311" s="2166"/>
    </row>
    <row r="1312" spans="1:15">
      <c r="A1312" s="2164"/>
      <c r="B1312" s="2164"/>
      <c r="C1312" s="2164"/>
      <c r="D1312" s="2164"/>
      <c r="E1312" s="2522" t="s">
        <v>2639</v>
      </c>
      <c r="F1312" s="2522"/>
      <c r="G1312" s="2164"/>
      <c r="H1312" s="2528">
        <v>430522.9387</v>
      </c>
      <c r="I1312" s="2528"/>
      <c r="J1312" s="2528"/>
      <c r="K1312" s="2163"/>
      <c r="L1312" s="2528">
        <v>4326755.53</v>
      </c>
      <c r="M1312" s="2163"/>
    </row>
    <row r="1313" spans="1:15">
      <c r="A1313" s="2164"/>
      <c r="B1313" s="2164"/>
      <c r="C1313" s="2164"/>
      <c r="D1313" s="2164"/>
      <c r="E1313" s="2164"/>
      <c r="F1313" s="2164"/>
      <c r="G1313" s="2164"/>
      <c r="H1313" s="2528"/>
      <c r="I1313" s="2528"/>
      <c r="J1313" s="2528"/>
      <c r="K1313" s="2163"/>
      <c r="L1313" s="2528"/>
      <c r="M1313" s="2163"/>
    </row>
    <row r="1314" spans="1:15">
      <c r="A1314" s="2160" t="s">
        <v>2729</v>
      </c>
      <c r="B1314" s="2161"/>
      <c r="C1314" s="2160" t="s">
        <v>2730</v>
      </c>
      <c r="D1314" s="2161"/>
      <c r="E1314" s="2160" t="s">
        <v>2698</v>
      </c>
      <c r="F1314" s="2161"/>
    </row>
    <row r="1315" spans="1:15">
      <c r="A1315" s="2163"/>
      <c r="B1315" s="2163"/>
      <c r="C1315" s="2163"/>
      <c r="D1315" s="2163"/>
      <c r="E1315" s="2163"/>
      <c r="F1315" s="2163"/>
      <c r="G1315" s="2163"/>
      <c r="H1315" s="2163"/>
      <c r="I1315" s="2163"/>
      <c r="J1315" s="2163"/>
      <c r="K1315" s="2163"/>
      <c r="L1315" s="2163"/>
      <c r="M1315" s="2163"/>
    </row>
    <row r="1316" spans="1:15">
      <c r="A1316" s="2164"/>
      <c r="H1316" s="2522" t="s">
        <v>2637</v>
      </c>
      <c r="I1316" s="2522"/>
      <c r="J1316" s="2163"/>
      <c r="K1316" s="2523">
        <v>0</v>
      </c>
      <c r="L1316" s="2523"/>
      <c r="M1316" s="2163"/>
      <c r="N1316" s="2527"/>
      <c r="O1316" s="2163"/>
    </row>
    <row r="1317" spans="1:15">
      <c r="H1317" s="2163"/>
      <c r="I1317" s="2163"/>
      <c r="J1317" s="2163"/>
      <c r="K1317" s="2523"/>
      <c r="L1317" s="2523"/>
      <c r="N1317" s="2527"/>
    </row>
    <row r="1318" spans="1:15">
      <c r="A1318" s="2165">
        <v>2393</v>
      </c>
      <c r="B1318" s="2163"/>
      <c r="C1318" s="2524" t="s">
        <v>3048</v>
      </c>
      <c r="D1318" s="2524"/>
      <c r="E1318" s="2524"/>
      <c r="F1318" s="2524"/>
      <c r="G1318" s="2524"/>
      <c r="H1318" s="2524"/>
      <c r="I1318" s="2524"/>
      <c r="J1318" s="2163"/>
      <c r="K1318" s="2163"/>
      <c r="L1318" s="2163"/>
      <c r="M1318" s="2163"/>
    </row>
    <row r="1319" spans="1:15">
      <c r="A1319" s="2163"/>
      <c r="B1319" s="2163"/>
      <c r="C1319" s="2163"/>
      <c r="D1319" s="2163"/>
      <c r="E1319" s="2163"/>
      <c r="F1319" s="2163"/>
      <c r="G1319" s="2163"/>
      <c r="H1319" s="2163"/>
      <c r="I1319" s="2163"/>
      <c r="J1319" s="2163"/>
      <c r="K1319" s="2163"/>
      <c r="L1319" s="2163"/>
      <c r="M1319" s="2163"/>
    </row>
    <row r="1320" spans="1:15">
      <c r="A1320" s="2529"/>
      <c r="B1320" s="2529"/>
      <c r="C1320" s="2529"/>
      <c r="D1320" s="2166"/>
      <c r="E1320" s="2166"/>
      <c r="F1320" s="2166"/>
      <c r="G1320" s="2166"/>
      <c r="H1320" s="2525"/>
      <c r="I1320" s="2525"/>
      <c r="J1320" s="2525"/>
      <c r="K1320" s="2166"/>
      <c r="L1320" s="2167"/>
      <c r="M1320" s="2166"/>
    </row>
    <row r="1321" spans="1:15">
      <c r="A1321" s="2164"/>
      <c r="B1321" s="2164"/>
      <c r="C1321" s="2164"/>
      <c r="D1321" s="2164"/>
      <c r="E1321" s="2522" t="s">
        <v>2639</v>
      </c>
      <c r="F1321" s="2522"/>
      <c r="G1321" s="2164"/>
      <c r="H1321" s="2523">
        <v>0</v>
      </c>
      <c r="I1321" s="2523"/>
      <c r="J1321" s="2523"/>
      <c r="K1321" s="2163"/>
      <c r="L1321" s="2523">
        <v>0</v>
      </c>
      <c r="M1321" s="2163"/>
    </row>
    <row r="1322" spans="1:15">
      <c r="A1322" s="2164"/>
      <c r="B1322" s="2164"/>
      <c r="C1322" s="2164"/>
      <c r="D1322" s="2164"/>
      <c r="E1322" s="2164"/>
      <c r="F1322" s="2164"/>
      <c r="G1322" s="2164"/>
      <c r="H1322" s="2523"/>
      <c r="I1322" s="2523"/>
      <c r="J1322" s="2523"/>
      <c r="K1322" s="2163"/>
      <c r="L1322" s="2523"/>
      <c r="M1322" s="2163"/>
    </row>
    <row r="1323" spans="1:15">
      <c r="A1323" s="2160" t="s">
        <v>2729</v>
      </c>
      <c r="B1323" s="2161"/>
      <c r="C1323" s="2160" t="s">
        <v>2730</v>
      </c>
      <c r="D1323" s="2161"/>
      <c r="E1323" s="2160" t="s">
        <v>2698</v>
      </c>
      <c r="F1323" s="2161"/>
    </row>
    <row r="1324" spans="1:15">
      <c r="A1324" s="2163"/>
      <c r="B1324" s="2163"/>
      <c r="C1324" s="2163"/>
      <c r="D1324" s="2163"/>
      <c r="E1324" s="2163"/>
      <c r="F1324" s="2163"/>
      <c r="G1324" s="2163"/>
      <c r="H1324" s="2163"/>
      <c r="I1324" s="2163"/>
      <c r="J1324" s="2163"/>
      <c r="K1324" s="2163"/>
      <c r="L1324" s="2163"/>
      <c r="M1324" s="2163"/>
    </row>
    <row r="1325" spans="1:15">
      <c r="A1325" s="2164"/>
      <c r="H1325" s="2522" t="s">
        <v>2637</v>
      </c>
      <c r="I1325" s="2522"/>
      <c r="J1325" s="2163"/>
      <c r="K1325" s="2523">
        <v>0</v>
      </c>
      <c r="L1325" s="2523"/>
      <c r="M1325" s="2163"/>
      <c r="N1325" s="2527"/>
      <c r="O1325" s="2163"/>
    </row>
    <row r="1326" spans="1:15">
      <c r="H1326" s="2163"/>
      <c r="I1326" s="2163"/>
      <c r="J1326" s="2163"/>
      <c r="K1326" s="2523"/>
      <c r="L1326" s="2523"/>
      <c r="N1326" s="2527"/>
    </row>
    <row r="1327" spans="1:15">
      <c r="A1327" s="2165">
        <v>2802</v>
      </c>
      <c r="B1327" s="2163"/>
      <c r="C1327" s="2524" t="s">
        <v>2853</v>
      </c>
      <c r="D1327" s="2524"/>
      <c r="E1327" s="2524"/>
      <c r="F1327" s="2524"/>
      <c r="G1327" s="2524"/>
      <c r="H1327" s="2524"/>
      <c r="I1327" s="2524"/>
      <c r="J1327" s="2163"/>
      <c r="K1327" s="2163"/>
      <c r="L1327" s="2163"/>
      <c r="M1327" s="2163"/>
    </row>
    <row r="1328" spans="1:15">
      <c r="A1328" s="2163"/>
      <c r="B1328" s="2163"/>
      <c r="C1328" s="2163"/>
      <c r="D1328" s="2163"/>
      <c r="E1328" s="2163"/>
      <c r="F1328" s="2163"/>
      <c r="G1328" s="2163"/>
      <c r="H1328" s="2163"/>
      <c r="I1328" s="2163"/>
      <c r="J1328" s="2163"/>
      <c r="K1328" s="2163"/>
      <c r="L1328" s="2163"/>
      <c r="M1328" s="2163"/>
    </row>
    <row r="1329" spans="1:15">
      <c r="A1329" s="2529"/>
      <c r="B1329" s="2529"/>
      <c r="C1329" s="2529"/>
      <c r="D1329" s="2166"/>
      <c r="E1329" s="2166"/>
      <c r="F1329" s="2166"/>
      <c r="G1329" s="2166"/>
      <c r="H1329" s="2525"/>
      <c r="I1329" s="2525"/>
      <c r="J1329" s="2525"/>
      <c r="K1329" s="2166"/>
      <c r="L1329" s="2167"/>
      <c r="M1329" s="2166"/>
    </row>
    <row r="1330" spans="1:15">
      <c r="A1330" s="2164"/>
      <c r="B1330" s="2164"/>
      <c r="C1330" s="2164"/>
      <c r="D1330" s="2164"/>
      <c r="E1330" s="2522" t="s">
        <v>2639</v>
      </c>
      <c r="F1330" s="2522"/>
      <c r="G1330" s="2164"/>
      <c r="H1330" s="2523">
        <v>0</v>
      </c>
      <c r="I1330" s="2523"/>
      <c r="J1330" s="2523"/>
      <c r="K1330" s="2163"/>
      <c r="L1330" s="2523">
        <v>0</v>
      </c>
      <c r="M1330" s="2163"/>
    </row>
    <row r="1331" spans="1:15">
      <c r="A1331" s="2164"/>
      <c r="B1331" s="2164"/>
      <c r="C1331" s="2164"/>
      <c r="D1331" s="2164"/>
      <c r="E1331" s="2164"/>
      <c r="F1331" s="2164"/>
      <c r="G1331" s="2164"/>
      <c r="H1331" s="2523"/>
      <c r="I1331" s="2523"/>
      <c r="J1331" s="2523"/>
      <c r="K1331" s="2163"/>
      <c r="L1331" s="2523"/>
      <c r="M1331" s="2163"/>
    </row>
    <row r="1332" spans="1:15">
      <c r="A1332" s="2160" t="s">
        <v>2729</v>
      </c>
      <c r="B1332" s="2161"/>
      <c r="C1332" s="2160" t="s">
        <v>2730</v>
      </c>
      <c r="D1332" s="2161"/>
      <c r="E1332" s="2160" t="s">
        <v>2698</v>
      </c>
      <c r="F1332" s="2161"/>
    </row>
    <row r="1333" spans="1:15">
      <c r="A1333" s="2163"/>
      <c r="B1333" s="2163"/>
      <c r="C1333" s="2163"/>
      <c r="D1333" s="2163"/>
      <c r="E1333" s="2163"/>
      <c r="F1333" s="2163"/>
      <c r="G1333" s="2163"/>
      <c r="H1333" s="2163"/>
      <c r="I1333" s="2163"/>
      <c r="J1333" s="2163"/>
      <c r="K1333" s="2163"/>
      <c r="L1333" s="2163"/>
      <c r="M1333" s="2163"/>
    </row>
    <row r="1334" spans="1:15">
      <c r="A1334" s="2164"/>
      <c r="H1334" s="2522" t="s">
        <v>2637</v>
      </c>
      <c r="I1334" s="2522"/>
      <c r="J1334" s="2163"/>
      <c r="K1334" s="2523">
        <v>0</v>
      </c>
      <c r="L1334" s="2523"/>
      <c r="M1334" s="2163"/>
      <c r="N1334" s="2527"/>
      <c r="O1334" s="2163"/>
    </row>
    <row r="1335" spans="1:15">
      <c r="H1335" s="2163"/>
      <c r="I1335" s="2163"/>
      <c r="J1335" s="2163"/>
      <c r="K1335" s="2523"/>
      <c r="L1335" s="2523"/>
      <c r="N1335" s="2527"/>
    </row>
    <row r="1336" spans="1:15">
      <c r="A1336" s="2165">
        <v>4421</v>
      </c>
      <c r="B1336" s="2163"/>
      <c r="C1336" s="2524" t="s">
        <v>2854</v>
      </c>
      <c r="D1336" s="2524"/>
      <c r="E1336" s="2524"/>
      <c r="F1336" s="2524"/>
      <c r="G1336" s="2524"/>
      <c r="H1336" s="2524"/>
      <c r="I1336" s="2524"/>
      <c r="J1336" s="2163"/>
      <c r="K1336" s="2163"/>
      <c r="L1336" s="2163"/>
      <c r="M1336" s="2163"/>
    </row>
    <row r="1337" spans="1:15">
      <c r="A1337" s="2163"/>
      <c r="B1337" s="2163"/>
      <c r="C1337" s="2163"/>
      <c r="D1337" s="2163"/>
      <c r="E1337" s="2163"/>
      <c r="F1337" s="2163"/>
      <c r="G1337" s="2163"/>
      <c r="H1337" s="2163"/>
      <c r="I1337" s="2163"/>
      <c r="J1337" s="2163"/>
      <c r="K1337" s="2163"/>
      <c r="L1337" s="2163"/>
      <c r="M1337" s="2163"/>
    </row>
    <row r="1338" spans="1:15">
      <c r="A1338" s="2529"/>
      <c r="B1338" s="2529"/>
      <c r="C1338" s="2529"/>
      <c r="D1338" s="2166"/>
      <c r="E1338" s="2166"/>
      <c r="F1338" s="2166"/>
      <c r="G1338" s="2166"/>
      <c r="H1338" s="2525"/>
      <c r="I1338" s="2525"/>
      <c r="J1338" s="2525"/>
      <c r="K1338" s="2166"/>
      <c r="L1338" s="2167"/>
      <c r="M1338" s="2166"/>
    </row>
    <row r="1339" spans="1:15">
      <c r="A1339" s="2164"/>
      <c r="B1339" s="2164"/>
      <c r="C1339" s="2164"/>
      <c r="D1339" s="2164"/>
      <c r="E1339" s="2522" t="s">
        <v>2639</v>
      </c>
      <c r="F1339" s="2522"/>
      <c r="G1339" s="2164"/>
      <c r="H1339" s="2523">
        <v>0</v>
      </c>
      <c r="I1339" s="2523"/>
      <c r="J1339" s="2523"/>
      <c r="K1339" s="2163"/>
      <c r="L1339" s="2523">
        <v>0</v>
      </c>
      <c r="M1339" s="2163"/>
    </row>
    <row r="1340" spans="1:15">
      <c r="A1340" s="2164"/>
      <c r="B1340" s="2164"/>
      <c r="C1340" s="2164"/>
      <c r="D1340" s="2164"/>
      <c r="E1340" s="2164"/>
      <c r="F1340" s="2164"/>
      <c r="G1340" s="2164"/>
      <c r="H1340" s="2523"/>
      <c r="I1340" s="2523"/>
      <c r="J1340" s="2523"/>
      <c r="K1340" s="2163"/>
      <c r="L1340" s="2523"/>
      <c r="M1340" s="2163"/>
    </row>
    <row r="1341" spans="1:15">
      <c r="A1341" s="2160" t="s">
        <v>2729</v>
      </c>
      <c r="B1341" s="2161"/>
      <c r="C1341" s="2160" t="s">
        <v>2730</v>
      </c>
      <c r="D1341" s="2161"/>
      <c r="E1341" s="2160" t="s">
        <v>2698</v>
      </c>
      <c r="F1341" s="2161"/>
    </row>
    <row r="1342" spans="1:15">
      <c r="A1342" s="2163"/>
      <c r="B1342" s="2163"/>
      <c r="C1342" s="2163"/>
      <c r="D1342" s="2163"/>
      <c r="E1342" s="2163"/>
      <c r="F1342" s="2163"/>
      <c r="G1342" s="2163"/>
      <c r="H1342" s="2163"/>
      <c r="I1342" s="2163"/>
      <c r="J1342" s="2163"/>
      <c r="K1342" s="2163"/>
      <c r="L1342" s="2163"/>
      <c r="M1342" s="2163"/>
    </row>
    <row r="1343" spans="1:15">
      <c r="A1343" s="2164"/>
      <c r="H1343" s="2522" t="s">
        <v>2637</v>
      </c>
      <c r="I1343" s="2522"/>
      <c r="J1343" s="2163"/>
      <c r="K1343" s="2523">
        <v>0</v>
      </c>
      <c r="L1343" s="2523"/>
      <c r="M1343" s="2163"/>
      <c r="N1343" s="2527"/>
      <c r="O1343" s="2163"/>
    </row>
    <row r="1344" spans="1:15">
      <c r="H1344" s="2163"/>
      <c r="I1344" s="2163"/>
      <c r="J1344" s="2163"/>
      <c r="K1344" s="2523"/>
      <c r="L1344" s="2523"/>
      <c r="N1344" s="2527"/>
    </row>
    <row r="1345" spans="1:15">
      <c r="A1345" s="2165">
        <v>31913</v>
      </c>
      <c r="B1345" s="2163"/>
      <c r="C1345" s="2524" t="s">
        <v>2855</v>
      </c>
      <c r="D1345" s="2524"/>
      <c r="E1345" s="2524"/>
      <c r="F1345" s="2524"/>
      <c r="G1345" s="2524"/>
      <c r="H1345" s="2524"/>
      <c r="I1345" s="2524"/>
      <c r="J1345" s="2163"/>
      <c r="K1345" s="2163"/>
      <c r="L1345" s="2163"/>
      <c r="M1345" s="2163"/>
    </row>
    <row r="1346" spans="1:15">
      <c r="A1346" s="2163"/>
      <c r="B1346" s="2163"/>
      <c r="C1346" s="2163"/>
      <c r="D1346" s="2163"/>
      <c r="E1346" s="2163"/>
      <c r="F1346" s="2163"/>
      <c r="G1346" s="2163"/>
      <c r="H1346" s="2163"/>
      <c r="I1346" s="2163"/>
      <c r="J1346" s="2163"/>
      <c r="K1346" s="2163"/>
      <c r="L1346" s="2163"/>
      <c r="M1346" s="2163"/>
    </row>
    <row r="1347" spans="1:15">
      <c r="A1347" s="2529"/>
      <c r="B1347" s="2529"/>
      <c r="C1347" s="2529"/>
      <c r="D1347" s="2166"/>
      <c r="E1347" s="2166"/>
      <c r="F1347" s="2166"/>
      <c r="G1347" s="2166"/>
      <c r="H1347" s="2525"/>
      <c r="I1347" s="2525"/>
      <c r="J1347" s="2525"/>
      <c r="K1347" s="2166"/>
      <c r="L1347" s="2167"/>
      <c r="M1347" s="2166"/>
    </row>
    <row r="1348" spans="1:15">
      <c r="A1348" s="2164"/>
      <c r="B1348" s="2164"/>
      <c r="C1348" s="2164"/>
      <c r="D1348" s="2164"/>
      <c r="E1348" s="2522" t="s">
        <v>2639</v>
      </c>
      <c r="F1348" s="2522"/>
      <c r="G1348" s="2164"/>
      <c r="H1348" s="2523">
        <v>0</v>
      </c>
      <c r="I1348" s="2523"/>
      <c r="J1348" s="2523"/>
      <c r="K1348" s="2163"/>
      <c r="L1348" s="2523">
        <v>0</v>
      </c>
      <c r="M1348" s="2163"/>
    </row>
    <row r="1349" spans="1:15">
      <c r="A1349" s="2164"/>
      <c r="B1349" s="2164"/>
      <c r="C1349" s="2164"/>
      <c r="D1349" s="2164"/>
      <c r="E1349" s="2164"/>
      <c r="F1349" s="2164"/>
      <c r="G1349" s="2164"/>
      <c r="H1349" s="2523"/>
      <c r="I1349" s="2523"/>
      <c r="J1349" s="2523"/>
      <c r="K1349" s="2163"/>
      <c r="L1349" s="2523"/>
      <c r="M1349" s="2163"/>
    </row>
    <row r="1350" spans="1:15">
      <c r="A1350" s="2160" t="s">
        <v>2729</v>
      </c>
      <c r="B1350" s="2161"/>
      <c r="C1350" s="2160" t="s">
        <v>2730</v>
      </c>
      <c r="D1350" s="2161"/>
      <c r="E1350" s="2160" t="s">
        <v>2698</v>
      </c>
      <c r="F1350" s="2161"/>
    </row>
    <row r="1351" spans="1:15">
      <c r="A1351" s="2163"/>
      <c r="B1351" s="2163"/>
      <c r="C1351" s="2163"/>
      <c r="D1351" s="2163"/>
      <c r="E1351" s="2163"/>
      <c r="F1351" s="2163"/>
      <c r="G1351" s="2163"/>
      <c r="H1351" s="2163"/>
      <c r="I1351" s="2163"/>
      <c r="J1351" s="2163"/>
      <c r="K1351" s="2163"/>
      <c r="L1351" s="2163"/>
      <c r="M1351" s="2163"/>
    </row>
    <row r="1352" spans="1:15">
      <c r="A1352" s="2164"/>
      <c r="H1352" s="2522" t="s">
        <v>2637</v>
      </c>
      <c r="I1352" s="2522"/>
      <c r="J1352" s="2163"/>
      <c r="K1352" s="2523">
        <v>0</v>
      </c>
      <c r="L1352" s="2523"/>
      <c r="M1352" s="2163"/>
      <c r="N1352" s="2527"/>
      <c r="O1352" s="2163"/>
    </row>
    <row r="1353" spans="1:15">
      <c r="H1353" s="2163"/>
      <c r="I1353" s="2163"/>
      <c r="J1353" s="2163"/>
      <c r="K1353" s="2523"/>
      <c r="L1353" s="2523"/>
      <c r="N1353" s="2527"/>
    </row>
    <row r="1354" spans="1:15">
      <c r="A1354" s="2165">
        <v>40147</v>
      </c>
      <c r="B1354" s="2163"/>
      <c r="C1354" s="2524" t="s">
        <v>2856</v>
      </c>
      <c r="D1354" s="2524"/>
      <c r="E1354" s="2524"/>
      <c r="F1354" s="2524"/>
      <c r="G1354" s="2524"/>
      <c r="H1354" s="2524"/>
      <c r="I1354" s="2524"/>
      <c r="J1354" s="2163"/>
      <c r="K1354" s="2163"/>
      <c r="L1354" s="2163"/>
      <c r="M1354" s="2163"/>
    </row>
    <row r="1355" spans="1:15">
      <c r="A1355" s="2163"/>
      <c r="B1355" s="2163"/>
      <c r="C1355" s="2163"/>
      <c r="D1355" s="2163"/>
      <c r="E1355" s="2163"/>
      <c r="F1355" s="2163"/>
      <c r="G1355" s="2163"/>
      <c r="H1355" s="2163"/>
      <c r="I1355" s="2163"/>
      <c r="J1355" s="2163"/>
      <c r="K1355" s="2163"/>
      <c r="L1355" s="2163"/>
      <c r="M1355" s="2163"/>
    </row>
    <row r="1356" spans="1:15">
      <c r="A1356" s="2529"/>
      <c r="B1356" s="2529"/>
      <c r="C1356" s="2529"/>
      <c r="D1356" s="2166"/>
      <c r="E1356" s="2166"/>
      <c r="F1356" s="2166"/>
      <c r="G1356" s="2166"/>
      <c r="H1356" s="2525"/>
      <c r="I1356" s="2525"/>
      <c r="J1356" s="2525"/>
      <c r="K1356" s="2166"/>
      <c r="L1356" s="2167"/>
      <c r="M1356" s="2166"/>
    </row>
    <row r="1357" spans="1:15">
      <c r="A1357" s="2164"/>
      <c r="B1357" s="2164"/>
      <c r="C1357" s="2164"/>
      <c r="D1357" s="2164"/>
      <c r="E1357" s="2522" t="s">
        <v>2639</v>
      </c>
      <c r="F1357" s="2522"/>
      <c r="G1357" s="2164"/>
      <c r="H1357" s="2523">
        <v>0</v>
      </c>
      <c r="I1357" s="2523"/>
      <c r="J1357" s="2523"/>
      <c r="K1357" s="2163"/>
      <c r="L1357" s="2523">
        <v>0</v>
      </c>
      <c r="M1357" s="2163"/>
    </row>
    <row r="1358" spans="1:15">
      <c r="A1358" s="2164"/>
      <c r="B1358" s="2164"/>
      <c r="C1358" s="2164"/>
      <c r="D1358" s="2164"/>
      <c r="E1358" s="2164"/>
      <c r="F1358" s="2164"/>
      <c r="G1358" s="2164"/>
      <c r="H1358" s="2523"/>
      <c r="I1358" s="2523"/>
      <c r="J1358" s="2523"/>
      <c r="K1358" s="2163"/>
      <c r="L1358" s="2523"/>
      <c r="M1358" s="2163"/>
    </row>
    <row r="1359" spans="1:15">
      <c r="A1359" s="2160" t="s">
        <v>2729</v>
      </c>
      <c r="B1359" s="2161"/>
      <c r="C1359" s="2160" t="s">
        <v>2730</v>
      </c>
      <c r="D1359" s="2161"/>
      <c r="E1359" s="2160" t="s">
        <v>2698</v>
      </c>
      <c r="F1359" s="2161"/>
    </row>
    <row r="1360" spans="1:15">
      <c r="A1360" s="2163"/>
      <c r="B1360" s="2163"/>
      <c r="C1360" s="2163"/>
      <c r="D1360" s="2163"/>
      <c r="E1360" s="2163"/>
      <c r="F1360" s="2163"/>
      <c r="G1360" s="2163"/>
      <c r="H1360" s="2163"/>
      <c r="I1360" s="2163"/>
      <c r="J1360" s="2163"/>
      <c r="K1360" s="2163"/>
      <c r="L1360" s="2163"/>
      <c r="M1360" s="2163"/>
    </row>
    <row r="1361" spans="1:15">
      <c r="A1361" s="2164"/>
      <c r="H1361" s="2522" t="s">
        <v>2637</v>
      </c>
      <c r="I1361" s="2522"/>
      <c r="J1361" s="2163"/>
      <c r="K1361" s="2523">
        <v>0</v>
      </c>
      <c r="L1361" s="2523"/>
      <c r="M1361" s="2163"/>
      <c r="N1361" s="2527"/>
      <c r="O1361" s="2163"/>
    </row>
    <row r="1362" spans="1:15">
      <c r="H1362" s="2163"/>
      <c r="I1362" s="2163"/>
      <c r="J1362" s="2163"/>
      <c r="K1362" s="2523"/>
      <c r="L1362" s="2523"/>
      <c r="N1362" s="2527"/>
    </row>
    <row r="1363" spans="1:15">
      <c r="A1363" s="2165">
        <v>54909</v>
      </c>
      <c r="B1363" s="2163"/>
      <c r="C1363" s="2524" t="s">
        <v>2858</v>
      </c>
      <c r="D1363" s="2524"/>
      <c r="E1363" s="2524"/>
      <c r="F1363" s="2524"/>
      <c r="G1363" s="2524"/>
      <c r="H1363" s="2524"/>
      <c r="I1363" s="2524"/>
      <c r="J1363" s="2163"/>
      <c r="K1363" s="2163"/>
      <c r="L1363" s="2163"/>
      <c r="M1363" s="2163"/>
    </row>
    <row r="1364" spans="1:15">
      <c r="A1364" s="2163"/>
      <c r="B1364" s="2163"/>
      <c r="C1364" s="2163"/>
      <c r="D1364" s="2163"/>
      <c r="E1364" s="2163"/>
      <c r="F1364" s="2163"/>
      <c r="G1364" s="2163"/>
      <c r="H1364" s="2163"/>
      <c r="I1364" s="2163"/>
      <c r="J1364" s="2163"/>
      <c r="K1364" s="2163"/>
      <c r="L1364" s="2163"/>
      <c r="M1364" s="2163"/>
    </row>
    <row r="1365" spans="1:15">
      <c r="A1365" s="2529"/>
      <c r="B1365" s="2529"/>
      <c r="C1365" s="2529"/>
      <c r="D1365" s="2166"/>
      <c r="E1365" s="2166"/>
      <c r="F1365" s="2166"/>
      <c r="G1365" s="2166"/>
      <c r="H1365" s="2525"/>
      <c r="I1365" s="2525"/>
      <c r="J1365" s="2525"/>
      <c r="K1365" s="2166"/>
      <c r="L1365" s="2167"/>
      <c r="M1365" s="2166"/>
    </row>
    <row r="1366" spans="1:15">
      <c r="A1366" s="2164"/>
      <c r="B1366" s="2164"/>
      <c r="C1366" s="2164"/>
      <c r="D1366" s="2164"/>
      <c r="E1366" s="2522" t="s">
        <v>2639</v>
      </c>
      <c r="F1366" s="2522"/>
      <c r="G1366" s="2164"/>
      <c r="H1366" s="2523">
        <v>0</v>
      </c>
      <c r="I1366" s="2523"/>
      <c r="J1366" s="2523"/>
      <c r="K1366" s="2163"/>
      <c r="L1366" s="2523">
        <v>0</v>
      </c>
      <c r="M1366" s="2163"/>
    </row>
    <row r="1367" spans="1:15">
      <c r="A1367" s="2164"/>
      <c r="B1367" s="2164"/>
      <c r="C1367" s="2164"/>
      <c r="D1367" s="2164"/>
      <c r="E1367" s="2164"/>
      <c r="F1367" s="2164"/>
      <c r="G1367" s="2164"/>
      <c r="H1367" s="2523"/>
      <c r="I1367" s="2523"/>
      <c r="J1367" s="2523"/>
      <c r="K1367" s="2163"/>
      <c r="L1367" s="2523"/>
      <c r="M1367" s="2163"/>
    </row>
    <row r="1368" spans="1:15">
      <c r="A1368" s="2160" t="s">
        <v>2729</v>
      </c>
      <c r="B1368" s="2161"/>
      <c r="C1368" s="2160" t="s">
        <v>2730</v>
      </c>
      <c r="D1368" s="2161"/>
      <c r="E1368" s="2160" t="s">
        <v>2698</v>
      </c>
      <c r="F1368" s="2161"/>
    </row>
    <row r="1369" spans="1:15">
      <c r="A1369" s="2163"/>
      <c r="B1369" s="2163"/>
      <c r="C1369" s="2163"/>
      <c r="D1369" s="2163"/>
      <c r="E1369" s="2163"/>
      <c r="F1369" s="2163"/>
      <c r="G1369" s="2163"/>
      <c r="H1369" s="2163"/>
      <c r="I1369" s="2163"/>
      <c r="J1369" s="2163"/>
      <c r="K1369" s="2163"/>
      <c r="L1369" s="2163"/>
      <c r="M1369" s="2163"/>
    </row>
    <row r="1370" spans="1:15">
      <c r="A1370" s="2164"/>
      <c r="H1370" s="2522" t="s">
        <v>2637</v>
      </c>
      <c r="I1370" s="2522"/>
      <c r="J1370" s="2163"/>
      <c r="K1370" s="2523">
        <v>0</v>
      </c>
      <c r="L1370" s="2523"/>
      <c r="M1370" s="2163"/>
      <c r="N1370" s="2527"/>
      <c r="O1370" s="2163"/>
    </row>
    <row r="1371" spans="1:15">
      <c r="H1371" s="2163"/>
      <c r="I1371" s="2163"/>
      <c r="J1371" s="2163"/>
      <c r="K1371" s="2523"/>
      <c r="L1371" s="2523"/>
      <c r="N1371" s="2527"/>
    </row>
    <row r="1372" spans="1:15">
      <c r="A1372" s="2165">
        <v>54982</v>
      </c>
      <c r="B1372" s="2163"/>
      <c r="C1372" s="2524" t="s">
        <v>2859</v>
      </c>
      <c r="D1372" s="2524"/>
      <c r="E1372" s="2524"/>
      <c r="F1372" s="2524"/>
      <c r="G1372" s="2524"/>
      <c r="H1372" s="2524"/>
      <c r="I1372" s="2524"/>
      <c r="J1372" s="2163"/>
      <c r="K1372" s="2163"/>
      <c r="L1372" s="2163"/>
      <c r="M1372" s="2163"/>
    </row>
    <row r="1373" spans="1:15">
      <c r="A1373" s="2163"/>
      <c r="B1373" s="2163"/>
      <c r="C1373" s="2163"/>
      <c r="D1373" s="2163"/>
      <c r="E1373" s="2163"/>
      <c r="F1373" s="2163"/>
      <c r="G1373" s="2163"/>
      <c r="H1373" s="2163"/>
      <c r="I1373" s="2163"/>
      <c r="J1373" s="2163"/>
      <c r="K1373" s="2163"/>
      <c r="L1373" s="2163"/>
      <c r="M1373" s="2163"/>
    </row>
    <row r="1374" spans="1:15">
      <c r="A1374" s="2529"/>
      <c r="B1374" s="2529"/>
      <c r="C1374" s="2529"/>
      <c r="D1374" s="2166"/>
      <c r="E1374" s="2166"/>
      <c r="F1374" s="2166"/>
      <c r="G1374" s="2166"/>
      <c r="H1374" s="2525"/>
      <c r="I1374" s="2525"/>
      <c r="J1374" s="2525"/>
      <c r="K1374" s="2166"/>
      <c r="L1374" s="2167"/>
      <c r="M1374" s="2166"/>
    </row>
    <row r="1375" spans="1:15">
      <c r="A1375" s="2164"/>
      <c r="B1375" s="2164"/>
      <c r="C1375" s="2164"/>
      <c r="D1375" s="2164"/>
      <c r="E1375" s="2522" t="s">
        <v>2639</v>
      </c>
      <c r="F1375" s="2522"/>
      <c r="G1375" s="2164"/>
      <c r="H1375" s="2523">
        <v>0</v>
      </c>
      <c r="I1375" s="2523"/>
      <c r="J1375" s="2523"/>
      <c r="K1375" s="2163"/>
      <c r="L1375" s="2523">
        <v>0</v>
      </c>
      <c r="M1375" s="2163"/>
    </row>
    <row r="1376" spans="1:15">
      <c r="A1376" s="2164"/>
      <c r="B1376" s="2164"/>
      <c r="C1376" s="2164"/>
      <c r="D1376" s="2164"/>
      <c r="E1376" s="2164"/>
      <c r="F1376" s="2164"/>
      <c r="G1376" s="2164"/>
      <c r="H1376" s="2523"/>
      <c r="I1376" s="2523"/>
      <c r="J1376" s="2523"/>
      <c r="K1376" s="2163"/>
      <c r="L1376" s="2523"/>
      <c r="M1376" s="2163"/>
    </row>
    <row r="1377" spans="1:15">
      <c r="A1377" s="2160" t="s">
        <v>2729</v>
      </c>
      <c r="B1377" s="2161"/>
      <c r="C1377" s="2160" t="s">
        <v>2730</v>
      </c>
      <c r="D1377" s="2161"/>
      <c r="E1377" s="2160" t="s">
        <v>2698</v>
      </c>
      <c r="F1377" s="2161"/>
    </row>
    <row r="1378" spans="1:15">
      <c r="A1378" s="2163"/>
      <c r="B1378" s="2163"/>
      <c r="C1378" s="2163"/>
      <c r="D1378" s="2163"/>
      <c r="E1378" s="2163"/>
      <c r="F1378" s="2163"/>
      <c r="G1378" s="2163"/>
      <c r="H1378" s="2163"/>
      <c r="I1378" s="2163"/>
      <c r="J1378" s="2163"/>
      <c r="K1378" s="2163"/>
      <c r="L1378" s="2163"/>
      <c r="M1378" s="2163"/>
    </row>
    <row r="1379" spans="1:15">
      <c r="A1379" s="2164"/>
      <c r="H1379" s="2522" t="s">
        <v>2637</v>
      </c>
      <c r="I1379" s="2522"/>
      <c r="J1379" s="2163"/>
      <c r="K1379" s="2523">
        <v>0</v>
      </c>
      <c r="L1379" s="2523"/>
      <c r="M1379" s="2163"/>
      <c r="N1379" s="2527"/>
      <c r="O1379" s="2163"/>
    </row>
    <row r="1380" spans="1:15">
      <c r="H1380" s="2163"/>
      <c r="I1380" s="2163"/>
      <c r="J1380" s="2163"/>
      <c r="K1380" s="2523"/>
      <c r="L1380" s="2523"/>
      <c r="N1380" s="2527"/>
    </row>
    <row r="1381" spans="1:15">
      <c r="A1381" s="2165">
        <v>55049</v>
      </c>
      <c r="B1381" s="2163"/>
      <c r="C1381" s="2524" t="s">
        <v>2860</v>
      </c>
      <c r="D1381" s="2524"/>
      <c r="E1381" s="2524"/>
      <c r="F1381" s="2524"/>
      <c r="G1381" s="2524"/>
      <c r="H1381" s="2524"/>
      <c r="I1381" s="2524"/>
      <c r="J1381" s="2163"/>
      <c r="K1381" s="2163"/>
      <c r="L1381" s="2163"/>
      <c r="M1381" s="2163"/>
    </row>
    <row r="1382" spans="1:15">
      <c r="A1382" s="2163"/>
      <c r="B1382" s="2163"/>
      <c r="C1382" s="2163"/>
      <c r="D1382" s="2163"/>
      <c r="E1382" s="2163"/>
      <c r="F1382" s="2163"/>
      <c r="G1382" s="2163"/>
      <c r="H1382" s="2163"/>
      <c r="I1382" s="2163"/>
      <c r="J1382" s="2163"/>
      <c r="K1382" s="2163"/>
      <c r="L1382" s="2163"/>
      <c r="M1382" s="2163"/>
    </row>
    <row r="1383" spans="1:15">
      <c r="A1383" s="2529"/>
      <c r="B1383" s="2529"/>
      <c r="C1383" s="2529"/>
      <c r="D1383" s="2166"/>
      <c r="E1383" s="2166"/>
      <c r="F1383" s="2166"/>
      <c r="G1383" s="2166"/>
      <c r="H1383" s="2525"/>
      <c r="I1383" s="2525"/>
      <c r="J1383" s="2525"/>
      <c r="K1383" s="2166"/>
      <c r="L1383" s="2167"/>
      <c r="M1383" s="2166"/>
    </row>
    <row r="1384" spans="1:15">
      <c r="A1384" s="2164"/>
      <c r="B1384" s="2164"/>
      <c r="C1384" s="2164"/>
      <c r="D1384" s="2164"/>
      <c r="E1384" s="2522" t="s">
        <v>2639</v>
      </c>
      <c r="F1384" s="2522"/>
      <c r="G1384" s="2164"/>
      <c r="H1384" s="2523">
        <v>0</v>
      </c>
      <c r="I1384" s="2523"/>
      <c r="J1384" s="2523"/>
      <c r="K1384" s="2163"/>
      <c r="L1384" s="2523">
        <v>0</v>
      </c>
      <c r="M1384" s="2163"/>
    </row>
    <row r="1385" spans="1:15">
      <c r="A1385" s="2164"/>
      <c r="B1385" s="2164"/>
      <c r="C1385" s="2164"/>
      <c r="D1385" s="2164"/>
      <c r="E1385" s="2164"/>
      <c r="F1385" s="2164"/>
      <c r="G1385" s="2164"/>
      <c r="H1385" s="2523"/>
      <c r="I1385" s="2523"/>
      <c r="J1385" s="2523"/>
      <c r="K1385" s="2163"/>
      <c r="L1385" s="2523"/>
      <c r="M1385" s="2163"/>
    </row>
    <row r="1386" spans="1:15">
      <c r="A1386" s="2160" t="s">
        <v>2729</v>
      </c>
      <c r="B1386" s="2161"/>
      <c r="C1386" s="2160" t="s">
        <v>2730</v>
      </c>
      <c r="D1386" s="2161"/>
      <c r="E1386" s="2160" t="s">
        <v>2698</v>
      </c>
      <c r="F1386" s="2161"/>
    </row>
    <row r="1387" spans="1:15">
      <c r="A1387" s="2163"/>
      <c r="B1387" s="2163"/>
      <c r="C1387" s="2163"/>
      <c r="D1387" s="2163"/>
      <c r="E1387" s="2163"/>
      <c r="F1387" s="2163"/>
      <c r="G1387" s="2163"/>
      <c r="H1387" s="2163"/>
      <c r="I1387" s="2163"/>
      <c r="J1387" s="2163"/>
      <c r="K1387" s="2163"/>
      <c r="L1387" s="2163"/>
      <c r="M1387" s="2163"/>
    </row>
    <row r="1388" spans="1:15">
      <c r="A1388" s="2164"/>
      <c r="H1388" s="2522" t="s">
        <v>2637</v>
      </c>
      <c r="I1388" s="2522"/>
      <c r="J1388" s="2163"/>
      <c r="K1388" s="2523">
        <v>0</v>
      </c>
      <c r="L1388" s="2523"/>
      <c r="M1388" s="2163"/>
      <c r="N1388" s="2527"/>
      <c r="O1388" s="2163"/>
    </row>
    <row r="1389" spans="1:15">
      <c r="H1389" s="2163"/>
      <c r="I1389" s="2163"/>
      <c r="J1389" s="2163"/>
      <c r="K1389" s="2523"/>
      <c r="L1389" s="2523"/>
      <c r="N1389" s="2527"/>
    </row>
    <row r="1390" spans="1:15">
      <c r="A1390" s="2165">
        <v>55205</v>
      </c>
      <c r="B1390" s="2163"/>
      <c r="C1390" s="2524" t="s">
        <v>2861</v>
      </c>
      <c r="D1390" s="2524"/>
      <c r="E1390" s="2524"/>
      <c r="F1390" s="2524"/>
      <c r="G1390" s="2524"/>
      <c r="H1390" s="2524"/>
      <c r="I1390" s="2524"/>
      <c r="J1390" s="2163"/>
      <c r="K1390" s="2163"/>
      <c r="L1390" s="2163"/>
      <c r="M1390" s="2163"/>
    </row>
    <row r="1391" spans="1:15">
      <c r="A1391" s="2163"/>
      <c r="B1391" s="2163"/>
      <c r="C1391" s="2163"/>
      <c r="D1391" s="2163"/>
      <c r="E1391" s="2163"/>
      <c r="F1391" s="2163"/>
      <c r="G1391" s="2163"/>
      <c r="H1391" s="2163"/>
      <c r="I1391" s="2163"/>
      <c r="J1391" s="2163"/>
      <c r="K1391" s="2163"/>
      <c r="L1391" s="2163"/>
      <c r="M1391" s="2163"/>
    </row>
    <row r="1392" spans="1:15">
      <c r="A1392" s="2529"/>
      <c r="B1392" s="2529"/>
      <c r="C1392" s="2529"/>
      <c r="D1392" s="2166"/>
      <c r="E1392" s="2166"/>
      <c r="F1392" s="2166"/>
      <c r="G1392" s="2166"/>
      <c r="H1392" s="2525"/>
      <c r="I1392" s="2525"/>
      <c r="J1392" s="2525"/>
      <c r="K1392" s="2166"/>
      <c r="L1392" s="2167"/>
      <c r="M1392" s="2166"/>
    </row>
    <row r="1393" spans="1:15">
      <c r="A1393" s="2164"/>
      <c r="B1393" s="2164"/>
      <c r="C1393" s="2164"/>
      <c r="D1393" s="2164"/>
      <c r="E1393" s="2522" t="s">
        <v>2639</v>
      </c>
      <c r="F1393" s="2522"/>
      <c r="G1393" s="2164"/>
      <c r="H1393" s="2523">
        <v>0</v>
      </c>
      <c r="I1393" s="2523"/>
      <c r="J1393" s="2523"/>
      <c r="K1393" s="2163"/>
      <c r="L1393" s="2523">
        <v>0</v>
      </c>
      <c r="M1393" s="2163"/>
    </row>
    <row r="1394" spans="1:15">
      <c r="A1394" s="2164"/>
      <c r="B1394" s="2164"/>
      <c r="C1394" s="2164"/>
      <c r="D1394" s="2164"/>
      <c r="E1394" s="2164"/>
      <c r="F1394" s="2164"/>
      <c r="G1394" s="2164"/>
      <c r="H1394" s="2523"/>
      <c r="I1394" s="2523"/>
      <c r="J1394" s="2523"/>
      <c r="K1394" s="2163"/>
      <c r="L1394" s="2523"/>
      <c r="M1394" s="2163"/>
    </row>
    <row r="1395" spans="1:15">
      <c r="A1395" s="2160" t="s">
        <v>2729</v>
      </c>
      <c r="B1395" s="2161"/>
      <c r="C1395" s="2160" t="s">
        <v>2730</v>
      </c>
      <c r="D1395" s="2161"/>
      <c r="E1395" s="2160" t="s">
        <v>2698</v>
      </c>
      <c r="F1395" s="2161"/>
    </row>
    <row r="1396" spans="1:15">
      <c r="A1396" s="2163"/>
      <c r="B1396" s="2163"/>
      <c r="C1396" s="2163"/>
      <c r="D1396" s="2163"/>
      <c r="E1396" s="2163"/>
      <c r="F1396" s="2163"/>
      <c r="G1396" s="2163"/>
      <c r="H1396" s="2163"/>
      <c r="I1396" s="2163"/>
      <c r="J1396" s="2163"/>
      <c r="K1396" s="2163"/>
      <c r="L1396" s="2163"/>
      <c r="M1396" s="2163"/>
    </row>
    <row r="1397" spans="1:15">
      <c r="A1397" s="2164"/>
      <c r="H1397" s="2522" t="s">
        <v>2637</v>
      </c>
      <c r="I1397" s="2522"/>
      <c r="J1397" s="2163"/>
      <c r="K1397" s="2523">
        <v>8.0045999999999999</v>
      </c>
      <c r="L1397" s="2523"/>
      <c r="M1397" s="2163"/>
      <c r="N1397" s="2527" t="s">
        <v>3112</v>
      </c>
      <c r="O1397" s="2163"/>
    </row>
    <row r="1398" spans="1:15">
      <c r="H1398" s="2163"/>
      <c r="I1398" s="2163"/>
      <c r="J1398" s="2163"/>
      <c r="K1398" s="2523"/>
      <c r="L1398" s="2523"/>
      <c r="N1398" s="2527"/>
    </row>
    <row r="1399" spans="1:15">
      <c r="A1399" s="2165">
        <v>62002</v>
      </c>
      <c r="B1399" s="2163"/>
      <c r="C1399" s="2524" t="s">
        <v>2862</v>
      </c>
      <c r="D1399" s="2524"/>
      <c r="E1399" s="2524"/>
      <c r="F1399" s="2524"/>
      <c r="G1399" s="2524"/>
      <c r="H1399" s="2524"/>
      <c r="I1399" s="2524"/>
      <c r="J1399" s="2163"/>
      <c r="K1399" s="2163"/>
      <c r="L1399" s="2163"/>
      <c r="M1399" s="2163"/>
    </row>
    <row r="1400" spans="1:15">
      <c r="A1400" s="2163"/>
      <c r="B1400" s="2163"/>
      <c r="C1400" s="2163"/>
      <c r="D1400" s="2163"/>
      <c r="E1400" s="2163"/>
      <c r="F1400" s="2163"/>
      <c r="G1400" s="2163"/>
      <c r="H1400" s="2163"/>
      <c r="I1400" s="2163"/>
      <c r="J1400" s="2163"/>
      <c r="K1400" s="2163"/>
      <c r="L1400" s="2163"/>
      <c r="M1400" s="2163"/>
    </row>
    <row r="1401" spans="1:15">
      <c r="A1401" s="2529"/>
      <c r="B1401" s="2529"/>
      <c r="C1401" s="2529"/>
      <c r="D1401" s="2166"/>
      <c r="E1401" s="2166"/>
      <c r="F1401" s="2166"/>
      <c r="G1401" s="2166"/>
      <c r="H1401" s="2525"/>
      <c r="I1401" s="2525"/>
      <c r="J1401" s="2525"/>
      <c r="K1401" s="2166"/>
      <c r="L1401" s="2167"/>
      <c r="M1401" s="2166"/>
    </row>
    <row r="1402" spans="1:15">
      <c r="A1402" s="2164"/>
      <c r="B1402" s="2164"/>
      <c r="C1402" s="2164"/>
      <c r="D1402" s="2164"/>
      <c r="E1402" s="2522" t="s">
        <v>2639</v>
      </c>
      <c r="F1402" s="2522"/>
      <c r="G1402" s="2164"/>
      <c r="H1402" s="2523">
        <v>8.0045999999999999</v>
      </c>
      <c r="I1402" s="2523"/>
      <c r="J1402" s="2523"/>
      <c r="K1402" s="2163"/>
      <c r="L1402" s="2523">
        <v>439.74</v>
      </c>
      <c r="M1402" s="2163"/>
    </row>
    <row r="1403" spans="1:15">
      <c r="A1403" s="2164"/>
      <c r="B1403" s="2164"/>
      <c r="C1403" s="2164"/>
      <c r="D1403" s="2164"/>
      <c r="E1403" s="2164"/>
      <c r="F1403" s="2164"/>
      <c r="G1403" s="2164"/>
      <c r="H1403" s="2523"/>
      <c r="I1403" s="2523"/>
      <c r="J1403" s="2523"/>
      <c r="K1403" s="2163"/>
      <c r="L1403" s="2523"/>
      <c r="M1403" s="2163"/>
    </row>
    <row r="1404" spans="1:15" ht="27.6">
      <c r="A1404" s="2160" t="s">
        <v>2734</v>
      </c>
      <c r="B1404" s="2161"/>
      <c r="C1404" s="2160" t="s">
        <v>2735</v>
      </c>
      <c r="D1404" s="2161"/>
      <c r="E1404" s="2160" t="s">
        <v>2698</v>
      </c>
      <c r="F1404" s="2161"/>
    </row>
    <row r="1405" spans="1:15">
      <c r="A1405" s="2163"/>
      <c r="B1405" s="2163"/>
      <c r="C1405" s="2163"/>
      <c r="D1405" s="2163"/>
      <c r="E1405" s="2163"/>
      <c r="F1405" s="2163"/>
      <c r="G1405" s="2163"/>
      <c r="H1405" s="2163"/>
      <c r="I1405" s="2163"/>
      <c r="J1405" s="2163"/>
      <c r="K1405" s="2163"/>
      <c r="L1405" s="2163"/>
      <c r="M1405" s="2163"/>
    </row>
    <row r="1406" spans="1:15">
      <c r="A1406" s="2164"/>
      <c r="H1406" s="2522" t="s">
        <v>2637</v>
      </c>
      <c r="I1406" s="2522"/>
      <c r="J1406" s="2163"/>
      <c r="K1406" s="2523">
        <v>0</v>
      </c>
      <c r="L1406" s="2523"/>
      <c r="M1406" s="2163"/>
      <c r="N1406" s="2527"/>
      <c r="O1406" s="2163"/>
    </row>
    <row r="1407" spans="1:15">
      <c r="H1407" s="2163"/>
      <c r="I1407" s="2163"/>
      <c r="J1407" s="2163"/>
      <c r="K1407" s="2523"/>
      <c r="L1407" s="2523"/>
      <c r="N1407" s="2527"/>
    </row>
    <row r="1408" spans="1:15">
      <c r="A1408" s="2165">
        <v>2802</v>
      </c>
      <c r="B1408" s="2163"/>
      <c r="C1408" s="2524" t="s">
        <v>2853</v>
      </c>
      <c r="D1408" s="2524"/>
      <c r="E1408" s="2524"/>
      <c r="F1408" s="2524"/>
      <c r="G1408" s="2524"/>
      <c r="H1408" s="2524"/>
      <c r="I1408" s="2524"/>
      <c r="J1408" s="2163"/>
      <c r="K1408" s="2163"/>
      <c r="L1408" s="2163"/>
      <c r="M1408" s="2163"/>
    </row>
    <row r="1409" spans="1:15">
      <c r="A1409" s="2163"/>
      <c r="B1409" s="2163"/>
      <c r="C1409" s="2163"/>
      <c r="D1409" s="2163"/>
      <c r="E1409" s="2163"/>
      <c r="F1409" s="2163"/>
      <c r="G1409" s="2163"/>
      <c r="H1409" s="2163"/>
      <c r="I1409" s="2163"/>
      <c r="J1409" s="2163"/>
      <c r="K1409" s="2163"/>
      <c r="L1409" s="2163"/>
      <c r="M1409" s="2163"/>
    </row>
    <row r="1410" spans="1:15">
      <c r="A1410" s="2529"/>
      <c r="B1410" s="2529"/>
      <c r="C1410" s="2529"/>
      <c r="D1410" s="2166"/>
      <c r="E1410" s="2166"/>
      <c r="F1410" s="2166"/>
      <c r="G1410" s="2166"/>
      <c r="H1410" s="2525"/>
      <c r="I1410" s="2525"/>
      <c r="J1410" s="2525"/>
      <c r="K1410" s="2166"/>
      <c r="L1410" s="2167"/>
      <c r="M1410" s="2166"/>
    </row>
    <row r="1411" spans="1:15">
      <c r="A1411" s="2164"/>
      <c r="B1411" s="2164"/>
      <c r="C1411" s="2164"/>
      <c r="D1411" s="2164"/>
      <c r="E1411" s="2522" t="s">
        <v>2639</v>
      </c>
      <c r="F1411" s="2522"/>
      <c r="G1411" s="2164"/>
      <c r="H1411" s="2523">
        <v>0</v>
      </c>
      <c r="I1411" s="2523"/>
      <c r="J1411" s="2523"/>
      <c r="K1411" s="2163"/>
      <c r="L1411" s="2523">
        <v>0</v>
      </c>
      <c r="M1411" s="2163"/>
    </row>
    <row r="1412" spans="1:15">
      <c r="A1412" s="2164"/>
      <c r="B1412" s="2164"/>
      <c r="C1412" s="2164"/>
      <c r="D1412" s="2164"/>
      <c r="E1412" s="2164"/>
      <c r="F1412" s="2164"/>
      <c r="G1412" s="2164"/>
      <c r="H1412" s="2523"/>
      <c r="I1412" s="2523"/>
      <c r="J1412" s="2523"/>
      <c r="K1412" s="2163"/>
      <c r="L1412" s="2523"/>
      <c r="M1412" s="2163"/>
    </row>
    <row r="1413" spans="1:15" ht="27.6">
      <c r="A1413" s="2160" t="s">
        <v>2734</v>
      </c>
      <c r="B1413" s="2161"/>
      <c r="C1413" s="2160" t="s">
        <v>2735</v>
      </c>
      <c r="D1413" s="2161"/>
      <c r="E1413" s="2160" t="s">
        <v>2698</v>
      </c>
      <c r="F1413" s="2161"/>
    </row>
    <row r="1414" spans="1:15">
      <c r="A1414" s="2163"/>
      <c r="B1414" s="2163"/>
      <c r="C1414" s="2163"/>
      <c r="D1414" s="2163"/>
      <c r="E1414" s="2163"/>
      <c r="F1414" s="2163"/>
      <c r="G1414" s="2163"/>
      <c r="H1414" s="2163"/>
      <c r="I1414" s="2163"/>
      <c r="J1414" s="2163"/>
      <c r="K1414" s="2163"/>
      <c r="L1414" s="2163"/>
      <c r="M1414" s="2163"/>
    </row>
    <row r="1415" spans="1:15">
      <c r="A1415" s="2164"/>
      <c r="H1415" s="2522" t="s">
        <v>2637</v>
      </c>
      <c r="I1415" s="2522"/>
      <c r="J1415" s="2163"/>
      <c r="K1415" s="2523">
        <v>0</v>
      </c>
      <c r="L1415" s="2523"/>
      <c r="M1415" s="2163"/>
      <c r="N1415" s="2527"/>
      <c r="O1415" s="2163"/>
    </row>
    <row r="1416" spans="1:15">
      <c r="H1416" s="2163"/>
      <c r="I1416" s="2163"/>
      <c r="J1416" s="2163"/>
      <c r="K1416" s="2523"/>
      <c r="L1416" s="2523"/>
      <c r="N1416" s="2527"/>
    </row>
    <row r="1417" spans="1:15">
      <c r="A1417" s="2165">
        <v>16815</v>
      </c>
      <c r="B1417" s="2163"/>
      <c r="C1417" s="2524" t="s">
        <v>3049</v>
      </c>
      <c r="D1417" s="2524"/>
      <c r="E1417" s="2524"/>
      <c r="F1417" s="2524"/>
      <c r="G1417" s="2524"/>
      <c r="H1417" s="2524"/>
      <c r="I1417" s="2524"/>
      <c r="J1417" s="2163"/>
      <c r="K1417" s="2163"/>
      <c r="L1417" s="2163"/>
      <c r="M1417" s="2163"/>
    </row>
    <row r="1418" spans="1:15">
      <c r="A1418" s="2163"/>
      <c r="B1418" s="2163"/>
      <c r="C1418" s="2163"/>
      <c r="D1418" s="2163"/>
      <c r="E1418" s="2163"/>
      <c r="F1418" s="2163"/>
      <c r="G1418" s="2163"/>
      <c r="H1418" s="2163"/>
      <c r="I1418" s="2163"/>
      <c r="J1418" s="2163"/>
      <c r="K1418" s="2163"/>
      <c r="L1418" s="2163"/>
      <c r="M1418" s="2163"/>
    </row>
    <row r="1419" spans="1:15">
      <c r="A1419" s="2529"/>
      <c r="B1419" s="2529"/>
      <c r="C1419" s="2529"/>
      <c r="D1419" s="2166"/>
      <c r="E1419" s="2166"/>
      <c r="F1419" s="2166"/>
      <c r="G1419" s="2166"/>
      <c r="H1419" s="2525"/>
      <c r="I1419" s="2525"/>
      <c r="J1419" s="2525"/>
      <c r="K1419" s="2166"/>
      <c r="L1419" s="2167"/>
      <c r="M1419" s="2166"/>
    </row>
    <row r="1420" spans="1:15">
      <c r="A1420" s="2164"/>
      <c r="B1420" s="2164"/>
      <c r="C1420" s="2164"/>
      <c r="D1420" s="2164"/>
      <c r="E1420" s="2522" t="s">
        <v>2639</v>
      </c>
      <c r="F1420" s="2522"/>
      <c r="G1420" s="2164"/>
      <c r="H1420" s="2523">
        <v>0</v>
      </c>
      <c r="I1420" s="2523"/>
      <c r="J1420" s="2523"/>
      <c r="K1420" s="2163"/>
      <c r="L1420" s="2523">
        <v>0</v>
      </c>
      <c r="M1420" s="2163"/>
    </row>
    <row r="1421" spans="1:15">
      <c r="A1421" s="2164"/>
      <c r="B1421" s="2164"/>
      <c r="C1421" s="2164"/>
      <c r="D1421" s="2164"/>
      <c r="E1421" s="2164"/>
      <c r="F1421" s="2164"/>
      <c r="G1421" s="2164"/>
      <c r="H1421" s="2523"/>
      <c r="I1421" s="2523"/>
      <c r="J1421" s="2523"/>
      <c r="K1421" s="2163"/>
      <c r="L1421" s="2523"/>
      <c r="M1421" s="2163"/>
    </row>
    <row r="1422" spans="1:15" ht="27.6">
      <c r="A1422" s="2160" t="s">
        <v>2734</v>
      </c>
      <c r="B1422" s="2161"/>
      <c r="C1422" s="2160" t="s">
        <v>2735</v>
      </c>
      <c r="D1422" s="2161"/>
      <c r="E1422" s="2160" t="s">
        <v>2698</v>
      </c>
      <c r="F1422" s="2161"/>
    </row>
    <row r="1423" spans="1:15">
      <c r="A1423" s="2163"/>
      <c r="B1423" s="2163"/>
      <c r="C1423" s="2163"/>
      <c r="D1423" s="2163"/>
      <c r="E1423" s="2163"/>
      <c r="F1423" s="2163"/>
      <c r="G1423" s="2163"/>
      <c r="H1423" s="2163"/>
      <c r="I1423" s="2163"/>
      <c r="J1423" s="2163"/>
      <c r="K1423" s="2163"/>
      <c r="L1423" s="2163"/>
      <c r="M1423" s="2163"/>
    </row>
    <row r="1424" spans="1:15">
      <c r="A1424" s="2164"/>
      <c r="H1424" s="2522" t="s">
        <v>2637</v>
      </c>
      <c r="I1424" s="2522"/>
      <c r="J1424" s="2163"/>
      <c r="K1424" s="2528">
        <v>91603.150899999993</v>
      </c>
      <c r="L1424" s="2528"/>
      <c r="M1424" s="2163"/>
      <c r="N1424" s="2527" t="s">
        <v>3113</v>
      </c>
      <c r="O1424" s="2163"/>
    </row>
    <row r="1425" spans="1:15">
      <c r="H1425" s="2163"/>
      <c r="I1425" s="2163"/>
      <c r="J1425" s="2163"/>
      <c r="K1425" s="2528"/>
      <c r="L1425" s="2528"/>
      <c r="N1425" s="2527"/>
    </row>
    <row r="1426" spans="1:15">
      <c r="A1426" s="2165">
        <v>40147</v>
      </c>
      <c r="B1426" s="2163"/>
      <c r="C1426" s="2524" t="s">
        <v>2856</v>
      </c>
      <c r="D1426" s="2524"/>
      <c r="E1426" s="2524"/>
      <c r="F1426" s="2524"/>
      <c r="G1426" s="2524"/>
      <c r="H1426" s="2524"/>
      <c r="I1426" s="2524"/>
      <c r="J1426" s="2163"/>
      <c r="K1426" s="2163"/>
      <c r="L1426" s="2163"/>
      <c r="M1426" s="2163"/>
    </row>
    <row r="1427" spans="1:15">
      <c r="A1427" s="2163"/>
      <c r="B1427" s="2163"/>
      <c r="C1427" s="2163"/>
      <c r="D1427" s="2163"/>
      <c r="E1427" s="2163"/>
      <c r="F1427" s="2163"/>
      <c r="G1427" s="2163"/>
      <c r="H1427" s="2163"/>
      <c r="I1427" s="2163"/>
      <c r="J1427" s="2163"/>
      <c r="K1427" s="2163"/>
      <c r="L1427" s="2163"/>
      <c r="M1427" s="2163"/>
    </row>
    <row r="1428" spans="1:15">
      <c r="A1428" s="2529"/>
      <c r="B1428" s="2529"/>
      <c r="C1428" s="2529"/>
      <c r="D1428" s="2166"/>
      <c r="E1428" s="2166"/>
      <c r="F1428" s="2166"/>
      <c r="G1428" s="2166"/>
      <c r="H1428" s="2525"/>
      <c r="I1428" s="2525"/>
      <c r="J1428" s="2525"/>
      <c r="K1428" s="2166"/>
      <c r="L1428" s="2167"/>
      <c r="M1428" s="2166"/>
    </row>
    <row r="1429" spans="1:15">
      <c r="A1429" s="2164"/>
      <c r="B1429" s="2164"/>
      <c r="C1429" s="2164"/>
      <c r="D1429" s="2164"/>
      <c r="E1429" s="2522" t="s">
        <v>2639</v>
      </c>
      <c r="F1429" s="2522"/>
      <c r="G1429" s="2164"/>
      <c r="H1429" s="2528">
        <v>91603.150899999993</v>
      </c>
      <c r="I1429" s="2528"/>
      <c r="J1429" s="2528"/>
      <c r="K1429" s="2163"/>
      <c r="L1429" s="2528">
        <v>6382834.2699999996</v>
      </c>
      <c r="M1429" s="2163"/>
    </row>
    <row r="1430" spans="1:15">
      <c r="A1430" s="2164"/>
      <c r="B1430" s="2164"/>
      <c r="C1430" s="2164"/>
      <c r="D1430" s="2164"/>
      <c r="E1430" s="2164"/>
      <c r="F1430" s="2164"/>
      <c r="G1430" s="2164"/>
      <c r="H1430" s="2528"/>
      <c r="I1430" s="2528"/>
      <c r="J1430" s="2528"/>
      <c r="K1430" s="2163"/>
      <c r="L1430" s="2528"/>
      <c r="M1430" s="2163"/>
    </row>
    <row r="1431" spans="1:15" ht="27.6">
      <c r="A1431" s="2160" t="s">
        <v>2734</v>
      </c>
      <c r="B1431" s="2161"/>
      <c r="C1431" s="2160" t="s">
        <v>2735</v>
      </c>
      <c r="D1431" s="2161"/>
      <c r="E1431" s="2160" t="s">
        <v>2698</v>
      </c>
      <c r="F1431" s="2161"/>
    </row>
    <row r="1432" spans="1:15">
      <c r="A1432" s="2163"/>
      <c r="B1432" s="2163"/>
      <c r="C1432" s="2163"/>
      <c r="D1432" s="2163"/>
      <c r="E1432" s="2163"/>
      <c r="F1432" s="2163"/>
      <c r="G1432" s="2163"/>
      <c r="H1432" s="2163"/>
      <c r="I1432" s="2163"/>
      <c r="J1432" s="2163"/>
      <c r="K1432" s="2163"/>
      <c r="L1432" s="2163"/>
      <c r="M1432" s="2163"/>
    </row>
    <row r="1433" spans="1:15">
      <c r="A1433" s="2164"/>
      <c r="H1433" s="2522" t="s">
        <v>2637</v>
      </c>
      <c r="I1433" s="2522"/>
      <c r="J1433" s="2163"/>
      <c r="K1433" s="2528">
        <v>45669.335400000004</v>
      </c>
      <c r="L1433" s="2528"/>
      <c r="M1433" s="2163"/>
      <c r="N1433" s="2527" t="s">
        <v>3114</v>
      </c>
      <c r="O1433" s="2163"/>
    </row>
    <row r="1434" spans="1:15">
      <c r="H1434" s="2163"/>
      <c r="I1434" s="2163"/>
      <c r="J1434" s="2163"/>
      <c r="K1434" s="2528"/>
      <c r="L1434" s="2528"/>
      <c r="N1434" s="2527"/>
    </row>
    <row r="1435" spans="1:15">
      <c r="A1435" s="2165">
        <v>34239</v>
      </c>
      <c r="B1435" s="2163"/>
      <c r="C1435" s="2524" t="s">
        <v>3054</v>
      </c>
      <c r="D1435" s="2524"/>
      <c r="E1435" s="2524"/>
      <c r="F1435" s="2524"/>
      <c r="G1435" s="2524"/>
      <c r="H1435" s="2524"/>
      <c r="I1435" s="2524"/>
      <c r="J1435" s="2163"/>
      <c r="K1435" s="2163"/>
      <c r="L1435" s="2163"/>
      <c r="M1435" s="2163"/>
    </row>
    <row r="1436" spans="1:15">
      <c r="A1436" s="2163"/>
      <c r="B1436" s="2163"/>
      <c r="C1436" s="2163"/>
      <c r="D1436" s="2163"/>
      <c r="E1436" s="2163"/>
      <c r="F1436" s="2163"/>
      <c r="G1436" s="2163"/>
      <c r="H1436" s="2163"/>
      <c r="I1436" s="2163"/>
      <c r="J1436" s="2163"/>
      <c r="K1436" s="2163"/>
      <c r="L1436" s="2163"/>
      <c r="M1436" s="2163"/>
    </row>
    <row r="1437" spans="1:15">
      <c r="A1437" s="2520" t="s">
        <v>2647</v>
      </c>
      <c r="B1437" s="2520"/>
      <c r="C1437" s="2520"/>
      <c r="D1437" s="2166"/>
      <c r="E1437" s="2166"/>
      <c r="F1437" s="2166"/>
      <c r="G1437" s="2166"/>
      <c r="H1437" s="2526">
        <v>115540.17200000001</v>
      </c>
      <c r="I1437" s="2526"/>
      <c r="J1437" s="2526"/>
      <c r="K1437" s="2166"/>
      <c r="L1437" s="2168">
        <v>8000000</v>
      </c>
      <c r="M1437" s="2166"/>
    </row>
    <row r="1438" spans="1:15">
      <c r="A1438" s="2164"/>
      <c r="B1438" s="2164"/>
      <c r="C1438" s="2164"/>
      <c r="D1438" s="2164"/>
      <c r="E1438" s="2522" t="s">
        <v>2639</v>
      </c>
      <c r="F1438" s="2522"/>
      <c r="G1438" s="2164"/>
      <c r="H1438" s="2528">
        <v>161209.50700000001</v>
      </c>
      <c r="I1438" s="2528"/>
      <c r="J1438" s="2528"/>
      <c r="K1438" s="2163"/>
      <c r="L1438" s="2528">
        <v>11232949.48</v>
      </c>
      <c r="M1438" s="2163"/>
    </row>
    <row r="1439" spans="1:15">
      <c r="A1439" s="2164"/>
      <c r="B1439" s="2164"/>
      <c r="C1439" s="2164"/>
      <c r="D1439" s="2164"/>
      <c r="E1439" s="2164"/>
      <c r="F1439" s="2164"/>
      <c r="G1439" s="2164"/>
      <c r="H1439" s="2528"/>
      <c r="I1439" s="2528"/>
      <c r="J1439" s="2528"/>
      <c r="K1439" s="2163"/>
      <c r="L1439" s="2528"/>
      <c r="M1439" s="2163"/>
    </row>
    <row r="1440" spans="1:15" ht="27.6">
      <c r="A1440" s="2160" t="s">
        <v>2734</v>
      </c>
      <c r="B1440" s="2161"/>
      <c r="C1440" s="2160" t="s">
        <v>2735</v>
      </c>
      <c r="D1440" s="2161"/>
      <c r="E1440" s="2160" t="s">
        <v>2698</v>
      </c>
      <c r="F1440" s="2161"/>
    </row>
    <row r="1441" spans="1:15">
      <c r="A1441" s="2163"/>
      <c r="B1441" s="2163"/>
      <c r="C1441" s="2163"/>
      <c r="D1441" s="2163"/>
      <c r="E1441" s="2163"/>
      <c r="F1441" s="2163"/>
      <c r="G1441" s="2163"/>
      <c r="H1441" s="2163"/>
      <c r="I1441" s="2163"/>
      <c r="J1441" s="2163"/>
      <c r="K1441" s="2163"/>
      <c r="L1441" s="2163"/>
      <c r="M1441" s="2163"/>
    </row>
    <row r="1442" spans="1:15">
      <c r="A1442" s="2164"/>
      <c r="H1442" s="2522" t="s">
        <v>2637</v>
      </c>
      <c r="I1442" s="2522"/>
      <c r="J1442" s="2163"/>
      <c r="K1442" s="2528">
        <v>127884.46060000001</v>
      </c>
      <c r="L1442" s="2528"/>
      <c r="M1442" s="2163"/>
      <c r="N1442" s="2527" t="s">
        <v>3115</v>
      </c>
      <c r="O1442" s="2163"/>
    </row>
    <row r="1443" spans="1:15">
      <c r="H1443" s="2163"/>
      <c r="I1443" s="2163"/>
      <c r="J1443" s="2163"/>
      <c r="K1443" s="2528"/>
      <c r="L1443" s="2528"/>
      <c r="N1443" s="2527"/>
    </row>
    <row r="1444" spans="1:15">
      <c r="A1444" s="2165">
        <v>54156</v>
      </c>
      <c r="B1444" s="2163"/>
      <c r="C1444" s="2524" t="s">
        <v>2875</v>
      </c>
      <c r="D1444" s="2524"/>
      <c r="E1444" s="2524"/>
      <c r="F1444" s="2524"/>
      <c r="G1444" s="2524"/>
      <c r="H1444" s="2524"/>
      <c r="I1444" s="2524"/>
      <c r="J1444" s="2163"/>
      <c r="K1444" s="2163"/>
      <c r="L1444" s="2163"/>
      <c r="M1444" s="2163"/>
    </row>
    <row r="1445" spans="1:15">
      <c r="A1445" s="2163"/>
      <c r="B1445" s="2163"/>
      <c r="C1445" s="2163"/>
      <c r="D1445" s="2163"/>
      <c r="E1445" s="2163"/>
      <c r="F1445" s="2163"/>
      <c r="G1445" s="2163"/>
      <c r="H1445" s="2163"/>
      <c r="I1445" s="2163"/>
      <c r="J1445" s="2163"/>
      <c r="K1445" s="2163"/>
      <c r="L1445" s="2163"/>
      <c r="M1445" s="2163"/>
    </row>
    <row r="1446" spans="1:15">
      <c r="A1446" s="2529"/>
      <c r="B1446" s="2529"/>
      <c r="C1446" s="2529"/>
      <c r="D1446" s="2166"/>
      <c r="E1446" s="2166"/>
      <c r="F1446" s="2166"/>
      <c r="G1446" s="2166"/>
      <c r="H1446" s="2525"/>
      <c r="I1446" s="2525"/>
      <c r="J1446" s="2525"/>
      <c r="K1446" s="2166"/>
      <c r="L1446" s="2167"/>
      <c r="M1446" s="2166"/>
    </row>
    <row r="1447" spans="1:15">
      <c r="A1447" s="2164"/>
      <c r="B1447" s="2164"/>
      <c r="C1447" s="2164"/>
      <c r="D1447" s="2164"/>
      <c r="E1447" s="2522" t="s">
        <v>2639</v>
      </c>
      <c r="F1447" s="2522"/>
      <c r="G1447" s="2164"/>
      <c r="H1447" s="2528">
        <v>127884.46060000001</v>
      </c>
      <c r="I1447" s="2528"/>
      <c r="J1447" s="2528"/>
      <c r="K1447" s="2163"/>
      <c r="L1447" s="2528">
        <v>8910886.9100000001</v>
      </c>
      <c r="M1447" s="2163"/>
    </row>
    <row r="1448" spans="1:15">
      <c r="A1448" s="2164"/>
      <c r="B1448" s="2164"/>
      <c r="C1448" s="2164"/>
      <c r="D1448" s="2164"/>
      <c r="E1448" s="2164"/>
      <c r="F1448" s="2164"/>
      <c r="G1448" s="2164"/>
      <c r="H1448" s="2528"/>
      <c r="I1448" s="2528"/>
      <c r="J1448" s="2528"/>
      <c r="K1448" s="2163"/>
      <c r="L1448" s="2528"/>
      <c r="M1448" s="2163"/>
    </row>
    <row r="1449" spans="1:15" ht="27.6">
      <c r="A1449" s="2160" t="s">
        <v>2734</v>
      </c>
      <c r="B1449" s="2161"/>
      <c r="C1449" s="2160" t="s">
        <v>2735</v>
      </c>
      <c r="D1449" s="2161"/>
      <c r="E1449" s="2160" t="s">
        <v>2698</v>
      </c>
      <c r="F1449" s="2161"/>
    </row>
    <row r="1450" spans="1:15">
      <c r="A1450" s="2163"/>
      <c r="B1450" s="2163"/>
      <c r="C1450" s="2163"/>
      <c r="D1450" s="2163"/>
      <c r="E1450" s="2163"/>
      <c r="F1450" s="2163"/>
      <c r="G1450" s="2163"/>
      <c r="H1450" s="2163"/>
      <c r="I1450" s="2163"/>
      <c r="J1450" s="2163"/>
      <c r="K1450" s="2163"/>
      <c r="L1450" s="2163"/>
      <c r="M1450" s="2163"/>
    </row>
    <row r="1451" spans="1:15">
      <c r="A1451" s="2164"/>
      <c r="H1451" s="2522" t="s">
        <v>2637</v>
      </c>
      <c r="I1451" s="2522"/>
      <c r="J1451" s="2163"/>
      <c r="K1451" s="2523">
        <v>6.3E-3</v>
      </c>
      <c r="L1451" s="2523"/>
      <c r="M1451" s="2163"/>
      <c r="N1451" s="2527"/>
      <c r="O1451" s="2163"/>
    </row>
    <row r="1452" spans="1:15">
      <c r="H1452" s="2163"/>
      <c r="I1452" s="2163"/>
      <c r="J1452" s="2163"/>
      <c r="K1452" s="2523"/>
      <c r="L1452" s="2523"/>
      <c r="N1452" s="2527"/>
    </row>
    <row r="1453" spans="1:15">
      <c r="A1453" s="2165">
        <v>67892</v>
      </c>
      <c r="B1453" s="2163"/>
      <c r="C1453" s="2524" t="s">
        <v>2865</v>
      </c>
      <c r="D1453" s="2524"/>
      <c r="E1453" s="2524"/>
      <c r="F1453" s="2524"/>
      <c r="G1453" s="2524"/>
      <c r="H1453" s="2524"/>
      <c r="I1453" s="2524"/>
      <c r="J1453" s="2163"/>
      <c r="K1453" s="2163"/>
      <c r="L1453" s="2163"/>
      <c r="M1453" s="2163"/>
    </row>
    <row r="1454" spans="1:15">
      <c r="A1454" s="2163"/>
      <c r="B1454" s="2163"/>
      <c r="C1454" s="2163"/>
      <c r="D1454" s="2163"/>
      <c r="E1454" s="2163"/>
      <c r="F1454" s="2163"/>
      <c r="G1454" s="2163"/>
      <c r="H1454" s="2163"/>
      <c r="I1454" s="2163"/>
      <c r="J1454" s="2163"/>
      <c r="K1454" s="2163"/>
      <c r="L1454" s="2163"/>
      <c r="M1454" s="2163"/>
    </row>
    <row r="1455" spans="1:15">
      <c r="A1455" s="2520" t="s">
        <v>2648</v>
      </c>
      <c r="B1455" s="2520"/>
      <c r="C1455" s="2520"/>
      <c r="D1455" s="2166"/>
      <c r="E1455" s="2166"/>
      <c r="F1455" s="2166"/>
      <c r="G1455" s="2166"/>
      <c r="H1455" s="2525">
        <v>-6.1219999999999999</v>
      </c>
      <c r="I1455" s="2525"/>
      <c r="J1455" s="2525"/>
      <c r="K1455" s="2166"/>
      <c r="L1455" s="2167">
        <v>-426.59</v>
      </c>
      <c r="M1455" s="2166"/>
    </row>
    <row r="1456" spans="1:15">
      <c r="A1456" s="2520" t="s">
        <v>2649</v>
      </c>
      <c r="B1456" s="2520"/>
      <c r="C1456" s="2520"/>
      <c r="D1456" s="2166"/>
      <c r="E1456" s="2166"/>
      <c r="F1456" s="2166"/>
      <c r="G1456" s="2166"/>
      <c r="H1456" s="2525">
        <v>6.1159999999999997</v>
      </c>
      <c r="I1456" s="2525"/>
      <c r="J1456" s="2525"/>
      <c r="K1456" s="2166"/>
      <c r="L1456" s="2167">
        <v>440.76</v>
      </c>
      <c r="M1456" s="2166"/>
    </row>
    <row r="1457" spans="1:15">
      <c r="A1457" s="2164"/>
      <c r="B1457" s="2164"/>
      <c r="C1457" s="2164"/>
      <c r="D1457" s="2164"/>
      <c r="E1457" s="2522" t="s">
        <v>2639</v>
      </c>
      <c r="F1457" s="2522"/>
      <c r="G1457" s="2164"/>
      <c r="H1457" s="2523">
        <v>0</v>
      </c>
      <c r="I1457" s="2523"/>
      <c r="J1457" s="2523"/>
      <c r="K1457" s="2163"/>
      <c r="L1457" s="2523">
        <v>0</v>
      </c>
      <c r="M1457" s="2163"/>
    </row>
    <row r="1458" spans="1:15">
      <c r="A1458" s="2164"/>
      <c r="B1458" s="2164"/>
      <c r="C1458" s="2164"/>
      <c r="D1458" s="2164"/>
      <c r="E1458" s="2164"/>
      <c r="F1458" s="2164"/>
      <c r="G1458" s="2164"/>
      <c r="H1458" s="2523"/>
      <c r="I1458" s="2523"/>
      <c r="J1458" s="2523"/>
      <c r="K1458" s="2163"/>
      <c r="L1458" s="2523"/>
      <c r="M1458" s="2163"/>
    </row>
    <row r="1459" spans="1:15" ht="27.6">
      <c r="A1459" s="2160" t="s">
        <v>2734</v>
      </c>
      <c r="B1459" s="2161"/>
      <c r="C1459" s="2160" t="s">
        <v>2735</v>
      </c>
      <c r="D1459" s="2161"/>
      <c r="E1459" s="2160" t="s">
        <v>2698</v>
      </c>
      <c r="F1459" s="2161"/>
    </row>
    <row r="1460" spans="1:15">
      <c r="A1460" s="2163"/>
      <c r="B1460" s="2163"/>
      <c r="C1460" s="2163"/>
      <c r="D1460" s="2163"/>
      <c r="E1460" s="2163"/>
      <c r="F1460" s="2163"/>
      <c r="G1460" s="2163"/>
      <c r="H1460" s="2163"/>
      <c r="I1460" s="2163"/>
      <c r="J1460" s="2163"/>
      <c r="K1460" s="2163"/>
      <c r="L1460" s="2163"/>
      <c r="M1460" s="2163"/>
    </row>
    <row r="1461" spans="1:15">
      <c r="A1461" s="2164"/>
      <c r="H1461" s="2522" t="s">
        <v>2637</v>
      </c>
      <c r="I1461" s="2522"/>
      <c r="J1461" s="2163"/>
      <c r="K1461" s="2523">
        <v>0</v>
      </c>
      <c r="L1461" s="2523"/>
      <c r="M1461" s="2163"/>
      <c r="N1461" s="2527"/>
      <c r="O1461" s="2163"/>
    </row>
    <row r="1462" spans="1:15">
      <c r="H1462" s="2163"/>
      <c r="I1462" s="2163"/>
      <c r="J1462" s="2163"/>
      <c r="K1462" s="2523"/>
      <c r="L1462" s="2523"/>
      <c r="N1462" s="2527"/>
    </row>
    <row r="1463" spans="1:15">
      <c r="A1463" s="2165">
        <v>70568</v>
      </c>
      <c r="B1463" s="2163"/>
      <c r="C1463" s="2524" t="s">
        <v>2864</v>
      </c>
      <c r="D1463" s="2524"/>
      <c r="E1463" s="2524"/>
      <c r="F1463" s="2524"/>
      <c r="G1463" s="2524"/>
      <c r="H1463" s="2524"/>
      <c r="I1463" s="2524"/>
      <c r="J1463" s="2163"/>
      <c r="K1463" s="2163"/>
      <c r="L1463" s="2163"/>
      <c r="M1463" s="2163"/>
    </row>
    <row r="1464" spans="1:15">
      <c r="A1464" s="2163"/>
      <c r="B1464" s="2163"/>
      <c r="C1464" s="2163"/>
      <c r="D1464" s="2163"/>
      <c r="E1464" s="2163"/>
      <c r="F1464" s="2163"/>
      <c r="G1464" s="2163"/>
      <c r="H1464" s="2163"/>
      <c r="I1464" s="2163"/>
      <c r="J1464" s="2163"/>
      <c r="K1464" s="2163"/>
      <c r="L1464" s="2163"/>
      <c r="M1464" s="2163"/>
    </row>
    <row r="1465" spans="1:15">
      <c r="A1465" s="2520" t="s">
        <v>2647</v>
      </c>
      <c r="B1465" s="2520"/>
      <c r="C1465" s="2520"/>
      <c r="D1465" s="2166"/>
      <c r="E1465" s="2166"/>
      <c r="F1465" s="2166"/>
      <c r="G1465" s="2166"/>
      <c r="H1465" s="2526">
        <v>29192.001</v>
      </c>
      <c r="I1465" s="2526"/>
      <c r="J1465" s="2526"/>
      <c r="K1465" s="2166"/>
      <c r="L1465" s="2168">
        <v>1998470</v>
      </c>
      <c r="M1465" s="2166"/>
    </row>
    <row r="1466" spans="1:15">
      <c r="A1466" s="2520" t="s">
        <v>2649</v>
      </c>
      <c r="B1466" s="2520"/>
      <c r="C1466" s="2520"/>
      <c r="D1466" s="2166"/>
      <c r="E1466" s="2166"/>
      <c r="F1466" s="2166"/>
      <c r="G1466" s="2166"/>
      <c r="H1466" s="2525">
        <v>1.7999999999999999E-2</v>
      </c>
      <c r="I1466" s="2525"/>
      <c r="J1466" s="2525"/>
      <c r="K1466" s="2166"/>
      <c r="L1466" s="2167">
        <v>1.27</v>
      </c>
      <c r="M1466" s="2166"/>
    </row>
    <row r="1467" spans="1:15">
      <c r="A1467" s="2164"/>
      <c r="B1467" s="2164"/>
      <c r="C1467" s="2164"/>
      <c r="D1467" s="2164"/>
      <c r="E1467" s="2522" t="s">
        <v>2639</v>
      </c>
      <c r="F1467" s="2522"/>
      <c r="G1467" s="2164"/>
      <c r="H1467" s="2528">
        <v>29192.018599999999</v>
      </c>
      <c r="I1467" s="2528"/>
      <c r="J1467" s="2528"/>
      <c r="K1467" s="2163"/>
      <c r="L1467" s="2528">
        <v>2034076.5</v>
      </c>
      <c r="M1467" s="2163"/>
    </row>
    <row r="1468" spans="1:15">
      <c r="A1468" s="2164"/>
      <c r="B1468" s="2164"/>
      <c r="C1468" s="2164"/>
      <c r="D1468" s="2164"/>
      <c r="E1468" s="2164"/>
      <c r="F1468" s="2164"/>
      <c r="G1468" s="2164"/>
      <c r="H1468" s="2528"/>
      <c r="I1468" s="2528"/>
      <c r="J1468" s="2528"/>
      <c r="K1468" s="2163"/>
      <c r="L1468" s="2528"/>
      <c r="M1468" s="2163"/>
    </row>
    <row r="1469" spans="1:15" ht="27.6">
      <c r="A1469" s="2160" t="s">
        <v>2734</v>
      </c>
      <c r="B1469" s="2161"/>
      <c r="C1469" s="2160" t="s">
        <v>2735</v>
      </c>
      <c r="D1469" s="2161"/>
      <c r="E1469" s="2160" t="s">
        <v>2698</v>
      </c>
      <c r="F1469" s="2161"/>
    </row>
    <row r="1470" spans="1:15">
      <c r="A1470" s="2163"/>
      <c r="B1470" s="2163"/>
      <c r="C1470" s="2163"/>
      <c r="D1470" s="2163"/>
      <c r="E1470" s="2163"/>
      <c r="F1470" s="2163"/>
      <c r="G1470" s="2163"/>
      <c r="H1470" s="2163"/>
      <c r="I1470" s="2163"/>
      <c r="J1470" s="2163"/>
      <c r="K1470" s="2163"/>
      <c r="L1470" s="2163"/>
      <c r="M1470" s="2163"/>
    </row>
    <row r="1471" spans="1:15">
      <c r="A1471" s="2164"/>
      <c r="H1471" s="2522" t="s">
        <v>2637</v>
      </c>
      <c r="I1471" s="2522"/>
      <c r="J1471" s="2163"/>
      <c r="K1471" s="2528">
        <v>40462.025800000003</v>
      </c>
      <c r="L1471" s="2528"/>
      <c r="M1471" s="2163"/>
      <c r="N1471" s="2527" t="s">
        <v>3116</v>
      </c>
      <c r="O1471" s="2163"/>
    </row>
    <row r="1472" spans="1:15">
      <c r="H1472" s="2163"/>
      <c r="I1472" s="2163"/>
      <c r="J1472" s="2163"/>
      <c r="K1472" s="2528"/>
      <c r="L1472" s="2528"/>
      <c r="N1472" s="2527"/>
    </row>
    <row r="1473" spans="1:15">
      <c r="A1473" s="2165">
        <v>79941</v>
      </c>
      <c r="B1473" s="2163"/>
      <c r="C1473" s="2524" t="s">
        <v>2866</v>
      </c>
      <c r="D1473" s="2524"/>
      <c r="E1473" s="2524"/>
      <c r="F1473" s="2524"/>
      <c r="G1473" s="2524"/>
      <c r="H1473" s="2524"/>
      <c r="I1473" s="2524"/>
      <c r="J1473" s="2163"/>
      <c r="K1473" s="2163"/>
      <c r="L1473" s="2163"/>
      <c r="M1473" s="2163"/>
    </row>
    <row r="1474" spans="1:15">
      <c r="A1474" s="2163"/>
      <c r="B1474" s="2163"/>
      <c r="C1474" s="2163"/>
      <c r="D1474" s="2163"/>
      <c r="E1474" s="2163"/>
      <c r="F1474" s="2163"/>
      <c r="G1474" s="2163"/>
      <c r="H1474" s="2163"/>
      <c r="I1474" s="2163"/>
      <c r="J1474" s="2163"/>
      <c r="K1474" s="2163"/>
      <c r="L1474" s="2163"/>
      <c r="M1474" s="2163"/>
    </row>
    <row r="1475" spans="1:15">
      <c r="A1475" s="2520" t="s">
        <v>2647</v>
      </c>
      <c r="B1475" s="2520"/>
      <c r="C1475" s="2520"/>
      <c r="D1475" s="2166"/>
      <c r="E1475" s="2166"/>
      <c r="F1475" s="2166"/>
      <c r="G1475" s="2166"/>
      <c r="H1475" s="2526">
        <v>42389.4</v>
      </c>
      <c r="I1475" s="2526"/>
      <c r="J1475" s="2526"/>
      <c r="K1475" s="2166"/>
      <c r="L1475" s="2168">
        <v>3000000</v>
      </c>
      <c r="M1475" s="2166"/>
    </row>
    <row r="1476" spans="1:15">
      <c r="A1476" s="2520" t="s">
        <v>2648</v>
      </c>
      <c r="B1476" s="2520"/>
      <c r="C1476" s="2520"/>
      <c r="D1476" s="2166"/>
      <c r="E1476" s="2166"/>
      <c r="F1476" s="2166"/>
      <c r="G1476" s="2166"/>
      <c r="H1476" s="2526">
        <v>-40462.025999999998</v>
      </c>
      <c r="I1476" s="2526"/>
      <c r="J1476" s="2526"/>
      <c r="K1476" s="2166"/>
      <c r="L1476" s="2168">
        <v>-2634874.98</v>
      </c>
      <c r="M1476" s="2166"/>
    </row>
    <row r="1477" spans="1:15">
      <c r="A1477" s="2164"/>
      <c r="B1477" s="2164"/>
      <c r="C1477" s="2164"/>
      <c r="D1477" s="2164"/>
      <c r="E1477" s="2522" t="s">
        <v>2639</v>
      </c>
      <c r="F1477" s="2522"/>
      <c r="G1477" s="2164"/>
      <c r="H1477" s="2528">
        <v>42389.400300000001</v>
      </c>
      <c r="I1477" s="2528"/>
      <c r="J1477" s="2528"/>
      <c r="K1477" s="2163"/>
      <c r="L1477" s="2528">
        <v>2953659.5</v>
      </c>
      <c r="M1477" s="2163"/>
    </row>
    <row r="1478" spans="1:15">
      <c r="A1478" s="2164"/>
      <c r="B1478" s="2164"/>
      <c r="C1478" s="2164"/>
      <c r="D1478" s="2164"/>
      <c r="E1478" s="2164"/>
      <c r="F1478" s="2164"/>
      <c r="G1478" s="2164"/>
      <c r="H1478" s="2528"/>
      <c r="I1478" s="2528"/>
      <c r="J1478" s="2528"/>
      <c r="K1478" s="2163"/>
      <c r="L1478" s="2528"/>
      <c r="M1478" s="2163"/>
    </row>
    <row r="1479" spans="1:15" ht="27.6">
      <c r="A1479" s="2160" t="s">
        <v>2734</v>
      </c>
      <c r="B1479" s="2161"/>
      <c r="C1479" s="2160" t="s">
        <v>2735</v>
      </c>
      <c r="D1479" s="2161"/>
      <c r="E1479" s="2160" t="s">
        <v>2698</v>
      </c>
      <c r="F1479" s="2161"/>
    </row>
    <row r="1480" spans="1:15">
      <c r="A1480" s="2163"/>
      <c r="B1480" s="2163"/>
      <c r="C1480" s="2163"/>
      <c r="D1480" s="2163"/>
      <c r="E1480" s="2163"/>
      <c r="F1480" s="2163"/>
      <c r="G1480" s="2163"/>
      <c r="H1480" s="2163"/>
      <c r="I1480" s="2163"/>
      <c r="J1480" s="2163"/>
      <c r="K1480" s="2163"/>
      <c r="L1480" s="2163"/>
      <c r="M1480" s="2163"/>
    </row>
    <row r="1481" spans="1:15">
      <c r="A1481" s="2164"/>
      <c r="H1481" s="2522" t="s">
        <v>2637</v>
      </c>
      <c r="I1481" s="2522"/>
      <c r="J1481" s="2163"/>
      <c r="K1481" s="2528">
        <v>8427.5463</v>
      </c>
      <c r="L1481" s="2528"/>
      <c r="M1481" s="2163"/>
      <c r="N1481" s="2527" t="s">
        <v>3117</v>
      </c>
      <c r="O1481" s="2163"/>
    </row>
    <row r="1482" spans="1:15">
      <c r="H1482" s="2163"/>
      <c r="I1482" s="2163"/>
      <c r="J1482" s="2163"/>
      <c r="K1482" s="2528"/>
      <c r="L1482" s="2528"/>
      <c r="N1482" s="2527"/>
    </row>
    <row r="1483" spans="1:15">
      <c r="A1483" s="2165">
        <v>81696</v>
      </c>
      <c r="B1483" s="2163"/>
      <c r="C1483" s="2524" t="s">
        <v>3059</v>
      </c>
      <c r="D1483" s="2524"/>
      <c r="E1483" s="2524"/>
      <c r="F1483" s="2524"/>
      <c r="G1483" s="2524"/>
      <c r="H1483" s="2524"/>
      <c r="I1483" s="2524"/>
      <c r="J1483" s="2163"/>
      <c r="K1483" s="2163"/>
      <c r="L1483" s="2163"/>
      <c r="M1483" s="2163"/>
    </row>
    <row r="1484" spans="1:15">
      <c r="A1484" s="2163"/>
      <c r="B1484" s="2163"/>
      <c r="C1484" s="2163"/>
      <c r="D1484" s="2163"/>
      <c r="E1484" s="2163"/>
      <c r="F1484" s="2163"/>
      <c r="G1484" s="2163"/>
      <c r="H1484" s="2163"/>
      <c r="I1484" s="2163"/>
      <c r="J1484" s="2163"/>
      <c r="K1484" s="2163"/>
      <c r="L1484" s="2163"/>
      <c r="M1484" s="2163"/>
    </row>
    <row r="1485" spans="1:15">
      <c r="A1485" s="2520" t="s">
        <v>2647</v>
      </c>
      <c r="B1485" s="2520"/>
      <c r="C1485" s="2520"/>
      <c r="D1485" s="2166"/>
      <c r="E1485" s="2166"/>
      <c r="F1485" s="2166"/>
      <c r="G1485" s="2166"/>
      <c r="H1485" s="2526">
        <v>27751.760999999999</v>
      </c>
      <c r="I1485" s="2526"/>
      <c r="J1485" s="2526"/>
      <c r="K1485" s="2166"/>
      <c r="L1485" s="2168">
        <v>2000000</v>
      </c>
      <c r="M1485" s="2166"/>
    </row>
    <row r="1486" spans="1:15">
      <c r="A1486" s="2164"/>
      <c r="B1486" s="2164"/>
      <c r="C1486" s="2164"/>
      <c r="D1486" s="2164"/>
      <c r="E1486" s="2522" t="s">
        <v>2639</v>
      </c>
      <c r="F1486" s="2522"/>
      <c r="G1486" s="2164"/>
      <c r="H1486" s="2528">
        <v>36179.306799999998</v>
      </c>
      <c r="I1486" s="2528"/>
      <c r="J1486" s="2528"/>
      <c r="K1486" s="2163"/>
      <c r="L1486" s="2528">
        <v>2520945.15</v>
      </c>
      <c r="M1486" s="2163"/>
    </row>
    <row r="1487" spans="1:15">
      <c r="A1487" s="2164"/>
      <c r="B1487" s="2164"/>
      <c r="C1487" s="2164"/>
      <c r="D1487" s="2164"/>
      <c r="E1487" s="2164"/>
      <c r="F1487" s="2164"/>
      <c r="G1487" s="2164"/>
      <c r="H1487" s="2528"/>
      <c r="I1487" s="2528"/>
      <c r="J1487" s="2528"/>
      <c r="K1487" s="2163"/>
      <c r="L1487" s="2528"/>
      <c r="M1487" s="2163"/>
    </row>
    <row r="1488" spans="1:15" ht="27.6">
      <c r="A1488" s="2160" t="s">
        <v>2734</v>
      </c>
      <c r="B1488" s="2161"/>
      <c r="C1488" s="2160" t="s">
        <v>2735</v>
      </c>
      <c r="D1488" s="2161"/>
      <c r="E1488" s="2160" t="s">
        <v>2737</v>
      </c>
      <c r="F1488" s="2161"/>
    </row>
    <row r="1489" spans="1:15">
      <c r="A1489" s="2163"/>
      <c r="B1489" s="2163"/>
      <c r="C1489" s="2163"/>
      <c r="D1489" s="2163"/>
      <c r="E1489" s="2163"/>
      <c r="F1489" s="2163"/>
      <c r="G1489" s="2163"/>
      <c r="H1489" s="2163"/>
      <c r="I1489" s="2163"/>
      <c r="J1489" s="2163"/>
      <c r="K1489" s="2163"/>
      <c r="L1489" s="2163"/>
      <c r="M1489" s="2163"/>
    </row>
    <row r="1490" spans="1:15">
      <c r="A1490" s="2164"/>
      <c r="H1490" s="2522" t="s">
        <v>2637</v>
      </c>
      <c r="I1490" s="2522"/>
      <c r="J1490" s="2163"/>
      <c r="K1490" s="2523">
        <v>0</v>
      </c>
      <c r="L1490" s="2523"/>
      <c r="M1490" s="2163"/>
      <c r="N1490" s="2527"/>
      <c r="O1490" s="2163"/>
    </row>
    <row r="1491" spans="1:15">
      <c r="H1491" s="2163"/>
      <c r="I1491" s="2163"/>
      <c r="J1491" s="2163"/>
      <c r="K1491" s="2523"/>
      <c r="L1491" s="2523"/>
      <c r="N1491" s="2527"/>
    </row>
    <row r="1492" spans="1:15">
      <c r="A1492" s="2165">
        <v>4421</v>
      </c>
      <c r="B1492" s="2163"/>
      <c r="C1492" s="2524" t="s">
        <v>2854</v>
      </c>
      <c r="D1492" s="2524"/>
      <c r="E1492" s="2524"/>
      <c r="F1492" s="2524"/>
      <c r="G1492" s="2524"/>
      <c r="H1492" s="2524"/>
      <c r="I1492" s="2524"/>
      <c r="J1492" s="2163"/>
      <c r="K1492" s="2163"/>
      <c r="L1492" s="2163"/>
      <c r="M1492" s="2163"/>
    </row>
    <row r="1493" spans="1:15">
      <c r="A1493" s="2163"/>
      <c r="B1493" s="2163"/>
      <c r="C1493" s="2163"/>
      <c r="D1493" s="2163"/>
      <c r="E1493" s="2163"/>
      <c r="F1493" s="2163"/>
      <c r="G1493" s="2163"/>
      <c r="H1493" s="2163"/>
      <c r="I1493" s="2163"/>
      <c r="J1493" s="2163"/>
      <c r="K1493" s="2163"/>
      <c r="L1493" s="2163"/>
      <c r="M1493" s="2163"/>
    </row>
    <row r="1494" spans="1:15">
      <c r="A1494" s="2529"/>
      <c r="B1494" s="2529"/>
      <c r="C1494" s="2529"/>
      <c r="D1494" s="2166"/>
      <c r="E1494" s="2166"/>
      <c r="F1494" s="2166"/>
      <c r="G1494" s="2166"/>
      <c r="H1494" s="2525"/>
      <c r="I1494" s="2525"/>
      <c r="J1494" s="2525"/>
      <c r="K1494" s="2166"/>
      <c r="L1494" s="2167"/>
      <c r="M1494" s="2166"/>
    </row>
    <row r="1495" spans="1:15">
      <c r="A1495" s="2164"/>
      <c r="B1495" s="2164"/>
      <c r="C1495" s="2164"/>
      <c r="D1495" s="2164"/>
      <c r="E1495" s="2522" t="s">
        <v>2639</v>
      </c>
      <c r="F1495" s="2522"/>
      <c r="G1495" s="2164"/>
      <c r="H1495" s="2523">
        <v>0</v>
      </c>
      <c r="I1495" s="2523"/>
      <c r="J1495" s="2523"/>
      <c r="K1495" s="2163"/>
      <c r="L1495" s="2523">
        <v>0</v>
      </c>
      <c r="M1495" s="2163"/>
    </row>
    <row r="1496" spans="1:15">
      <c r="A1496" s="2164"/>
      <c r="B1496" s="2164"/>
      <c r="C1496" s="2164"/>
      <c r="D1496" s="2164"/>
      <c r="E1496" s="2164"/>
      <c r="F1496" s="2164"/>
      <c r="G1496" s="2164"/>
      <c r="H1496" s="2523"/>
      <c r="I1496" s="2523"/>
      <c r="J1496" s="2523"/>
      <c r="K1496" s="2163"/>
      <c r="L1496" s="2523"/>
      <c r="M1496" s="2163"/>
    </row>
    <row r="1497" spans="1:15">
      <c r="A1497" s="2160" t="s">
        <v>2738</v>
      </c>
      <c r="B1497" s="2161"/>
      <c r="C1497" s="2160" t="s">
        <v>2739</v>
      </c>
      <c r="D1497" s="2161"/>
      <c r="E1497" s="2160" t="s">
        <v>2640</v>
      </c>
      <c r="F1497" s="2161"/>
    </row>
    <row r="1498" spans="1:15">
      <c r="A1498" s="2163"/>
      <c r="B1498" s="2163"/>
      <c r="C1498" s="2163"/>
      <c r="D1498" s="2163"/>
      <c r="E1498" s="2163"/>
      <c r="F1498" s="2163"/>
      <c r="G1498" s="2163"/>
      <c r="H1498" s="2163"/>
      <c r="I1498" s="2163"/>
      <c r="J1498" s="2163"/>
      <c r="K1498" s="2163"/>
      <c r="L1498" s="2163"/>
      <c r="M1498" s="2163"/>
    </row>
    <row r="1499" spans="1:15">
      <c r="A1499" s="2164"/>
      <c r="H1499" s="2522" t="s">
        <v>2637</v>
      </c>
      <c r="I1499" s="2522"/>
      <c r="J1499" s="2163"/>
      <c r="K1499" s="2523">
        <v>0</v>
      </c>
      <c r="L1499" s="2523"/>
      <c r="M1499" s="2163"/>
      <c r="N1499" s="2527"/>
      <c r="O1499" s="2163"/>
    </row>
    <row r="1500" spans="1:15">
      <c r="H1500" s="2163"/>
      <c r="I1500" s="2163"/>
      <c r="J1500" s="2163"/>
      <c r="K1500" s="2523"/>
      <c r="L1500" s="2523"/>
      <c r="N1500" s="2527"/>
    </row>
    <row r="1501" spans="1:15">
      <c r="A1501" s="2165">
        <v>2393</v>
      </c>
      <c r="B1501" s="2163"/>
      <c r="C1501" s="2524" t="s">
        <v>3048</v>
      </c>
      <c r="D1501" s="2524"/>
      <c r="E1501" s="2524"/>
      <c r="F1501" s="2524"/>
      <c r="G1501" s="2524"/>
      <c r="H1501" s="2524"/>
      <c r="I1501" s="2524"/>
      <c r="J1501" s="2163"/>
      <c r="K1501" s="2163"/>
      <c r="L1501" s="2163"/>
      <c r="M1501" s="2163"/>
    </row>
    <row r="1502" spans="1:15">
      <c r="A1502" s="2163"/>
      <c r="B1502" s="2163"/>
      <c r="C1502" s="2163"/>
      <c r="D1502" s="2163"/>
      <c r="E1502" s="2163"/>
      <c r="F1502" s="2163"/>
      <c r="G1502" s="2163"/>
      <c r="H1502" s="2163"/>
      <c r="I1502" s="2163"/>
      <c r="J1502" s="2163"/>
      <c r="K1502" s="2163"/>
      <c r="L1502" s="2163"/>
      <c r="M1502" s="2163"/>
    </row>
    <row r="1503" spans="1:15">
      <c r="A1503" s="2529"/>
      <c r="B1503" s="2529"/>
      <c r="C1503" s="2529"/>
      <c r="D1503" s="2166"/>
      <c r="E1503" s="2166"/>
      <c r="F1503" s="2166"/>
      <c r="G1503" s="2166"/>
      <c r="H1503" s="2525"/>
      <c r="I1503" s="2525"/>
      <c r="J1503" s="2525"/>
      <c r="K1503" s="2166"/>
      <c r="L1503" s="2167"/>
      <c r="M1503" s="2166"/>
    </row>
    <row r="1504" spans="1:15">
      <c r="A1504" s="2164"/>
      <c r="B1504" s="2164"/>
      <c r="C1504" s="2164"/>
      <c r="D1504" s="2164"/>
      <c r="E1504" s="2522" t="s">
        <v>2639</v>
      </c>
      <c r="F1504" s="2522"/>
      <c r="G1504" s="2164"/>
      <c r="H1504" s="2523">
        <v>0</v>
      </c>
      <c r="I1504" s="2523"/>
      <c r="J1504" s="2523"/>
      <c r="K1504" s="2163"/>
      <c r="L1504" s="2523">
        <v>0</v>
      </c>
      <c r="M1504" s="2163"/>
    </row>
    <row r="1505" spans="1:15">
      <c r="A1505" s="2164"/>
      <c r="B1505" s="2164"/>
      <c r="C1505" s="2164"/>
      <c r="D1505" s="2164"/>
      <c r="E1505" s="2164"/>
      <c r="F1505" s="2164"/>
      <c r="G1505" s="2164"/>
      <c r="H1505" s="2523"/>
      <c r="I1505" s="2523"/>
      <c r="J1505" s="2523"/>
      <c r="K1505" s="2163"/>
      <c r="L1505" s="2523"/>
      <c r="M1505" s="2163"/>
    </row>
    <row r="1506" spans="1:15">
      <c r="A1506" s="2160" t="s">
        <v>2738</v>
      </c>
      <c r="B1506" s="2161"/>
      <c r="C1506" s="2160" t="s">
        <v>2739</v>
      </c>
      <c r="D1506" s="2161"/>
      <c r="E1506" s="2160" t="s">
        <v>2640</v>
      </c>
      <c r="F1506" s="2161"/>
    </row>
    <row r="1507" spans="1:15">
      <c r="A1507" s="2163"/>
      <c r="B1507" s="2163"/>
      <c r="C1507" s="2163"/>
      <c r="D1507" s="2163"/>
      <c r="E1507" s="2163"/>
      <c r="F1507" s="2163"/>
      <c r="G1507" s="2163"/>
      <c r="H1507" s="2163"/>
      <c r="I1507" s="2163"/>
      <c r="J1507" s="2163"/>
      <c r="K1507" s="2163"/>
      <c r="L1507" s="2163"/>
      <c r="M1507" s="2163"/>
    </row>
    <row r="1508" spans="1:15">
      <c r="A1508" s="2164"/>
      <c r="H1508" s="2522" t="s">
        <v>2637</v>
      </c>
      <c r="I1508" s="2522"/>
      <c r="J1508" s="2163"/>
      <c r="K1508" s="2523">
        <v>0</v>
      </c>
      <c r="L1508" s="2523"/>
      <c r="M1508" s="2163"/>
      <c r="N1508" s="2527"/>
      <c r="O1508" s="2163"/>
    </row>
    <row r="1509" spans="1:15">
      <c r="H1509" s="2163"/>
      <c r="I1509" s="2163"/>
      <c r="J1509" s="2163"/>
      <c r="K1509" s="2523"/>
      <c r="L1509" s="2523"/>
      <c r="N1509" s="2527"/>
    </row>
    <row r="1510" spans="1:15">
      <c r="A1510" s="2165">
        <v>2802</v>
      </c>
      <c r="B1510" s="2163"/>
      <c r="C1510" s="2524" t="s">
        <v>2853</v>
      </c>
      <c r="D1510" s="2524"/>
      <c r="E1510" s="2524"/>
      <c r="F1510" s="2524"/>
      <c r="G1510" s="2524"/>
      <c r="H1510" s="2524"/>
      <c r="I1510" s="2524"/>
      <c r="J1510" s="2163"/>
      <c r="K1510" s="2163"/>
      <c r="L1510" s="2163"/>
      <c r="M1510" s="2163"/>
    </row>
    <row r="1511" spans="1:15">
      <c r="A1511" s="2163"/>
      <c r="B1511" s="2163"/>
      <c r="C1511" s="2163"/>
      <c r="D1511" s="2163"/>
      <c r="E1511" s="2163"/>
      <c r="F1511" s="2163"/>
      <c r="G1511" s="2163"/>
      <c r="H1511" s="2163"/>
      <c r="I1511" s="2163"/>
      <c r="J1511" s="2163"/>
      <c r="K1511" s="2163"/>
      <c r="L1511" s="2163"/>
      <c r="M1511" s="2163"/>
    </row>
    <row r="1512" spans="1:15">
      <c r="A1512" s="2520" t="s">
        <v>2648</v>
      </c>
      <c r="B1512" s="2520"/>
      <c r="C1512" s="2520"/>
      <c r="D1512" s="2166"/>
      <c r="E1512" s="2166"/>
      <c r="F1512" s="2166"/>
      <c r="G1512" s="2166"/>
      <c r="H1512" s="2526">
        <v>-467377.08</v>
      </c>
      <c r="I1512" s="2526"/>
      <c r="J1512" s="2526"/>
      <c r="K1512" s="2166"/>
      <c r="L1512" s="2168">
        <v>-25084127.870000001</v>
      </c>
      <c r="M1512" s="2166"/>
    </row>
    <row r="1513" spans="1:15">
      <c r="A1513" s="2520" t="s">
        <v>2649</v>
      </c>
      <c r="B1513" s="2520"/>
      <c r="C1513" s="2520"/>
      <c r="D1513" s="2166"/>
      <c r="E1513" s="2166"/>
      <c r="F1513" s="2166"/>
      <c r="G1513" s="2166"/>
      <c r="H1513" s="2526">
        <v>467377.08</v>
      </c>
      <c r="I1513" s="2526"/>
      <c r="J1513" s="2526"/>
      <c r="K1513" s="2166"/>
      <c r="L1513" s="2168">
        <v>25000000</v>
      </c>
      <c r="M1513" s="2166"/>
    </row>
    <row r="1514" spans="1:15">
      <c r="A1514" s="2164"/>
      <c r="B1514" s="2164"/>
      <c r="C1514" s="2164"/>
      <c r="D1514" s="2164"/>
      <c r="E1514" s="2522" t="s">
        <v>2639</v>
      </c>
      <c r="F1514" s="2522"/>
      <c r="G1514" s="2164"/>
      <c r="H1514" s="2523">
        <v>0</v>
      </c>
      <c r="I1514" s="2523"/>
      <c r="J1514" s="2523"/>
      <c r="K1514" s="2163"/>
      <c r="L1514" s="2523">
        <v>0</v>
      </c>
      <c r="M1514" s="2163"/>
    </row>
    <row r="1515" spans="1:15">
      <c r="A1515" s="2164"/>
      <c r="B1515" s="2164"/>
      <c r="C1515" s="2164"/>
      <c r="D1515" s="2164"/>
      <c r="E1515" s="2164"/>
      <c r="F1515" s="2164"/>
      <c r="G1515" s="2164"/>
      <c r="H1515" s="2523"/>
      <c r="I1515" s="2523"/>
      <c r="J1515" s="2523"/>
      <c r="K1515" s="2163"/>
      <c r="L1515" s="2523"/>
      <c r="M1515" s="2163"/>
    </row>
    <row r="1516" spans="1:15">
      <c r="A1516" s="2160" t="s">
        <v>2738</v>
      </c>
      <c r="B1516" s="2161"/>
      <c r="C1516" s="2160" t="s">
        <v>2739</v>
      </c>
      <c r="D1516" s="2161"/>
      <c r="E1516" s="2160" t="s">
        <v>2640</v>
      </c>
      <c r="F1516" s="2161"/>
    </row>
    <row r="1517" spans="1:15">
      <c r="A1517" s="2163"/>
      <c r="B1517" s="2163"/>
      <c r="C1517" s="2163"/>
      <c r="D1517" s="2163"/>
      <c r="E1517" s="2163"/>
      <c r="F1517" s="2163"/>
      <c r="G1517" s="2163"/>
      <c r="H1517" s="2163"/>
      <c r="I1517" s="2163"/>
      <c r="J1517" s="2163"/>
      <c r="K1517" s="2163"/>
      <c r="L1517" s="2163"/>
      <c r="M1517" s="2163"/>
    </row>
    <row r="1518" spans="1:15">
      <c r="A1518" s="2164"/>
      <c r="H1518" s="2522" t="s">
        <v>2637</v>
      </c>
      <c r="I1518" s="2522"/>
      <c r="J1518" s="2163"/>
      <c r="K1518" s="2523">
        <v>0</v>
      </c>
      <c r="L1518" s="2523"/>
      <c r="M1518" s="2163"/>
      <c r="N1518" s="2527"/>
      <c r="O1518" s="2163"/>
    </row>
    <row r="1519" spans="1:15">
      <c r="H1519" s="2163"/>
      <c r="I1519" s="2163"/>
      <c r="J1519" s="2163"/>
      <c r="K1519" s="2523"/>
      <c r="L1519" s="2523"/>
      <c r="N1519" s="2527"/>
    </row>
    <row r="1520" spans="1:15">
      <c r="A1520" s="2165">
        <v>4421</v>
      </c>
      <c r="B1520" s="2163"/>
      <c r="C1520" s="2524" t="s">
        <v>2854</v>
      </c>
      <c r="D1520" s="2524"/>
      <c r="E1520" s="2524"/>
      <c r="F1520" s="2524"/>
      <c r="G1520" s="2524"/>
      <c r="H1520" s="2524"/>
      <c r="I1520" s="2524"/>
      <c r="J1520" s="2163"/>
      <c r="K1520" s="2163"/>
      <c r="L1520" s="2163"/>
      <c r="M1520" s="2163"/>
    </row>
    <row r="1521" spans="1:15">
      <c r="A1521" s="2163"/>
      <c r="B1521" s="2163"/>
      <c r="C1521" s="2163"/>
      <c r="D1521" s="2163"/>
      <c r="E1521" s="2163"/>
      <c r="F1521" s="2163"/>
      <c r="G1521" s="2163"/>
      <c r="H1521" s="2163"/>
      <c r="I1521" s="2163"/>
      <c r="J1521" s="2163"/>
      <c r="K1521" s="2163"/>
      <c r="L1521" s="2163"/>
      <c r="M1521" s="2163"/>
    </row>
    <row r="1522" spans="1:15">
      <c r="A1522" s="2529"/>
      <c r="B1522" s="2529"/>
      <c r="C1522" s="2529"/>
      <c r="D1522" s="2166"/>
      <c r="E1522" s="2166"/>
      <c r="F1522" s="2166"/>
      <c r="G1522" s="2166"/>
      <c r="H1522" s="2525"/>
      <c r="I1522" s="2525"/>
      <c r="J1522" s="2525"/>
      <c r="K1522" s="2166"/>
      <c r="L1522" s="2167"/>
      <c r="M1522" s="2166"/>
    </row>
    <row r="1523" spans="1:15">
      <c r="A1523" s="2164"/>
      <c r="B1523" s="2164"/>
      <c r="C1523" s="2164"/>
      <c r="D1523" s="2164"/>
      <c r="E1523" s="2522" t="s">
        <v>2639</v>
      </c>
      <c r="F1523" s="2522"/>
      <c r="G1523" s="2164"/>
      <c r="H1523" s="2523">
        <v>0</v>
      </c>
      <c r="I1523" s="2523"/>
      <c r="J1523" s="2523"/>
      <c r="K1523" s="2163"/>
      <c r="L1523" s="2523">
        <v>0</v>
      </c>
      <c r="M1523" s="2163"/>
    </row>
    <row r="1524" spans="1:15">
      <c r="A1524" s="2164"/>
      <c r="B1524" s="2164"/>
      <c r="C1524" s="2164"/>
      <c r="D1524" s="2164"/>
      <c r="E1524" s="2164"/>
      <c r="F1524" s="2164"/>
      <c r="G1524" s="2164"/>
      <c r="H1524" s="2523"/>
      <c r="I1524" s="2523"/>
      <c r="J1524" s="2523"/>
      <c r="K1524" s="2163"/>
      <c r="L1524" s="2523"/>
      <c r="M1524" s="2163"/>
    </row>
    <row r="1525" spans="1:15">
      <c r="A1525" s="2160" t="s">
        <v>2738</v>
      </c>
      <c r="B1525" s="2161"/>
      <c r="C1525" s="2160" t="s">
        <v>2739</v>
      </c>
      <c r="D1525" s="2161"/>
      <c r="E1525" s="2160" t="s">
        <v>2640</v>
      </c>
      <c r="F1525" s="2161"/>
    </row>
    <row r="1526" spans="1:15">
      <c r="A1526" s="2163"/>
      <c r="B1526" s="2163"/>
      <c r="C1526" s="2163"/>
      <c r="D1526" s="2163"/>
      <c r="E1526" s="2163"/>
      <c r="F1526" s="2163"/>
      <c r="G1526" s="2163"/>
      <c r="H1526" s="2163"/>
      <c r="I1526" s="2163"/>
      <c r="J1526" s="2163"/>
      <c r="K1526" s="2163"/>
      <c r="L1526" s="2163"/>
      <c r="M1526" s="2163"/>
    </row>
    <row r="1527" spans="1:15">
      <c r="A1527" s="2164"/>
      <c r="H1527" s="2522" t="s">
        <v>2637</v>
      </c>
      <c r="I1527" s="2522"/>
      <c r="J1527" s="2163"/>
      <c r="K1527" s="2523">
        <v>0</v>
      </c>
      <c r="L1527" s="2523"/>
      <c r="M1527" s="2163"/>
      <c r="N1527" s="2527"/>
      <c r="O1527" s="2163"/>
    </row>
    <row r="1528" spans="1:15">
      <c r="H1528" s="2163"/>
      <c r="I1528" s="2163"/>
      <c r="J1528" s="2163"/>
      <c r="K1528" s="2523"/>
      <c r="L1528" s="2523"/>
      <c r="N1528" s="2527"/>
    </row>
    <row r="1529" spans="1:15">
      <c r="A1529" s="2165">
        <v>16815</v>
      </c>
      <c r="B1529" s="2163"/>
      <c r="C1529" s="2524" t="s">
        <v>3049</v>
      </c>
      <c r="D1529" s="2524"/>
      <c r="E1529" s="2524"/>
      <c r="F1529" s="2524"/>
      <c r="G1529" s="2524"/>
      <c r="H1529" s="2524"/>
      <c r="I1529" s="2524"/>
      <c r="J1529" s="2163"/>
      <c r="K1529" s="2163"/>
      <c r="L1529" s="2163"/>
      <c r="M1529" s="2163"/>
    </row>
    <row r="1530" spans="1:15">
      <c r="A1530" s="2163"/>
      <c r="B1530" s="2163"/>
      <c r="C1530" s="2163"/>
      <c r="D1530" s="2163"/>
      <c r="E1530" s="2163"/>
      <c r="F1530" s="2163"/>
      <c r="G1530" s="2163"/>
      <c r="H1530" s="2163"/>
      <c r="I1530" s="2163"/>
      <c r="J1530" s="2163"/>
      <c r="K1530" s="2163"/>
      <c r="L1530" s="2163"/>
      <c r="M1530" s="2163"/>
    </row>
    <row r="1531" spans="1:15">
      <c r="A1531" s="2520" t="s">
        <v>2648</v>
      </c>
      <c r="B1531" s="2520"/>
      <c r="C1531" s="2520"/>
      <c r="D1531" s="2166"/>
      <c r="E1531" s="2166"/>
      <c r="F1531" s="2166"/>
      <c r="G1531" s="2166"/>
      <c r="H1531" s="2525">
        <v>-82.465000000000003</v>
      </c>
      <c r="I1531" s="2525"/>
      <c r="J1531" s="2525"/>
      <c r="K1531" s="2166"/>
      <c r="L1531" s="2168">
        <v>-4446.53</v>
      </c>
      <c r="M1531" s="2166"/>
    </row>
    <row r="1532" spans="1:15">
      <c r="A1532" s="2520" t="s">
        <v>2649</v>
      </c>
      <c r="B1532" s="2520"/>
      <c r="C1532" s="2520"/>
      <c r="D1532" s="2166"/>
      <c r="E1532" s="2166"/>
      <c r="F1532" s="2166"/>
      <c r="G1532" s="2166"/>
      <c r="H1532" s="2525">
        <v>82.465000000000003</v>
      </c>
      <c r="I1532" s="2525"/>
      <c r="J1532" s="2525"/>
      <c r="K1532" s="2166"/>
      <c r="L1532" s="2168">
        <v>4442.41</v>
      </c>
      <c r="M1532" s="2166"/>
    </row>
    <row r="1533" spans="1:15">
      <c r="A1533" s="2164"/>
      <c r="B1533" s="2164"/>
      <c r="C1533" s="2164"/>
      <c r="D1533" s="2164"/>
      <c r="E1533" s="2522" t="s">
        <v>2639</v>
      </c>
      <c r="F1533" s="2522"/>
      <c r="G1533" s="2164"/>
      <c r="H1533" s="2523">
        <v>0</v>
      </c>
      <c r="I1533" s="2523"/>
      <c r="J1533" s="2523"/>
      <c r="K1533" s="2163"/>
      <c r="L1533" s="2523">
        <v>0</v>
      </c>
      <c r="M1533" s="2163"/>
    </row>
    <row r="1534" spans="1:15">
      <c r="A1534" s="2164"/>
      <c r="B1534" s="2164"/>
      <c r="C1534" s="2164"/>
      <c r="D1534" s="2164"/>
      <c r="E1534" s="2164"/>
      <c r="F1534" s="2164"/>
      <c r="G1534" s="2164"/>
      <c r="H1534" s="2523"/>
      <c r="I1534" s="2523"/>
      <c r="J1534" s="2523"/>
      <c r="K1534" s="2163"/>
      <c r="L1534" s="2523"/>
      <c r="M1534" s="2163"/>
    </row>
    <row r="1535" spans="1:15">
      <c r="A1535" s="2160" t="s">
        <v>2738</v>
      </c>
      <c r="B1535" s="2161"/>
      <c r="C1535" s="2160" t="s">
        <v>2739</v>
      </c>
      <c r="D1535" s="2161"/>
      <c r="E1535" s="2160" t="s">
        <v>2640</v>
      </c>
      <c r="F1535" s="2161"/>
    </row>
    <row r="1536" spans="1:15">
      <c r="A1536" s="2163"/>
      <c r="B1536" s="2163"/>
      <c r="C1536" s="2163"/>
      <c r="D1536" s="2163"/>
      <c r="E1536" s="2163"/>
      <c r="F1536" s="2163"/>
      <c r="G1536" s="2163"/>
      <c r="H1536" s="2163"/>
      <c r="I1536" s="2163"/>
      <c r="J1536" s="2163"/>
      <c r="K1536" s="2163"/>
      <c r="L1536" s="2163"/>
      <c r="M1536" s="2163"/>
    </row>
    <row r="1537" spans="1:15">
      <c r="A1537" s="2164"/>
      <c r="H1537" s="2522" t="s">
        <v>2637</v>
      </c>
      <c r="I1537" s="2522"/>
      <c r="J1537" s="2163"/>
      <c r="K1537" s="2523">
        <v>0</v>
      </c>
      <c r="L1537" s="2523"/>
      <c r="M1537" s="2163"/>
      <c r="N1537" s="2527"/>
      <c r="O1537" s="2163"/>
    </row>
    <row r="1538" spans="1:15">
      <c r="H1538" s="2163"/>
      <c r="I1538" s="2163"/>
      <c r="J1538" s="2163"/>
      <c r="K1538" s="2523"/>
      <c r="L1538" s="2523"/>
      <c r="N1538" s="2527"/>
    </row>
    <row r="1539" spans="1:15">
      <c r="A1539" s="2165">
        <v>24369</v>
      </c>
      <c r="B1539" s="2163"/>
      <c r="C1539" s="2524" t="s">
        <v>3050</v>
      </c>
      <c r="D1539" s="2524"/>
      <c r="E1539" s="2524"/>
      <c r="F1539" s="2524"/>
      <c r="G1539" s="2524"/>
      <c r="H1539" s="2524"/>
      <c r="I1539" s="2524"/>
      <c r="J1539" s="2163"/>
      <c r="K1539" s="2163"/>
      <c r="L1539" s="2163"/>
      <c r="M1539" s="2163"/>
    </row>
    <row r="1540" spans="1:15">
      <c r="A1540" s="2163"/>
      <c r="B1540" s="2163"/>
      <c r="C1540" s="2163"/>
      <c r="D1540" s="2163"/>
      <c r="E1540" s="2163"/>
      <c r="F1540" s="2163"/>
      <c r="G1540" s="2163"/>
      <c r="H1540" s="2163"/>
      <c r="I1540" s="2163"/>
      <c r="J1540" s="2163"/>
      <c r="K1540" s="2163"/>
      <c r="L1540" s="2163"/>
      <c r="M1540" s="2163"/>
    </row>
    <row r="1541" spans="1:15">
      <c r="A1541" s="2520" t="s">
        <v>2648</v>
      </c>
      <c r="B1541" s="2520"/>
      <c r="C1541" s="2520"/>
      <c r="D1541" s="2166"/>
      <c r="E1541" s="2166"/>
      <c r="F1541" s="2166"/>
      <c r="G1541" s="2166"/>
      <c r="H1541" s="2525">
        <v>-108.687</v>
      </c>
      <c r="I1541" s="2525"/>
      <c r="J1541" s="2525"/>
      <c r="K1541" s="2166"/>
      <c r="L1541" s="2168">
        <v>-5860.42</v>
      </c>
      <c r="M1541" s="2166"/>
    </row>
    <row r="1542" spans="1:15">
      <c r="A1542" s="2520" t="s">
        <v>2649</v>
      </c>
      <c r="B1542" s="2520"/>
      <c r="C1542" s="2520"/>
      <c r="D1542" s="2166"/>
      <c r="E1542" s="2166"/>
      <c r="F1542" s="2166"/>
      <c r="G1542" s="2166"/>
      <c r="H1542" s="2525">
        <v>108.687</v>
      </c>
      <c r="I1542" s="2525"/>
      <c r="J1542" s="2525"/>
      <c r="K1542" s="2166"/>
      <c r="L1542" s="2168">
        <v>5854.99</v>
      </c>
      <c r="M1542" s="2166"/>
    </row>
    <row r="1543" spans="1:15">
      <c r="A1543" s="2164"/>
      <c r="B1543" s="2164"/>
      <c r="C1543" s="2164"/>
      <c r="D1543" s="2164"/>
      <c r="E1543" s="2522" t="s">
        <v>2639</v>
      </c>
      <c r="F1543" s="2522"/>
      <c r="G1543" s="2164"/>
      <c r="H1543" s="2523">
        <v>0</v>
      </c>
      <c r="I1543" s="2523"/>
      <c r="J1543" s="2523"/>
      <c r="K1543" s="2163"/>
      <c r="L1543" s="2523">
        <v>0</v>
      </c>
      <c r="M1543" s="2163"/>
    </row>
    <row r="1544" spans="1:15">
      <c r="A1544" s="2164"/>
      <c r="B1544" s="2164"/>
      <c r="C1544" s="2164"/>
      <c r="D1544" s="2164"/>
      <c r="E1544" s="2164"/>
      <c r="F1544" s="2164"/>
      <c r="G1544" s="2164"/>
      <c r="H1544" s="2523"/>
      <c r="I1544" s="2523"/>
      <c r="J1544" s="2523"/>
      <c r="K1544" s="2163"/>
      <c r="L1544" s="2523"/>
      <c r="M1544" s="2163"/>
    </row>
    <row r="1545" spans="1:15">
      <c r="A1545" s="2160" t="s">
        <v>2738</v>
      </c>
      <c r="B1545" s="2161"/>
      <c r="C1545" s="2160" t="s">
        <v>2739</v>
      </c>
      <c r="D1545" s="2161"/>
      <c r="E1545" s="2160" t="s">
        <v>2640</v>
      </c>
      <c r="F1545" s="2161"/>
    </row>
    <row r="1546" spans="1:15">
      <c r="A1546" s="2163"/>
      <c r="B1546" s="2163"/>
      <c r="C1546" s="2163"/>
      <c r="D1546" s="2163"/>
      <c r="E1546" s="2163"/>
      <c r="F1546" s="2163"/>
      <c r="G1546" s="2163"/>
      <c r="H1546" s="2163"/>
      <c r="I1546" s="2163"/>
      <c r="J1546" s="2163"/>
      <c r="K1546" s="2163"/>
      <c r="L1546" s="2163"/>
      <c r="M1546" s="2163"/>
    </row>
    <row r="1547" spans="1:15">
      <c r="A1547" s="2164"/>
      <c r="H1547" s="2522" t="s">
        <v>2637</v>
      </c>
      <c r="I1547" s="2522"/>
      <c r="J1547" s="2163"/>
      <c r="K1547" s="2523">
        <v>0</v>
      </c>
      <c r="L1547" s="2523"/>
      <c r="M1547" s="2163"/>
      <c r="N1547" s="2527"/>
      <c r="O1547" s="2163"/>
    </row>
    <row r="1548" spans="1:15">
      <c r="H1548" s="2163"/>
      <c r="I1548" s="2163"/>
      <c r="J1548" s="2163"/>
      <c r="K1548" s="2523"/>
      <c r="L1548" s="2523"/>
      <c r="N1548" s="2527"/>
    </row>
    <row r="1549" spans="1:15">
      <c r="A1549" s="2165">
        <v>24368</v>
      </c>
      <c r="B1549" s="2163"/>
      <c r="C1549" s="2524" t="s">
        <v>3051</v>
      </c>
      <c r="D1549" s="2524"/>
      <c r="E1549" s="2524"/>
      <c r="F1549" s="2524"/>
      <c r="G1549" s="2524"/>
      <c r="H1549" s="2524"/>
      <c r="I1549" s="2524"/>
      <c r="J1549" s="2163"/>
      <c r="K1549" s="2163"/>
      <c r="L1549" s="2163"/>
      <c r="M1549" s="2163"/>
    </row>
    <row r="1550" spans="1:15">
      <c r="A1550" s="2163"/>
      <c r="B1550" s="2163"/>
      <c r="C1550" s="2163"/>
      <c r="D1550" s="2163"/>
      <c r="E1550" s="2163"/>
      <c r="F1550" s="2163"/>
      <c r="G1550" s="2163"/>
      <c r="H1550" s="2163"/>
      <c r="I1550" s="2163"/>
      <c r="J1550" s="2163"/>
      <c r="K1550" s="2163"/>
      <c r="L1550" s="2163"/>
      <c r="M1550" s="2163"/>
    </row>
    <row r="1551" spans="1:15">
      <c r="A1551" s="2520" t="s">
        <v>2648</v>
      </c>
      <c r="B1551" s="2520"/>
      <c r="C1551" s="2520"/>
      <c r="D1551" s="2166"/>
      <c r="E1551" s="2166"/>
      <c r="F1551" s="2166"/>
      <c r="G1551" s="2166"/>
      <c r="H1551" s="2525">
        <v>-127.81399999999999</v>
      </c>
      <c r="I1551" s="2525"/>
      <c r="J1551" s="2525"/>
      <c r="K1551" s="2166"/>
      <c r="L1551" s="2168">
        <v>-6891.71</v>
      </c>
      <c r="M1551" s="2166"/>
    </row>
    <row r="1552" spans="1:15">
      <c r="A1552" s="2520" t="s">
        <v>2649</v>
      </c>
      <c r="B1552" s="2520"/>
      <c r="C1552" s="2520"/>
      <c r="D1552" s="2166"/>
      <c r="E1552" s="2166"/>
      <c r="F1552" s="2166"/>
      <c r="G1552" s="2166"/>
      <c r="H1552" s="2525">
        <v>127.81399999999999</v>
      </c>
      <c r="I1552" s="2525"/>
      <c r="J1552" s="2525"/>
      <c r="K1552" s="2166"/>
      <c r="L1552" s="2168">
        <v>6885.32</v>
      </c>
      <c r="M1552" s="2166"/>
    </row>
    <row r="1553" spans="1:15">
      <c r="A1553" s="2164"/>
      <c r="B1553" s="2164"/>
      <c r="C1553" s="2164"/>
      <c r="D1553" s="2164"/>
      <c r="E1553" s="2522" t="s">
        <v>2639</v>
      </c>
      <c r="F1553" s="2522"/>
      <c r="G1553" s="2164"/>
      <c r="H1553" s="2523">
        <v>0</v>
      </c>
      <c r="I1553" s="2523"/>
      <c r="J1553" s="2523"/>
      <c r="K1553" s="2163"/>
      <c r="L1553" s="2523">
        <v>0</v>
      </c>
      <c r="M1553" s="2163"/>
    </row>
    <row r="1554" spans="1:15">
      <c r="A1554" s="2164"/>
      <c r="B1554" s="2164"/>
      <c r="C1554" s="2164"/>
      <c r="D1554" s="2164"/>
      <c r="E1554" s="2164"/>
      <c r="F1554" s="2164"/>
      <c r="G1554" s="2164"/>
      <c r="H1554" s="2523"/>
      <c r="I1554" s="2523"/>
      <c r="J1554" s="2523"/>
      <c r="K1554" s="2163"/>
      <c r="L1554" s="2523"/>
      <c r="M1554" s="2163"/>
    </row>
    <row r="1555" spans="1:15">
      <c r="A1555" s="2160" t="s">
        <v>2738</v>
      </c>
      <c r="B1555" s="2161"/>
      <c r="C1555" s="2160" t="s">
        <v>2739</v>
      </c>
      <c r="D1555" s="2161"/>
      <c r="E1555" s="2160" t="s">
        <v>2640</v>
      </c>
      <c r="F1555" s="2161"/>
    </row>
    <row r="1556" spans="1:15">
      <c r="A1556" s="2163"/>
      <c r="B1556" s="2163"/>
      <c r="C1556" s="2163"/>
      <c r="D1556" s="2163"/>
      <c r="E1556" s="2163"/>
      <c r="F1556" s="2163"/>
      <c r="G1556" s="2163"/>
      <c r="H1556" s="2163"/>
      <c r="I1556" s="2163"/>
      <c r="J1556" s="2163"/>
      <c r="K1556" s="2163"/>
      <c r="L1556" s="2163"/>
      <c r="M1556" s="2163"/>
    </row>
    <row r="1557" spans="1:15">
      <c r="A1557" s="2164"/>
      <c r="H1557" s="2522" t="s">
        <v>2637</v>
      </c>
      <c r="I1557" s="2522"/>
      <c r="J1557" s="2163"/>
      <c r="K1557" s="2523">
        <v>0</v>
      </c>
      <c r="L1557" s="2523"/>
      <c r="M1557" s="2163"/>
      <c r="N1557" s="2527"/>
      <c r="O1557" s="2163"/>
    </row>
    <row r="1558" spans="1:15">
      <c r="H1558" s="2163"/>
      <c r="I1558" s="2163"/>
      <c r="J1558" s="2163"/>
      <c r="K1558" s="2523"/>
      <c r="L1558" s="2523"/>
      <c r="N1558" s="2527"/>
    </row>
    <row r="1559" spans="1:15">
      <c r="A1559" s="2165">
        <v>24482</v>
      </c>
      <c r="B1559" s="2163"/>
      <c r="C1559" s="2524" t="s">
        <v>3052</v>
      </c>
      <c r="D1559" s="2524"/>
      <c r="E1559" s="2524"/>
      <c r="F1559" s="2524"/>
      <c r="G1559" s="2524"/>
      <c r="H1559" s="2524"/>
      <c r="I1559" s="2524"/>
      <c r="J1559" s="2163"/>
      <c r="K1559" s="2163"/>
      <c r="L1559" s="2163"/>
      <c r="M1559" s="2163"/>
    </row>
    <row r="1560" spans="1:15">
      <c r="A1560" s="2163"/>
      <c r="B1560" s="2163"/>
      <c r="C1560" s="2163"/>
      <c r="D1560" s="2163"/>
      <c r="E1560" s="2163"/>
      <c r="F1560" s="2163"/>
      <c r="G1560" s="2163"/>
      <c r="H1560" s="2163"/>
      <c r="I1560" s="2163"/>
      <c r="J1560" s="2163"/>
      <c r="K1560" s="2163"/>
      <c r="L1560" s="2163"/>
      <c r="M1560" s="2163"/>
    </row>
    <row r="1561" spans="1:15">
      <c r="A1561" s="2520" t="s">
        <v>2648</v>
      </c>
      <c r="B1561" s="2520"/>
      <c r="C1561" s="2520"/>
      <c r="D1561" s="2166"/>
      <c r="E1561" s="2166"/>
      <c r="F1561" s="2166"/>
      <c r="G1561" s="2166"/>
      <c r="H1561" s="2525">
        <v>-114.408</v>
      </c>
      <c r="I1561" s="2525"/>
      <c r="J1561" s="2525"/>
      <c r="K1561" s="2166"/>
      <c r="L1561" s="2168">
        <v>-6168.87</v>
      </c>
      <c r="M1561" s="2166"/>
    </row>
    <row r="1562" spans="1:15">
      <c r="A1562" s="2520" t="s">
        <v>2649</v>
      </c>
      <c r="B1562" s="2520"/>
      <c r="C1562" s="2520"/>
      <c r="D1562" s="2166"/>
      <c r="E1562" s="2166"/>
      <c r="F1562" s="2166"/>
      <c r="G1562" s="2166"/>
      <c r="H1562" s="2525">
        <v>114.408</v>
      </c>
      <c r="I1562" s="2525"/>
      <c r="J1562" s="2525"/>
      <c r="K1562" s="2166"/>
      <c r="L1562" s="2168">
        <v>6163.15</v>
      </c>
      <c r="M1562" s="2166"/>
    </row>
    <row r="1563" spans="1:15">
      <c r="A1563" s="2164"/>
      <c r="B1563" s="2164"/>
      <c r="C1563" s="2164"/>
      <c r="D1563" s="2164"/>
      <c r="E1563" s="2522" t="s">
        <v>2639</v>
      </c>
      <c r="F1563" s="2522"/>
      <c r="G1563" s="2164"/>
      <c r="H1563" s="2523">
        <v>0</v>
      </c>
      <c r="I1563" s="2523"/>
      <c r="J1563" s="2523"/>
      <c r="K1563" s="2163"/>
      <c r="L1563" s="2523">
        <v>0</v>
      </c>
      <c r="M1563" s="2163"/>
    </row>
    <row r="1564" spans="1:15">
      <c r="A1564" s="2164"/>
      <c r="B1564" s="2164"/>
      <c r="C1564" s="2164"/>
      <c r="D1564" s="2164"/>
      <c r="E1564" s="2164"/>
      <c r="F1564" s="2164"/>
      <c r="G1564" s="2164"/>
      <c r="H1564" s="2523"/>
      <c r="I1564" s="2523"/>
      <c r="J1564" s="2523"/>
      <c r="K1564" s="2163"/>
      <c r="L1564" s="2523"/>
      <c r="M1564" s="2163"/>
    </row>
    <row r="1565" spans="1:15">
      <c r="A1565" s="2160" t="s">
        <v>2738</v>
      </c>
      <c r="B1565" s="2161"/>
      <c r="C1565" s="2160" t="s">
        <v>2739</v>
      </c>
      <c r="D1565" s="2161"/>
      <c r="E1565" s="2160" t="s">
        <v>2640</v>
      </c>
      <c r="F1565" s="2161"/>
    </row>
    <row r="1566" spans="1:15">
      <c r="A1566" s="2163"/>
      <c r="B1566" s="2163"/>
      <c r="C1566" s="2163"/>
      <c r="D1566" s="2163"/>
      <c r="E1566" s="2163"/>
      <c r="F1566" s="2163"/>
      <c r="G1566" s="2163"/>
      <c r="H1566" s="2163"/>
      <c r="I1566" s="2163"/>
      <c r="J1566" s="2163"/>
      <c r="K1566" s="2163"/>
      <c r="L1566" s="2163"/>
      <c r="M1566" s="2163"/>
    </row>
    <row r="1567" spans="1:15">
      <c r="A1567" s="2164"/>
      <c r="H1567" s="2522" t="s">
        <v>2637</v>
      </c>
      <c r="I1567" s="2522"/>
      <c r="J1567" s="2163"/>
      <c r="K1567" s="2523">
        <v>1.54E-2</v>
      </c>
      <c r="L1567" s="2523"/>
      <c r="M1567" s="2163"/>
      <c r="N1567" s="2527">
        <v>1</v>
      </c>
      <c r="O1567" s="2163"/>
    </row>
    <row r="1568" spans="1:15">
      <c r="H1568" s="2163"/>
      <c r="I1568" s="2163"/>
      <c r="J1568" s="2163"/>
      <c r="K1568" s="2523"/>
      <c r="L1568" s="2523"/>
      <c r="N1568" s="2527"/>
    </row>
    <row r="1569" spans="1:15">
      <c r="A1569" s="2165">
        <v>24558</v>
      </c>
      <c r="B1569" s="2163"/>
      <c r="C1569" s="2524" t="s">
        <v>3053</v>
      </c>
      <c r="D1569" s="2524"/>
      <c r="E1569" s="2524"/>
      <c r="F1569" s="2524"/>
      <c r="G1569" s="2524"/>
      <c r="H1569" s="2524"/>
      <c r="I1569" s="2524"/>
      <c r="J1569" s="2163"/>
      <c r="K1569" s="2163"/>
      <c r="L1569" s="2163"/>
      <c r="M1569" s="2163"/>
    </row>
    <row r="1570" spans="1:15">
      <c r="A1570" s="2163"/>
      <c r="B1570" s="2163"/>
      <c r="C1570" s="2163"/>
      <c r="D1570" s="2163"/>
      <c r="E1570" s="2163"/>
      <c r="F1570" s="2163"/>
      <c r="G1570" s="2163"/>
      <c r="H1570" s="2163"/>
      <c r="I1570" s="2163"/>
      <c r="J1570" s="2163"/>
      <c r="K1570" s="2163"/>
      <c r="L1570" s="2163"/>
      <c r="M1570" s="2163"/>
    </row>
    <row r="1571" spans="1:15">
      <c r="A1571" s="2529"/>
      <c r="B1571" s="2529"/>
      <c r="C1571" s="2529"/>
      <c r="D1571" s="2166"/>
      <c r="E1571" s="2166"/>
      <c r="F1571" s="2166"/>
      <c r="G1571" s="2166"/>
      <c r="H1571" s="2525"/>
      <c r="I1571" s="2525"/>
      <c r="J1571" s="2525"/>
      <c r="K1571" s="2166"/>
      <c r="L1571" s="2167"/>
      <c r="M1571" s="2166"/>
    </row>
    <row r="1572" spans="1:15">
      <c r="A1572" s="2164"/>
      <c r="B1572" s="2164"/>
      <c r="C1572" s="2164"/>
      <c r="D1572" s="2164"/>
      <c r="E1572" s="2522" t="s">
        <v>2639</v>
      </c>
      <c r="F1572" s="2522"/>
      <c r="G1572" s="2164"/>
      <c r="H1572" s="2523">
        <v>1.54E-2</v>
      </c>
      <c r="I1572" s="2523"/>
      <c r="J1572" s="2523"/>
      <c r="K1572" s="2163"/>
      <c r="L1572" s="2523">
        <v>0.83</v>
      </c>
      <c r="M1572" s="2163"/>
    </row>
    <row r="1573" spans="1:15">
      <c r="A1573" s="2164"/>
      <c r="B1573" s="2164"/>
      <c r="C1573" s="2164"/>
      <c r="D1573" s="2164"/>
      <c r="E1573" s="2164"/>
      <c r="F1573" s="2164"/>
      <c r="G1573" s="2164"/>
      <c r="H1573" s="2523"/>
      <c r="I1573" s="2523"/>
      <c r="J1573" s="2523"/>
      <c r="K1573" s="2163"/>
      <c r="L1573" s="2523"/>
      <c r="M1573" s="2163"/>
    </row>
    <row r="1574" spans="1:15">
      <c r="A1574" s="2160" t="s">
        <v>2738</v>
      </c>
      <c r="B1574" s="2161"/>
      <c r="C1574" s="2160" t="s">
        <v>2739</v>
      </c>
      <c r="D1574" s="2161"/>
      <c r="E1574" s="2160" t="s">
        <v>2640</v>
      </c>
      <c r="F1574" s="2161"/>
    </row>
    <row r="1575" spans="1:15">
      <c r="A1575" s="2163"/>
      <c r="B1575" s="2163"/>
      <c r="C1575" s="2163"/>
      <c r="D1575" s="2163"/>
      <c r="E1575" s="2163"/>
      <c r="F1575" s="2163"/>
      <c r="G1575" s="2163"/>
      <c r="H1575" s="2163"/>
      <c r="I1575" s="2163"/>
      <c r="J1575" s="2163"/>
      <c r="K1575" s="2163"/>
      <c r="L1575" s="2163"/>
      <c r="M1575" s="2163"/>
    </row>
    <row r="1576" spans="1:15">
      <c r="A1576" s="2164"/>
      <c r="H1576" s="2522" t="s">
        <v>2637</v>
      </c>
      <c r="I1576" s="2522"/>
      <c r="J1576" s="2163"/>
      <c r="K1576" s="2523">
        <v>0</v>
      </c>
      <c r="L1576" s="2523"/>
      <c r="M1576" s="2163"/>
      <c r="N1576" s="2527"/>
      <c r="O1576" s="2163"/>
    </row>
    <row r="1577" spans="1:15">
      <c r="H1577" s="2163"/>
      <c r="I1577" s="2163"/>
      <c r="J1577" s="2163"/>
      <c r="K1577" s="2523"/>
      <c r="L1577" s="2523"/>
      <c r="N1577" s="2527"/>
    </row>
    <row r="1578" spans="1:15">
      <c r="A1578" s="2165">
        <v>31913</v>
      </c>
      <c r="B1578" s="2163"/>
      <c r="C1578" s="2524" t="s">
        <v>2855</v>
      </c>
      <c r="D1578" s="2524"/>
      <c r="E1578" s="2524"/>
      <c r="F1578" s="2524"/>
      <c r="G1578" s="2524"/>
      <c r="H1578" s="2524"/>
      <c r="I1578" s="2524"/>
      <c r="J1578" s="2163"/>
      <c r="K1578" s="2163"/>
      <c r="L1578" s="2163"/>
      <c r="M1578" s="2163"/>
    </row>
    <row r="1579" spans="1:15">
      <c r="A1579" s="2163"/>
      <c r="B1579" s="2163"/>
      <c r="C1579" s="2163"/>
      <c r="D1579" s="2163"/>
      <c r="E1579" s="2163"/>
      <c r="F1579" s="2163"/>
      <c r="G1579" s="2163"/>
      <c r="H1579" s="2163"/>
      <c r="I1579" s="2163"/>
      <c r="J1579" s="2163"/>
      <c r="K1579" s="2163"/>
      <c r="L1579" s="2163"/>
      <c r="M1579" s="2163"/>
    </row>
    <row r="1580" spans="1:15">
      <c r="A1580" s="2529"/>
      <c r="B1580" s="2529"/>
      <c r="C1580" s="2529"/>
      <c r="D1580" s="2166"/>
      <c r="E1580" s="2166"/>
      <c r="F1580" s="2166"/>
      <c r="G1580" s="2166"/>
      <c r="H1580" s="2525"/>
      <c r="I1580" s="2525"/>
      <c r="J1580" s="2525"/>
      <c r="K1580" s="2166"/>
      <c r="L1580" s="2167"/>
      <c r="M1580" s="2166"/>
    </row>
    <row r="1581" spans="1:15">
      <c r="A1581" s="2164"/>
      <c r="B1581" s="2164"/>
      <c r="C1581" s="2164"/>
      <c r="D1581" s="2164"/>
      <c r="E1581" s="2522" t="s">
        <v>2639</v>
      </c>
      <c r="F1581" s="2522"/>
      <c r="G1581" s="2164"/>
      <c r="H1581" s="2523">
        <v>0</v>
      </c>
      <c r="I1581" s="2523"/>
      <c r="J1581" s="2523"/>
      <c r="K1581" s="2163"/>
      <c r="L1581" s="2523">
        <v>0</v>
      </c>
      <c r="M1581" s="2163"/>
    </row>
    <row r="1582" spans="1:15">
      <c r="A1582" s="2164"/>
      <c r="B1582" s="2164"/>
      <c r="C1582" s="2164"/>
      <c r="D1582" s="2164"/>
      <c r="E1582" s="2164"/>
      <c r="F1582" s="2164"/>
      <c r="G1582" s="2164"/>
      <c r="H1582" s="2523"/>
      <c r="I1582" s="2523"/>
      <c r="J1582" s="2523"/>
      <c r="K1582" s="2163"/>
      <c r="L1582" s="2523"/>
      <c r="M1582" s="2163"/>
    </row>
    <row r="1583" spans="1:15">
      <c r="A1583" s="2160" t="s">
        <v>2738</v>
      </c>
      <c r="B1583" s="2161"/>
      <c r="C1583" s="2160" t="s">
        <v>2739</v>
      </c>
      <c r="D1583" s="2161"/>
      <c r="E1583" s="2160" t="s">
        <v>2640</v>
      </c>
      <c r="F1583" s="2161"/>
    </row>
    <row r="1584" spans="1:15">
      <c r="A1584" s="2163"/>
      <c r="B1584" s="2163"/>
      <c r="C1584" s="2163"/>
      <c r="D1584" s="2163"/>
      <c r="E1584" s="2163"/>
      <c r="F1584" s="2163"/>
      <c r="G1584" s="2163"/>
      <c r="H1584" s="2163"/>
      <c r="I1584" s="2163"/>
      <c r="J1584" s="2163"/>
      <c r="K1584" s="2163"/>
      <c r="L1584" s="2163"/>
      <c r="M1584" s="2163"/>
    </row>
    <row r="1585" spans="1:15">
      <c r="A1585" s="2164"/>
      <c r="H1585" s="2522" t="s">
        <v>2637</v>
      </c>
      <c r="I1585" s="2522"/>
      <c r="J1585" s="2163"/>
      <c r="K1585" s="2523">
        <v>0</v>
      </c>
      <c r="L1585" s="2523"/>
      <c r="M1585" s="2163"/>
      <c r="N1585" s="2527"/>
      <c r="O1585" s="2163"/>
    </row>
    <row r="1586" spans="1:15">
      <c r="H1586" s="2163"/>
      <c r="I1586" s="2163"/>
      <c r="J1586" s="2163"/>
      <c r="K1586" s="2523"/>
      <c r="L1586" s="2523"/>
      <c r="N1586" s="2527"/>
    </row>
    <row r="1587" spans="1:15">
      <c r="A1587" s="2165">
        <v>40147</v>
      </c>
      <c r="B1587" s="2163"/>
      <c r="C1587" s="2524" t="s">
        <v>2856</v>
      </c>
      <c r="D1587" s="2524"/>
      <c r="E1587" s="2524"/>
      <c r="F1587" s="2524"/>
      <c r="G1587" s="2524"/>
      <c r="H1587" s="2524"/>
      <c r="I1587" s="2524"/>
      <c r="J1587" s="2163"/>
      <c r="K1587" s="2163"/>
      <c r="L1587" s="2163"/>
      <c r="M1587" s="2163"/>
    </row>
    <row r="1588" spans="1:15">
      <c r="A1588" s="2163"/>
      <c r="B1588" s="2163"/>
      <c r="C1588" s="2163"/>
      <c r="D1588" s="2163"/>
      <c r="E1588" s="2163"/>
      <c r="F1588" s="2163"/>
      <c r="G1588" s="2163"/>
      <c r="H1588" s="2163"/>
      <c r="I1588" s="2163"/>
      <c r="J1588" s="2163"/>
      <c r="K1588" s="2163"/>
      <c r="L1588" s="2163"/>
      <c r="M1588" s="2163"/>
    </row>
    <row r="1589" spans="1:15">
      <c r="A1589" s="2520" t="s">
        <v>2648</v>
      </c>
      <c r="B1589" s="2520"/>
      <c r="C1589" s="2520"/>
      <c r="D1589" s="2166"/>
      <c r="E1589" s="2166"/>
      <c r="F1589" s="2166"/>
      <c r="G1589" s="2166"/>
      <c r="H1589" s="2526">
        <v>-204195.285</v>
      </c>
      <c r="I1589" s="2526"/>
      <c r="J1589" s="2526"/>
      <c r="K1589" s="2166"/>
      <c r="L1589" s="2168">
        <v>-11000000</v>
      </c>
      <c r="M1589" s="2166"/>
    </row>
    <row r="1590" spans="1:15">
      <c r="A1590" s="2520" t="s">
        <v>2679</v>
      </c>
      <c r="B1590" s="2520"/>
      <c r="C1590" s="2520"/>
      <c r="D1590" s="2166"/>
      <c r="E1590" s="2166"/>
      <c r="F1590" s="2166"/>
      <c r="G1590" s="2166"/>
      <c r="H1590" s="2526">
        <v>-92816.039000000004</v>
      </c>
      <c r="I1590" s="2526"/>
      <c r="J1590" s="2526"/>
      <c r="K1590" s="2166"/>
      <c r="L1590" s="2168">
        <v>-5000000</v>
      </c>
      <c r="M1590" s="2166"/>
    </row>
    <row r="1591" spans="1:15">
      <c r="A1591" s="2520" t="s">
        <v>2649</v>
      </c>
      <c r="B1591" s="2520"/>
      <c r="C1591" s="2520"/>
      <c r="D1591" s="2166"/>
      <c r="E1591" s="2166"/>
      <c r="F1591" s="2166"/>
      <c r="G1591" s="2166"/>
      <c r="H1591" s="2526">
        <v>299177.26299999998</v>
      </c>
      <c r="I1591" s="2526"/>
      <c r="J1591" s="2526"/>
      <c r="K1591" s="2166"/>
      <c r="L1591" s="2168">
        <v>16000000</v>
      </c>
      <c r="M1591" s="2166"/>
    </row>
    <row r="1592" spans="1:15">
      <c r="A1592" s="2164"/>
      <c r="B1592" s="2164"/>
      <c r="C1592" s="2164"/>
      <c r="D1592" s="2164"/>
      <c r="E1592" s="2522" t="s">
        <v>2639</v>
      </c>
      <c r="F1592" s="2522"/>
      <c r="G1592" s="2164"/>
      <c r="H1592" s="2528">
        <v>2165.9389000000001</v>
      </c>
      <c r="I1592" s="2528"/>
      <c r="J1592" s="2528"/>
      <c r="K1592" s="2163"/>
      <c r="L1592" s="2528">
        <v>116809.09</v>
      </c>
      <c r="M1592" s="2163"/>
    </row>
    <row r="1593" spans="1:15">
      <c r="A1593" s="2164"/>
      <c r="B1593" s="2164"/>
      <c r="C1593" s="2164"/>
      <c r="D1593" s="2164"/>
      <c r="E1593" s="2164"/>
      <c r="F1593" s="2164"/>
      <c r="G1593" s="2164"/>
      <c r="H1593" s="2528"/>
      <c r="I1593" s="2528"/>
      <c r="J1593" s="2528"/>
      <c r="K1593" s="2163"/>
      <c r="L1593" s="2528"/>
      <c r="M1593" s="2163"/>
    </row>
    <row r="1594" spans="1:15">
      <c r="A1594" s="2160" t="s">
        <v>2738</v>
      </c>
      <c r="B1594" s="2161"/>
      <c r="C1594" s="2160" t="s">
        <v>2739</v>
      </c>
      <c r="D1594" s="2161"/>
      <c r="E1594" s="2160" t="s">
        <v>2640</v>
      </c>
      <c r="F1594" s="2161"/>
    </row>
    <row r="1595" spans="1:15">
      <c r="A1595" s="2163"/>
      <c r="B1595" s="2163"/>
      <c r="C1595" s="2163"/>
      <c r="D1595" s="2163"/>
      <c r="E1595" s="2163"/>
      <c r="F1595" s="2163"/>
      <c r="G1595" s="2163"/>
      <c r="H1595" s="2163"/>
      <c r="I1595" s="2163"/>
      <c r="J1595" s="2163"/>
      <c r="K1595" s="2163"/>
      <c r="L1595" s="2163"/>
      <c r="M1595" s="2163"/>
    </row>
    <row r="1596" spans="1:15">
      <c r="A1596" s="2164"/>
      <c r="H1596" s="2522" t="s">
        <v>2637</v>
      </c>
      <c r="I1596" s="2522"/>
      <c r="J1596" s="2163"/>
      <c r="K1596" s="2523">
        <v>0</v>
      </c>
      <c r="L1596" s="2523"/>
      <c r="M1596" s="2163"/>
      <c r="N1596" s="2527"/>
      <c r="O1596" s="2163"/>
    </row>
    <row r="1597" spans="1:15">
      <c r="H1597" s="2163"/>
      <c r="I1597" s="2163"/>
      <c r="J1597" s="2163"/>
      <c r="K1597" s="2523"/>
      <c r="L1597" s="2523"/>
      <c r="N1597" s="2527"/>
    </row>
    <row r="1598" spans="1:15">
      <c r="A1598" s="2165">
        <v>50733</v>
      </c>
      <c r="B1598" s="2163"/>
      <c r="C1598" s="2524" t="s">
        <v>2857</v>
      </c>
      <c r="D1598" s="2524"/>
      <c r="E1598" s="2524"/>
      <c r="F1598" s="2524"/>
      <c r="G1598" s="2524"/>
      <c r="H1598" s="2524"/>
      <c r="I1598" s="2524"/>
      <c r="J1598" s="2163"/>
      <c r="K1598" s="2163"/>
      <c r="L1598" s="2163"/>
      <c r="M1598" s="2163"/>
    </row>
    <row r="1599" spans="1:15">
      <c r="A1599" s="2163"/>
      <c r="B1599" s="2163"/>
      <c r="C1599" s="2163"/>
      <c r="D1599" s="2163"/>
      <c r="E1599" s="2163"/>
      <c r="F1599" s="2163"/>
      <c r="G1599" s="2163"/>
      <c r="H1599" s="2163"/>
      <c r="I1599" s="2163"/>
      <c r="J1599" s="2163"/>
      <c r="K1599" s="2163"/>
      <c r="L1599" s="2163"/>
      <c r="M1599" s="2163"/>
    </row>
    <row r="1600" spans="1:15">
      <c r="A1600" s="2529"/>
      <c r="B1600" s="2529"/>
      <c r="C1600" s="2529"/>
      <c r="D1600" s="2166"/>
      <c r="E1600" s="2166"/>
      <c r="F1600" s="2166"/>
      <c r="G1600" s="2166"/>
      <c r="H1600" s="2525"/>
      <c r="I1600" s="2525"/>
      <c r="J1600" s="2525"/>
      <c r="K1600" s="2166"/>
      <c r="L1600" s="2167"/>
      <c r="M1600" s="2166"/>
    </row>
    <row r="1601" spans="1:15">
      <c r="A1601" s="2164"/>
      <c r="B1601" s="2164"/>
      <c r="C1601" s="2164"/>
      <c r="D1601" s="2164"/>
      <c r="E1601" s="2522" t="s">
        <v>2639</v>
      </c>
      <c r="F1601" s="2522"/>
      <c r="G1601" s="2164"/>
      <c r="H1601" s="2523">
        <v>0</v>
      </c>
      <c r="I1601" s="2523"/>
      <c r="J1601" s="2523"/>
      <c r="K1601" s="2163"/>
      <c r="L1601" s="2523">
        <v>0</v>
      </c>
      <c r="M1601" s="2163"/>
    </row>
    <row r="1602" spans="1:15">
      <c r="A1602" s="2164"/>
      <c r="B1602" s="2164"/>
      <c r="C1602" s="2164"/>
      <c r="D1602" s="2164"/>
      <c r="E1602" s="2164"/>
      <c r="F1602" s="2164"/>
      <c r="G1602" s="2164"/>
      <c r="H1602" s="2523"/>
      <c r="I1602" s="2523"/>
      <c r="J1602" s="2523"/>
      <c r="K1602" s="2163"/>
      <c r="L1602" s="2523"/>
      <c r="M1602" s="2163"/>
    </row>
    <row r="1603" spans="1:15">
      <c r="A1603" s="2160" t="s">
        <v>2738</v>
      </c>
      <c r="B1603" s="2161"/>
      <c r="C1603" s="2160" t="s">
        <v>2739</v>
      </c>
      <c r="D1603" s="2161"/>
      <c r="E1603" s="2160" t="s">
        <v>2640</v>
      </c>
      <c r="F1603" s="2161"/>
    </row>
    <row r="1604" spans="1:15">
      <c r="A1604" s="2163"/>
      <c r="B1604" s="2163"/>
      <c r="C1604" s="2163"/>
      <c r="D1604" s="2163"/>
      <c r="E1604" s="2163"/>
      <c r="F1604" s="2163"/>
      <c r="G1604" s="2163"/>
      <c r="H1604" s="2163"/>
      <c r="I1604" s="2163"/>
      <c r="J1604" s="2163"/>
      <c r="K1604" s="2163"/>
      <c r="L1604" s="2163"/>
      <c r="M1604" s="2163"/>
    </row>
    <row r="1605" spans="1:15">
      <c r="A1605" s="2164"/>
      <c r="H1605" s="2522" t="s">
        <v>2637</v>
      </c>
      <c r="I1605" s="2522"/>
      <c r="J1605" s="2163"/>
      <c r="K1605" s="2523">
        <v>0</v>
      </c>
      <c r="L1605" s="2523"/>
      <c r="M1605" s="2163"/>
      <c r="N1605" s="2527"/>
      <c r="O1605" s="2163"/>
    </row>
    <row r="1606" spans="1:15">
      <c r="H1606" s="2163"/>
      <c r="I1606" s="2163"/>
      <c r="J1606" s="2163"/>
      <c r="K1606" s="2523"/>
      <c r="L1606" s="2523"/>
      <c r="N1606" s="2527"/>
    </row>
    <row r="1607" spans="1:15">
      <c r="A1607" s="2165">
        <v>53833</v>
      </c>
      <c r="B1607" s="2163"/>
      <c r="C1607" s="2524" t="s">
        <v>2867</v>
      </c>
      <c r="D1607" s="2524"/>
      <c r="E1607" s="2524"/>
      <c r="F1607" s="2524"/>
      <c r="G1607" s="2524"/>
      <c r="H1607" s="2524"/>
      <c r="I1607" s="2524"/>
      <c r="J1607" s="2163"/>
      <c r="K1607" s="2163"/>
      <c r="L1607" s="2163"/>
      <c r="M1607" s="2163"/>
    </row>
    <row r="1608" spans="1:15">
      <c r="A1608" s="2163"/>
      <c r="B1608" s="2163"/>
      <c r="C1608" s="2163"/>
      <c r="D1608" s="2163"/>
      <c r="E1608" s="2163"/>
      <c r="F1608" s="2163"/>
      <c r="G1608" s="2163"/>
      <c r="H1608" s="2163"/>
      <c r="I1608" s="2163"/>
      <c r="J1608" s="2163"/>
      <c r="K1608" s="2163"/>
      <c r="L1608" s="2163"/>
      <c r="M1608" s="2163"/>
    </row>
    <row r="1609" spans="1:15">
      <c r="A1609" s="2529"/>
      <c r="B1609" s="2529"/>
      <c r="C1609" s="2529"/>
      <c r="D1609" s="2166"/>
      <c r="E1609" s="2166"/>
      <c r="F1609" s="2166"/>
      <c r="G1609" s="2166"/>
      <c r="H1609" s="2525"/>
      <c r="I1609" s="2525"/>
      <c r="J1609" s="2525"/>
      <c r="K1609" s="2166"/>
      <c r="L1609" s="2167"/>
      <c r="M1609" s="2166"/>
    </row>
    <row r="1610" spans="1:15">
      <c r="A1610" s="2164"/>
      <c r="B1610" s="2164"/>
      <c r="C1610" s="2164"/>
      <c r="D1610" s="2164"/>
      <c r="E1610" s="2522" t="s">
        <v>2639</v>
      </c>
      <c r="F1610" s="2522"/>
      <c r="G1610" s="2164"/>
      <c r="H1610" s="2523">
        <v>0</v>
      </c>
      <c r="I1610" s="2523"/>
      <c r="J1610" s="2523"/>
      <c r="K1610" s="2163"/>
      <c r="L1610" s="2523">
        <v>0</v>
      </c>
      <c r="M1610" s="2163"/>
    </row>
    <row r="1611" spans="1:15">
      <c r="A1611" s="2164"/>
      <c r="B1611" s="2164"/>
      <c r="C1611" s="2164"/>
      <c r="D1611" s="2164"/>
      <c r="E1611" s="2164"/>
      <c r="F1611" s="2164"/>
      <c r="G1611" s="2164"/>
      <c r="H1611" s="2523"/>
      <c r="I1611" s="2523"/>
      <c r="J1611" s="2523"/>
      <c r="K1611" s="2163"/>
      <c r="L1611" s="2523"/>
      <c r="M1611" s="2163"/>
    </row>
    <row r="1612" spans="1:15">
      <c r="A1612" s="2160" t="s">
        <v>2738</v>
      </c>
      <c r="B1612" s="2161"/>
      <c r="C1612" s="2160" t="s">
        <v>2739</v>
      </c>
      <c r="D1612" s="2161"/>
      <c r="E1612" s="2160" t="s">
        <v>2640</v>
      </c>
      <c r="F1612" s="2161"/>
    </row>
    <row r="1613" spans="1:15">
      <c r="A1613" s="2163"/>
      <c r="B1613" s="2163"/>
      <c r="C1613" s="2163"/>
      <c r="D1613" s="2163"/>
      <c r="E1613" s="2163"/>
      <c r="F1613" s="2163"/>
      <c r="G1613" s="2163"/>
      <c r="H1613" s="2163"/>
      <c r="I1613" s="2163"/>
      <c r="J1613" s="2163"/>
      <c r="K1613" s="2163"/>
      <c r="L1613" s="2163"/>
      <c r="M1613" s="2163"/>
    </row>
    <row r="1614" spans="1:15">
      <c r="A1614" s="2164"/>
      <c r="H1614" s="2522" t="s">
        <v>2637</v>
      </c>
      <c r="I1614" s="2522"/>
      <c r="J1614" s="2163"/>
      <c r="K1614" s="2523">
        <v>0</v>
      </c>
      <c r="L1614" s="2523"/>
      <c r="M1614" s="2163"/>
      <c r="N1614" s="2527"/>
      <c r="O1614" s="2163"/>
    </row>
    <row r="1615" spans="1:15">
      <c r="H1615" s="2163"/>
      <c r="I1615" s="2163"/>
      <c r="J1615" s="2163"/>
      <c r="K1615" s="2523"/>
      <c r="L1615" s="2523"/>
      <c r="N1615" s="2527"/>
    </row>
    <row r="1616" spans="1:15">
      <c r="A1616" s="2165">
        <v>54909</v>
      </c>
      <c r="B1616" s="2163"/>
      <c r="C1616" s="2524" t="s">
        <v>2858</v>
      </c>
      <c r="D1616" s="2524"/>
      <c r="E1616" s="2524"/>
      <c r="F1616" s="2524"/>
      <c r="G1616" s="2524"/>
      <c r="H1616" s="2524"/>
      <c r="I1616" s="2524"/>
      <c r="J1616" s="2163"/>
      <c r="K1616" s="2163"/>
      <c r="L1616" s="2163"/>
      <c r="M1616" s="2163"/>
    </row>
    <row r="1617" spans="1:15">
      <c r="A1617" s="2163"/>
      <c r="B1617" s="2163"/>
      <c r="C1617" s="2163"/>
      <c r="D1617" s="2163"/>
      <c r="E1617" s="2163"/>
      <c r="F1617" s="2163"/>
      <c r="G1617" s="2163"/>
      <c r="H1617" s="2163"/>
      <c r="I1617" s="2163"/>
      <c r="J1617" s="2163"/>
      <c r="K1617" s="2163"/>
      <c r="L1617" s="2163"/>
      <c r="M1617" s="2163"/>
    </row>
    <row r="1618" spans="1:15">
      <c r="A1618" s="2529"/>
      <c r="B1618" s="2529"/>
      <c r="C1618" s="2529"/>
      <c r="D1618" s="2166"/>
      <c r="E1618" s="2166"/>
      <c r="F1618" s="2166"/>
      <c r="G1618" s="2166"/>
      <c r="H1618" s="2525"/>
      <c r="I1618" s="2525"/>
      <c r="J1618" s="2525"/>
      <c r="K1618" s="2166"/>
      <c r="L1618" s="2167"/>
      <c r="M1618" s="2166"/>
    </row>
    <row r="1619" spans="1:15">
      <c r="A1619" s="2164"/>
      <c r="B1619" s="2164"/>
      <c r="C1619" s="2164"/>
      <c r="D1619" s="2164"/>
      <c r="E1619" s="2522" t="s">
        <v>2639</v>
      </c>
      <c r="F1619" s="2522"/>
      <c r="G1619" s="2164"/>
      <c r="H1619" s="2523">
        <v>0</v>
      </c>
      <c r="I1619" s="2523"/>
      <c r="J1619" s="2523"/>
      <c r="K1619" s="2163"/>
      <c r="L1619" s="2523">
        <v>0</v>
      </c>
      <c r="M1619" s="2163"/>
    </row>
    <row r="1620" spans="1:15">
      <c r="A1620" s="2164"/>
      <c r="B1620" s="2164"/>
      <c r="C1620" s="2164"/>
      <c r="D1620" s="2164"/>
      <c r="E1620" s="2164"/>
      <c r="F1620" s="2164"/>
      <c r="G1620" s="2164"/>
      <c r="H1620" s="2523"/>
      <c r="I1620" s="2523"/>
      <c r="J1620" s="2523"/>
      <c r="K1620" s="2163"/>
      <c r="L1620" s="2523"/>
      <c r="M1620" s="2163"/>
    </row>
    <row r="1621" spans="1:15">
      <c r="A1621" s="2160" t="s">
        <v>2738</v>
      </c>
      <c r="B1621" s="2161"/>
      <c r="C1621" s="2160" t="s">
        <v>2739</v>
      </c>
      <c r="D1621" s="2161"/>
      <c r="E1621" s="2160" t="s">
        <v>2640</v>
      </c>
      <c r="F1621" s="2161"/>
    </row>
    <row r="1622" spans="1:15">
      <c r="A1622" s="2163"/>
      <c r="B1622" s="2163"/>
      <c r="C1622" s="2163"/>
      <c r="D1622" s="2163"/>
      <c r="E1622" s="2163"/>
      <c r="F1622" s="2163"/>
      <c r="G1622" s="2163"/>
      <c r="H1622" s="2163"/>
      <c r="I1622" s="2163"/>
      <c r="J1622" s="2163"/>
      <c r="K1622" s="2163"/>
      <c r="L1622" s="2163"/>
      <c r="M1622" s="2163"/>
    </row>
    <row r="1623" spans="1:15">
      <c r="A1623" s="2164"/>
      <c r="H1623" s="2522" t="s">
        <v>2637</v>
      </c>
      <c r="I1623" s="2522"/>
      <c r="J1623" s="2163"/>
      <c r="K1623" s="2523">
        <v>0</v>
      </c>
      <c r="L1623" s="2523"/>
      <c r="M1623" s="2163"/>
      <c r="N1623" s="2527"/>
      <c r="O1623" s="2163"/>
    </row>
    <row r="1624" spans="1:15">
      <c r="H1624" s="2163"/>
      <c r="I1624" s="2163"/>
      <c r="J1624" s="2163"/>
      <c r="K1624" s="2523"/>
      <c r="L1624" s="2523"/>
      <c r="N1624" s="2527"/>
    </row>
    <row r="1625" spans="1:15">
      <c r="A1625" s="2165">
        <v>54982</v>
      </c>
      <c r="B1625" s="2163"/>
      <c r="C1625" s="2524" t="s">
        <v>2859</v>
      </c>
      <c r="D1625" s="2524"/>
      <c r="E1625" s="2524"/>
      <c r="F1625" s="2524"/>
      <c r="G1625" s="2524"/>
      <c r="H1625" s="2524"/>
      <c r="I1625" s="2524"/>
      <c r="J1625" s="2163"/>
      <c r="K1625" s="2163"/>
      <c r="L1625" s="2163"/>
      <c r="M1625" s="2163"/>
    </row>
    <row r="1626" spans="1:15">
      <c r="A1626" s="2163"/>
      <c r="B1626" s="2163"/>
      <c r="C1626" s="2163"/>
      <c r="D1626" s="2163"/>
      <c r="E1626" s="2163"/>
      <c r="F1626" s="2163"/>
      <c r="G1626" s="2163"/>
      <c r="H1626" s="2163"/>
      <c r="I1626" s="2163"/>
      <c r="J1626" s="2163"/>
      <c r="K1626" s="2163"/>
      <c r="L1626" s="2163"/>
      <c r="M1626" s="2163"/>
    </row>
    <row r="1627" spans="1:15">
      <c r="A1627" s="2520" t="s">
        <v>2648</v>
      </c>
      <c r="B1627" s="2520"/>
      <c r="C1627" s="2520"/>
      <c r="D1627" s="2166"/>
      <c r="E1627" s="2166"/>
      <c r="F1627" s="2166"/>
      <c r="G1627" s="2166"/>
      <c r="H1627" s="2525">
        <v>-335.73500000000001</v>
      </c>
      <c r="I1627" s="2525"/>
      <c r="J1627" s="2525"/>
      <c r="K1627" s="2166"/>
      <c r="L1627" s="2168">
        <v>-18102.8</v>
      </c>
      <c r="M1627" s="2166"/>
    </row>
    <row r="1628" spans="1:15">
      <c r="A1628" s="2520" t="s">
        <v>2649</v>
      </c>
      <c r="B1628" s="2520"/>
      <c r="C1628" s="2520"/>
      <c r="D1628" s="2166"/>
      <c r="E1628" s="2166"/>
      <c r="F1628" s="2166"/>
      <c r="G1628" s="2166"/>
      <c r="H1628" s="2525">
        <v>335.73500000000001</v>
      </c>
      <c r="I1628" s="2525"/>
      <c r="J1628" s="2525"/>
      <c r="K1628" s="2166"/>
      <c r="L1628" s="2168">
        <v>18086.02</v>
      </c>
      <c r="M1628" s="2166"/>
    </row>
    <row r="1629" spans="1:15">
      <c r="A1629" s="2164"/>
      <c r="B1629" s="2164"/>
      <c r="C1629" s="2164"/>
      <c r="D1629" s="2164"/>
      <c r="E1629" s="2522" t="s">
        <v>2639</v>
      </c>
      <c r="F1629" s="2522"/>
      <c r="G1629" s="2164"/>
      <c r="H1629" s="2523">
        <v>0</v>
      </c>
      <c r="I1629" s="2523"/>
      <c r="J1629" s="2523"/>
      <c r="K1629" s="2163"/>
      <c r="L1629" s="2523">
        <v>0</v>
      </c>
      <c r="M1629" s="2163"/>
    </row>
    <row r="1630" spans="1:15">
      <c r="A1630" s="2164"/>
      <c r="B1630" s="2164"/>
      <c r="C1630" s="2164"/>
      <c r="D1630" s="2164"/>
      <c r="E1630" s="2164"/>
      <c r="F1630" s="2164"/>
      <c r="G1630" s="2164"/>
      <c r="H1630" s="2523"/>
      <c r="I1630" s="2523"/>
      <c r="J1630" s="2523"/>
      <c r="K1630" s="2163"/>
      <c r="L1630" s="2523"/>
      <c r="M1630" s="2163"/>
    </row>
    <row r="1631" spans="1:15">
      <c r="A1631" s="2160" t="s">
        <v>2738</v>
      </c>
      <c r="B1631" s="2161"/>
      <c r="C1631" s="2160" t="s">
        <v>2739</v>
      </c>
      <c r="D1631" s="2161"/>
      <c r="E1631" s="2160" t="s">
        <v>2640</v>
      </c>
      <c r="F1631" s="2161"/>
    </row>
    <row r="1632" spans="1:15">
      <c r="A1632" s="2163"/>
      <c r="B1632" s="2163"/>
      <c r="C1632" s="2163"/>
      <c r="D1632" s="2163"/>
      <c r="E1632" s="2163"/>
      <c r="F1632" s="2163"/>
      <c r="G1632" s="2163"/>
      <c r="H1632" s="2163"/>
      <c r="I1632" s="2163"/>
      <c r="J1632" s="2163"/>
      <c r="K1632" s="2163"/>
      <c r="L1632" s="2163"/>
      <c r="M1632" s="2163"/>
    </row>
    <row r="1633" spans="1:15">
      <c r="A1633" s="2164"/>
      <c r="H1633" s="2522" t="s">
        <v>2637</v>
      </c>
      <c r="I1633" s="2522"/>
      <c r="J1633" s="2163"/>
      <c r="K1633" s="2523">
        <v>0</v>
      </c>
      <c r="L1633" s="2523"/>
      <c r="M1633" s="2163"/>
      <c r="N1633" s="2527"/>
      <c r="O1633" s="2163"/>
    </row>
    <row r="1634" spans="1:15">
      <c r="H1634" s="2163"/>
      <c r="I1634" s="2163"/>
      <c r="J1634" s="2163"/>
      <c r="K1634" s="2523"/>
      <c r="L1634" s="2523"/>
      <c r="N1634" s="2527"/>
    </row>
    <row r="1635" spans="1:15">
      <c r="A1635" s="2165">
        <v>55049</v>
      </c>
      <c r="B1635" s="2163"/>
      <c r="C1635" s="2524" t="s">
        <v>2860</v>
      </c>
      <c r="D1635" s="2524"/>
      <c r="E1635" s="2524"/>
      <c r="F1635" s="2524"/>
      <c r="G1635" s="2524"/>
      <c r="H1635" s="2524"/>
      <c r="I1635" s="2524"/>
      <c r="J1635" s="2163"/>
      <c r="K1635" s="2163"/>
      <c r="L1635" s="2163"/>
      <c r="M1635" s="2163"/>
    </row>
    <row r="1636" spans="1:15">
      <c r="A1636" s="2163"/>
      <c r="B1636" s="2163"/>
      <c r="C1636" s="2163"/>
      <c r="D1636" s="2163"/>
      <c r="E1636" s="2163"/>
      <c r="F1636" s="2163"/>
      <c r="G1636" s="2163"/>
      <c r="H1636" s="2163"/>
      <c r="I1636" s="2163"/>
      <c r="J1636" s="2163"/>
      <c r="K1636" s="2163"/>
      <c r="L1636" s="2163"/>
      <c r="M1636" s="2163"/>
    </row>
    <row r="1637" spans="1:15">
      <c r="A1637" s="2529"/>
      <c r="B1637" s="2529"/>
      <c r="C1637" s="2529"/>
      <c r="D1637" s="2166"/>
      <c r="E1637" s="2166"/>
      <c r="F1637" s="2166"/>
      <c r="G1637" s="2166"/>
      <c r="H1637" s="2525"/>
      <c r="I1637" s="2525"/>
      <c r="J1637" s="2525"/>
      <c r="K1637" s="2166"/>
      <c r="L1637" s="2167"/>
      <c r="M1637" s="2166"/>
    </row>
    <row r="1638" spans="1:15">
      <c r="A1638" s="2164"/>
      <c r="B1638" s="2164"/>
      <c r="C1638" s="2164"/>
      <c r="D1638" s="2164"/>
      <c r="E1638" s="2522" t="s">
        <v>2639</v>
      </c>
      <c r="F1638" s="2522"/>
      <c r="G1638" s="2164"/>
      <c r="H1638" s="2523">
        <v>0</v>
      </c>
      <c r="I1638" s="2523"/>
      <c r="J1638" s="2523"/>
      <c r="K1638" s="2163"/>
      <c r="L1638" s="2523">
        <v>0</v>
      </c>
      <c r="M1638" s="2163"/>
    </row>
    <row r="1639" spans="1:15">
      <c r="A1639" s="2164"/>
      <c r="B1639" s="2164"/>
      <c r="C1639" s="2164"/>
      <c r="D1639" s="2164"/>
      <c r="E1639" s="2164"/>
      <c r="F1639" s="2164"/>
      <c r="G1639" s="2164"/>
      <c r="H1639" s="2523"/>
      <c r="I1639" s="2523"/>
      <c r="J1639" s="2523"/>
      <c r="K1639" s="2163"/>
      <c r="L1639" s="2523"/>
      <c r="M1639" s="2163"/>
    </row>
    <row r="1640" spans="1:15">
      <c r="A1640" s="2160" t="s">
        <v>2738</v>
      </c>
      <c r="B1640" s="2161"/>
      <c r="C1640" s="2160" t="s">
        <v>2739</v>
      </c>
      <c r="D1640" s="2161"/>
      <c r="E1640" s="2160" t="s">
        <v>2640</v>
      </c>
      <c r="F1640" s="2161"/>
    </row>
    <row r="1641" spans="1:15">
      <c r="A1641" s="2163"/>
      <c r="B1641" s="2163"/>
      <c r="C1641" s="2163"/>
      <c r="D1641" s="2163"/>
      <c r="E1641" s="2163"/>
      <c r="F1641" s="2163"/>
      <c r="G1641" s="2163"/>
      <c r="H1641" s="2163"/>
      <c r="I1641" s="2163"/>
      <c r="J1641" s="2163"/>
      <c r="K1641" s="2163"/>
      <c r="L1641" s="2163"/>
      <c r="M1641" s="2163"/>
    </row>
    <row r="1642" spans="1:15">
      <c r="A1642" s="2164"/>
      <c r="H1642" s="2522" t="s">
        <v>2637</v>
      </c>
      <c r="I1642" s="2522"/>
      <c r="J1642" s="2163"/>
      <c r="K1642" s="2523">
        <v>0</v>
      </c>
      <c r="L1642" s="2523"/>
      <c r="M1642" s="2163"/>
      <c r="N1642" s="2527"/>
      <c r="O1642" s="2163"/>
    </row>
    <row r="1643" spans="1:15">
      <c r="H1643" s="2163"/>
      <c r="I1643" s="2163"/>
      <c r="J1643" s="2163"/>
      <c r="K1643" s="2523"/>
      <c r="L1643" s="2523"/>
      <c r="N1643" s="2527"/>
    </row>
    <row r="1644" spans="1:15">
      <c r="A1644" s="2165">
        <v>55205</v>
      </c>
      <c r="B1644" s="2163"/>
      <c r="C1644" s="2524" t="s">
        <v>2861</v>
      </c>
      <c r="D1644" s="2524"/>
      <c r="E1644" s="2524"/>
      <c r="F1644" s="2524"/>
      <c r="G1644" s="2524"/>
      <c r="H1644" s="2524"/>
      <c r="I1644" s="2524"/>
      <c r="J1644" s="2163"/>
      <c r="K1644" s="2163"/>
      <c r="L1644" s="2163"/>
      <c r="M1644" s="2163"/>
    </row>
    <row r="1645" spans="1:15">
      <c r="A1645" s="2163"/>
      <c r="B1645" s="2163"/>
      <c r="C1645" s="2163"/>
      <c r="D1645" s="2163"/>
      <c r="E1645" s="2163"/>
      <c r="F1645" s="2163"/>
      <c r="G1645" s="2163"/>
      <c r="H1645" s="2163"/>
      <c r="I1645" s="2163"/>
      <c r="J1645" s="2163"/>
      <c r="K1645" s="2163"/>
      <c r="L1645" s="2163"/>
      <c r="M1645" s="2163"/>
    </row>
    <row r="1646" spans="1:15">
      <c r="A1646" s="2529"/>
      <c r="B1646" s="2529"/>
      <c r="C1646" s="2529"/>
      <c r="D1646" s="2166"/>
      <c r="E1646" s="2166"/>
      <c r="F1646" s="2166"/>
      <c r="G1646" s="2166"/>
      <c r="H1646" s="2525"/>
      <c r="I1646" s="2525"/>
      <c r="J1646" s="2525"/>
      <c r="K1646" s="2166"/>
      <c r="L1646" s="2167"/>
      <c r="M1646" s="2166"/>
    </row>
    <row r="1647" spans="1:15">
      <c r="A1647" s="2164"/>
      <c r="B1647" s="2164"/>
      <c r="C1647" s="2164"/>
      <c r="D1647" s="2164"/>
      <c r="E1647" s="2522" t="s">
        <v>2639</v>
      </c>
      <c r="F1647" s="2522"/>
      <c r="G1647" s="2164"/>
      <c r="H1647" s="2523">
        <v>0</v>
      </c>
      <c r="I1647" s="2523"/>
      <c r="J1647" s="2523"/>
      <c r="K1647" s="2163"/>
      <c r="L1647" s="2523">
        <v>0</v>
      </c>
      <c r="M1647" s="2163"/>
    </row>
    <row r="1648" spans="1:15">
      <c r="A1648" s="2164"/>
      <c r="B1648" s="2164"/>
      <c r="C1648" s="2164"/>
      <c r="D1648" s="2164"/>
      <c r="E1648" s="2164"/>
      <c r="F1648" s="2164"/>
      <c r="G1648" s="2164"/>
      <c r="H1648" s="2523"/>
      <c r="I1648" s="2523"/>
      <c r="J1648" s="2523"/>
      <c r="K1648" s="2163"/>
      <c r="L1648" s="2523"/>
      <c r="M1648" s="2163"/>
    </row>
    <row r="1649" spans="1:15">
      <c r="A1649" s="2160" t="s">
        <v>2738</v>
      </c>
      <c r="B1649" s="2161"/>
      <c r="C1649" s="2160" t="s">
        <v>2739</v>
      </c>
      <c r="D1649" s="2161"/>
      <c r="E1649" s="2160" t="s">
        <v>2640</v>
      </c>
      <c r="F1649" s="2161"/>
    </row>
    <row r="1650" spans="1:15">
      <c r="A1650" s="2163"/>
      <c r="B1650" s="2163"/>
      <c r="C1650" s="2163"/>
      <c r="D1650" s="2163"/>
      <c r="E1650" s="2163"/>
      <c r="F1650" s="2163"/>
      <c r="G1650" s="2163"/>
      <c r="H1650" s="2163"/>
      <c r="I1650" s="2163"/>
      <c r="J1650" s="2163"/>
      <c r="K1650" s="2163"/>
      <c r="L1650" s="2163"/>
      <c r="M1650" s="2163"/>
    </row>
    <row r="1651" spans="1:15">
      <c r="A1651" s="2164"/>
      <c r="H1651" s="2522" t="s">
        <v>2637</v>
      </c>
      <c r="I1651" s="2522"/>
      <c r="J1651" s="2163"/>
      <c r="K1651" s="2523">
        <v>0</v>
      </c>
      <c r="L1651" s="2523"/>
      <c r="M1651" s="2163"/>
      <c r="N1651" s="2527"/>
      <c r="O1651" s="2163"/>
    </row>
    <row r="1652" spans="1:15">
      <c r="H1652" s="2163"/>
      <c r="I1652" s="2163"/>
      <c r="J1652" s="2163"/>
      <c r="K1652" s="2523"/>
      <c r="L1652" s="2523"/>
      <c r="N1652" s="2527"/>
    </row>
    <row r="1653" spans="1:15">
      <c r="A1653" s="2165">
        <v>62002</v>
      </c>
      <c r="B1653" s="2163"/>
      <c r="C1653" s="2524" t="s">
        <v>2862</v>
      </c>
      <c r="D1653" s="2524"/>
      <c r="E1653" s="2524"/>
      <c r="F1653" s="2524"/>
      <c r="G1653" s="2524"/>
      <c r="H1653" s="2524"/>
      <c r="I1653" s="2524"/>
      <c r="J1653" s="2163"/>
      <c r="K1653" s="2163"/>
      <c r="L1653" s="2163"/>
      <c r="M1653" s="2163"/>
    </row>
    <row r="1654" spans="1:15">
      <c r="A1654" s="2163"/>
      <c r="B1654" s="2163"/>
      <c r="C1654" s="2163"/>
      <c r="D1654" s="2163"/>
      <c r="E1654" s="2163"/>
      <c r="F1654" s="2163"/>
      <c r="G1654" s="2163"/>
      <c r="H1654" s="2163"/>
      <c r="I1654" s="2163"/>
      <c r="J1654" s="2163"/>
      <c r="K1654" s="2163"/>
      <c r="L1654" s="2163"/>
      <c r="M1654" s="2163"/>
    </row>
    <row r="1655" spans="1:15">
      <c r="A1655" s="2520" t="s">
        <v>2648</v>
      </c>
      <c r="B1655" s="2520"/>
      <c r="C1655" s="2520"/>
      <c r="D1655" s="2166"/>
      <c r="E1655" s="2166"/>
      <c r="F1655" s="2166"/>
      <c r="G1655" s="2166"/>
      <c r="H1655" s="2525">
        <v>-129.94300000000001</v>
      </c>
      <c r="I1655" s="2525"/>
      <c r="J1655" s="2525"/>
      <c r="K1655" s="2166"/>
      <c r="L1655" s="2168">
        <v>-7006.5</v>
      </c>
      <c r="M1655" s="2166"/>
    </row>
    <row r="1656" spans="1:15">
      <c r="A1656" s="2520" t="s">
        <v>2649</v>
      </c>
      <c r="B1656" s="2520"/>
      <c r="C1656" s="2520"/>
      <c r="D1656" s="2166"/>
      <c r="E1656" s="2166"/>
      <c r="F1656" s="2166"/>
      <c r="G1656" s="2166"/>
      <c r="H1656" s="2525">
        <v>129.94300000000001</v>
      </c>
      <c r="I1656" s="2525"/>
      <c r="J1656" s="2525"/>
      <c r="K1656" s="2166"/>
      <c r="L1656" s="2168">
        <v>7000</v>
      </c>
      <c r="M1656" s="2166"/>
    </row>
    <row r="1657" spans="1:15">
      <c r="A1657" s="2164"/>
      <c r="B1657" s="2164"/>
      <c r="C1657" s="2164"/>
      <c r="D1657" s="2164"/>
      <c r="E1657" s="2522" t="s">
        <v>2639</v>
      </c>
      <c r="F1657" s="2522"/>
      <c r="G1657" s="2164"/>
      <c r="H1657" s="2523">
        <v>0</v>
      </c>
      <c r="I1657" s="2523"/>
      <c r="J1657" s="2523"/>
      <c r="K1657" s="2163"/>
      <c r="L1657" s="2523">
        <v>0</v>
      </c>
      <c r="M1657" s="2163"/>
    </row>
    <row r="1658" spans="1:15">
      <c r="A1658" s="2164"/>
      <c r="B1658" s="2164"/>
      <c r="C1658" s="2164"/>
      <c r="D1658" s="2164"/>
      <c r="E1658" s="2164"/>
      <c r="F1658" s="2164"/>
      <c r="G1658" s="2164"/>
      <c r="H1658" s="2523"/>
      <c r="I1658" s="2523"/>
      <c r="J1658" s="2523"/>
      <c r="K1658" s="2163"/>
      <c r="L1658" s="2523"/>
      <c r="M1658" s="2163"/>
    </row>
    <row r="1659" spans="1:15">
      <c r="A1659" s="2160" t="s">
        <v>2738</v>
      </c>
      <c r="B1659" s="2161"/>
      <c r="C1659" s="2160" t="s">
        <v>2739</v>
      </c>
      <c r="D1659" s="2161"/>
      <c r="E1659" s="2160" t="s">
        <v>2640</v>
      </c>
      <c r="F1659" s="2161"/>
    </row>
    <row r="1660" spans="1:15">
      <c r="A1660" s="2163"/>
      <c r="B1660" s="2163"/>
      <c r="C1660" s="2163"/>
      <c r="D1660" s="2163"/>
      <c r="E1660" s="2163"/>
      <c r="F1660" s="2163"/>
      <c r="G1660" s="2163"/>
      <c r="H1660" s="2163"/>
      <c r="I1660" s="2163"/>
      <c r="J1660" s="2163"/>
      <c r="K1660" s="2163"/>
      <c r="L1660" s="2163"/>
      <c r="M1660" s="2163"/>
    </row>
    <row r="1661" spans="1:15">
      <c r="A1661" s="2164"/>
      <c r="H1661" s="2522" t="s">
        <v>2637</v>
      </c>
      <c r="I1661" s="2522"/>
      <c r="J1661" s="2163"/>
      <c r="K1661" s="2523">
        <v>0.26629999999999998</v>
      </c>
      <c r="L1661" s="2523"/>
      <c r="M1661" s="2163"/>
      <c r="N1661" s="2527">
        <v>14</v>
      </c>
      <c r="O1661" s="2163"/>
    </row>
    <row r="1662" spans="1:15">
      <c r="H1662" s="2163"/>
      <c r="I1662" s="2163"/>
      <c r="J1662" s="2163"/>
      <c r="K1662" s="2523"/>
      <c r="L1662" s="2523"/>
      <c r="N1662" s="2527"/>
    </row>
    <row r="1663" spans="1:15">
      <c r="A1663" s="2165">
        <v>63906</v>
      </c>
      <c r="B1663" s="2163"/>
      <c r="C1663" s="2524" t="s">
        <v>2863</v>
      </c>
      <c r="D1663" s="2524"/>
      <c r="E1663" s="2524"/>
      <c r="F1663" s="2524"/>
      <c r="G1663" s="2524"/>
      <c r="H1663" s="2524"/>
      <c r="I1663" s="2524"/>
      <c r="J1663" s="2163"/>
      <c r="K1663" s="2163"/>
      <c r="L1663" s="2163"/>
      <c r="M1663" s="2163"/>
    </row>
    <row r="1664" spans="1:15">
      <c r="A1664" s="2163"/>
      <c r="B1664" s="2163"/>
      <c r="C1664" s="2163"/>
      <c r="D1664" s="2163"/>
      <c r="E1664" s="2163"/>
      <c r="F1664" s="2163"/>
      <c r="G1664" s="2163"/>
      <c r="H1664" s="2163"/>
      <c r="I1664" s="2163"/>
      <c r="J1664" s="2163"/>
      <c r="K1664" s="2163"/>
      <c r="L1664" s="2163"/>
      <c r="M1664" s="2163"/>
    </row>
    <row r="1665" spans="1:15">
      <c r="A1665" s="2529"/>
      <c r="B1665" s="2529"/>
      <c r="C1665" s="2529"/>
      <c r="D1665" s="2166"/>
      <c r="E1665" s="2166"/>
      <c r="F1665" s="2166"/>
      <c r="G1665" s="2166"/>
      <c r="H1665" s="2525"/>
      <c r="I1665" s="2525"/>
      <c r="J1665" s="2525"/>
      <c r="K1665" s="2166"/>
      <c r="L1665" s="2167"/>
      <c r="M1665" s="2166"/>
    </row>
    <row r="1666" spans="1:15">
      <c r="A1666" s="2164"/>
      <c r="B1666" s="2164"/>
      <c r="C1666" s="2164"/>
      <c r="D1666" s="2164"/>
      <c r="E1666" s="2522" t="s">
        <v>2639</v>
      </c>
      <c r="F1666" s="2522"/>
      <c r="G1666" s="2164"/>
      <c r="H1666" s="2523">
        <v>0.26629999999999998</v>
      </c>
      <c r="I1666" s="2523"/>
      <c r="J1666" s="2523"/>
      <c r="K1666" s="2163"/>
      <c r="L1666" s="2523">
        <v>14.36</v>
      </c>
      <c r="M1666" s="2163"/>
    </row>
    <row r="1667" spans="1:15">
      <c r="A1667" s="2164"/>
      <c r="B1667" s="2164"/>
      <c r="C1667" s="2164"/>
      <c r="D1667" s="2164"/>
      <c r="E1667" s="2164"/>
      <c r="F1667" s="2164"/>
      <c r="G1667" s="2164"/>
      <c r="H1667" s="2523"/>
      <c r="I1667" s="2523"/>
      <c r="J1667" s="2523"/>
      <c r="K1667" s="2163"/>
      <c r="L1667" s="2523"/>
      <c r="M1667" s="2163"/>
    </row>
    <row r="1668" spans="1:15">
      <c r="A1668" s="2160" t="s">
        <v>2738</v>
      </c>
      <c r="B1668" s="2161"/>
      <c r="C1668" s="2160" t="s">
        <v>2739</v>
      </c>
      <c r="D1668" s="2161"/>
      <c r="E1668" s="2160" t="s">
        <v>2640</v>
      </c>
      <c r="F1668" s="2161"/>
    </row>
    <row r="1669" spans="1:15">
      <c r="A1669" s="2163"/>
      <c r="B1669" s="2163"/>
      <c r="C1669" s="2163"/>
      <c r="D1669" s="2163"/>
      <c r="E1669" s="2163"/>
      <c r="F1669" s="2163"/>
      <c r="G1669" s="2163"/>
      <c r="H1669" s="2163"/>
      <c r="I1669" s="2163"/>
      <c r="J1669" s="2163"/>
      <c r="K1669" s="2163"/>
      <c r="L1669" s="2163"/>
      <c r="M1669" s="2163"/>
    </row>
    <row r="1670" spans="1:15">
      <c r="A1670" s="2164"/>
      <c r="H1670" s="2522" t="s">
        <v>2637</v>
      </c>
      <c r="I1670" s="2522"/>
      <c r="J1670" s="2163"/>
      <c r="K1670" s="2523">
        <v>0</v>
      </c>
      <c r="L1670" s="2523"/>
      <c r="M1670" s="2163"/>
      <c r="N1670" s="2527"/>
      <c r="O1670" s="2163"/>
    </row>
    <row r="1671" spans="1:15">
      <c r="H1671" s="2163"/>
      <c r="I1671" s="2163"/>
      <c r="J1671" s="2163"/>
      <c r="K1671" s="2523"/>
      <c r="L1671" s="2523"/>
      <c r="N1671" s="2527"/>
    </row>
    <row r="1672" spans="1:15">
      <c r="A1672" s="2165">
        <v>70568</v>
      </c>
      <c r="B1672" s="2163"/>
      <c r="C1672" s="2524" t="s">
        <v>2864</v>
      </c>
      <c r="D1672" s="2524"/>
      <c r="E1672" s="2524"/>
      <c r="F1672" s="2524"/>
      <c r="G1672" s="2524"/>
      <c r="H1672" s="2524"/>
      <c r="I1672" s="2524"/>
      <c r="J1672" s="2163"/>
      <c r="K1672" s="2163"/>
      <c r="L1672" s="2163"/>
      <c r="M1672" s="2163"/>
    </row>
    <row r="1673" spans="1:15">
      <c r="A1673" s="2163"/>
      <c r="B1673" s="2163"/>
      <c r="C1673" s="2163"/>
      <c r="D1673" s="2163"/>
      <c r="E1673" s="2163"/>
      <c r="F1673" s="2163"/>
      <c r="G1673" s="2163"/>
      <c r="H1673" s="2163"/>
      <c r="I1673" s="2163"/>
      <c r="J1673" s="2163"/>
      <c r="K1673" s="2163"/>
      <c r="L1673" s="2163"/>
      <c r="M1673" s="2163"/>
    </row>
    <row r="1674" spans="1:15">
      <c r="A1674" s="2520" t="s">
        <v>2649</v>
      </c>
      <c r="B1674" s="2520"/>
      <c r="C1674" s="2520"/>
      <c r="D1674" s="2166"/>
      <c r="E1674" s="2166"/>
      <c r="F1674" s="2166"/>
      <c r="G1674" s="2166"/>
      <c r="H1674" s="2525">
        <v>1.7000000000000001E-2</v>
      </c>
      <c r="I1674" s="2525"/>
      <c r="J1674" s="2525"/>
      <c r="K1674" s="2166"/>
      <c r="L1674" s="2167">
        <v>0.93</v>
      </c>
      <c r="M1674" s="2166"/>
    </row>
    <row r="1675" spans="1:15">
      <c r="A1675" s="2164"/>
      <c r="B1675" s="2164"/>
      <c r="C1675" s="2164"/>
      <c r="D1675" s="2164"/>
      <c r="E1675" s="2522" t="s">
        <v>2639</v>
      </c>
      <c r="F1675" s="2522"/>
      <c r="G1675" s="2164"/>
      <c r="H1675" s="2523">
        <v>1.7299999999999999E-2</v>
      </c>
      <c r="I1675" s="2523"/>
      <c r="J1675" s="2523"/>
      <c r="K1675" s="2163"/>
      <c r="L1675" s="2523">
        <v>0.93</v>
      </c>
      <c r="M1675" s="2163"/>
    </row>
    <row r="1676" spans="1:15">
      <c r="A1676" s="2164"/>
      <c r="B1676" s="2164"/>
      <c r="C1676" s="2164"/>
      <c r="D1676" s="2164"/>
      <c r="E1676" s="2164"/>
      <c r="F1676" s="2164"/>
      <c r="G1676" s="2164"/>
      <c r="H1676" s="2523"/>
      <c r="I1676" s="2523"/>
      <c r="J1676" s="2523"/>
      <c r="K1676" s="2163"/>
      <c r="L1676" s="2523"/>
      <c r="M1676" s="2163"/>
    </row>
    <row r="1677" spans="1:15">
      <c r="A1677" s="2160" t="s">
        <v>2738</v>
      </c>
      <c r="B1677" s="2161"/>
      <c r="C1677" s="2160" t="s">
        <v>2739</v>
      </c>
      <c r="D1677" s="2161"/>
      <c r="E1677" s="2160" t="s">
        <v>2640</v>
      </c>
      <c r="F1677" s="2161"/>
    </row>
    <row r="1678" spans="1:15">
      <c r="A1678" s="2163"/>
      <c r="B1678" s="2163"/>
      <c r="C1678" s="2163"/>
      <c r="D1678" s="2163"/>
      <c r="E1678" s="2163"/>
      <c r="F1678" s="2163"/>
      <c r="G1678" s="2163"/>
      <c r="H1678" s="2163"/>
      <c r="I1678" s="2163"/>
      <c r="J1678" s="2163"/>
      <c r="K1678" s="2163"/>
      <c r="L1678" s="2163"/>
      <c r="M1678" s="2163"/>
    </row>
    <row r="1679" spans="1:15">
      <c r="A1679" s="2164"/>
      <c r="H1679" s="2522" t="s">
        <v>2637</v>
      </c>
      <c r="I1679" s="2522"/>
      <c r="J1679" s="2163"/>
      <c r="K1679" s="2523">
        <v>0</v>
      </c>
      <c r="L1679" s="2523"/>
      <c r="M1679" s="2163"/>
      <c r="N1679" s="2527"/>
      <c r="O1679" s="2163"/>
    </row>
    <row r="1680" spans="1:15">
      <c r="H1680" s="2163"/>
      <c r="I1680" s="2163"/>
      <c r="J1680" s="2163"/>
      <c r="K1680" s="2523"/>
      <c r="L1680" s="2523"/>
      <c r="N1680" s="2527"/>
    </row>
    <row r="1681" spans="1:15">
      <c r="A1681" s="2165">
        <v>76029</v>
      </c>
      <c r="B1681" s="2163"/>
      <c r="C1681" s="2524" t="s">
        <v>2872</v>
      </c>
      <c r="D1681" s="2524"/>
      <c r="E1681" s="2524"/>
      <c r="F1681" s="2524"/>
      <c r="G1681" s="2524"/>
      <c r="H1681" s="2524"/>
      <c r="I1681" s="2524"/>
      <c r="J1681" s="2163"/>
      <c r="K1681" s="2163"/>
      <c r="L1681" s="2163"/>
      <c r="M1681" s="2163"/>
    </row>
    <row r="1682" spans="1:15">
      <c r="A1682" s="2163"/>
      <c r="B1682" s="2163"/>
      <c r="C1682" s="2163"/>
      <c r="D1682" s="2163"/>
      <c r="E1682" s="2163"/>
      <c r="F1682" s="2163"/>
      <c r="G1682" s="2163"/>
      <c r="H1682" s="2163"/>
      <c r="I1682" s="2163"/>
      <c r="J1682" s="2163"/>
      <c r="K1682" s="2163"/>
      <c r="L1682" s="2163"/>
      <c r="M1682" s="2163"/>
    </row>
    <row r="1683" spans="1:15">
      <c r="A1683" s="2520" t="s">
        <v>2648</v>
      </c>
      <c r="B1683" s="2520"/>
      <c r="C1683" s="2520"/>
      <c r="D1683" s="2166"/>
      <c r="E1683" s="2166"/>
      <c r="F1683" s="2166"/>
      <c r="G1683" s="2166"/>
      <c r="H1683" s="2525">
        <v>-196.06299999999999</v>
      </c>
      <c r="I1683" s="2525"/>
      <c r="J1683" s="2525"/>
      <c r="K1683" s="2166"/>
      <c r="L1683" s="2168">
        <v>-10571.71</v>
      </c>
      <c r="M1683" s="2166"/>
    </row>
    <row r="1684" spans="1:15">
      <c r="A1684" s="2520" t="s">
        <v>2649</v>
      </c>
      <c r="B1684" s="2520"/>
      <c r="C1684" s="2520"/>
      <c r="D1684" s="2166"/>
      <c r="E1684" s="2166"/>
      <c r="F1684" s="2166"/>
      <c r="G1684" s="2166"/>
      <c r="H1684" s="2525">
        <v>196.06299999999999</v>
      </c>
      <c r="I1684" s="2525"/>
      <c r="J1684" s="2525"/>
      <c r="K1684" s="2166"/>
      <c r="L1684" s="2168">
        <v>10561.91</v>
      </c>
      <c r="M1684" s="2166"/>
    </row>
    <row r="1685" spans="1:15">
      <c r="A1685" s="2164"/>
      <c r="B1685" s="2164"/>
      <c r="C1685" s="2164"/>
      <c r="D1685" s="2164"/>
      <c r="E1685" s="2522" t="s">
        <v>2639</v>
      </c>
      <c r="F1685" s="2522"/>
      <c r="G1685" s="2164"/>
      <c r="H1685" s="2523">
        <v>0</v>
      </c>
      <c r="I1685" s="2523"/>
      <c r="J1685" s="2523"/>
      <c r="K1685" s="2163"/>
      <c r="L1685" s="2523">
        <v>0</v>
      </c>
      <c r="M1685" s="2163"/>
    </row>
    <row r="1686" spans="1:15">
      <c r="A1686" s="2164"/>
      <c r="B1686" s="2164"/>
      <c r="C1686" s="2164"/>
      <c r="D1686" s="2164"/>
      <c r="E1686" s="2164"/>
      <c r="F1686" s="2164"/>
      <c r="G1686" s="2164"/>
      <c r="H1686" s="2523"/>
      <c r="I1686" s="2523"/>
      <c r="J1686" s="2523"/>
      <c r="K1686" s="2163"/>
      <c r="L1686" s="2523"/>
      <c r="M1686" s="2163"/>
    </row>
    <row r="1687" spans="1:15">
      <c r="A1687" s="2160" t="s">
        <v>2738</v>
      </c>
      <c r="B1687" s="2161"/>
      <c r="C1687" s="2160" t="s">
        <v>2739</v>
      </c>
      <c r="D1687" s="2161"/>
      <c r="E1687" s="2160" t="s">
        <v>2640</v>
      </c>
      <c r="F1687" s="2161"/>
    </row>
    <row r="1688" spans="1:15">
      <c r="A1688" s="2163"/>
      <c r="B1688" s="2163"/>
      <c r="C1688" s="2163"/>
      <c r="D1688" s="2163"/>
      <c r="E1688" s="2163"/>
      <c r="F1688" s="2163"/>
      <c r="G1688" s="2163"/>
      <c r="H1688" s="2163"/>
      <c r="I1688" s="2163"/>
      <c r="J1688" s="2163"/>
      <c r="K1688" s="2163"/>
      <c r="L1688" s="2163"/>
      <c r="M1688" s="2163"/>
    </row>
    <row r="1689" spans="1:15">
      <c r="A1689" s="2164"/>
      <c r="H1689" s="2522" t="s">
        <v>2637</v>
      </c>
      <c r="I1689" s="2522"/>
      <c r="J1689" s="2163"/>
      <c r="K1689" s="2523">
        <v>0</v>
      </c>
      <c r="L1689" s="2523"/>
      <c r="M1689" s="2163"/>
      <c r="N1689" s="2527"/>
      <c r="O1689" s="2163"/>
    </row>
    <row r="1690" spans="1:15">
      <c r="H1690" s="2163"/>
      <c r="I1690" s="2163"/>
      <c r="J1690" s="2163"/>
      <c r="K1690" s="2523"/>
      <c r="L1690" s="2523"/>
      <c r="N1690" s="2527"/>
    </row>
    <row r="1691" spans="1:15">
      <c r="A1691" s="2165">
        <v>76840</v>
      </c>
      <c r="B1691" s="2163"/>
      <c r="C1691" s="2524" t="s">
        <v>2873</v>
      </c>
      <c r="D1691" s="2524"/>
      <c r="E1691" s="2524"/>
      <c r="F1691" s="2524"/>
      <c r="G1691" s="2524"/>
      <c r="H1691" s="2524"/>
      <c r="I1691" s="2524"/>
      <c r="J1691" s="2163"/>
      <c r="K1691" s="2163"/>
      <c r="L1691" s="2163"/>
      <c r="M1691" s="2163"/>
    </row>
    <row r="1692" spans="1:15">
      <c r="A1692" s="2163"/>
      <c r="B1692" s="2163"/>
      <c r="C1692" s="2163"/>
      <c r="D1692" s="2163"/>
      <c r="E1692" s="2163"/>
      <c r="F1692" s="2163"/>
      <c r="G1692" s="2163"/>
      <c r="H1692" s="2163"/>
      <c r="I1692" s="2163"/>
      <c r="J1692" s="2163"/>
      <c r="K1692" s="2163"/>
      <c r="L1692" s="2163"/>
      <c r="M1692" s="2163"/>
    </row>
    <row r="1693" spans="1:15">
      <c r="A1693" s="2520" t="s">
        <v>2648</v>
      </c>
      <c r="B1693" s="2520"/>
      <c r="C1693" s="2520"/>
      <c r="D1693" s="2166"/>
      <c r="E1693" s="2166"/>
      <c r="F1693" s="2166"/>
      <c r="G1693" s="2166"/>
      <c r="H1693" s="2525">
        <v>-462.33</v>
      </c>
      <c r="I1693" s="2525"/>
      <c r="J1693" s="2525"/>
      <c r="K1693" s="2166"/>
      <c r="L1693" s="2168">
        <v>-24928.83</v>
      </c>
      <c r="M1693" s="2166"/>
    </row>
    <row r="1694" spans="1:15">
      <c r="A1694" s="2520" t="s">
        <v>2649</v>
      </c>
      <c r="B1694" s="2520"/>
      <c r="C1694" s="2520"/>
      <c r="D1694" s="2166"/>
      <c r="E1694" s="2166"/>
      <c r="F1694" s="2166"/>
      <c r="G1694" s="2166"/>
      <c r="H1694" s="2525">
        <v>462.33</v>
      </c>
      <c r="I1694" s="2525"/>
      <c r="J1694" s="2525"/>
      <c r="K1694" s="2166"/>
      <c r="L1694" s="2168">
        <v>24905.71</v>
      </c>
      <c r="M1694" s="2166"/>
    </row>
    <row r="1695" spans="1:15">
      <c r="A1695" s="2164"/>
      <c r="B1695" s="2164"/>
      <c r="C1695" s="2164"/>
      <c r="D1695" s="2164"/>
      <c r="E1695" s="2522" t="s">
        <v>2639</v>
      </c>
      <c r="F1695" s="2522"/>
      <c r="G1695" s="2164"/>
      <c r="H1695" s="2523">
        <v>0</v>
      </c>
      <c r="I1695" s="2523"/>
      <c r="J1695" s="2523"/>
      <c r="K1695" s="2163"/>
      <c r="L1695" s="2523">
        <v>0</v>
      </c>
      <c r="M1695" s="2163"/>
    </row>
    <row r="1696" spans="1:15">
      <c r="A1696" s="2164"/>
      <c r="B1696" s="2164"/>
      <c r="C1696" s="2164"/>
      <c r="D1696" s="2164"/>
      <c r="E1696" s="2164"/>
      <c r="F1696" s="2164"/>
      <c r="G1696" s="2164"/>
      <c r="H1696" s="2523"/>
      <c r="I1696" s="2523"/>
      <c r="J1696" s="2523"/>
      <c r="K1696" s="2163"/>
      <c r="L1696" s="2523"/>
      <c r="M1696" s="2163"/>
    </row>
    <row r="1697" spans="1:15">
      <c r="A1697" s="2160" t="s">
        <v>2754</v>
      </c>
      <c r="B1697" s="2161"/>
      <c r="C1697" s="2160" t="s">
        <v>2755</v>
      </c>
      <c r="D1697" s="2161"/>
      <c r="E1697" s="2160" t="s">
        <v>2698</v>
      </c>
      <c r="F1697" s="2161"/>
    </row>
    <row r="1698" spans="1:15">
      <c r="A1698" s="2163"/>
      <c r="B1698" s="2163"/>
      <c r="C1698" s="2163"/>
      <c r="D1698" s="2163"/>
      <c r="E1698" s="2163"/>
      <c r="F1698" s="2163"/>
      <c r="G1698" s="2163"/>
      <c r="H1698" s="2163"/>
      <c r="I1698" s="2163"/>
      <c r="J1698" s="2163"/>
      <c r="K1698" s="2163"/>
      <c r="L1698" s="2163"/>
      <c r="M1698" s="2163"/>
    </row>
    <row r="1699" spans="1:15">
      <c r="A1699" s="2164"/>
      <c r="H1699" s="2522" t="s">
        <v>2637</v>
      </c>
      <c r="I1699" s="2522"/>
      <c r="J1699" s="2163"/>
      <c r="K1699" s="2523">
        <v>0</v>
      </c>
      <c r="L1699" s="2523"/>
      <c r="M1699" s="2163"/>
      <c r="N1699" s="2527"/>
      <c r="O1699" s="2163"/>
    </row>
    <row r="1700" spans="1:15">
      <c r="H1700" s="2163"/>
      <c r="I1700" s="2163"/>
      <c r="J1700" s="2163"/>
      <c r="K1700" s="2523"/>
      <c r="L1700" s="2523"/>
      <c r="N1700" s="2527"/>
    </row>
    <row r="1701" spans="1:15">
      <c r="A1701" s="2165">
        <v>2393</v>
      </c>
      <c r="B1701" s="2163"/>
      <c r="C1701" s="2524" t="s">
        <v>3048</v>
      </c>
      <c r="D1701" s="2524"/>
      <c r="E1701" s="2524"/>
      <c r="F1701" s="2524"/>
      <c r="G1701" s="2524"/>
      <c r="H1701" s="2524"/>
      <c r="I1701" s="2524"/>
      <c r="J1701" s="2163"/>
      <c r="K1701" s="2163"/>
      <c r="L1701" s="2163"/>
      <c r="M1701" s="2163"/>
    </row>
    <row r="1702" spans="1:15">
      <c r="A1702" s="2163"/>
      <c r="B1702" s="2163"/>
      <c r="C1702" s="2163"/>
      <c r="D1702" s="2163"/>
      <c r="E1702" s="2163"/>
      <c r="F1702" s="2163"/>
      <c r="G1702" s="2163"/>
      <c r="H1702" s="2163"/>
      <c r="I1702" s="2163"/>
      <c r="J1702" s="2163"/>
      <c r="K1702" s="2163"/>
      <c r="L1702" s="2163"/>
      <c r="M1702" s="2163"/>
    </row>
    <row r="1703" spans="1:15">
      <c r="A1703" s="2529"/>
      <c r="B1703" s="2529"/>
      <c r="C1703" s="2529"/>
      <c r="D1703" s="2166"/>
      <c r="E1703" s="2166"/>
      <c r="F1703" s="2166"/>
      <c r="G1703" s="2166"/>
      <c r="H1703" s="2525"/>
      <c r="I1703" s="2525"/>
      <c r="J1703" s="2525"/>
      <c r="K1703" s="2166"/>
      <c r="L1703" s="2167"/>
      <c r="M1703" s="2166"/>
    </row>
    <row r="1704" spans="1:15">
      <c r="A1704" s="2164"/>
      <c r="B1704" s="2164"/>
      <c r="C1704" s="2164"/>
      <c r="D1704" s="2164"/>
      <c r="E1704" s="2522" t="s">
        <v>2639</v>
      </c>
      <c r="F1704" s="2522"/>
      <c r="G1704" s="2164"/>
      <c r="H1704" s="2523">
        <v>0</v>
      </c>
      <c r="I1704" s="2523"/>
      <c r="J1704" s="2523"/>
      <c r="K1704" s="2163"/>
      <c r="L1704" s="2523">
        <v>0</v>
      </c>
      <c r="M1704" s="2163"/>
    </row>
    <row r="1705" spans="1:15">
      <c r="A1705" s="2164"/>
      <c r="B1705" s="2164"/>
      <c r="C1705" s="2164"/>
      <c r="D1705" s="2164"/>
      <c r="E1705" s="2164"/>
      <c r="F1705" s="2164"/>
      <c r="G1705" s="2164"/>
      <c r="H1705" s="2523"/>
      <c r="I1705" s="2523"/>
      <c r="J1705" s="2523"/>
      <c r="K1705" s="2163"/>
      <c r="L1705" s="2523"/>
      <c r="M1705" s="2163"/>
    </row>
    <row r="1706" spans="1:15">
      <c r="A1706" s="2160" t="s">
        <v>2754</v>
      </c>
      <c r="B1706" s="2161"/>
      <c r="C1706" s="2160" t="s">
        <v>2755</v>
      </c>
      <c r="D1706" s="2161"/>
      <c r="E1706" s="2160" t="s">
        <v>2698</v>
      </c>
      <c r="F1706" s="2161"/>
    </row>
    <row r="1707" spans="1:15">
      <c r="A1707" s="2163"/>
      <c r="B1707" s="2163"/>
      <c r="C1707" s="2163"/>
      <c r="D1707" s="2163"/>
      <c r="E1707" s="2163"/>
      <c r="F1707" s="2163"/>
      <c r="G1707" s="2163"/>
      <c r="H1707" s="2163"/>
      <c r="I1707" s="2163"/>
      <c r="J1707" s="2163"/>
      <c r="K1707" s="2163"/>
      <c r="L1707" s="2163"/>
      <c r="M1707" s="2163"/>
    </row>
    <row r="1708" spans="1:15">
      <c r="A1708" s="2164"/>
      <c r="H1708" s="2522" t="s">
        <v>2637</v>
      </c>
      <c r="I1708" s="2522"/>
      <c r="J1708" s="2163"/>
      <c r="K1708" s="2523">
        <v>1E-4</v>
      </c>
      <c r="L1708" s="2523"/>
      <c r="M1708" s="2163"/>
      <c r="N1708" s="2527"/>
      <c r="O1708" s="2163"/>
    </row>
    <row r="1709" spans="1:15">
      <c r="H1709" s="2163"/>
      <c r="I1709" s="2163"/>
      <c r="J1709" s="2163"/>
      <c r="K1709" s="2523"/>
      <c r="L1709" s="2523"/>
      <c r="N1709" s="2527"/>
    </row>
    <row r="1710" spans="1:15">
      <c r="A1710" s="2165">
        <v>4421</v>
      </c>
      <c r="B1710" s="2163"/>
      <c r="C1710" s="2524" t="s">
        <v>2854</v>
      </c>
      <c r="D1710" s="2524"/>
      <c r="E1710" s="2524"/>
      <c r="F1710" s="2524"/>
      <c r="G1710" s="2524"/>
      <c r="H1710" s="2524"/>
      <c r="I1710" s="2524"/>
      <c r="J1710" s="2163"/>
      <c r="K1710" s="2163"/>
      <c r="L1710" s="2163"/>
      <c r="M1710" s="2163"/>
    </row>
    <row r="1711" spans="1:15">
      <c r="A1711" s="2163"/>
      <c r="B1711" s="2163"/>
      <c r="C1711" s="2163"/>
      <c r="D1711" s="2163"/>
      <c r="E1711" s="2163"/>
      <c r="F1711" s="2163"/>
      <c r="G1711" s="2163"/>
      <c r="H1711" s="2163"/>
      <c r="I1711" s="2163"/>
      <c r="J1711" s="2163"/>
      <c r="K1711" s="2163"/>
      <c r="L1711" s="2163"/>
      <c r="M1711" s="2163"/>
    </row>
    <row r="1712" spans="1:15">
      <c r="A1712" s="2529"/>
      <c r="B1712" s="2529"/>
      <c r="C1712" s="2529"/>
      <c r="D1712" s="2166"/>
      <c r="E1712" s="2166"/>
      <c r="F1712" s="2166"/>
      <c r="G1712" s="2166"/>
      <c r="H1712" s="2525"/>
      <c r="I1712" s="2525"/>
      <c r="J1712" s="2525"/>
      <c r="K1712" s="2166"/>
      <c r="L1712" s="2167"/>
      <c r="M1712" s="2166"/>
    </row>
    <row r="1713" spans="1:15">
      <c r="A1713" s="2164"/>
      <c r="B1713" s="2164"/>
      <c r="C1713" s="2164"/>
      <c r="D1713" s="2164"/>
      <c r="E1713" s="2522" t="s">
        <v>2639</v>
      </c>
      <c r="F1713" s="2522"/>
      <c r="G1713" s="2164"/>
      <c r="H1713" s="2523">
        <v>1E-4</v>
      </c>
      <c r="I1713" s="2523"/>
      <c r="J1713" s="2523"/>
      <c r="K1713" s="2163"/>
      <c r="L1713" s="2523">
        <v>0.01</v>
      </c>
      <c r="M1713" s="2163"/>
    </row>
    <row r="1714" spans="1:15">
      <c r="A1714" s="2164"/>
      <c r="B1714" s="2164"/>
      <c r="C1714" s="2164"/>
      <c r="D1714" s="2164"/>
      <c r="E1714" s="2164"/>
      <c r="F1714" s="2164"/>
      <c r="G1714" s="2164"/>
      <c r="H1714" s="2523"/>
      <c r="I1714" s="2523"/>
      <c r="J1714" s="2523"/>
      <c r="K1714" s="2163"/>
      <c r="L1714" s="2523"/>
      <c r="M1714" s="2163"/>
    </row>
    <row r="1715" spans="1:15">
      <c r="A1715" s="2160" t="s">
        <v>2754</v>
      </c>
      <c r="B1715" s="2161"/>
      <c r="C1715" s="2160" t="s">
        <v>2755</v>
      </c>
      <c r="D1715" s="2161"/>
      <c r="E1715" s="2160" t="s">
        <v>2698</v>
      </c>
      <c r="F1715" s="2161"/>
    </row>
    <row r="1716" spans="1:15">
      <c r="A1716" s="2163"/>
      <c r="B1716" s="2163"/>
      <c r="C1716" s="2163"/>
      <c r="D1716" s="2163"/>
      <c r="E1716" s="2163"/>
      <c r="F1716" s="2163"/>
      <c r="G1716" s="2163"/>
      <c r="H1716" s="2163"/>
      <c r="I1716" s="2163"/>
      <c r="J1716" s="2163"/>
      <c r="K1716" s="2163"/>
      <c r="L1716" s="2163"/>
      <c r="M1716" s="2163"/>
    </row>
    <row r="1717" spans="1:15">
      <c r="A1717" s="2164"/>
      <c r="H1717" s="2522" t="s">
        <v>2637</v>
      </c>
      <c r="I1717" s="2522"/>
      <c r="J1717" s="2163"/>
      <c r="K1717" s="2523">
        <v>0</v>
      </c>
      <c r="L1717" s="2523"/>
      <c r="M1717" s="2163"/>
      <c r="N1717" s="2527"/>
      <c r="O1717" s="2163"/>
    </row>
    <row r="1718" spans="1:15">
      <c r="H1718" s="2163"/>
      <c r="I1718" s="2163"/>
      <c r="J1718" s="2163"/>
      <c r="K1718" s="2523"/>
      <c r="L1718" s="2523"/>
      <c r="N1718" s="2527"/>
    </row>
    <row r="1719" spans="1:15">
      <c r="A1719" s="2165">
        <v>16815</v>
      </c>
      <c r="B1719" s="2163"/>
      <c r="C1719" s="2524" t="s">
        <v>3049</v>
      </c>
      <c r="D1719" s="2524"/>
      <c r="E1719" s="2524"/>
      <c r="F1719" s="2524"/>
      <c r="G1719" s="2524"/>
      <c r="H1719" s="2524"/>
      <c r="I1719" s="2524"/>
      <c r="J1719" s="2163"/>
      <c r="K1719" s="2163"/>
      <c r="L1719" s="2163"/>
      <c r="M1719" s="2163"/>
    </row>
    <row r="1720" spans="1:15">
      <c r="A1720" s="2163"/>
      <c r="B1720" s="2163"/>
      <c r="C1720" s="2163"/>
      <c r="D1720" s="2163"/>
      <c r="E1720" s="2163"/>
      <c r="F1720" s="2163"/>
      <c r="G1720" s="2163"/>
      <c r="H1720" s="2163"/>
      <c r="I1720" s="2163"/>
      <c r="J1720" s="2163"/>
      <c r="K1720" s="2163"/>
      <c r="L1720" s="2163"/>
      <c r="M1720" s="2163"/>
    </row>
    <row r="1721" spans="1:15">
      <c r="A1721" s="2529"/>
      <c r="B1721" s="2529"/>
      <c r="C1721" s="2529"/>
      <c r="D1721" s="2166"/>
      <c r="E1721" s="2166"/>
      <c r="F1721" s="2166"/>
      <c r="G1721" s="2166"/>
      <c r="H1721" s="2525"/>
      <c r="I1721" s="2525"/>
      <c r="J1721" s="2525"/>
      <c r="K1721" s="2166"/>
      <c r="L1721" s="2167"/>
      <c r="M1721" s="2166"/>
    </row>
    <row r="1722" spans="1:15">
      <c r="A1722" s="2164"/>
      <c r="B1722" s="2164"/>
      <c r="C1722" s="2164"/>
      <c r="D1722" s="2164"/>
      <c r="E1722" s="2522" t="s">
        <v>2639</v>
      </c>
      <c r="F1722" s="2522"/>
      <c r="G1722" s="2164"/>
      <c r="H1722" s="2523">
        <v>0</v>
      </c>
      <c r="I1722" s="2523"/>
      <c r="J1722" s="2523"/>
      <c r="K1722" s="2163"/>
      <c r="L1722" s="2523">
        <v>0</v>
      </c>
      <c r="M1722" s="2163"/>
    </row>
    <row r="1723" spans="1:15">
      <c r="A1723" s="2164"/>
      <c r="B1723" s="2164"/>
      <c r="C1723" s="2164"/>
      <c r="D1723" s="2164"/>
      <c r="E1723" s="2164"/>
      <c r="F1723" s="2164"/>
      <c r="G1723" s="2164"/>
      <c r="H1723" s="2523"/>
      <c r="I1723" s="2523"/>
      <c r="J1723" s="2523"/>
      <c r="K1723" s="2163"/>
      <c r="L1723" s="2523"/>
      <c r="M1723" s="2163"/>
    </row>
    <row r="1724" spans="1:15">
      <c r="A1724" s="2160" t="s">
        <v>2754</v>
      </c>
      <c r="B1724" s="2161"/>
      <c r="C1724" s="2160" t="s">
        <v>2755</v>
      </c>
      <c r="D1724" s="2161"/>
      <c r="E1724" s="2160" t="s">
        <v>2698</v>
      </c>
      <c r="F1724" s="2161"/>
    </row>
    <row r="1725" spans="1:15">
      <c r="A1725" s="2163"/>
      <c r="B1725" s="2163"/>
      <c r="C1725" s="2163"/>
      <c r="D1725" s="2163"/>
      <c r="E1725" s="2163"/>
      <c r="F1725" s="2163"/>
      <c r="G1725" s="2163"/>
      <c r="H1725" s="2163"/>
      <c r="I1725" s="2163"/>
      <c r="J1725" s="2163"/>
      <c r="K1725" s="2163"/>
      <c r="L1725" s="2163"/>
      <c r="M1725" s="2163"/>
    </row>
    <row r="1726" spans="1:15">
      <c r="A1726" s="2164"/>
      <c r="H1726" s="2522" t="s">
        <v>2637</v>
      </c>
      <c r="I1726" s="2522"/>
      <c r="J1726" s="2163"/>
      <c r="K1726" s="2523">
        <v>0</v>
      </c>
      <c r="L1726" s="2523"/>
      <c r="M1726" s="2163"/>
      <c r="N1726" s="2527"/>
      <c r="O1726" s="2163"/>
    </row>
    <row r="1727" spans="1:15">
      <c r="H1727" s="2163"/>
      <c r="I1727" s="2163"/>
      <c r="J1727" s="2163"/>
      <c r="K1727" s="2523"/>
      <c r="L1727" s="2523"/>
      <c r="N1727" s="2527"/>
    </row>
    <row r="1728" spans="1:15">
      <c r="A1728" s="2165">
        <v>24369</v>
      </c>
      <c r="B1728" s="2163"/>
      <c r="C1728" s="2524" t="s">
        <v>3050</v>
      </c>
      <c r="D1728" s="2524"/>
      <c r="E1728" s="2524"/>
      <c r="F1728" s="2524"/>
      <c r="G1728" s="2524"/>
      <c r="H1728" s="2524"/>
      <c r="I1728" s="2524"/>
      <c r="J1728" s="2163"/>
      <c r="K1728" s="2163"/>
      <c r="L1728" s="2163"/>
      <c r="M1728" s="2163"/>
    </row>
    <row r="1729" spans="1:15">
      <c r="A1729" s="2163"/>
      <c r="B1729" s="2163"/>
      <c r="C1729" s="2163"/>
      <c r="D1729" s="2163"/>
      <c r="E1729" s="2163"/>
      <c r="F1729" s="2163"/>
      <c r="G1729" s="2163"/>
      <c r="H1729" s="2163"/>
      <c r="I1729" s="2163"/>
      <c r="J1729" s="2163"/>
      <c r="K1729" s="2163"/>
      <c r="L1729" s="2163"/>
      <c r="M1729" s="2163"/>
    </row>
    <row r="1730" spans="1:15">
      <c r="A1730" s="2529"/>
      <c r="B1730" s="2529"/>
      <c r="C1730" s="2529"/>
      <c r="D1730" s="2166"/>
      <c r="E1730" s="2166"/>
      <c r="F1730" s="2166"/>
      <c r="G1730" s="2166"/>
      <c r="H1730" s="2525"/>
      <c r="I1730" s="2525"/>
      <c r="J1730" s="2525"/>
      <c r="K1730" s="2166"/>
      <c r="L1730" s="2167"/>
      <c r="M1730" s="2166"/>
    </row>
    <row r="1731" spans="1:15">
      <c r="A1731" s="2164"/>
      <c r="B1731" s="2164"/>
      <c r="C1731" s="2164"/>
      <c r="D1731" s="2164"/>
      <c r="E1731" s="2522" t="s">
        <v>2639</v>
      </c>
      <c r="F1731" s="2522"/>
      <c r="G1731" s="2164"/>
      <c r="H1731" s="2523">
        <v>0</v>
      </c>
      <c r="I1731" s="2523"/>
      <c r="J1731" s="2523"/>
      <c r="K1731" s="2163"/>
      <c r="L1731" s="2523">
        <v>0</v>
      </c>
      <c r="M1731" s="2163"/>
    </row>
    <row r="1732" spans="1:15">
      <c r="A1732" s="2164"/>
      <c r="B1732" s="2164"/>
      <c r="C1732" s="2164"/>
      <c r="D1732" s="2164"/>
      <c r="E1732" s="2164"/>
      <c r="F1732" s="2164"/>
      <c r="G1732" s="2164"/>
      <c r="H1732" s="2523"/>
      <c r="I1732" s="2523"/>
      <c r="J1732" s="2523"/>
      <c r="K1732" s="2163"/>
      <c r="L1732" s="2523"/>
      <c r="M1732" s="2163"/>
    </row>
    <row r="1733" spans="1:15">
      <c r="A1733" s="2160" t="s">
        <v>2754</v>
      </c>
      <c r="B1733" s="2161"/>
      <c r="C1733" s="2160" t="s">
        <v>2755</v>
      </c>
      <c r="D1733" s="2161"/>
      <c r="E1733" s="2160" t="s">
        <v>2698</v>
      </c>
      <c r="F1733" s="2161"/>
    </row>
    <row r="1734" spans="1:15">
      <c r="A1734" s="2163"/>
      <c r="B1734" s="2163"/>
      <c r="C1734" s="2163"/>
      <c r="D1734" s="2163"/>
      <c r="E1734" s="2163"/>
      <c r="F1734" s="2163"/>
      <c r="G1734" s="2163"/>
      <c r="H1734" s="2163"/>
      <c r="I1734" s="2163"/>
      <c r="J1734" s="2163"/>
      <c r="K1734" s="2163"/>
      <c r="L1734" s="2163"/>
      <c r="M1734" s="2163"/>
    </row>
    <row r="1735" spans="1:15">
      <c r="A1735" s="2164"/>
      <c r="H1735" s="2522" t="s">
        <v>2637</v>
      </c>
      <c r="I1735" s="2522"/>
      <c r="J1735" s="2163"/>
      <c r="K1735" s="2523">
        <v>0</v>
      </c>
      <c r="L1735" s="2523"/>
      <c r="M1735" s="2163"/>
      <c r="N1735" s="2527"/>
      <c r="O1735" s="2163"/>
    </row>
    <row r="1736" spans="1:15">
      <c r="H1736" s="2163"/>
      <c r="I1736" s="2163"/>
      <c r="J1736" s="2163"/>
      <c r="K1736" s="2523"/>
      <c r="L1736" s="2523"/>
      <c r="N1736" s="2527"/>
    </row>
    <row r="1737" spans="1:15">
      <c r="A1737" s="2165">
        <v>24368</v>
      </c>
      <c r="B1737" s="2163"/>
      <c r="C1737" s="2524" t="s">
        <v>3051</v>
      </c>
      <c r="D1737" s="2524"/>
      <c r="E1737" s="2524"/>
      <c r="F1737" s="2524"/>
      <c r="G1737" s="2524"/>
      <c r="H1737" s="2524"/>
      <c r="I1737" s="2524"/>
      <c r="J1737" s="2163"/>
      <c r="K1737" s="2163"/>
      <c r="L1737" s="2163"/>
      <c r="M1737" s="2163"/>
    </row>
    <row r="1738" spans="1:15">
      <c r="A1738" s="2163"/>
      <c r="B1738" s="2163"/>
      <c r="C1738" s="2163"/>
      <c r="D1738" s="2163"/>
      <c r="E1738" s="2163"/>
      <c r="F1738" s="2163"/>
      <c r="G1738" s="2163"/>
      <c r="H1738" s="2163"/>
      <c r="I1738" s="2163"/>
      <c r="J1738" s="2163"/>
      <c r="K1738" s="2163"/>
      <c r="L1738" s="2163"/>
      <c r="M1738" s="2163"/>
    </row>
    <row r="1739" spans="1:15">
      <c r="A1739" s="2529"/>
      <c r="B1739" s="2529"/>
      <c r="C1739" s="2529"/>
      <c r="D1739" s="2166"/>
      <c r="E1739" s="2166"/>
      <c r="F1739" s="2166"/>
      <c r="G1739" s="2166"/>
      <c r="H1739" s="2525"/>
      <c r="I1739" s="2525"/>
      <c r="J1739" s="2525"/>
      <c r="K1739" s="2166"/>
      <c r="L1739" s="2167"/>
      <c r="M1739" s="2166"/>
    </row>
    <row r="1740" spans="1:15">
      <c r="A1740" s="2164"/>
      <c r="B1740" s="2164"/>
      <c r="C1740" s="2164"/>
      <c r="D1740" s="2164"/>
      <c r="E1740" s="2522" t="s">
        <v>2639</v>
      </c>
      <c r="F1740" s="2522"/>
      <c r="G1740" s="2164"/>
      <c r="H1740" s="2523">
        <v>0</v>
      </c>
      <c r="I1740" s="2523"/>
      <c r="J1740" s="2523"/>
      <c r="K1740" s="2163"/>
      <c r="L1740" s="2523">
        <v>0</v>
      </c>
      <c r="M1740" s="2163"/>
    </row>
    <row r="1741" spans="1:15">
      <c r="A1741" s="2164"/>
      <c r="B1741" s="2164"/>
      <c r="C1741" s="2164"/>
      <c r="D1741" s="2164"/>
      <c r="E1741" s="2164"/>
      <c r="F1741" s="2164"/>
      <c r="G1741" s="2164"/>
      <c r="H1741" s="2523"/>
      <c r="I1741" s="2523"/>
      <c r="J1741" s="2523"/>
      <c r="K1741" s="2163"/>
      <c r="L1741" s="2523"/>
      <c r="M1741" s="2163"/>
    </row>
    <row r="1742" spans="1:15">
      <c r="A1742" s="2160" t="s">
        <v>2754</v>
      </c>
      <c r="B1742" s="2161"/>
      <c r="C1742" s="2160" t="s">
        <v>2755</v>
      </c>
      <c r="D1742" s="2161"/>
      <c r="E1742" s="2160" t="s">
        <v>2698</v>
      </c>
      <c r="F1742" s="2161"/>
    </row>
    <row r="1743" spans="1:15">
      <c r="A1743" s="2163"/>
      <c r="B1743" s="2163"/>
      <c r="C1743" s="2163"/>
      <c r="D1743" s="2163"/>
      <c r="E1743" s="2163"/>
      <c r="F1743" s="2163"/>
      <c r="G1743" s="2163"/>
      <c r="H1743" s="2163"/>
      <c r="I1743" s="2163"/>
      <c r="J1743" s="2163"/>
      <c r="K1743" s="2163"/>
      <c r="L1743" s="2163"/>
      <c r="M1743" s="2163"/>
    </row>
    <row r="1744" spans="1:15">
      <c r="A1744" s="2164"/>
      <c r="H1744" s="2522" t="s">
        <v>2637</v>
      </c>
      <c r="I1744" s="2522"/>
      <c r="J1744" s="2163"/>
      <c r="K1744" s="2523">
        <v>0</v>
      </c>
      <c r="L1744" s="2523"/>
      <c r="M1744" s="2163"/>
      <c r="N1744" s="2527"/>
      <c r="O1744" s="2163"/>
    </row>
    <row r="1745" spans="1:15">
      <c r="H1745" s="2163"/>
      <c r="I1745" s="2163"/>
      <c r="J1745" s="2163"/>
      <c r="K1745" s="2523"/>
      <c r="L1745" s="2523"/>
      <c r="N1745" s="2527"/>
    </row>
    <row r="1746" spans="1:15">
      <c r="A1746" s="2165">
        <v>24482</v>
      </c>
      <c r="B1746" s="2163"/>
      <c r="C1746" s="2524" t="s">
        <v>3052</v>
      </c>
      <c r="D1746" s="2524"/>
      <c r="E1746" s="2524"/>
      <c r="F1746" s="2524"/>
      <c r="G1746" s="2524"/>
      <c r="H1746" s="2524"/>
      <c r="I1746" s="2524"/>
      <c r="J1746" s="2163"/>
      <c r="K1746" s="2163"/>
      <c r="L1746" s="2163"/>
      <c r="M1746" s="2163"/>
    </row>
    <row r="1747" spans="1:15">
      <c r="A1747" s="2163"/>
      <c r="B1747" s="2163"/>
      <c r="C1747" s="2163"/>
      <c r="D1747" s="2163"/>
      <c r="E1747" s="2163"/>
      <c r="F1747" s="2163"/>
      <c r="G1747" s="2163"/>
      <c r="H1747" s="2163"/>
      <c r="I1747" s="2163"/>
      <c r="J1747" s="2163"/>
      <c r="K1747" s="2163"/>
      <c r="L1747" s="2163"/>
      <c r="M1747" s="2163"/>
    </row>
    <row r="1748" spans="1:15">
      <c r="A1748" s="2529"/>
      <c r="B1748" s="2529"/>
      <c r="C1748" s="2529"/>
      <c r="D1748" s="2166"/>
      <c r="E1748" s="2166"/>
      <c r="F1748" s="2166"/>
      <c r="G1748" s="2166"/>
      <c r="H1748" s="2525"/>
      <c r="I1748" s="2525"/>
      <c r="J1748" s="2525"/>
      <c r="K1748" s="2166"/>
      <c r="L1748" s="2167"/>
      <c r="M1748" s="2166"/>
    </row>
    <row r="1749" spans="1:15">
      <c r="A1749" s="2164"/>
      <c r="B1749" s="2164"/>
      <c r="C1749" s="2164"/>
      <c r="D1749" s="2164"/>
      <c r="E1749" s="2522" t="s">
        <v>2639</v>
      </c>
      <c r="F1749" s="2522"/>
      <c r="G1749" s="2164"/>
      <c r="H1749" s="2523">
        <v>0</v>
      </c>
      <c r="I1749" s="2523"/>
      <c r="J1749" s="2523"/>
      <c r="K1749" s="2163"/>
      <c r="L1749" s="2523">
        <v>0</v>
      </c>
      <c r="M1749" s="2163"/>
    </row>
    <row r="1750" spans="1:15">
      <c r="A1750" s="2164"/>
      <c r="B1750" s="2164"/>
      <c r="C1750" s="2164"/>
      <c r="D1750" s="2164"/>
      <c r="E1750" s="2164"/>
      <c r="F1750" s="2164"/>
      <c r="G1750" s="2164"/>
      <c r="H1750" s="2523"/>
      <c r="I1750" s="2523"/>
      <c r="J1750" s="2523"/>
      <c r="K1750" s="2163"/>
      <c r="L1750" s="2523"/>
      <c r="M1750" s="2163"/>
    </row>
    <row r="1751" spans="1:15">
      <c r="A1751" s="2160" t="s">
        <v>2754</v>
      </c>
      <c r="B1751" s="2161"/>
      <c r="C1751" s="2160" t="s">
        <v>2755</v>
      </c>
      <c r="D1751" s="2161"/>
      <c r="E1751" s="2160" t="s">
        <v>2698</v>
      </c>
      <c r="F1751" s="2161"/>
    </row>
    <row r="1752" spans="1:15">
      <c r="A1752" s="2163"/>
      <c r="B1752" s="2163"/>
      <c r="C1752" s="2163"/>
      <c r="D1752" s="2163"/>
      <c r="E1752" s="2163"/>
      <c r="F1752" s="2163"/>
      <c r="G1752" s="2163"/>
      <c r="H1752" s="2163"/>
      <c r="I1752" s="2163"/>
      <c r="J1752" s="2163"/>
      <c r="K1752" s="2163"/>
      <c r="L1752" s="2163"/>
      <c r="M1752" s="2163"/>
    </row>
    <row r="1753" spans="1:15">
      <c r="A1753" s="2164"/>
      <c r="H1753" s="2522" t="s">
        <v>2637</v>
      </c>
      <c r="I1753" s="2522"/>
      <c r="J1753" s="2163"/>
      <c r="K1753" s="2523">
        <v>0</v>
      </c>
      <c r="L1753" s="2523"/>
      <c r="M1753" s="2163"/>
      <c r="N1753" s="2527"/>
      <c r="O1753" s="2163"/>
    </row>
    <row r="1754" spans="1:15">
      <c r="H1754" s="2163"/>
      <c r="I1754" s="2163"/>
      <c r="J1754" s="2163"/>
      <c r="K1754" s="2523"/>
      <c r="L1754" s="2523"/>
      <c r="N1754" s="2527"/>
    </row>
    <row r="1755" spans="1:15">
      <c r="A1755" s="2165">
        <v>24558</v>
      </c>
      <c r="B1755" s="2163"/>
      <c r="C1755" s="2524" t="s">
        <v>3053</v>
      </c>
      <c r="D1755" s="2524"/>
      <c r="E1755" s="2524"/>
      <c r="F1755" s="2524"/>
      <c r="G1755" s="2524"/>
      <c r="H1755" s="2524"/>
      <c r="I1755" s="2524"/>
      <c r="J1755" s="2163"/>
      <c r="K1755" s="2163"/>
      <c r="L1755" s="2163"/>
      <c r="M1755" s="2163"/>
    </row>
    <row r="1756" spans="1:15">
      <c r="A1756" s="2163"/>
      <c r="B1756" s="2163"/>
      <c r="C1756" s="2163"/>
      <c r="D1756" s="2163"/>
      <c r="E1756" s="2163"/>
      <c r="F1756" s="2163"/>
      <c r="G1756" s="2163"/>
      <c r="H1756" s="2163"/>
      <c r="I1756" s="2163"/>
      <c r="J1756" s="2163"/>
      <c r="K1756" s="2163"/>
      <c r="L1756" s="2163"/>
      <c r="M1756" s="2163"/>
    </row>
    <row r="1757" spans="1:15">
      <c r="A1757" s="2529"/>
      <c r="B1757" s="2529"/>
      <c r="C1757" s="2529"/>
      <c r="D1757" s="2166"/>
      <c r="E1757" s="2166"/>
      <c r="F1757" s="2166"/>
      <c r="G1757" s="2166"/>
      <c r="H1757" s="2525"/>
      <c r="I1757" s="2525"/>
      <c r="J1757" s="2525"/>
      <c r="K1757" s="2166"/>
      <c r="L1757" s="2167"/>
      <c r="M1757" s="2166"/>
    </row>
    <row r="1758" spans="1:15">
      <c r="A1758" s="2164"/>
      <c r="B1758" s="2164"/>
      <c r="C1758" s="2164"/>
      <c r="D1758" s="2164"/>
      <c r="E1758" s="2522" t="s">
        <v>2639</v>
      </c>
      <c r="F1758" s="2522"/>
      <c r="G1758" s="2164"/>
      <c r="H1758" s="2523">
        <v>0</v>
      </c>
      <c r="I1758" s="2523"/>
      <c r="J1758" s="2523"/>
      <c r="K1758" s="2163"/>
      <c r="L1758" s="2523">
        <v>0</v>
      </c>
      <c r="M1758" s="2163"/>
    </row>
    <row r="1759" spans="1:15">
      <c r="A1759" s="2164"/>
      <c r="B1759" s="2164"/>
      <c r="C1759" s="2164"/>
      <c r="D1759" s="2164"/>
      <c r="E1759" s="2164"/>
      <c r="F1759" s="2164"/>
      <c r="G1759" s="2164"/>
      <c r="H1759" s="2523"/>
      <c r="I1759" s="2523"/>
      <c r="J1759" s="2523"/>
      <c r="K1759" s="2163"/>
      <c r="L1759" s="2523"/>
      <c r="M1759" s="2163"/>
    </row>
    <row r="1760" spans="1:15">
      <c r="A1760" s="2160" t="s">
        <v>2754</v>
      </c>
      <c r="B1760" s="2161"/>
      <c r="C1760" s="2160" t="s">
        <v>2755</v>
      </c>
      <c r="D1760" s="2161"/>
      <c r="E1760" s="2160" t="s">
        <v>2698</v>
      </c>
      <c r="F1760" s="2161"/>
    </row>
    <row r="1761" spans="1:15">
      <c r="A1761" s="2163"/>
      <c r="B1761" s="2163"/>
      <c r="C1761" s="2163"/>
      <c r="D1761" s="2163"/>
      <c r="E1761" s="2163"/>
      <c r="F1761" s="2163"/>
      <c r="G1761" s="2163"/>
      <c r="H1761" s="2163"/>
      <c r="I1761" s="2163"/>
      <c r="J1761" s="2163"/>
      <c r="K1761" s="2163"/>
      <c r="L1761" s="2163"/>
      <c r="M1761" s="2163"/>
    </row>
    <row r="1762" spans="1:15">
      <c r="A1762" s="2164"/>
      <c r="H1762" s="2522" t="s">
        <v>2637</v>
      </c>
      <c r="I1762" s="2522"/>
      <c r="J1762" s="2163"/>
      <c r="K1762" s="2523">
        <v>0</v>
      </c>
      <c r="L1762" s="2523"/>
      <c r="M1762" s="2163"/>
      <c r="N1762" s="2527"/>
      <c r="O1762" s="2163"/>
    </row>
    <row r="1763" spans="1:15">
      <c r="H1763" s="2163"/>
      <c r="I1763" s="2163"/>
      <c r="J1763" s="2163"/>
      <c r="K1763" s="2523"/>
      <c r="L1763" s="2523"/>
      <c r="N1763" s="2527"/>
    </row>
    <row r="1764" spans="1:15">
      <c r="A1764" s="2165">
        <v>31913</v>
      </c>
      <c r="B1764" s="2163"/>
      <c r="C1764" s="2524" t="s">
        <v>2855</v>
      </c>
      <c r="D1764" s="2524"/>
      <c r="E1764" s="2524"/>
      <c r="F1764" s="2524"/>
      <c r="G1764" s="2524"/>
      <c r="H1764" s="2524"/>
      <c r="I1764" s="2524"/>
      <c r="J1764" s="2163"/>
      <c r="K1764" s="2163"/>
      <c r="L1764" s="2163"/>
      <c r="M1764" s="2163"/>
    </row>
    <row r="1765" spans="1:15">
      <c r="A1765" s="2163"/>
      <c r="B1765" s="2163"/>
      <c r="C1765" s="2163"/>
      <c r="D1765" s="2163"/>
      <c r="E1765" s="2163"/>
      <c r="F1765" s="2163"/>
      <c r="G1765" s="2163"/>
      <c r="H1765" s="2163"/>
      <c r="I1765" s="2163"/>
      <c r="J1765" s="2163"/>
      <c r="K1765" s="2163"/>
      <c r="L1765" s="2163"/>
      <c r="M1765" s="2163"/>
    </row>
    <row r="1766" spans="1:15">
      <c r="A1766" s="2529"/>
      <c r="B1766" s="2529"/>
      <c r="C1766" s="2529"/>
      <c r="D1766" s="2166"/>
      <c r="E1766" s="2166"/>
      <c r="F1766" s="2166"/>
      <c r="G1766" s="2166"/>
      <c r="H1766" s="2525"/>
      <c r="I1766" s="2525"/>
      <c r="J1766" s="2525"/>
      <c r="K1766" s="2166"/>
      <c r="L1766" s="2167"/>
      <c r="M1766" s="2166"/>
    </row>
    <row r="1767" spans="1:15">
      <c r="A1767" s="2164"/>
      <c r="B1767" s="2164"/>
      <c r="C1767" s="2164"/>
      <c r="D1767" s="2164"/>
      <c r="E1767" s="2522" t="s">
        <v>2639</v>
      </c>
      <c r="F1767" s="2522"/>
      <c r="G1767" s="2164"/>
      <c r="H1767" s="2523">
        <v>0</v>
      </c>
      <c r="I1767" s="2523"/>
      <c r="J1767" s="2523"/>
      <c r="K1767" s="2163"/>
      <c r="L1767" s="2523">
        <v>0</v>
      </c>
      <c r="M1767" s="2163"/>
    </row>
    <row r="1768" spans="1:15">
      <c r="A1768" s="2164"/>
      <c r="B1768" s="2164"/>
      <c r="C1768" s="2164"/>
      <c r="D1768" s="2164"/>
      <c r="E1768" s="2164"/>
      <c r="F1768" s="2164"/>
      <c r="G1768" s="2164"/>
      <c r="H1768" s="2523"/>
      <c r="I1768" s="2523"/>
      <c r="J1768" s="2523"/>
      <c r="K1768" s="2163"/>
      <c r="L1768" s="2523"/>
      <c r="M1768" s="2163"/>
    </row>
    <row r="1769" spans="1:15">
      <c r="A1769" s="2160" t="s">
        <v>2754</v>
      </c>
      <c r="B1769" s="2161"/>
      <c r="C1769" s="2160" t="s">
        <v>2755</v>
      </c>
      <c r="D1769" s="2161"/>
      <c r="E1769" s="2160" t="s">
        <v>2698</v>
      </c>
      <c r="F1769" s="2161"/>
    </row>
    <row r="1770" spans="1:15">
      <c r="A1770" s="2163"/>
      <c r="B1770" s="2163"/>
      <c r="C1770" s="2163"/>
      <c r="D1770" s="2163"/>
      <c r="E1770" s="2163"/>
      <c r="F1770" s="2163"/>
      <c r="G1770" s="2163"/>
      <c r="H1770" s="2163"/>
      <c r="I1770" s="2163"/>
      <c r="J1770" s="2163"/>
      <c r="K1770" s="2163"/>
      <c r="L1770" s="2163"/>
      <c r="M1770" s="2163"/>
    </row>
    <row r="1771" spans="1:15">
      <c r="A1771" s="2164"/>
      <c r="H1771" s="2522" t="s">
        <v>2637</v>
      </c>
      <c r="I1771" s="2522"/>
      <c r="J1771" s="2163"/>
      <c r="K1771" s="2523">
        <v>0</v>
      </c>
      <c r="L1771" s="2523"/>
      <c r="M1771" s="2163"/>
      <c r="N1771" s="2527"/>
      <c r="O1771" s="2163"/>
    </row>
    <row r="1772" spans="1:15">
      <c r="H1772" s="2163"/>
      <c r="I1772" s="2163"/>
      <c r="J1772" s="2163"/>
      <c r="K1772" s="2523"/>
      <c r="L1772" s="2523"/>
      <c r="N1772" s="2527"/>
    </row>
    <row r="1773" spans="1:15">
      <c r="A1773" s="2165">
        <v>40147</v>
      </c>
      <c r="B1773" s="2163"/>
      <c r="C1773" s="2524" t="s">
        <v>2856</v>
      </c>
      <c r="D1773" s="2524"/>
      <c r="E1773" s="2524"/>
      <c r="F1773" s="2524"/>
      <c r="G1773" s="2524"/>
      <c r="H1773" s="2524"/>
      <c r="I1773" s="2524"/>
      <c r="J1773" s="2163"/>
      <c r="K1773" s="2163"/>
      <c r="L1773" s="2163"/>
      <c r="M1773" s="2163"/>
    </row>
    <row r="1774" spans="1:15">
      <c r="A1774" s="2163"/>
      <c r="B1774" s="2163"/>
      <c r="C1774" s="2163"/>
      <c r="D1774" s="2163"/>
      <c r="E1774" s="2163"/>
      <c r="F1774" s="2163"/>
      <c r="G1774" s="2163"/>
      <c r="H1774" s="2163"/>
      <c r="I1774" s="2163"/>
      <c r="J1774" s="2163"/>
      <c r="K1774" s="2163"/>
      <c r="L1774" s="2163"/>
      <c r="M1774" s="2163"/>
    </row>
    <row r="1775" spans="1:15">
      <c r="A1775" s="2520" t="s">
        <v>2647</v>
      </c>
      <c r="B1775" s="2520"/>
      <c r="C1775" s="2520"/>
      <c r="D1775" s="2166"/>
      <c r="E1775" s="2166"/>
      <c r="F1775" s="2166"/>
      <c r="G1775" s="2166"/>
      <c r="H1775" s="2526">
        <v>322256.63299999997</v>
      </c>
      <c r="I1775" s="2526"/>
      <c r="J1775" s="2526"/>
      <c r="K1775" s="2166"/>
      <c r="L1775" s="2168">
        <v>16266676.98</v>
      </c>
      <c r="M1775" s="2166"/>
    </row>
    <row r="1776" spans="1:15">
      <c r="A1776" s="2520" t="s">
        <v>2679</v>
      </c>
      <c r="B1776" s="2520"/>
      <c r="C1776" s="2520"/>
      <c r="D1776" s="2166"/>
      <c r="E1776" s="2166"/>
      <c r="F1776" s="2166"/>
      <c r="G1776" s="2166"/>
      <c r="H1776" s="2526">
        <v>-322256.63299999997</v>
      </c>
      <c r="I1776" s="2526"/>
      <c r="J1776" s="2526"/>
      <c r="K1776" s="2166"/>
      <c r="L1776" s="2168">
        <v>-16282789.810000001</v>
      </c>
      <c r="M1776" s="2166"/>
    </row>
    <row r="1777" spans="1:15">
      <c r="A1777" s="2164"/>
      <c r="B1777" s="2164"/>
      <c r="C1777" s="2164"/>
      <c r="D1777" s="2164"/>
      <c r="E1777" s="2522" t="s">
        <v>2639</v>
      </c>
      <c r="F1777" s="2522"/>
      <c r="G1777" s="2164"/>
      <c r="H1777" s="2523">
        <v>0</v>
      </c>
      <c r="I1777" s="2523"/>
      <c r="J1777" s="2523"/>
      <c r="K1777" s="2163"/>
      <c r="L1777" s="2523">
        <v>0</v>
      </c>
      <c r="M1777" s="2163"/>
    </row>
    <row r="1778" spans="1:15">
      <c r="A1778" s="2164"/>
      <c r="B1778" s="2164"/>
      <c r="C1778" s="2164"/>
      <c r="D1778" s="2164"/>
      <c r="E1778" s="2164"/>
      <c r="F1778" s="2164"/>
      <c r="G1778" s="2164"/>
      <c r="H1778" s="2523"/>
      <c r="I1778" s="2523"/>
      <c r="J1778" s="2523"/>
      <c r="K1778" s="2163"/>
      <c r="L1778" s="2523"/>
      <c r="M1778" s="2163"/>
    </row>
    <row r="1779" spans="1:15">
      <c r="A1779" s="2160" t="s">
        <v>2754</v>
      </c>
      <c r="B1779" s="2161"/>
      <c r="C1779" s="2160" t="s">
        <v>2755</v>
      </c>
      <c r="D1779" s="2161"/>
      <c r="E1779" s="2160" t="s">
        <v>2698</v>
      </c>
      <c r="F1779" s="2161"/>
    </row>
    <row r="1780" spans="1:15">
      <c r="A1780" s="2163"/>
      <c r="B1780" s="2163"/>
      <c r="C1780" s="2163"/>
      <c r="D1780" s="2163"/>
      <c r="E1780" s="2163"/>
      <c r="F1780" s="2163"/>
      <c r="G1780" s="2163"/>
      <c r="H1780" s="2163"/>
      <c r="I1780" s="2163"/>
      <c r="J1780" s="2163"/>
      <c r="K1780" s="2163"/>
      <c r="L1780" s="2163"/>
      <c r="M1780" s="2163"/>
    </row>
    <row r="1781" spans="1:15">
      <c r="A1781" s="2164"/>
      <c r="H1781" s="2522" t="s">
        <v>2637</v>
      </c>
      <c r="I1781" s="2522"/>
      <c r="J1781" s="2163"/>
      <c r="K1781" s="2523">
        <v>0</v>
      </c>
      <c r="L1781" s="2523"/>
      <c r="M1781" s="2163"/>
      <c r="N1781" s="2527"/>
      <c r="O1781" s="2163"/>
    </row>
    <row r="1782" spans="1:15">
      <c r="H1782" s="2163"/>
      <c r="I1782" s="2163"/>
      <c r="J1782" s="2163"/>
      <c r="K1782" s="2523"/>
      <c r="L1782" s="2523"/>
      <c r="N1782" s="2527"/>
    </row>
    <row r="1783" spans="1:15">
      <c r="A1783" s="2165">
        <v>54909</v>
      </c>
      <c r="B1783" s="2163"/>
      <c r="C1783" s="2524" t="s">
        <v>2858</v>
      </c>
      <c r="D1783" s="2524"/>
      <c r="E1783" s="2524"/>
      <c r="F1783" s="2524"/>
      <c r="G1783" s="2524"/>
      <c r="H1783" s="2524"/>
      <c r="I1783" s="2524"/>
      <c r="J1783" s="2163"/>
      <c r="K1783" s="2163"/>
      <c r="L1783" s="2163"/>
      <c r="M1783" s="2163"/>
    </row>
    <row r="1784" spans="1:15">
      <c r="A1784" s="2163"/>
      <c r="B1784" s="2163"/>
      <c r="C1784" s="2163"/>
      <c r="D1784" s="2163"/>
      <c r="E1784" s="2163"/>
      <c r="F1784" s="2163"/>
      <c r="G1784" s="2163"/>
      <c r="H1784" s="2163"/>
      <c r="I1784" s="2163"/>
      <c r="J1784" s="2163"/>
      <c r="K1784" s="2163"/>
      <c r="L1784" s="2163"/>
      <c r="M1784" s="2163"/>
    </row>
    <row r="1785" spans="1:15">
      <c r="A1785" s="2529"/>
      <c r="B1785" s="2529"/>
      <c r="C1785" s="2529"/>
      <c r="D1785" s="2166"/>
      <c r="E1785" s="2166"/>
      <c r="F1785" s="2166"/>
      <c r="G1785" s="2166"/>
      <c r="H1785" s="2525"/>
      <c r="I1785" s="2525"/>
      <c r="J1785" s="2525"/>
      <c r="K1785" s="2166"/>
      <c r="L1785" s="2167"/>
      <c r="M1785" s="2166"/>
    </row>
    <row r="1786" spans="1:15">
      <c r="A1786" s="2164"/>
      <c r="B1786" s="2164"/>
      <c r="C1786" s="2164"/>
      <c r="D1786" s="2164"/>
      <c r="E1786" s="2522" t="s">
        <v>2639</v>
      </c>
      <c r="F1786" s="2522"/>
      <c r="G1786" s="2164"/>
      <c r="H1786" s="2523">
        <v>0</v>
      </c>
      <c r="I1786" s="2523"/>
      <c r="J1786" s="2523"/>
      <c r="K1786" s="2163"/>
      <c r="L1786" s="2523">
        <v>0</v>
      </c>
      <c r="M1786" s="2163"/>
    </row>
    <row r="1787" spans="1:15">
      <c r="A1787" s="2164"/>
      <c r="B1787" s="2164"/>
      <c r="C1787" s="2164"/>
      <c r="D1787" s="2164"/>
      <c r="E1787" s="2164"/>
      <c r="F1787" s="2164"/>
      <c r="G1787" s="2164"/>
      <c r="H1787" s="2523"/>
      <c r="I1787" s="2523"/>
      <c r="J1787" s="2523"/>
      <c r="K1787" s="2163"/>
      <c r="L1787" s="2523"/>
      <c r="M1787" s="2163"/>
    </row>
    <row r="1788" spans="1:15">
      <c r="A1788" s="2160" t="s">
        <v>2754</v>
      </c>
      <c r="B1788" s="2161"/>
      <c r="C1788" s="2160" t="s">
        <v>2755</v>
      </c>
      <c r="D1788" s="2161"/>
      <c r="E1788" s="2160" t="s">
        <v>2698</v>
      </c>
      <c r="F1788" s="2161"/>
    </row>
    <row r="1789" spans="1:15">
      <c r="A1789" s="2163"/>
      <c r="B1789" s="2163"/>
      <c r="C1789" s="2163"/>
      <c r="D1789" s="2163"/>
      <c r="E1789" s="2163"/>
      <c r="F1789" s="2163"/>
      <c r="G1789" s="2163"/>
      <c r="H1789" s="2163"/>
      <c r="I1789" s="2163"/>
      <c r="J1789" s="2163"/>
      <c r="K1789" s="2163"/>
      <c r="L1789" s="2163"/>
      <c r="M1789" s="2163"/>
    </row>
    <row r="1790" spans="1:15">
      <c r="A1790" s="2164"/>
      <c r="H1790" s="2522" t="s">
        <v>2637</v>
      </c>
      <c r="I1790" s="2522"/>
      <c r="J1790" s="2163"/>
      <c r="K1790" s="2523">
        <v>0</v>
      </c>
      <c r="L1790" s="2523"/>
      <c r="M1790" s="2163"/>
      <c r="N1790" s="2527"/>
      <c r="O1790" s="2163"/>
    </row>
    <row r="1791" spans="1:15">
      <c r="H1791" s="2163"/>
      <c r="I1791" s="2163"/>
      <c r="J1791" s="2163"/>
      <c r="K1791" s="2523"/>
      <c r="L1791" s="2523"/>
      <c r="N1791" s="2527"/>
    </row>
    <row r="1792" spans="1:15">
      <c r="A1792" s="2165">
        <v>54982</v>
      </c>
      <c r="B1792" s="2163"/>
      <c r="C1792" s="2524" t="s">
        <v>2859</v>
      </c>
      <c r="D1792" s="2524"/>
      <c r="E1792" s="2524"/>
      <c r="F1792" s="2524"/>
      <c r="G1792" s="2524"/>
      <c r="H1792" s="2524"/>
      <c r="I1792" s="2524"/>
      <c r="J1792" s="2163"/>
      <c r="K1792" s="2163"/>
      <c r="L1792" s="2163"/>
      <c r="M1792" s="2163"/>
    </row>
    <row r="1793" spans="1:15">
      <c r="A1793" s="2163"/>
      <c r="B1793" s="2163"/>
      <c r="C1793" s="2163"/>
      <c r="D1793" s="2163"/>
      <c r="E1793" s="2163"/>
      <c r="F1793" s="2163"/>
      <c r="G1793" s="2163"/>
      <c r="H1793" s="2163"/>
      <c r="I1793" s="2163"/>
      <c r="J1793" s="2163"/>
      <c r="K1793" s="2163"/>
      <c r="L1793" s="2163"/>
      <c r="M1793" s="2163"/>
    </row>
    <row r="1794" spans="1:15">
      <c r="A1794" s="2529"/>
      <c r="B1794" s="2529"/>
      <c r="C1794" s="2529"/>
      <c r="D1794" s="2166"/>
      <c r="E1794" s="2166"/>
      <c r="F1794" s="2166"/>
      <c r="G1794" s="2166"/>
      <c r="H1794" s="2525"/>
      <c r="I1794" s="2525"/>
      <c r="J1794" s="2525"/>
      <c r="K1794" s="2166"/>
      <c r="L1794" s="2167"/>
      <c r="M1794" s="2166"/>
    </row>
    <row r="1795" spans="1:15">
      <c r="A1795" s="2164"/>
      <c r="B1795" s="2164"/>
      <c r="C1795" s="2164"/>
      <c r="D1795" s="2164"/>
      <c r="E1795" s="2522" t="s">
        <v>2639</v>
      </c>
      <c r="F1795" s="2522"/>
      <c r="G1795" s="2164"/>
      <c r="H1795" s="2523">
        <v>0</v>
      </c>
      <c r="I1795" s="2523"/>
      <c r="J1795" s="2523"/>
      <c r="K1795" s="2163"/>
      <c r="L1795" s="2523">
        <v>0</v>
      </c>
      <c r="M1795" s="2163"/>
    </row>
    <row r="1796" spans="1:15">
      <c r="A1796" s="2164"/>
      <c r="B1796" s="2164"/>
      <c r="C1796" s="2164"/>
      <c r="D1796" s="2164"/>
      <c r="E1796" s="2164"/>
      <c r="F1796" s="2164"/>
      <c r="G1796" s="2164"/>
      <c r="H1796" s="2523"/>
      <c r="I1796" s="2523"/>
      <c r="J1796" s="2523"/>
      <c r="K1796" s="2163"/>
      <c r="L1796" s="2523"/>
      <c r="M1796" s="2163"/>
    </row>
    <row r="1797" spans="1:15">
      <c r="A1797" s="2160" t="s">
        <v>2754</v>
      </c>
      <c r="B1797" s="2161"/>
      <c r="C1797" s="2160" t="s">
        <v>2755</v>
      </c>
      <c r="D1797" s="2161"/>
      <c r="E1797" s="2160" t="s">
        <v>2698</v>
      </c>
      <c r="F1797" s="2161"/>
    </row>
    <row r="1798" spans="1:15">
      <c r="A1798" s="2163"/>
      <c r="B1798" s="2163"/>
      <c r="C1798" s="2163"/>
      <c r="D1798" s="2163"/>
      <c r="E1798" s="2163"/>
      <c r="F1798" s="2163"/>
      <c r="G1798" s="2163"/>
      <c r="H1798" s="2163"/>
      <c r="I1798" s="2163"/>
      <c r="J1798" s="2163"/>
      <c r="K1798" s="2163"/>
      <c r="L1798" s="2163"/>
      <c r="M1798" s="2163"/>
    </row>
    <row r="1799" spans="1:15">
      <c r="A1799" s="2164"/>
      <c r="H1799" s="2522" t="s">
        <v>2637</v>
      </c>
      <c r="I1799" s="2522"/>
      <c r="J1799" s="2163"/>
      <c r="K1799" s="2523">
        <v>0</v>
      </c>
      <c r="L1799" s="2523"/>
      <c r="M1799" s="2163"/>
      <c r="N1799" s="2527"/>
      <c r="O1799" s="2163"/>
    </row>
    <row r="1800" spans="1:15">
      <c r="H1800" s="2163"/>
      <c r="I1800" s="2163"/>
      <c r="J1800" s="2163"/>
      <c r="K1800" s="2523"/>
      <c r="L1800" s="2523"/>
      <c r="N1800" s="2527"/>
    </row>
    <row r="1801" spans="1:15">
      <c r="A1801" s="2165">
        <v>55205</v>
      </c>
      <c r="B1801" s="2163"/>
      <c r="C1801" s="2524" t="s">
        <v>2861</v>
      </c>
      <c r="D1801" s="2524"/>
      <c r="E1801" s="2524"/>
      <c r="F1801" s="2524"/>
      <c r="G1801" s="2524"/>
      <c r="H1801" s="2524"/>
      <c r="I1801" s="2524"/>
      <c r="J1801" s="2163"/>
      <c r="K1801" s="2163"/>
      <c r="L1801" s="2163"/>
      <c r="M1801" s="2163"/>
    </row>
    <row r="1802" spans="1:15">
      <c r="A1802" s="2163"/>
      <c r="B1802" s="2163"/>
      <c r="C1802" s="2163"/>
      <c r="D1802" s="2163"/>
      <c r="E1802" s="2163"/>
      <c r="F1802" s="2163"/>
      <c r="G1802" s="2163"/>
      <c r="H1802" s="2163"/>
      <c r="I1802" s="2163"/>
      <c r="J1802" s="2163"/>
      <c r="K1802" s="2163"/>
      <c r="L1802" s="2163"/>
      <c r="M1802" s="2163"/>
    </row>
    <row r="1803" spans="1:15">
      <c r="A1803" s="2529"/>
      <c r="B1803" s="2529"/>
      <c r="C1803" s="2529"/>
      <c r="D1803" s="2166"/>
      <c r="E1803" s="2166"/>
      <c r="F1803" s="2166"/>
      <c r="G1803" s="2166"/>
      <c r="H1803" s="2525"/>
      <c r="I1803" s="2525"/>
      <c r="J1803" s="2525"/>
      <c r="K1803" s="2166"/>
      <c r="L1803" s="2167"/>
      <c r="M1803" s="2166"/>
    </row>
    <row r="1804" spans="1:15">
      <c r="A1804" s="2164"/>
      <c r="B1804" s="2164"/>
      <c r="C1804" s="2164"/>
      <c r="D1804" s="2164"/>
      <c r="E1804" s="2522" t="s">
        <v>2639</v>
      </c>
      <c r="F1804" s="2522"/>
      <c r="G1804" s="2164"/>
      <c r="H1804" s="2523">
        <v>0</v>
      </c>
      <c r="I1804" s="2523"/>
      <c r="J1804" s="2523"/>
      <c r="K1804" s="2163"/>
      <c r="L1804" s="2523">
        <v>0</v>
      </c>
      <c r="M1804" s="2163"/>
    </row>
    <row r="1805" spans="1:15">
      <c r="A1805" s="2164"/>
      <c r="B1805" s="2164"/>
      <c r="C1805" s="2164"/>
      <c r="D1805" s="2164"/>
      <c r="E1805" s="2164"/>
      <c r="F1805" s="2164"/>
      <c r="G1805" s="2164"/>
      <c r="H1805" s="2523"/>
      <c r="I1805" s="2523"/>
      <c r="J1805" s="2523"/>
      <c r="K1805" s="2163"/>
      <c r="L1805" s="2523"/>
      <c r="M1805" s="2163"/>
    </row>
    <row r="1806" spans="1:15">
      <c r="A1806" s="2160" t="s">
        <v>2754</v>
      </c>
      <c r="B1806" s="2161"/>
      <c r="C1806" s="2160" t="s">
        <v>2755</v>
      </c>
      <c r="D1806" s="2161"/>
      <c r="E1806" s="2160" t="s">
        <v>2698</v>
      </c>
      <c r="F1806" s="2161"/>
    </row>
    <row r="1807" spans="1:15">
      <c r="A1807" s="2163"/>
      <c r="B1807" s="2163"/>
      <c r="C1807" s="2163"/>
      <c r="D1807" s="2163"/>
      <c r="E1807" s="2163"/>
      <c r="F1807" s="2163"/>
      <c r="G1807" s="2163"/>
      <c r="H1807" s="2163"/>
      <c r="I1807" s="2163"/>
      <c r="J1807" s="2163"/>
      <c r="K1807" s="2163"/>
      <c r="L1807" s="2163"/>
      <c r="M1807" s="2163"/>
    </row>
    <row r="1808" spans="1:15">
      <c r="A1808" s="2164"/>
      <c r="H1808" s="2522" t="s">
        <v>2637</v>
      </c>
      <c r="I1808" s="2522"/>
      <c r="J1808" s="2163"/>
      <c r="K1808" s="2523">
        <v>1E-4</v>
      </c>
      <c r="L1808" s="2523"/>
      <c r="M1808" s="2163"/>
      <c r="N1808" s="2527"/>
      <c r="O1808" s="2163"/>
    </row>
    <row r="1809" spans="1:15">
      <c r="H1809" s="2163"/>
      <c r="I1809" s="2163"/>
      <c r="J1809" s="2163"/>
      <c r="K1809" s="2523"/>
      <c r="L1809" s="2523"/>
      <c r="N1809" s="2527"/>
    </row>
    <row r="1810" spans="1:15">
      <c r="A1810" s="2165">
        <v>79941</v>
      </c>
      <c r="B1810" s="2163"/>
      <c r="C1810" s="2524" t="s">
        <v>2866</v>
      </c>
      <c r="D1810" s="2524"/>
      <c r="E1810" s="2524"/>
      <c r="F1810" s="2524"/>
      <c r="G1810" s="2524"/>
      <c r="H1810" s="2524"/>
      <c r="I1810" s="2524"/>
      <c r="J1810" s="2163"/>
      <c r="K1810" s="2163"/>
      <c r="L1810" s="2163"/>
      <c r="M1810" s="2163"/>
    </row>
    <row r="1811" spans="1:15">
      <c r="A1811" s="2163"/>
      <c r="B1811" s="2163"/>
      <c r="C1811" s="2163"/>
      <c r="D1811" s="2163"/>
      <c r="E1811" s="2163"/>
      <c r="F1811" s="2163"/>
      <c r="G1811" s="2163"/>
      <c r="H1811" s="2163"/>
      <c r="I1811" s="2163"/>
      <c r="J1811" s="2163"/>
      <c r="K1811" s="2163"/>
      <c r="L1811" s="2163"/>
      <c r="M1811" s="2163"/>
    </row>
    <row r="1812" spans="1:15">
      <c r="A1812" s="2520" t="s">
        <v>2647</v>
      </c>
      <c r="B1812" s="2520"/>
      <c r="C1812" s="2520"/>
      <c r="D1812" s="2166"/>
      <c r="E1812" s="2166"/>
      <c r="F1812" s="2166"/>
      <c r="G1812" s="2166"/>
      <c r="H1812" s="2526">
        <v>56252.512000000002</v>
      </c>
      <c r="I1812" s="2526"/>
      <c r="J1812" s="2526"/>
      <c r="K1812" s="2166"/>
      <c r="L1812" s="2168">
        <v>2839480.53</v>
      </c>
      <c r="M1812" s="2166"/>
    </row>
    <row r="1813" spans="1:15">
      <c r="A1813" s="2520" t="s">
        <v>2648</v>
      </c>
      <c r="B1813" s="2520"/>
      <c r="C1813" s="2520"/>
      <c r="D1813" s="2166"/>
      <c r="E1813" s="2166"/>
      <c r="F1813" s="2166"/>
      <c r="G1813" s="2166"/>
      <c r="H1813" s="2526">
        <v>-33405.646999999997</v>
      </c>
      <c r="I1813" s="2526"/>
      <c r="J1813" s="2526"/>
      <c r="K1813" s="2166"/>
      <c r="L1813" s="2168">
        <v>-1700000</v>
      </c>
      <c r="M1813" s="2166"/>
    </row>
    <row r="1814" spans="1:15">
      <c r="A1814" s="2520" t="s">
        <v>2645</v>
      </c>
      <c r="B1814" s="2520"/>
      <c r="C1814" s="2520"/>
      <c r="D1814" s="2166"/>
      <c r="E1814" s="2166"/>
      <c r="F1814" s="2166"/>
      <c r="G1814" s="2166"/>
      <c r="H1814" s="2525"/>
      <c r="I1814" s="2525"/>
      <c r="J1814" s="2525"/>
      <c r="K1814" s="2166"/>
      <c r="L1814" s="2167"/>
      <c r="M1814" s="2166"/>
    </row>
    <row r="1815" spans="1:15">
      <c r="A1815" s="2520" t="s">
        <v>2645</v>
      </c>
      <c r="B1815" s="2520"/>
      <c r="C1815" s="2520"/>
      <c r="D1815" s="2166"/>
      <c r="E1815" s="2166"/>
      <c r="F1815" s="2166"/>
      <c r="G1815" s="2166"/>
      <c r="H1815" s="2525">
        <v>106.176</v>
      </c>
      <c r="I1815" s="2525"/>
      <c r="J1815" s="2525"/>
      <c r="K1815" s="2166"/>
      <c r="L1815" s="2168">
        <v>5349.61</v>
      </c>
      <c r="M1815" s="2166"/>
    </row>
    <row r="1816" spans="1:15">
      <c r="A1816" s="2520" t="s">
        <v>2649</v>
      </c>
      <c r="B1816" s="2520"/>
      <c r="C1816" s="2520"/>
      <c r="D1816" s="2166"/>
      <c r="E1816" s="2166"/>
      <c r="F1816" s="2166"/>
      <c r="G1816" s="2166"/>
      <c r="H1816" s="2525">
        <v>103.943</v>
      </c>
      <c r="I1816" s="2525"/>
      <c r="J1816" s="2525"/>
      <c r="K1816" s="2166"/>
      <c r="L1816" s="2167"/>
      <c r="M1816" s="2166"/>
    </row>
    <row r="1817" spans="1:15">
      <c r="A1817" s="2164"/>
      <c r="B1817" s="2164"/>
      <c r="C1817" s="2164"/>
      <c r="D1817" s="2164"/>
      <c r="E1817" s="2522" t="s">
        <v>2639</v>
      </c>
      <c r="F1817" s="2522"/>
      <c r="G1817" s="2164"/>
      <c r="H1817" s="2528">
        <v>23056.984400000001</v>
      </c>
      <c r="I1817" s="2528"/>
      <c r="J1817" s="2528"/>
      <c r="K1817" s="2163"/>
      <c r="L1817" s="2528">
        <v>1174804.08</v>
      </c>
      <c r="M1817" s="2163"/>
    </row>
    <row r="1818" spans="1:15">
      <c r="A1818" s="2164"/>
      <c r="B1818" s="2164"/>
      <c r="C1818" s="2164"/>
      <c r="D1818" s="2164"/>
      <c r="E1818" s="2164"/>
      <c r="F1818" s="2164"/>
      <c r="G1818" s="2164"/>
      <c r="H1818" s="2528"/>
      <c r="I1818" s="2528"/>
      <c r="J1818" s="2528"/>
      <c r="K1818" s="2163"/>
      <c r="L1818" s="2528"/>
      <c r="M1818" s="2163"/>
    </row>
    <row r="1819" spans="1:15">
      <c r="A1819" s="2160" t="s">
        <v>2754</v>
      </c>
      <c r="B1819" s="2161"/>
      <c r="C1819" s="2160" t="s">
        <v>2755</v>
      </c>
      <c r="D1819" s="2161"/>
      <c r="E1819" s="2160" t="s">
        <v>2698</v>
      </c>
      <c r="F1819" s="2161"/>
    </row>
    <row r="1820" spans="1:15">
      <c r="A1820" s="2163"/>
      <c r="B1820" s="2163"/>
      <c r="C1820" s="2163"/>
      <c r="D1820" s="2163"/>
      <c r="E1820" s="2163"/>
      <c r="F1820" s="2163"/>
      <c r="G1820" s="2163"/>
      <c r="H1820" s="2163"/>
      <c r="I1820" s="2163"/>
      <c r="J1820" s="2163"/>
      <c r="K1820" s="2163"/>
      <c r="L1820" s="2163"/>
      <c r="M1820" s="2163"/>
    </row>
    <row r="1821" spans="1:15">
      <c r="A1821" s="2164"/>
      <c r="H1821" s="2522" t="s">
        <v>2637</v>
      </c>
      <c r="I1821" s="2522"/>
      <c r="J1821" s="2163"/>
      <c r="K1821" s="2523">
        <v>0</v>
      </c>
      <c r="L1821" s="2523"/>
      <c r="M1821" s="2163"/>
      <c r="N1821" s="2527"/>
      <c r="O1821" s="2163"/>
    </row>
    <row r="1822" spans="1:15">
      <c r="H1822" s="2163"/>
      <c r="I1822" s="2163"/>
      <c r="J1822" s="2163"/>
      <c r="K1822" s="2523"/>
      <c r="L1822" s="2523"/>
      <c r="N1822" s="2527"/>
    </row>
    <row r="1823" spans="1:15">
      <c r="A1823" s="2165">
        <v>81696</v>
      </c>
      <c r="B1823" s="2163"/>
      <c r="C1823" s="2524" t="s">
        <v>3059</v>
      </c>
      <c r="D1823" s="2524"/>
      <c r="E1823" s="2524"/>
      <c r="F1823" s="2524"/>
      <c r="G1823" s="2524"/>
      <c r="H1823" s="2524"/>
      <c r="I1823" s="2524"/>
      <c r="J1823" s="2163"/>
      <c r="K1823" s="2163"/>
      <c r="L1823" s="2163"/>
      <c r="M1823" s="2163"/>
    </row>
    <row r="1824" spans="1:15">
      <c r="A1824" s="2163"/>
      <c r="B1824" s="2163"/>
      <c r="C1824" s="2163"/>
      <c r="D1824" s="2163"/>
      <c r="E1824" s="2163"/>
      <c r="F1824" s="2163"/>
      <c r="G1824" s="2163"/>
      <c r="H1824" s="2163"/>
      <c r="I1824" s="2163"/>
      <c r="J1824" s="2163"/>
      <c r="K1824" s="2163"/>
      <c r="L1824" s="2163"/>
      <c r="M1824" s="2163"/>
    </row>
    <row r="1825" spans="1:15">
      <c r="A1825" s="2520" t="s">
        <v>2647</v>
      </c>
      <c r="B1825" s="2520"/>
      <c r="C1825" s="2520"/>
      <c r="D1825" s="2166"/>
      <c r="E1825" s="2166"/>
      <c r="F1825" s="2166"/>
      <c r="G1825" s="2166"/>
      <c r="H1825" s="2526">
        <v>951763.11199999996</v>
      </c>
      <c r="I1825" s="2526"/>
      <c r="J1825" s="2526"/>
      <c r="K1825" s="2166"/>
      <c r="L1825" s="2168">
        <v>48042527.299999997</v>
      </c>
      <c r="M1825" s="2166"/>
    </row>
    <row r="1826" spans="1:15">
      <c r="A1826" s="2520" t="s">
        <v>2648</v>
      </c>
      <c r="B1826" s="2520"/>
      <c r="C1826" s="2520"/>
      <c r="D1826" s="2166"/>
      <c r="E1826" s="2166"/>
      <c r="F1826" s="2166"/>
      <c r="G1826" s="2166"/>
      <c r="H1826" s="2526">
        <v>-119461.75999999999</v>
      </c>
      <c r="I1826" s="2526"/>
      <c r="J1826" s="2526"/>
      <c r="K1826" s="2166"/>
      <c r="L1826" s="2168">
        <v>-6050000</v>
      </c>
      <c r="M1826" s="2166"/>
    </row>
    <row r="1827" spans="1:15">
      <c r="A1827" s="2520" t="s">
        <v>2645</v>
      </c>
      <c r="B1827" s="2520"/>
      <c r="C1827" s="2520"/>
      <c r="D1827" s="2166"/>
      <c r="E1827" s="2166"/>
      <c r="F1827" s="2166"/>
      <c r="G1827" s="2166"/>
      <c r="H1827" s="2525"/>
      <c r="I1827" s="2525"/>
      <c r="J1827" s="2525"/>
      <c r="K1827" s="2166"/>
      <c r="L1827" s="2167"/>
      <c r="M1827" s="2166"/>
    </row>
    <row r="1828" spans="1:15">
      <c r="A1828" s="2520" t="s">
        <v>2645</v>
      </c>
      <c r="B1828" s="2520"/>
      <c r="C1828" s="2520"/>
      <c r="D1828" s="2166"/>
      <c r="E1828" s="2166"/>
      <c r="F1828" s="2166"/>
      <c r="G1828" s="2166"/>
      <c r="H1828" s="2525">
        <v>227.815</v>
      </c>
      <c r="I1828" s="2525"/>
      <c r="J1828" s="2525"/>
      <c r="K1828" s="2166"/>
      <c r="L1828" s="2168">
        <v>11478.29</v>
      </c>
      <c r="M1828" s="2166"/>
    </row>
    <row r="1829" spans="1:15">
      <c r="A1829" s="2520" t="s">
        <v>2679</v>
      </c>
      <c r="B1829" s="2520"/>
      <c r="C1829" s="2520"/>
      <c r="D1829" s="2166"/>
      <c r="E1829" s="2166"/>
      <c r="F1829" s="2166"/>
      <c r="G1829" s="2166"/>
      <c r="H1829" s="2526">
        <v>-831066.04</v>
      </c>
      <c r="I1829" s="2526"/>
      <c r="J1829" s="2526"/>
      <c r="K1829" s="2166"/>
      <c r="L1829" s="2168">
        <v>-42000000</v>
      </c>
      <c r="M1829" s="2166"/>
    </row>
    <row r="1830" spans="1:15">
      <c r="A1830" s="2520" t="s">
        <v>2649</v>
      </c>
      <c r="B1830" s="2520"/>
      <c r="C1830" s="2520"/>
      <c r="D1830" s="2166"/>
      <c r="E1830" s="2166"/>
      <c r="F1830" s="2166"/>
      <c r="G1830" s="2166"/>
      <c r="H1830" s="2525">
        <v>223.024</v>
      </c>
      <c r="I1830" s="2525"/>
      <c r="J1830" s="2525"/>
      <c r="K1830" s="2166"/>
      <c r="L1830" s="2167"/>
      <c r="M1830" s="2166"/>
    </row>
    <row r="1831" spans="1:15">
      <c r="A1831" s="2164"/>
      <c r="B1831" s="2164"/>
      <c r="C1831" s="2164"/>
      <c r="D1831" s="2164"/>
      <c r="E1831" s="2522" t="s">
        <v>2639</v>
      </c>
      <c r="F1831" s="2522"/>
      <c r="G1831" s="2164"/>
      <c r="H1831" s="2528">
        <v>1686.1504</v>
      </c>
      <c r="I1831" s="2528"/>
      <c r="J1831" s="2528"/>
      <c r="K1831" s="2163"/>
      <c r="L1831" s="2528">
        <v>85913.07</v>
      </c>
      <c r="M1831" s="2163"/>
    </row>
    <row r="1832" spans="1:15">
      <c r="A1832" s="2164"/>
      <c r="B1832" s="2164"/>
      <c r="C1832" s="2164"/>
      <c r="D1832" s="2164"/>
      <c r="E1832" s="2164"/>
      <c r="F1832" s="2164"/>
      <c r="G1832" s="2164"/>
      <c r="H1832" s="2528"/>
      <c r="I1832" s="2528"/>
      <c r="J1832" s="2528"/>
      <c r="K1832" s="2163"/>
      <c r="L1832" s="2528"/>
      <c r="M1832" s="2163"/>
    </row>
    <row r="1833" spans="1:15" ht="27.6">
      <c r="A1833" s="2160" t="s">
        <v>2763</v>
      </c>
      <c r="B1833" s="2161"/>
      <c r="C1833" s="2160" t="s">
        <v>2764</v>
      </c>
      <c r="D1833" s="2161"/>
      <c r="E1833" s="2160" t="s">
        <v>2640</v>
      </c>
      <c r="F1833" s="2161"/>
    </row>
    <row r="1834" spans="1:15">
      <c r="A1834" s="2163"/>
      <c r="B1834" s="2163"/>
      <c r="C1834" s="2163"/>
      <c r="D1834" s="2163"/>
      <c r="E1834" s="2163"/>
      <c r="F1834" s="2163"/>
      <c r="G1834" s="2163"/>
      <c r="H1834" s="2163"/>
      <c r="I1834" s="2163"/>
      <c r="J1834" s="2163"/>
      <c r="K1834" s="2163"/>
      <c r="L1834" s="2163"/>
      <c r="M1834" s="2163"/>
    </row>
    <row r="1835" spans="1:15">
      <c r="A1835" s="2164"/>
      <c r="H1835" s="2522" t="s">
        <v>2637</v>
      </c>
      <c r="I1835" s="2522"/>
      <c r="J1835" s="2163"/>
      <c r="K1835" s="2523">
        <v>4.0000000000000002E-4</v>
      </c>
      <c r="L1835" s="2523"/>
      <c r="M1835" s="2163"/>
      <c r="N1835" s="2527"/>
      <c r="O1835" s="2163"/>
    </row>
    <row r="1836" spans="1:15">
      <c r="H1836" s="2163"/>
      <c r="I1836" s="2163"/>
      <c r="J1836" s="2163"/>
      <c r="K1836" s="2523"/>
      <c r="L1836" s="2523"/>
      <c r="N1836" s="2527"/>
    </row>
    <row r="1837" spans="1:15">
      <c r="A1837" s="2165">
        <v>18991</v>
      </c>
      <c r="B1837" s="2163"/>
      <c r="C1837" s="2524" t="s">
        <v>2879</v>
      </c>
      <c r="D1837" s="2524"/>
      <c r="E1837" s="2524"/>
      <c r="F1837" s="2524"/>
      <c r="G1837" s="2524"/>
      <c r="H1837" s="2524"/>
      <c r="I1837" s="2524"/>
      <c r="J1837" s="2163"/>
      <c r="K1837" s="2163"/>
      <c r="L1837" s="2163"/>
      <c r="M1837" s="2163"/>
    </row>
    <row r="1838" spans="1:15">
      <c r="A1838" s="2163"/>
      <c r="B1838" s="2163"/>
      <c r="C1838" s="2163"/>
      <c r="D1838" s="2163"/>
      <c r="E1838" s="2163"/>
      <c r="F1838" s="2163"/>
      <c r="G1838" s="2163"/>
      <c r="H1838" s="2163"/>
      <c r="I1838" s="2163"/>
      <c r="J1838" s="2163"/>
      <c r="K1838" s="2163"/>
      <c r="L1838" s="2163"/>
      <c r="M1838" s="2163"/>
    </row>
    <row r="1839" spans="1:15">
      <c r="A1839" s="2529"/>
      <c r="B1839" s="2529"/>
      <c r="C1839" s="2529"/>
      <c r="D1839" s="2166"/>
      <c r="E1839" s="2166"/>
      <c r="F1839" s="2166"/>
      <c r="G1839" s="2166"/>
      <c r="H1839" s="2525"/>
      <c r="I1839" s="2525"/>
      <c r="J1839" s="2525"/>
      <c r="K1839" s="2166"/>
      <c r="L1839" s="2167"/>
      <c r="M1839" s="2166"/>
    </row>
    <row r="1840" spans="1:15">
      <c r="A1840" s="2164"/>
      <c r="B1840" s="2164"/>
      <c r="C1840" s="2164"/>
      <c r="D1840" s="2164"/>
      <c r="E1840" s="2522" t="s">
        <v>2639</v>
      </c>
      <c r="F1840" s="2522"/>
      <c r="G1840" s="2164"/>
      <c r="H1840" s="2523">
        <v>4.0000000000000002E-4</v>
      </c>
      <c r="I1840" s="2523"/>
      <c r="J1840" s="2523"/>
      <c r="K1840" s="2163"/>
      <c r="L1840" s="2530"/>
      <c r="M1840" s="2163"/>
    </row>
    <row r="1841" spans="1:15">
      <c r="A1841" s="2164"/>
      <c r="B1841" s="2164"/>
      <c r="C1841" s="2164"/>
      <c r="D1841" s="2164"/>
      <c r="E1841" s="2164"/>
      <c r="F1841" s="2164"/>
      <c r="G1841" s="2164"/>
      <c r="H1841" s="2523"/>
      <c r="I1841" s="2523"/>
      <c r="J1841" s="2523"/>
      <c r="K1841" s="2163"/>
      <c r="L1841" s="2530"/>
      <c r="M1841" s="2163"/>
    </row>
    <row r="1842" spans="1:15" ht="27.6">
      <c r="A1842" s="2160" t="s">
        <v>3039</v>
      </c>
      <c r="B1842" s="2161"/>
      <c r="C1842" s="2160" t="s">
        <v>3040</v>
      </c>
      <c r="D1842" s="2161"/>
      <c r="E1842" s="2160" t="s">
        <v>2640</v>
      </c>
      <c r="F1842" s="2161"/>
    </row>
    <row r="1843" spans="1:15">
      <c r="A1843" s="2163"/>
      <c r="B1843" s="2163"/>
      <c r="C1843" s="2163"/>
      <c r="D1843" s="2163"/>
      <c r="E1843" s="2163"/>
      <c r="F1843" s="2163"/>
      <c r="G1843" s="2163"/>
      <c r="H1843" s="2163"/>
      <c r="I1843" s="2163"/>
      <c r="J1843" s="2163"/>
      <c r="K1843" s="2163"/>
      <c r="L1843" s="2163"/>
      <c r="M1843" s="2163"/>
    </row>
    <row r="1844" spans="1:15">
      <c r="A1844" s="2164"/>
      <c r="H1844" s="2522" t="s">
        <v>2637</v>
      </c>
      <c r="I1844" s="2522"/>
      <c r="J1844" s="2163"/>
      <c r="K1844" s="2523">
        <v>0</v>
      </c>
      <c r="L1844" s="2523"/>
      <c r="M1844" s="2163"/>
      <c r="N1844" s="2527"/>
      <c r="O1844" s="2163"/>
    </row>
    <row r="1845" spans="1:15">
      <c r="H1845" s="2163"/>
      <c r="I1845" s="2163"/>
      <c r="J1845" s="2163"/>
      <c r="K1845" s="2523"/>
      <c r="L1845" s="2523"/>
      <c r="N1845" s="2527"/>
    </row>
    <row r="1846" spans="1:15">
      <c r="A1846" s="2165">
        <v>16815</v>
      </c>
      <c r="B1846" s="2163"/>
      <c r="C1846" s="2524" t="s">
        <v>3049</v>
      </c>
      <c r="D1846" s="2524"/>
      <c r="E1846" s="2524"/>
      <c r="F1846" s="2524"/>
      <c r="G1846" s="2524"/>
      <c r="H1846" s="2524"/>
      <c r="I1846" s="2524"/>
      <c r="J1846" s="2163"/>
      <c r="K1846" s="2163"/>
      <c r="L1846" s="2163"/>
      <c r="M1846" s="2163"/>
    </row>
    <row r="1847" spans="1:15">
      <c r="A1847" s="2163"/>
      <c r="B1847" s="2163"/>
      <c r="C1847" s="2163"/>
      <c r="D1847" s="2163"/>
      <c r="E1847" s="2163"/>
      <c r="F1847" s="2163"/>
      <c r="G1847" s="2163"/>
      <c r="H1847" s="2163"/>
      <c r="I1847" s="2163"/>
      <c r="J1847" s="2163"/>
      <c r="K1847" s="2163"/>
      <c r="L1847" s="2163"/>
      <c r="M1847" s="2163"/>
    </row>
    <row r="1848" spans="1:15">
      <c r="A1848" s="2520" t="s">
        <v>2647</v>
      </c>
      <c r="B1848" s="2520"/>
      <c r="C1848" s="2520"/>
      <c r="D1848" s="2166"/>
      <c r="E1848" s="2166"/>
      <c r="F1848" s="2166"/>
      <c r="G1848" s="2166"/>
      <c r="H1848" s="2526">
        <v>6422544.926</v>
      </c>
      <c r="I1848" s="2526"/>
      <c r="J1848" s="2526"/>
      <c r="K1848" s="2166"/>
      <c r="L1848" s="2168">
        <v>637334846.37</v>
      </c>
      <c r="M1848" s="2166"/>
    </row>
    <row r="1849" spans="1:15">
      <c r="A1849" s="2520" t="s">
        <v>2648</v>
      </c>
      <c r="B1849" s="2520"/>
      <c r="C1849" s="2520"/>
      <c r="D1849" s="2166"/>
      <c r="E1849" s="2166"/>
      <c r="F1849" s="2166"/>
      <c r="G1849" s="2166"/>
      <c r="H1849" s="2526">
        <v>-3211225.2740000002</v>
      </c>
      <c r="I1849" s="2526"/>
      <c r="J1849" s="2526"/>
      <c r="K1849" s="2166"/>
      <c r="L1849" s="2168">
        <v>-317983233.55000001</v>
      </c>
      <c r="M1849" s="2166"/>
    </row>
    <row r="1850" spans="1:15">
      <c r="A1850" s="2164"/>
      <c r="B1850" s="2164"/>
      <c r="C1850" s="2164"/>
      <c r="D1850" s="2164"/>
      <c r="E1850" s="2522" t="s">
        <v>2639</v>
      </c>
      <c r="F1850" s="2522"/>
      <c r="G1850" s="2164"/>
      <c r="H1850" s="2528">
        <v>3211319.6526000001</v>
      </c>
      <c r="I1850" s="2528"/>
      <c r="J1850" s="2528"/>
      <c r="K1850" s="2163"/>
      <c r="L1850" s="2528">
        <v>319459509.98000002</v>
      </c>
      <c r="M1850" s="2163"/>
    </row>
    <row r="1851" spans="1:15">
      <c r="A1851" s="2164"/>
      <c r="B1851" s="2164"/>
      <c r="C1851" s="2164"/>
      <c r="D1851" s="2164"/>
      <c r="E1851" s="2164"/>
      <c r="F1851" s="2164"/>
      <c r="G1851" s="2164"/>
      <c r="H1851" s="2528"/>
      <c r="I1851" s="2528"/>
      <c r="J1851" s="2528"/>
      <c r="K1851" s="2163"/>
      <c r="L1851" s="2528"/>
      <c r="M1851" s="2163"/>
    </row>
    <row r="1852" spans="1:15" ht="27.6">
      <c r="A1852" s="2160" t="s">
        <v>3039</v>
      </c>
      <c r="B1852" s="2161"/>
      <c r="C1852" s="2160" t="s">
        <v>3040</v>
      </c>
      <c r="D1852" s="2161"/>
      <c r="E1852" s="2160" t="s">
        <v>2640</v>
      </c>
      <c r="F1852" s="2161"/>
    </row>
    <row r="1853" spans="1:15">
      <c r="A1853" s="2163"/>
      <c r="B1853" s="2163"/>
      <c r="C1853" s="2163"/>
      <c r="D1853" s="2163"/>
      <c r="E1853" s="2163"/>
      <c r="F1853" s="2163"/>
      <c r="G1853" s="2163"/>
      <c r="H1853" s="2163"/>
      <c r="I1853" s="2163"/>
      <c r="J1853" s="2163"/>
      <c r="K1853" s="2163"/>
      <c r="L1853" s="2163"/>
      <c r="M1853" s="2163"/>
    </row>
    <row r="1854" spans="1:15">
      <c r="A1854" s="2164"/>
      <c r="H1854" s="2522" t="s">
        <v>2637</v>
      </c>
      <c r="I1854" s="2522"/>
      <c r="J1854" s="2163"/>
      <c r="K1854" s="2523">
        <v>0</v>
      </c>
      <c r="L1854" s="2523"/>
      <c r="M1854" s="2163"/>
      <c r="N1854" s="2527"/>
      <c r="O1854" s="2163"/>
    </row>
    <row r="1855" spans="1:15">
      <c r="H1855" s="2163"/>
      <c r="I1855" s="2163"/>
      <c r="J1855" s="2163"/>
      <c r="K1855" s="2523"/>
      <c r="L1855" s="2523"/>
      <c r="N1855" s="2527"/>
    </row>
    <row r="1856" spans="1:15">
      <c r="A1856" s="2165">
        <v>24369</v>
      </c>
      <c r="B1856" s="2163"/>
      <c r="C1856" s="2524" t="s">
        <v>3050</v>
      </c>
      <c r="D1856" s="2524"/>
      <c r="E1856" s="2524"/>
      <c r="F1856" s="2524"/>
      <c r="G1856" s="2524"/>
      <c r="H1856" s="2524"/>
      <c r="I1856" s="2524"/>
      <c r="J1856" s="2163"/>
      <c r="K1856" s="2163"/>
      <c r="L1856" s="2163"/>
      <c r="M1856" s="2163"/>
    </row>
    <row r="1857" spans="1:15">
      <c r="A1857" s="2163"/>
      <c r="B1857" s="2163"/>
      <c r="C1857" s="2163"/>
      <c r="D1857" s="2163"/>
      <c r="E1857" s="2163"/>
      <c r="F1857" s="2163"/>
      <c r="G1857" s="2163"/>
      <c r="H1857" s="2163"/>
      <c r="I1857" s="2163"/>
      <c r="J1857" s="2163"/>
      <c r="K1857" s="2163"/>
      <c r="L1857" s="2163"/>
      <c r="M1857" s="2163"/>
    </row>
    <row r="1858" spans="1:15">
      <c r="A1858" s="2520" t="s">
        <v>2647</v>
      </c>
      <c r="B1858" s="2520"/>
      <c r="C1858" s="2520"/>
      <c r="D1858" s="2166"/>
      <c r="E1858" s="2166"/>
      <c r="F1858" s="2166"/>
      <c r="G1858" s="2166"/>
      <c r="H1858" s="2526">
        <v>6429458.7609999999</v>
      </c>
      <c r="I1858" s="2526"/>
      <c r="J1858" s="2526"/>
      <c r="K1858" s="2166"/>
      <c r="L1858" s="2168">
        <v>638020937.26999998</v>
      </c>
      <c r="M1858" s="2166"/>
    </row>
    <row r="1859" spans="1:15">
      <c r="A1859" s="2520" t="s">
        <v>2648</v>
      </c>
      <c r="B1859" s="2520"/>
      <c r="C1859" s="2520"/>
      <c r="D1859" s="2166"/>
      <c r="E1859" s="2166"/>
      <c r="F1859" s="2166"/>
      <c r="G1859" s="2166"/>
      <c r="H1859" s="2526">
        <v>-3214675.2230000002</v>
      </c>
      <c r="I1859" s="2526"/>
      <c r="J1859" s="2526"/>
      <c r="K1859" s="2166"/>
      <c r="L1859" s="2168">
        <v>-318324855.79000002</v>
      </c>
      <c r="M1859" s="2166"/>
    </row>
    <row r="1860" spans="1:15">
      <c r="A1860" s="2164"/>
      <c r="B1860" s="2164"/>
      <c r="C1860" s="2164"/>
      <c r="D1860" s="2164"/>
      <c r="E1860" s="2522" t="s">
        <v>2639</v>
      </c>
      <c r="F1860" s="2522"/>
      <c r="G1860" s="2164"/>
      <c r="H1860" s="2528">
        <v>3214783.5383000001</v>
      </c>
      <c r="I1860" s="2528"/>
      <c r="J1860" s="2528"/>
      <c r="K1860" s="2163"/>
      <c r="L1860" s="2528">
        <v>319804094.56</v>
      </c>
      <c r="M1860" s="2163"/>
    </row>
    <row r="1861" spans="1:15">
      <c r="A1861" s="2164"/>
      <c r="B1861" s="2164"/>
      <c r="C1861" s="2164"/>
      <c r="D1861" s="2164"/>
      <c r="E1861" s="2164"/>
      <c r="F1861" s="2164"/>
      <c r="G1861" s="2164"/>
      <c r="H1861" s="2528"/>
      <c r="I1861" s="2528"/>
      <c r="J1861" s="2528"/>
      <c r="K1861" s="2163"/>
      <c r="L1861" s="2528"/>
      <c r="M1861" s="2163"/>
    </row>
    <row r="1862" spans="1:15" ht="27.6">
      <c r="A1862" s="2160" t="s">
        <v>3039</v>
      </c>
      <c r="B1862" s="2161"/>
      <c r="C1862" s="2160" t="s">
        <v>3040</v>
      </c>
      <c r="D1862" s="2161"/>
      <c r="E1862" s="2160" t="s">
        <v>2640</v>
      </c>
      <c r="F1862" s="2161"/>
    </row>
    <row r="1863" spans="1:15">
      <c r="A1863" s="2163"/>
      <c r="B1863" s="2163"/>
      <c r="C1863" s="2163"/>
      <c r="D1863" s="2163"/>
      <c r="E1863" s="2163"/>
      <c r="F1863" s="2163"/>
      <c r="G1863" s="2163"/>
      <c r="H1863" s="2163"/>
      <c r="I1863" s="2163"/>
      <c r="J1863" s="2163"/>
      <c r="K1863" s="2163"/>
      <c r="L1863" s="2163"/>
      <c r="M1863" s="2163"/>
    </row>
    <row r="1864" spans="1:15">
      <c r="A1864" s="2164"/>
      <c r="H1864" s="2522" t="s">
        <v>2637</v>
      </c>
      <c r="I1864" s="2522"/>
      <c r="J1864" s="2163"/>
      <c r="K1864" s="2523">
        <v>0</v>
      </c>
      <c r="L1864" s="2523"/>
      <c r="M1864" s="2163"/>
      <c r="N1864" s="2527"/>
      <c r="O1864" s="2163"/>
    </row>
    <row r="1865" spans="1:15">
      <c r="H1865" s="2163"/>
      <c r="I1865" s="2163"/>
      <c r="J1865" s="2163"/>
      <c r="K1865" s="2523"/>
      <c r="L1865" s="2523"/>
      <c r="N1865" s="2527"/>
    </row>
    <row r="1866" spans="1:15">
      <c r="A1866" s="2165">
        <v>24368</v>
      </c>
      <c r="B1866" s="2163"/>
      <c r="C1866" s="2524" t="s">
        <v>3051</v>
      </c>
      <c r="D1866" s="2524"/>
      <c r="E1866" s="2524"/>
      <c r="F1866" s="2524"/>
      <c r="G1866" s="2524"/>
      <c r="H1866" s="2524"/>
      <c r="I1866" s="2524"/>
      <c r="J1866" s="2163"/>
      <c r="K1866" s="2163"/>
      <c r="L1866" s="2163"/>
      <c r="M1866" s="2163"/>
    </row>
    <row r="1867" spans="1:15">
      <c r="A1867" s="2163"/>
      <c r="B1867" s="2163"/>
      <c r="C1867" s="2163"/>
      <c r="D1867" s="2163"/>
      <c r="E1867" s="2163"/>
      <c r="F1867" s="2163"/>
      <c r="G1867" s="2163"/>
      <c r="H1867" s="2163"/>
      <c r="I1867" s="2163"/>
      <c r="J1867" s="2163"/>
      <c r="K1867" s="2163"/>
      <c r="L1867" s="2163"/>
      <c r="M1867" s="2163"/>
    </row>
    <row r="1868" spans="1:15">
      <c r="A1868" s="2520" t="s">
        <v>2647</v>
      </c>
      <c r="B1868" s="2520"/>
      <c r="C1868" s="2520"/>
      <c r="D1868" s="2166"/>
      <c r="E1868" s="2166"/>
      <c r="F1868" s="2166"/>
      <c r="G1868" s="2166"/>
      <c r="H1868" s="2526">
        <v>7409529.4210000001</v>
      </c>
      <c r="I1868" s="2526"/>
      <c r="J1868" s="2526"/>
      <c r="K1868" s="2166"/>
      <c r="L1868" s="2168">
        <v>735277278.96000004</v>
      </c>
      <c r="M1868" s="2166"/>
    </row>
    <row r="1869" spans="1:15">
      <c r="A1869" s="2520" t="s">
        <v>2648</v>
      </c>
      <c r="B1869" s="2520"/>
      <c r="C1869" s="2520"/>
      <c r="D1869" s="2166"/>
      <c r="E1869" s="2166"/>
      <c r="F1869" s="2166"/>
      <c r="G1869" s="2166"/>
      <c r="H1869" s="2526">
        <v>-3704690.4720000001</v>
      </c>
      <c r="I1869" s="2526"/>
      <c r="J1869" s="2526"/>
      <c r="K1869" s="2166"/>
      <c r="L1869" s="2168">
        <v>-366847341.77999997</v>
      </c>
      <c r="M1869" s="2166"/>
    </row>
    <row r="1870" spans="1:15">
      <c r="A1870" s="2164"/>
      <c r="B1870" s="2164"/>
      <c r="C1870" s="2164"/>
      <c r="D1870" s="2164"/>
      <c r="E1870" s="2522" t="s">
        <v>2639</v>
      </c>
      <c r="F1870" s="2522"/>
      <c r="G1870" s="2164"/>
      <c r="H1870" s="2528">
        <v>3704838.949</v>
      </c>
      <c r="I1870" s="2528"/>
      <c r="J1870" s="2528"/>
      <c r="K1870" s="2163"/>
      <c r="L1870" s="2528">
        <v>368554414.77999997</v>
      </c>
      <c r="M1870" s="2163"/>
    </row>
    <row r="1871" spans="1:15">
      <c r="A1871" s="2164"/>
      <c r="B1871" s="2164"/>
      <c r="C1871" s="2164"/>
      <c r="D1871" s="2164"/>
      <c r="E1871" s="2164"/>
      <c r="F1871" s="2164"/>
      <c r="G1871" s="2164"/>
      <c r="H1871" s="2528"/>
      <c r="I1871" s="2528"/>
      <c r="J1871" s="2528"/>
      <c r="K1871" s="2163"/>
      <c r="L1871" s="2528"/>
      <c r="M1871" s="2163"/>
    </row>
    <row r="1872" spans="1:15" ht="27.6">
      <c r="A1872" s="2160" t="s">
        <v>3039</v>
      </c>
      <c r="B1872" s="2161"/>
      <c r="C1872" s="2160" t="s">
        <v>3040</v>
      </c>
      <c r="D1872" s="2161"/>
      <c r="E1872" s="2160" t="s">
        <v>2640</v>
      </c>
      <c r="F1872" s="2161"/>
    </row>
    <row r="1873" spans="1:15">
      <c r="A1873" s="2163"/>
      <c r="B1873" s="2163"/>
      <c r="C1873" s="2163"/>
      <c r="D1873" s="2163"/>
      <c r="E1873" s="2163"/>
      <c r="F1873" s="2163"/>
      <c r="G1873" s="2163"/>
      <c r="H1873" s="2163"/>
      <c r="I1873" s="2163"/>
      <c r="J1873" s="2163"/>
      <c r="K1873" s="2163"/>
      <c r="L1873" s="2163"/>
      <c r="M1873" s="2163"/>
    </row>
    <row r="1874" spans="1:15">
      <c r="A1874" s="2164"/>
      <c r="H1874" s="2522" t="s">
        <v>2637</v>
      </c>
      <c r="I1874" s="2522"/>
      <c r="J1874" s="2163"/>
      <c r="K1874" s="2523">
        <v>0</v>
      </c>
      <c r="L1874" s="2523"/>
      <c r="M1874" s="2163"/>
      <c r="N1874" s="2527"/>
      <c r="O1874" s="2163"/>
    </row>
    <row r="1875" spans="1:15">
      <c r="H1875" s="2163"/>
      <c r="I1875" s="2163"/>
      <c r="J1875" s="2163"/>
      <c r="K1875" s="2523"/>
      <c r="L1875" s="2523"/>
      <c r="N1875" s="2527"/>
    </row>
    <row r="1876" spans="1:15">
      <c r="A1876" s="2165">
        <v>24482</v>
      </c>
      <c r="B1876" s="2163"/>
      <c r="C1876" s="2524" t="s">
        <v>3052</v>
      </c>
      <c r="D1876" s="2524"/>
      <c r="E1876" s="2524"/>
      <c r="F1876" s="2524"/>
      <c r="G1876" s="2524"/>
      <c r="H1876" s="2524"/>
      <c r="I1876" s="2524"/>
      <c r="J1876" s="2163"/>
      <c r="K1876" s="2163"/>
      <c r="L1876" s="2163"/>
      <c r="M1876" s="2163"/>
    </row>
    <row r="1877" spans="1:15">
      <c r="A1877" s="2163"/>
      <c r="B1877" s="2163"/>
      <c r="C1877" s="2163"/>
      <c r="D1877" s="2163"/>
      <c r="E1877" s="2163"/>
      <c r="F1877" s="2163"/>
      <c r="G1877" s="2163"/>
      <c r="H1877" s="2163"/>
      <c r="I1877" s="2163"/>
      <c r="J1877" s="2163"/>
      <c r="K1877" s="2163"/>
      <c r="L1877" s="2163"/>
      <c r="M1877" s="2163"/>
    </row>
    <row r="1878" spans="1:15">
      <c r="A1878" s="2520" t="s">
        <v>2647</v>
      </c>
      <c r="B1878" s="2520"/>
      <c r="C1878" s="2520"/>
      <c r="D1878" s="2166"/>
      <c r="E1878" s="2166"/>
      <c r="F1878" s="2166"/>
      <c r="G1878" s="2166"/>
      <c r="H1878" s="2526">
        <v>2839325.6570000001</v>
      </c>
      <c r="I1878" s="2526"/>
      <c r="J1878" s="2526"/>
      <c r="K1878" s="2166"/>
      <c r="L1878" s="2168">
        <v>281757678.52999997</v>
      </c>
      <c r="M1878" s="2166"/>
    </row>
    <row r="1879" spans="1:15">
      <c r="A1879" s="2520" t="s">
        <v>2648</v>
      </c>
      <c r="B1879" s="2520"/>
      <c r="C1879" s="2520"/>
      <c r="D1879" s="2166"/>
      <c r="E1879" s="2166"/>
      <c r="F1879" s="2166"/>
      <c r="G1879" s="2166"/>
      <c r="H1879" s="2526">
        <v>-1419588.82</v>
      </c>
      <c r="I1879" s="2526"/>
      <c r="J1879" s="2526"/>
      <c r="K1879" s="2166"/>
      <c r="L1879" s="2168">
        <v>-140571091.94999999</v>
      </c>
      <c r="M1879" s="2166"/>
    </row>
    <row r="1880" spans="1:15">
      <c r="A1880" s="2164"/>
      <c r="B1880" s="2164"/>
      <c r="C1880" s="2164"/>
      <c r="D1880" s="2164"/>
      <c r="E1880" s="2522" t="s">
        <v>2639</v>
      </c>
      <c r="F1880" s="2522"/>
      <c r="G1880" s="2164"/>
      <c r="H1880" s="2528">
        <v>1419736.8370999999</v>
      </c>
      <c r="I1880" s="2528"/>
      <c r="J1880" s="2528"/>
      <c r="K1880" s="2163"/>
      <c r="L1880" s="2528">
        <v>141234284.77000001</v>
      </c>
      <c r="M1880" s="2163"/>
    </row>
    <row r="1881" spans="1:15">
      <c r="A1881" s="2164"/>
      <c r="B1881" s="2164"/>
      <c r="C1881" s="2164"/>
      <c r="D1881" s="2164"/>
      <c r="E1881" s="2164"/>
      <c r="F1881" s="2164"/>
      <c r="G1881" s="2164"/>
      <c r="H1881" s="2528"/>
      <c r="I1881" s="2528"/>
      <c r="J1881" s="2528"/>
      <c r="K1881" s="2163"/>
      <c r="L1881" s="2528"/>
      <c r="M1881" s="2163"/>
    </row>
    <row r="1882" spans="1:15" ht="27.6">
      <c r="A1882" s="2160" t="s">
        <v>3039</v>
      </c>
      <c r="B1882" s="2161"/>
      <c r="C1882" s="2160" t="s">
        <v>3040</v>
      </c>
      <c r="D1882" s="2161"/>
      <c r="E1882" s="2160" t="s">
        <v>2640</v>
      </c>
      <c r="F1882" s="2161"/>
    </row>
    <row r="1883" spans="1:15">
      <c r="A1883" s="2163"/>
      <c r="B1883" s="2163"/>
      <c r="C1883" s="2163"/>
      <c r="D1883" s="2163"/>
      <c r="E1883" s="2163"/>
      <c r="F1883" s="2163"/>
      <c r="G1883" s="2163"/>
      <c r="H1883" s="2163"/>
      <c r="I1883" s="2163"/>
      <c r="J1883" s="2163"/>
      <c r="K1883" s="2163"/>
      <c r="L1883" s="2163"/>
      <c r="M1883" s="2163"/>
    </row>
    <row r="1884" spans="1:15">
      <c r="A1884" s="2164"/>
      <c r="H1884" s="2522" t="s">
        <v>2637</v>
      </c>
      <c r="I1884" s="2522"/>
      <c r="J1884" s="2163"/>
      <c r="K1884" s="2523">
        <v>0</v>
      </c>
      <c r="L1884" s="2523"/>
      <c r="M1884" s="2163"/>
      <c r="N1884" s="2527"/>
      <c r="O1884" s="2163"/>
    </row>
    <row r="1885" spans="1:15">
      <c r="H1885" s="2163"/>
      <c r="I1885" s="2163"/>
      <c r="J1885" s="2163"/>
      <c r="K1885" s="2523"/>
      <c r="L1885" s="2523"/>
      <c r="N1885" s="2527"/>
    </row>
    <row r="1886" spans="1:15">
      <c r="A1886" s="2165">
        <v>24558</v>
      </c>
      <c r="B1886" s="2163"/>
      <c r="C1886" s="2524" t="s">
        <v>3053</v>
      </c>
      <c r="D1886" s="2524"/>
      <c r="E1886" s="2524"/>
      <c r="F1886" s="2524"/>
      <c r="G1886" s="2524"/>
      <c r="H1886" s="2524"/>
      <c r="I1886" s="2524"/>
      <c r="J1886" s="2163"/>
      <c r="K1886" s="2163"/>
      <c r="L1886" s="2163"/>
      <c r="M1886" s="2163"/>
    </row>
    <row r="1887" spans="1:15">
      <c r="A1887" s="2163"/>
      <c r="B1887" s="2163"/>
      <c r="C1887" s="2163"/>
      <c r="D1887" s="2163"/>
      <c r="E1887" s="2163"/>
      <c r="F1887" s="2163"/>
      <c r="G1887" s="2163"/>
      <c r="H1887" s="2163"/>
      <c r="I1887" s="2163"/>
      <c r="J1887" s="2163"/>
      <c r="K1887" s="2163"/>
      <c r="L1887" s="2163"/>
      <c r="M1887" s="2163"/>
    </row>
    <row r="1888" spans="1:15">
      <c r="A1888" s="2520" t="s">
        <v>2647</v>
      </c>
      <c r="B1888" s="2520"/>
      <c r="C1888" s="2520"/>
      <c r="D1888" s="2166"/>
      <c r="E1888" s="2166"/>
      <c r="F1888" s="2166"/>
      <c r="G1888" s="2166"/>
      <c r="H1888" s="2526">
        <v>1093386.2749999999</v>
      </c>
      <c r="I1888" s="2526"/>
      <c r="J1888" s="2526"/>
      <c r="K1888" s="2166"/>
      <c r="L1888" s="2168">
        <v>108501089.31</v>
      </c>
      <c r="M1888" s="2166"/>
    </row>
    <row r="1889" spans="1:15">
      <c r="A1889" s="2520" t="s">
        <v>2648</v>
      </c>
      <c r="B1889" s="2520"/>
      <c r="C1889" s="2520"/>
      <c r="D1889" s="2166"/>
      <c r="E1889" s="2166"/>
      <c r="F1889" s="2166"/>
      <c r="G1889" s="2166"/>
      <c r="H1889" s="2526">
        <v>-546701.83600000001</v>
      </c>
      <c r="I1889" s="2526"/>
      <c r="J1889" s="2526"/>
      <c r="K1889" s="2166"/>
      <c r="L1889" s="2168">
        <v>-54135727.899999999</v>
      </c>
      <c r="M1889" s="2166"/>
    </row>
    <row r="1890" spans="1:15">
      <c r="A1890" s="2164"/>
      <c r="B1890" s="2164"/>
      <c r="C1890" s="2164"/>
      <c r="D1890" s="2164"/>
      <c r="E1890" s="2522" t="s">
        <v>2639</v>
      </c>
      <c r="F1890" s="2522"/>
      <c r="G1890" s="2164"/>
      <c r="H1890" s="2528">
        <v>546684.43850000005</v>
      </c>
      <c r="I1890" s="2528"/>
      <c r="J1890" s="2528"/>
      <c r="K1890" s="2163"/>
      <c r="L1890" s="2528">
        <v>54383730.590000004</v>
      </c>
      <c r="M1890" s="2163"/>
    </row>
    <row r="1891" spans="1:15">
      <c r="A1891" s="2164"/>
      <c r="B1891" s="2164"/>
      <c r="C1891" s="2164"/>
      <c r="D1891" s="2164"/>
      <c r="E1891" s="2164"/>
      <c r="F1891" s="2164"/>
      <c r="G1891" s="2164"/>
      <c r="H1891" s="2528"/>
      <c r="I1891" s="2528"/>
      <c r="J1891" s="2528"/>
      <c r="K1891" s="2163"/>
      <c r="L1891" s="2528"/>
      <c r="M1891" s="2163"/>
    </row>
    <row r="1892" spans="1:15" ht="27.6">
      <c r="A1892" s="2160" t="s">
        <v>3039</v>
      </c>
      <c r="B1892" s="2161"/>
      <c r="C1892" s="2160" t="s">
        <v>3040</v>
      </c>
      <c r="D1892" s="2161"/>
      <c r="E1892" s="2160" t="s">
        <v>2640</v>
      </c>
      <c r="F1892" s="2161"/>
    </row>
    <row r="1893" spans="1:15">
      <c r="A1893" s="2163"/>
      <c r="B1893" s="2163"/>
      <c r="C1893" s="2163"/>
      <c r="D1893" s="2163"/>
      <c r="E1893" s="2163"/>
      <c r="F1893" s="2163"/>
      <c r="G1893" s="2163"/>
      <c r="H1893" s="2163"/>
      <c r="I1893" s="2163"/>
      <c r="J1893" s="2163"/>
      <c r="K1893" s="2163"/>
      <c r="L1893" s="2163"/>
      <c r="M1893" s="2163"/>
    </row>
    <row r="1894" spans="1:15">
      <c r="A1894" s="2164"/>
      <c r="H1894" s="2522" t="s">
        <v>2637</v>
      </c>
      <c r="I1894" s="2522"/>
      <c r="J1894" s="2163"/>
      <c r="K1894" s="2523">
        <v>0</v>
      </c>
      <c r="L1894" s="2523"/>
      <c r="M1894" s="2163"/>
      <c r="N1894" s="2527"/>
      <c r="O1894" s="2163"/>
    </row>
    <row r="1895" spans="1:15">
      <c r="H1895" s="2163"/>
      <c r="I1895" s="2163"/>
      <c r="J1895" s="2163"/>
      <c r="K1895" s="2523"/>
      <c r="L1895" s="2523"/>
      <c r="N1895" s="2527"/>
    </row>
    <row r="1896" spans="1:15">
      <c r="A1896" s="2165">
        <v>62002</v>
      </c>
      <c r="B1896" s="2163"/>
      <c r="C1896" s="2524" t="s">
        <v>2862</v>
      </c>
      <c r="D1896" s="2524"/>
      <c r="E1896" s="2524"/>
      <c r="F1896" s="2524"/>
      <c r="G1896" s="2524"/>
      <c r="H1896" s="2524"/>
      <c r="I1896" s="2524"/>
      <c r="J1896" s="2163"/>
      <c r="K1896" s="2163"/>
      <c r="L1896" s="2163"/>
      <c r="M1896" s="2163"/>
    </row>
    <row r="1897" spans="1:15">
      <c r="A1897" s="2163"/>
      <c r="B1897" s="2163"/>
      <c r="C1897" s="2163"/>
      <c r="D1897" s="2163"/>
      <c r="E1897" s="2163"/>
      <c r="F1897" s="2163"/>
      <c r="G1897" s="2163"/>
      <c r="H1897" s="2163"/>
      <c r="I1897" s="2163"/>
      <c r="J1897" s="2163"/>
      <c r="K1897" s="2163"/>
      <c r="L1897" s="2163"/>
      <c r="M1897" s="2163"/>
    </row>
    <row r="1898" spans="1:15">
      <c r="A1898" s="2520" t="s">
        <v>2647</v>
      </c>
      <c r="B1898" s="2520"/>
      <c r="C1898" s="2520"/>
      <c r="D1898" s="2166"/>
      <c r="E1898" s="2166"/>
      <c r="F1898" s="2166"/>
      <c r="G1898" s="2166"/>
      <c r="H1898" s="2526">
        <v>83846.195999999996</v>
      </c>
      <c r="I1898" s="2526"/>
      <c r="J1898" s="2526"/>
      <c r="K1898" s="2166"/>
      <c r="L1898" s="2168">
        <v>8299834.3099999996</v>
      </c>
      <c r="M1898" s="2166"/>
    </row>
    <row r="1899" spans="1:15">
      <c r="A1899" s="2520" t="s">
        <v>2648</v>
      </c>
      <c r="B1899" s="2520"/>
      <c r="C1899" s="2520"/>
      <c r="D1899" s="2166"/>
      <c r="E1899" s="2166"/>
      <c r="F1899" s="2166"/>
      <c r="G1899" s="2166"/>
      <c r="H1899" s="2526">
        <v>-83846.195999999996</v>
      </c>
      <c r="I1899" s="2526"/>
      <c r="J1899" s="2526"/>
      <c r="K1899" s="2166"/>
      <c r="L1899" s="2168">
        <v>-8302651.54</v>
      </c>
      <c r="M1899" s="2166"/>
    </row>
    <row r="1900" spans="1:15">
      <c r="A1900" s="2164"/>
      <c r="B1900" s="2164"/>
      <c r="C1900" s="2164"/>
      <c r="D1900" s="2164"/>
      <c r="E1900" s="2522" t="s">
        <v>2639</v>
      </c>
      <c r="F1900" s="2522"/>
      <c r="G1900" s="2164"/>
      <c r="H1900" s="2523">
        <v>0</v>
      </c>
      <c r="I1900" s="2523"/>
      <c r="J1900" s="2523"/>
      <c r="K1900" s="2163"/>
      <c r="L1900" s="2523">
        <v>0</v>
      </c>
      <c r="M1900" s="2163"/>
    </row>
    <row r="1901" spans="1:15">
      <c r="A1901" s="2164"/>
      <c r="B1901" s="2164"/>
      <c r="C1901" s="2164"/>
      <c r="D1901" s="2164"/>
      <c r="E1901" s="2164"/>
      <c r="F1901" s="2164"/>
      <c r="G1901" s="2164"/>
      <c r="H1901" s="2523"/>
      <c r="I1901" s="2523"/>
      <c r="J1901" s="2523"/>
      <c r="K1901" s="2163"/>
      <c r="L1901" s="2523"/>
      <c r="M1901" s="2163"/>
    </row>
    <row r="1902" spans="1:15">
      <c r="A1902" s="2160" t="s">
        <v>2773</v>
      </c>
      <c r="B1902" s="2161"/>
      <c r="C1902" s="2160" t="s">
        <v>2774</v>
      </c>
      <c r="D1902" s="2161"/>
      <c r="E1902" s="2160" t="s">
        <v>2722</v>
      </c>
      <c r="F1902" s="2161"/>
    </row>
    <row r="1903" spans="1:15">
      <c r="A1903" s="2163"/>
      <c r="B1903" s="2163"/>
      <c r="C1903" s="2163"/>
      <c r="D1903" s="2163"/>
      <c r="E1903" s="2163"/>
      <c r="F1903" s="2163"/>
      <c r="G1903" s="2163"/>
      <c r="H1903" s="2163"/>
      <c r="I1903" s="2163"/>
      <c r="J1903" s="2163"/>
      <c r="K1903" s="2163"/>
      <c r="L1903" s="2163"/>
      <c r="M1903" s="2163"/>
    </row>
    <row r="1904" spans="1:15">
      <c r="A1904" s="2164"/>
      <c r="H1904" s="2522" t="s">
        <v>2637</v>
      </c>
      <c r="I1904" s="2522"/>
      <c r="J1904" s="2163"/>
      <c r="K1904" s="2523">
        <v>0</v>
      </c>
      <c r="L1904" s="2523"/>
      <c r="M1904" s="2163"/>
      <c r="N1904" s="2527"/>
      <c r="O1904" s="2163"/>
    </row>
    <row r="1905" spans="1:15">
      <c r="H1905" s="2163"/>
      <c r="I1905" s="2163"/>
      <c r="J1905" s="2163"/>
      <c r="K1905" s="2523"/>
      <c r="L1905" s="2523"/>
      <c r="N1905" s="2527"/>
    </row>
    <row r="1906" spans="1:15">
      <c r="A1906" s="2165">
        <v>63906</v>
      </c>
      <c r="B1906" s="2163"/>
      <c r="C1906" s="2524" t="s">
        <v>2863</v>
      </c>
      <c r="D1906" s="2524"/>
      <c r="E1906" s="2524"/>
      <c r="F1906" s="2524"/>
      <c r="G1906" s="2524"/>
      <c r="H1906" s="2524"/>
      <c r="I1906" s="2524"/>
      <c r="J1906" s="2163"/>
      <c r="K1906" s="2163"/>
      <c r="L1906" s="2163"/>
      <c r="M1906" s="2163"/>
    </row>
    <row r="1907" spans="1:15">
      <c r="A1907" s="2163"/>
      <c r="B1907" s="2163"/>
      <c r="C1907" s="2163"/>
      <c r="D1907" s="2163"/>
      <c r="E1907" s="2163"/>
      <c r="F1907" s="2163"/>
      <c r="G1907" s="2163"/>
      <c r="H1907" s="2163"/>
      <c r="I1907" s="2163"/>
      <c r="J1907" s="2163"/>
      <c r="K1907" s="2163"/>
      <c r="L1907" s="2163"/>
      <c r="M1907" s="2163"/>
    </row>
    <row r="1908" spans="1:15">
      <c r="A1908" s="2529"/>
      <c r="B1908" s="2529"/>
      <c r="C1908" s="2529"/>
      <c r="D1908" s="2166"/>
      <c r="E1908" s="2166"/>
      <c r="F1908" s="2166"/>
      <c r="G1908" s="2166"/>
      <c r="H1908" s="2525"/>
      <c r="I1908" s="2525"/>
      <c r="J1908" s="2525"/>
      <c r="K1908" s="2166"/>
      <c r="L1908" s="2167"/>
      <c r="M1908" s="2166"/>
    </row>
    <row r="1909" spans="1:15">
      <c r="A1909" s="2164"/>
      <c r="B1909" s="2164"/>
      <c r="C1909" s="2164"/>
      <c r="D1909" s="2164"/>
      <c r="E1909" s="2522" t="s">
        <v>2639</v>
      </c>
      <c r="F1909" s="2522"/>
      <c r="G1909" s="2164"/>
      <c r="H1909" s="2523">
        <v>0</v>
      </c>
      <c r="I1909" s="2523"/>
      <c r="J1909" s="2523"/>
      <c r="K1909" s="2163"/>
      <c r="L1909" s="2523">
        <v>0</v>
      </c>
      <c r="M1909" s="2163"/>
    </row>
    <row r="1910" spans="1:15">
      <c r="A1910" s="2164"/>
      <c r="B1910" s="2164"/>
      <c r="C1910" s="2164"/>
      <c r="D1910" s="2164"/>
      <c r="E1910" s="2164"/>
      <c r="F1910" s="2164"/>
      <c r="G1910" s="2164"/>
      <c r="H1910" s="2523"/>
      <c r="I1910" s="2523"/>
      <c r="J1910" s="2523"/>
      <c r="K1910" s="2163"/>
      <c r="L1910" s="2523"/>
      <c r="M1910" s="2163"/>
    </row>
    <row r="1911" spans="1:15">
      <c r="A1911" s="2160" t="s">
        <v>2773</v>
      </c>
      <c r="B1911" s="2161"/>
      <c r="C1911" s="2160" t="s">
        <v>2774</v>
      </c>
      <c r="D1911" s="2161"/>
      <c r="E1911" s="2160" t="s">
        <v>2722</v>
      </c>
      <c r="F1911" s="2161"/>
    </row>
    <row r="1912" spans="1:15">
      <c r="A1912" s="2163"/>
      <c r="B1912" s="2163"/>
      <c r="C1912" s="2163"/>
      <c r="D1912" s="2163"/>
      <c r="E1912" s="2163"/>
      <c r="F1912" s="2163"/>
      <c r="G1912" s="2163"/>
      <c r="H1912" s="2163"/>
      <c r="I1912" s="2163"/>
      <c r="J1912" s="2163"/>
      <c r="K1912" s="2163"/>
      <c r="L1912" s="2163"/>
      <c r="M1912" s="2163"/>
    </row>
    <row r="1913" spans="1:15">
      <c r="A1913" s="2164"/>
      <c r="H1913" s="2522" t="s">
        <v>2637</v>
      </c>
      <c r="I1913" s="2522"/>
      <c r="J1913" s="2163"/>
      <c r="K1913" s="2523">
        <v>0</v>
      </c>
      <c r="L1913" s="2523"/>
      <c r="M1913" s="2163"/>
      <c r="N1913" s="2527"/>
      <c r="O1913" s="2163"/>
    </row>
    <row r="1914" spans="1:15">
      <c r="H1914" s="2163"/>
      <c r="I1914" s="2163"/>
      <c r="J1914" s="2163"/>
      <c r="K1914" s="2523"/>
      <c r="L1914" s="2523"/>
      <c r="N1914" s="2527"/>
    </row>
    <row r="1915" spans="1:15">
      <c r="A1915" s="2165">
        <v>67892</v>
      </c>
      <c r="B1915" s="2163"/>
      <c r="C1915" s="2524" t="s">
        <v>2865</v>
      </c>
      <c r="D1915" s="2524"/>
      <c r="E1915" s="2524"/>
      <c r="F1915" s="2524"/>
      <c r="G1915" s="2524"/>
      <c r="H1915" s="2524"/>
      <c r="I1915" s="2524"/>
      <c r="J1915" s="2163"/>
      <c r="K1915" s="2163"/>
      <c r="L1915" s="2163"/>
      <c r="M1915" s="2163"/>
    </row>
    <row r="1916" spans="1:15">
      <c r="A1916" s="2163"/>
      <c r="B1916" s="2163"/>
      <c r="C1916" s="2163"/>
      <c r="D1916" s="2163"/>
      <c r="E1916" s="2163"/>
      <c r="F1916" s="2163"/>
      <c r="G1916" s="2163"/>
      <c r="H1916" s="2163"/>
      <c r="I1916" s="2163"/>
      <c r="J1916" s="2163"/>
      <c r="K1916" s="2163"/>
      <c r="L1916" s="2163"/>
      <c r="M1916" s="2163"/>
    </row>
    <row r="1917" spans="1:15">
      <c r="A1917" s="2529"/>
      <c r="B1917" s="2529"/>
      <c r="C1917" s="2529"/>
      <c r="D1917" s="2166"/>
      <c r="E1917" s="2166"/>
      <c r="F1917" s="2166"/>
      <c r="G1917" s="2166"/>
      <c r="H1917" s="2525"/>
      <c r="I1917" s="2525"/>
      <c r="J1917" s="2525"/>
      <c r="K1917" s="2166"/>
      <c r="L1917" s="2167"/>
      <c r="M1917" s="2166"/>
    </row>
    <row r="1918" spans="1:15">
      <c r="A1918" s="2164"/>
      <c r="B1918" s="2164"/>
      <c r="C1918" s="2164"/>
      <c r="D1918" s="2164"/>
      <c r="E1918" s="2522" t="s">
        <v>2639</v>
      </c>
      <c r="F1918" s="2522"/>
      <c r="G1918" s="2164"/>
      <c r="H1918" s="2523">
        <v>0</v>
      </c>
      <c r="I1918" s="2523"/>
      <c r="J1918" s="2523"/>
      <c r="K1918" s="2163"/>
      <c r="L1918" s="2523">
        <v>0</v>
      </c>
      <c r="M1918" s="2163"/>
    </row>
    <row r="1919" spans="1:15">
      <c r="A1919" s="2164"/>
      <c r="B1919" s="2164"/>
      <c r="C1919" s="2164"/>
      <c r="D1919" s="2164"/>
      <c r="E1919" s="2164"/>
      <c r="F1919" s="2164"/>
      <c r="G1919" s="2164"/>
      <c r="H1919" s="2523"/>
      <c r="I1919" s="2523"/>
      <c r="J1919" s="2523"/>
      <c r="K1919" s="2163"/>
      <c r="L1919" s="2523"/>
      <c r="M1919" s="2163"/>
    </row>
    <row r="1920" spans="1:15">
      <c r="A1920" s="2160" t="s">
        <v>2773</v>
      </c>
      <c r="B1920" s="2161"/>
      <c r="C1920" s="2160" t="s">
        <v>2774</v>
      </c>
      <c r="D1920" s="2161"/>
      <c r="E1920" s="2160" t="s">
        <v>2722</v>
      </c>
      <c r="F1920" s="2161"/>
    </row>
    <row r="1921" spans="1:15">
      <c r="A1921" s="2163"/>
      <c r="B1921" s="2163"/>
      <c r="C1921" s="2163"/>
      <c r="D1921" s="2163"/>
      <c r="E1921" s="2163"/>
      <c r="F1921" s="2163"/>
      <c r="G1921" s="2163"/>
      <c r="H1921" s="2163"/>
      <c r="I1921" s="2163"/>
      <c r="J1921" s="2163"/>
      <c r="K1921" s="2163"/>
      <c r="L1921" s="2163"/>
      <c r="M1921" s="2163"/>
    </row>
    <row r="1922" spans="1:15">
      <c r="A1922" s="2164"/>
      <c r="H1922" s="2522" t="s">
        <v>2637</v>
      </c>
      <c r="I1922" s="2522"/>
      <c r="J1922" s="2163"/>
      <c r="K1922" s="2523">
        <v>0</v>
      </c>
      <c r="L1922" s="2523"/>
      <c r="M1922" s="2163"/>
      <c r="N1922" s="2527"/>
      <c r="O1922" s="2163"/>
    </row>
    <row r="1923" spans="1:15">
      <c r="H1923" s="2163"/>
      <c r="I1923" s="2163"/>
      <c r="J1923" s="2163"/>
      <c r="K1923" s="2523"/>
      <c r="L1923" s="2523"/>
      <c r="N1923" s="2527"/>
    </row>
    <row r="1924" spans="1:15">
      <c r="A1924" s="2165">
        <v>69742</v>
      </c>
      <c r="B1924" s="2163"/>
      <c r="C1924" s="2524" t="s">
        <v>2876</v>
      </c>
      <c r="D1924" s="2524"/>
      <c r="E1924" s="2524"/>
      <c r="F1924" s="2524"/>
      <c r="G1924" s="2524"/>
      <c r="H1924" s="2524"/>
      <c r="I1924" s="2524"/>
      <c r="J1924" s="2163"/>
      <c r="K1924" s="2163"/>
      <c r="L1924" s="2163"/>
      <c r="M1924" s="2163"/>
    </row>
    <row r="1925" spans="1:15">
      <c r="A1925" s="2163"/>
      <c r="B1925" s="2163"/>
      <c r="C1925" s="2163"/>
      <c r="D1925" s="2163"/>
      <c r="E1925" s="2163"/>
      <c r="F1925" s="2163"/>
      <c r="G1925" s="2163"/>
      <c r="H1925" s="2163"/>
      <c r="I1925" s="2163"/>
      <c r="J1925" s="2163"/>
      <c r="K1925" s="2163"/>
      <c r="L1925" s="2163"/>
      <c r="M1925" s="2163"/>
    </row>
    <row r="1926" spans="1:15">
      <c r="A1926" s="2529"/>
      <c r="B1926" s="2529"/>
      <c r="C1926" s="2529"/>
      <c r="D1926" s="2166"/>
      <c r="E1926" s="2166"/>
      <c r="F1926" s="2166"/>
      <c r="G1926" s="2166"/>
      <c r="H1926" s="2525"/>
      <c r="I1926" s="2525"/>
      <c r="J1926" s="2525"/>
      <c r="K1926" s="2166"/>
      <c r="L1926" s="2167"/>
      <c r="M1926" s="2166"/>
    </row>
    <row r="1927" spans="1:15">
      <c r="A1927" s="2164"/>
      <c r="B1927" s="2164"/>
      <c r="C1927" s="2164"/>
      <c r="D1927" s="2164"/>
      <c r="E1927" s="2522" t="s">
        <v>2639</v>
      </c>
      <c r="F1927" s="2522"/>
      <c r="G1927" s="2164"/>
      <c r="H1927" s="2523">
        <v>0</v>
      </c>
      <c r="I1927" s="2523"/>
      <c r="J1927" s="2523"/>
      <c r="K1927" s="2163"/>
      <c r="L1927" s="2523">
        <v>0</v>
      </c>
      <c r="M1927" s="2163"/>
    </row>
    <row r="1928" spans="1:15">
      <c r="A1928" s="2164"/>
      <c r="B1928" s="2164"/>
      <c r="C1928" s="2164"/>
      <c r="D1928" s="2164"/>
      <c r="E1928" s="2164"/>
      <c r="F1928" s="2164"/>
      <c r="G1928" s="2164"/>
      <c r="H1928" s="2523"/>
      <c r="I1928" s="2523"/>
      <c r="J1928" s="2523"/>
      <c r="K1928" s="2163"/>
      <c r="L1928" s="2523"/>
      <c r="M1928" s="2163"/>
    </row>
    <row r="1929" spans="1:15">
      <c r="A1929" s="2160" t="s">
        <v>2773</v>
      </c>
      <c r="B1929" s="2161"/>
      <c r="C1929" s="2160" t="s">
        <v>2774</v>
      </c>
      <c r="D1929" s="2161"/>
      <c r="E1929" s="2160" t="s">
        <v>2722</v>
      </c>
      <c r="F1929" s="2161"/>
    </row>
    <row r="1930" spans="1:15">
      <c r="A1930" s="2163"/>
      <c r="B1930" s="2163"/>
      <c r="C1930" s="2163"/>
      <c r="D1930" s="2163"/>
      <c r="E1930" s="2163"/>
      <c r="F1930" s="2163"/>
      <c r="G1930" s="2163"/>
      <c r="H1930" s="2163"/>
      <c r="I1930" s="2163"/>
      <c r="J1930" s="2163"/>
      <c r="K1930" s="2163"/>
      <c r="L1930" s="2163"/>
      <c r="M1930" s="2163"/>
    </row>
    <row r="1931" spans="1:15">
      <c r="A1931" s="2164"/>
      <c r="H1931" s="2522" t="s">
        <v>2637</v>
      </c>
      <c r="I1931" s="2522"/>
      <c r="J1931" s="2163"/>
      <c r="K1931" s="2523">
        <v>2.0758000000000001</v>
      </c>
      <c r="L1931" s="2523"/>
      <c r="M1931" s="2163"/>
      <c r="N1931" s="2527" t="s">
        <v>3118</v>
      </c>
      <c r="O1931" s="2163"/>
    </row>
    <row r="1932" spans="1:15">
      <c r="H1932" s="2163"/>
      <c r="I1932" s="2163"/>
      <c r="J1932" s="2163"/>
      <c r="K1932" s="2523"/>
      <c r="L1932" s="2523"/>
      <c r="N1932" s="2527"/>
    </row>
    <row r="1933" spans="1:15">
      <c r="A1933" s="2165">
        <v>70568</v>
      </c>
      <c r="B1933" s="2163"/>
      <c r="C1933" s="2524" t="s">
        <v>2864</v>
      </c>
      <c r="D1933" s="2524"/>
      <c r="E1933" s="2524"/>
      <c r="F1933" s="2524"/>
      <c r="G1933" s="2524"/>
      <c r="H1933" s="2524"/>
      <c r="I1933" s="2524"/>
      <c r="J1933" s="2163"/>
      <c r="K1933" s="2163"/>
      <c r="L1933" s="2163"/>
      <c r="M1933" s="2163"/>
    </row>
    <row r="1934" spans="1:15">
      <c r="A1934" s="2163"/>
      <c r="B1934" s="2163"/>
      <c r="C1934" s="2163"/>
      <c r="D1934" s="2163"/>
      <c r="E1934" s="2163"/>
      <c r="F1934" s="2163"/>
      <c r="G1934" s="2163"/>
      <c r="H1934" s="2163"/>
      <c r="I1934" s="2163"/>
      <c r="J1934" s="2163"/>
      <c r="K1934" s="2163"/>
      <c r="L1934" s="2163"/>
      <c r="M1934" s="2163"/>
    </row>
    <row r="1935" spans="1:15">
      <c r="A1935" s="2520" t="s">
        <v>2645</v>
      </c>
      <c r="B1935" s="2520"/>
      <c r="C1935" s="2520"/>
      <c r="D1935" s="2166"/>
      <c r="E1935" s="2166"/>
      <c r="F1935" s="2166"/>
      <c r="G1935" s="2166"/>
      <c r="H1935" s="2525"/>
      <c r="I1935" s="2525"/>
      <c r="J1935" s="2525"/>
      <c r="K1935" s="2166"/>
      <c r="L1935" s="2167"/>
      <c r="M1935" s="2166"/>
    </row>
    <row r="1936" spans="1:15">
      <c r="A1936" s="2520" t="s">
        <v>2645</v>
      </c>
      <c r="B1936" s="2520"/>
      <c r="C1936" s="2520"/>
      <c r="D1936" s="2166"/>
      <c r="E1936" s="2166"/>
      <c r="F1936" s="2166"/>
      <c r="G1936" s="2166"/>
      <c r="H1936" s="2525">
        <v>3.2000000000000001E-2</v>
      </c>
      <c r="I1936" s="2525"/>
      <c r="J1936" s="2525"/>
      <c r="K1936" s="2166"/>
      <c r="L1936" s="2167">
        <v>3.2</v>
      </c>
      <c r="M1936" s="2166"/>
    </row>
    <row r="1937" spans="1:15">
      <c r="A1937" s="2164"/>
      <c r="B1937" s="2164"/>
      <c r="C1937" s="2164"/>
      <c r="D1937" s="2164"/>
      <c r="E1937" s="2522" t="s">
        <v>2639</v>
      </c>
      <c r="F1937" s="2522"/>
      <c r="G1937" s="2164"/>
      <c r="H1937" s="2523">
        <v>2.1078000000000001</v>
      </c>
      <c r="I1937" s="2523"/>
      <c r="J1937" s="2523"/>
      <c r="K1937" s="2163"/>
      <c r="L1937" s="2523">
        <v>210.78</v>
      </c>
      <c r="M1937" s="2163"/>
    </row>
    <row r="1938" spans="1:15">
      <c r="A1938" s="2164"/>
      <c r="B1938" s="2164"/>
      <c r="C1938" s="2164"/>
      <c r="D1938" s="2164"/>
      <c r="E1938" s="2164"/>
      <c r="F1938" s="2164"/>
      <c r="G1938" s="2164"/>
      <c r="H1938" s="2523"/>
      <c r="I1938" s="2523"/>
      <c r="J1938" s="2523"/>
      <c r="K1938" s="2163"/>
      <c r="L1938" s="2523"/>
      <c r="M1938" s="2163"/>
    </row>
    <row r="1939" spans="1:15">
      <c r="A1939" s="2160" t="s">
        <v>2773</v>
      </c>
      <c r="B1939" s="2161"/>
      <c r="C1939" s="2160" t="s">
        <v>2774</v>
      </c>
      <c r="D1939" s="2161"/>
      <c r="E1939" s="2160" t="s">
        <v>2722</v>
      </c>
      <c r="F1939" s="2161"/>
    </row>
    <row r="1940" spans="1:15">
      <c r="A1940" s="2163"/>
      <c r="B1940" s="2163"/>
      <c r="C1940" s="2163"/>
      <c r="D1940" s="2163"/>
      <c r="E1940" s="2163"/>
      <c r="F1940" s="2163"/>
      <c r="G1940" s="2163"/>
      <c r="H1940" s="2163"/>
      <c r="I1940" s="2163"/>
      <c r="J1940" s="2163"/>
      <c r="K1940" s="2163"/>
      <c r="L1940" s="2163"/>
      <c r="M1940" s="2163"/>
    </row>
    <row r="1941" spans="1:15">
      <c r="A1941" s="2164"/>
      <c r="H1941" s="2522" t="s">
        <v>2637</v>
      </c>
      <c r="I1941" s="2522"/>
      <c r="J1941" s="2163"/>
      <c r="K1941" s="2523">
        <v>0</v>
      </c>
      <c r="L1941" s="2523"/>
      <c r="M1941" s="2163"/>
      <c r="N1941" s="2527"/>
      <c r="O1941" s="2163"/>
    </row>
    <row r="1942" spans="1:15">
      <c r="H1942" s="2163"/>
      <c r="I1942" s="2163"/>
      <c r="J1942" s="2163"/>
      <c r="K1942" s="2523"/>
      <c r="L1942" s="2523"/>
      <c r="N1942" s="2527"/>
    </row>
    <row r="1943" spans="1:15">
      <c r="A1943" s="2165">
        <v>77481</v>
      </c>
      <c r="B1943" s="2163"/>
      <c r="C1943" s="2524" t="s">
        <v>2874</v>
      </c>
      <c r="D1943" s="2524"/>
      <c r="E1943" s="2524"/>
      <c r="F1943" s="2524"/>
      <c r="G1943" s="2524"/>
      <c r="H1943" s="2524"/>
      <c r="I1943" s="2524"/>
      <c r="J1943" s="2163"/>
      <c r="K1943" s="2163"/>
      <c r="L1943" s="2163"/>
      <c r="M1943" s="2163"/>
    </row>
    <row r="1944" spans="1:15">
      <c r="A1944" s="2163"/>
      <c r="B1944" s="2163"/>
      <c r="C1944" s="2163"/>
      <c r="D1944" s="2163"/>
      <c r="E1944" s="2163"/>
      <c r="F1944" s="2163"/>
      <c r="G1944" s="2163"/>
      <c r="H1944" s="2163"/>
      <c r="I1944" s="2163"/>
      <c r="J1944" s="2163"/>
      <c r="K1944" s="2163"/>
      <c r="L1944" s="2163"/>
      <c r="M1944" s="2163"/>
    </row>
    <row r="1945" spans="1:15">
      <c r="A1945" s="2529"/>
      <c r="B1945" s="2529"/>
      <c r="C1945" s="2529"/>
      <c r="D1945" s="2166"/>
      <c r="E1945" s="2166"/>
      <c r="F1945" s="2166"/>
      <c r="G1945" s="2166"/>
      <c r="H1945" s="2525"/>
      <c r="I1945" s="2525"/>
      <c r="J1945" s="2525"/>
      <c r="K1945" s="2166"/>
      <c r="L1945" s="2167"/>
      <c r="M1945" s="2166"/>
    </row>
    <row r="1946" spans="1:15">
      <c r="A1946" s="2164"/>
      <c r="B1946" s="2164"/>
      <c r="C1946" s="2164"/>
      <c r="D1946" s="2164"/>
      <c r="E1946" s="2522" t="s">
        <v>2639</v>
      </c>
      <c r="F1946" s="2522"/>
      <c r="G1946" s="2164"/>
      <c r="H1946" s="2523">
        <v>0</v>
      </c>
      <c r="I1946" s="2523"/>
      <c r="J1946" s="2523"/>
      <c r="K1946" s="2163"/>
      <c r="L1946" s="2523">
        <v>0</v>
      </c>
      <c r="M1946" s="2163"/>
    </row>
    <row r="1947" spans="1:15">
      <c r="A1947" s="2164"/>
      <c r="B1947" s="2164"/>
      <c r="C1947" s="2164"/>
      <c r="D1947" s="2164"/>
      <c r="E1947" s="2164"/>
      <c r="F1947" s="2164"/>
      <c r="G1947" s="2164"/>
      <c r="H1947" s="2523"/>
      <c r="I1947" s="2523"/>
      <c r="J1947" s="2523"/>
      <c r="K1947" s="2163"/>
      <c r="L1947" s="2523"/>
      <c r="M1947" s="2163"/>
    </row>
    <row r="1948" spans="1:15">
      <c r="A1948" s="2160" t="s">
        <v>2773</v>
      </c>
      <c r="B1948" s="2161"/>
      <c r="C1948" s="2160" t="s">
        <v>2774</v>
      </c>
      <c r="D1948" s="2161"/>
      <c r="E1948" s="2160" t="s">
        <v>2722</v>
      </c>
      <c r="F1948" s="2161"/>
    </row>
    <row r="1949" spans="1:15">
      <c r="A1949" s="2163"/>
      <c r="B1949" s="2163"/>
      <c r="C1949" s="2163"/>
      <c r="D1949" s="2163"/>
      <c r="E1949" s="2163"/>
      <c r="F1949" s="2163"/>
      <c r="G1949" s="2163"/>
      <c r="H1949" s="2163"/>
      <c r="I1949" s="2163"/>
      <c r="J1949" s="2163"/>
      <c r="K1949" s="2163"/>
      <c r="L1949" s="2163"/>
      <c r="M1949" s="2163"/>
    </row>
    <row r="1950" spans="1:15">
      <c r="A1950" s="2164"/>
      <c r="H1950" s="2522" t="s">
        <v>2637</v>
      </c>
      <c r="I1950" s="2522"/>
      <c r="J1950" s="2163"/>
      <c r="K1950" s="2523">
        <v>0</v>
      </c>
      <c r="L1950" s="2523"/>
      <c r="M1950" s="2163"/>
      <c r="N1950" s="2527"/>
      <c r="O1950" s="2163"/>
    </row>
    <row r="1951" spans="1:15">
      <c r="H1951" s="2163"/>
      <c r="I1951" s="2163"/>
      <c r="J1951" s="2163"/>
      <c r="K1951" s="2523"/>
      <c r="L1951" s="2523"/>
      <c r="N1951" s="2527"/>
    </row>
    <row r="1952" spans="1:15">
      <c r="A1952" s="2165">
        <v>79941</v>
      </c>
      <c r="B1952" s="2163"/>
      <c r="C1952" s="2524" t="s">
        <v>2866</v>
      </c>
      <c r="D1952" s="2524"/>
      <c r="E1952" s="2524"/>
      <c r="F1952" s="2524"/>
      <c r="G1952" s="2524"/>
      <c r="H1952" s="2524"/>
      <c r="I1952" s="2524"/>
      <c r="J1952" s="2163"/>
      <c r="K1952" s="2163"/>
      <c r="L1952" s="2163"/>
      <c r="M1952" s="2163"/>
    </row>
    <row r="1953" spans="1:13">
      <c r="A1953" s="2163"/>
      <c r="B1953" s="2163"/>
      <c r="C1953" s="2163"/>
      <c r="D1953" s="2163"/>
      <c r="E1953" s="2163"/>
      <c r="F1953" s="2163"/>
      <c r="G1953" s="2163"/>
      <c r="H1953" s="2163"/>
      <c r="I1953" s="2163"/>
      <c r="J1953" s="2163"/>
      <c r="K1953" s="2163"/>
      <c r="L1953" s="2163"/>
      <c r="M1953" s="2163"/>
    </row>
    <row r="1954" spans="1:13">
      <c r="A1954" s="2529"/>
      <c r="B1954" s="2529"/>
      <c r="C1954" s="2529"/>
      <c r="D1954" s="2166"/>
      <c r="E1954" s="2166"/>
      <c r="F1954" s="2166"/>
      <c r="G1954" s="2166"/>
      <c r="H1954" s="2525"/>
      <c r="I1954" s="2525"/>
      <c r="J1954" s="2525"/>
      <c r="K1954" s="2166"/>
      <c r="L1954" s="2167"/>
      <c r="M1954" s="2166"/>
    </row>
    <row r="1955" spans="1:13">
      <c r="A1955" s="2164"/>
      <c r="B1955" s="2164"/>
      <c r="C1955" s="2164"/>
      <c r="D1955" s="2164"/>
      <c r="E1955" s="2522" t="s">
        <v>2639</v>
      </c>
      <c r="F1955" s="2522"/>
      <c r="G1955" s="2164"/>
      <c r="H1955" s="2523">
        <v>0</v>
      </c>
      <c r="I1955" s="2523"/>
      <c r="J1955" s="2523"/>
      <c r="K1955" s="2163"/>
      <c r="L1955" s="2523">
        <v>0</v>
      </c>
      <c r="M1955" s="2163"/>
    </row>
    <row r="1956" spans="1:13">
      <c r="A1956" s="2164"/>
      <c r="B1956" s="2164"/>
      <c r="C1956" s="2164"/>
      <c r="D1956" s="2164"/>
      <c r="E1956" s="2164"/>
      <c r="F1956" s="2164"/>
      <c r="G1956" s="2164"/>
      <c r="H1956" s="2523"/>
      <c r="I1956" s="2523"/>
      <c r="J1956" s="2523"/>
      <c r="K1956" s="2163"/>
      <c r="L1956" s="2523"/>
      <c r="M1956" s="2163"/>
    </row>
  </sheetData>
  <mergeCells count="2139">
    <mergeCell ref="N13:N14"/>
    <mergeCell ref="C15:I15"/>
    <mergeCell ref="A17:C17"/>
    <mergeCell ref="H17:J17"/>
    <mergeCell ref="E18:F18"/>
    <mergeCell ref="H18:J19"/>
    <mergeCell ref="L18:L19"/>
    <mergeCell ref="A8:C8"/>
    <mergeCell ref="H8:J8"/>
    <mergeCell ref="E9:F9"/>
    <mergeCell ref="H9:J10"/>
    <mergeCell ref="L9:L10"/>
    <mergeCell ref="H13:I13"/>
    <mergeCell ref="K13:L14"/>
    <mergeCell ref="H3:I3"/>
    <mergeCell ref="K3:L4"/>
    <mergeCell ref="N3:N4"/>
    <mergeCell ref="C5:I5"/>
    <mergeCell ref="A7:C7"/>
    <mergeCell ref="H7:J7"/>
    <mergeCell ref="N32:N33"/>
    <mergeCell ref="C34:I34"/>
    <mergeCell ref="A36:C36"/>
    <mergeCell ref="H36:J36"/>
    <mergeCell ref="A37:C37"/>
    <mergeCell ref="H37:J37"/>
    <mergeCell ref="A27:C27"/>
    <mergeCell ref="H27:J27"/>
    <mergeCell ref="E28:F28"/>
    <mergeCell ref="H28:J29"/>
    <mergeCell ref="L28:L29"/>
    <mergeCell ref="H32:I32"/>
    <mergeCell ref="K32:L33"/>
    <mergeCell ref="H22:I22"/>
    <mergeCell ref="K22:L23"/>
    <mergeCell ref="N22:N23"/>
    <mergeCell ref="C24:I24"/>
    <mergeCell ref="A26:C26"/>
    <mergeCell ref="H26:J26"/>
    <mergeCell ref="A49:C49"/>
    <mergeCell ref="H49:J49"/>
    <mergeCell ref="E50:F50"/>
    <mergeCell ref="H50:J51"/>
    <mergeCell ref="L50:L51"/>
    <mergeCell ref="H54:I54"/>
    <mergeCell ref="K54:L55"/>
    <mergeCell ref="N43:N44"/>
    <mergeCell ref="C45:I45"/>
    <mergeCell ref="A47:C47"/>
    <mergeCell ref="H47:J47"/>
    <mergeCell ref="A48:C48"/>
    <mergeCell ref="H48:J48"/>
    <mergeCell ref="A38:C38"/>
    <mergeCell ref="H38:J38"/>
    <mergeCell ref="E39:F39"/>
    <mergeCell ref="H39:J40"/>
    <mergeCell ref="L39:L40"/>
    <mergeCell ref="H43:I43"/>
    <mergeCell ref="K43:L44"/>
    <mergeCell ref="N65:N66"/>
    <mergeCell ref="C67:I67"/>
    <mergeCell ref="A69:C69"/>
    <mergeCell ref="H69:J69"/>
    <mergeCell ref="A70:C70"/>
    <mergeCell ref="H70:J70"/>
    <mergeCell ref="A60:C60"/>
    <mergeCell ref="H60:J60"/>
    <mergeCell ref="E61:F61"/>
    <mergeCell ref="H61:J62"/>
    <mergeCell ref="L61:L62"/>
    <mergeCell ref="H65:I65"/>
    <mergeCell ref="K65:L66"/>
    <mergeCell ref="N54:N55"/>
    <mergeCell ref="C56:I56"/>
    <mergeCell ref="A58:C58"/>
    <mergeCell ref="H58:J58"/>
    <mergeCell ref="A59:C59"/>
    <mergeCell ref="H59:J59"/>
    <mergeCell ref="E82:F82"/>
    <mergeCell ref="H82:J83"/>
    <mergeCell ref="L82:L83"/>
    <mergeCell ref="H86:I86"/>
    <mergeCell ref="K86:L87"/>
    <mergeCell ref="N86:N87"/>
    <mergeCell ref="N76:N77"/>
    <mergeCell ref="C78:I78"/>
    <mergeCell ref="A80:C80"/>
    <mergeCell ref="H80:J80"/>
    <mergeCell ref="A81:C81"/>
    <mergeCell ref="H81:J81"/>
    <mergeCell ref="A71:C71"/>
    <mergeCell ref="H71:J71"/>
    <mergeCell ref="E72:F72"/>
    <mergeCell ref="H72:J73"/>
    <mergeCell ref="L72:L73"/>
    <mergeCell ref="H76:I76"/>
    <mergeCell ref="K76:L77"/>
    <mergeCell ref="E100:F100"/>
    <mergeCell ref="H100:J101"/>
    <mergeCell ref="L100:L101"/>
    <mergeCell ref="H104:I104"/>
    <mergeCell ref="K104:L105"/>
    <mergeCell ref="N104:N105"/>
    <mergeCell ref="H95:I95"/>
    <mergeCell ref="K95:L96"/>
    <mergeCell ref="N95:N96"/>
    <mergeCell ref="C97:I97"/>
    <mergeCell ref="A99:C99"/>
    <mergeCell ref="H99:J99"/>
    <mergeCell ref="C88:I88"/>
    <mergeCell ref="A90:C90"/>
    <mergeCell ref="H90:J90"/>
    <mergeCell ref="E91:F91"/>
    <mergeCell ref="H91:J92"/>
    <mergeCell ref="L91:L92"/>
    <mergeCell ref="E119:F119"/>
    <mergeCell ref="H119:J120"/>
    <mergeCell ref="L119:L120"/>
    <mergeCell ref="H123:I123"/>
    <mergeCell ref="K123:L124"/>
    <mergeCell ref="N123:N124"/>
    <mergeCell ref="L110:L111"/>
    <mergeCell ref="H114:I114"/>
    <mergeCell ref="K114:L115"/>
    <mergeCell ref="N114:N115"/>
    <mergeCell ref="C116:I116"/>
    <mergeCell ref="A118:C118"/>
    <mergeCell ref="H118:J118"/>
    <mergeCell ref="C106:I106"/>
    <mergeCell ref="A108:C108"/>
    <mergeCell ref="H108:J108"/>
    <mergeCell ref="A109:C109"/>
    <mergeCell ref="H109:J109"/>
    <mergeCell ref="E110:F110"/>
    <mergeCell ref="H110:J111"/>
    <mergeCell ref="E137:F137"/>
    <mergeCell ref="H137:J138"/>
    <mergeCell ref="L137:L138"/>
    <mergeCell ref="H141:I141"/>
    <mergeCell ref="K141:L142"/>
    <mergeCell ref="N141:N142"/>
    <mergeCell ref="H132:I132"/>
    <mergeCell ref="K132:L133"/>
    <mergeCell ref="N132:N133"/>
    <mergeCell ref="C134:I134"/>
    <mergeCell ref="A136:C136"/>
    <mergeCell ref="H136:J136"/>
    <mergeCell ref="C125:I125"/>
    <mergeCell ref="A127:C127"/>
    <mergeCell ref="H127:J127"/>
    <mergeCell ref="E128:F128"/>
    <mergeCell ref="H128:J129"/>
    <mergeCell ref="L128:L129"/>
    <mergeCell ref="E155:F155"/>
    <mergeCell ref="H155:J156"/>
    <mergeCell ref="L155:L156"/>
    <mergeCell ref="H159:I159"/>
    <mergeCell ref="K159:L160"/>
    <mergeCell ref="N159:N160"/>
    <mergeCell ref="H150:I150"/>
    <mergeCell ref="K150:L151"/>
    <mergeCell ref="N150:N151"/>
    <mergeCell ref="C152:I152"/>
    <mergeCell ref="A154:C154"/>
    <mergeCell ref="H154:J154"/>
    <mergeCell ref="C143:I143"/>
    <mergeCell ref="A145:C145"/>
    <mergeCell ref="H145:J145"/>
    <mergeCell ref="E146:F146"/>
    <mergeCell ref="H146:J147"/>
    <mergeCell ref="L146:L147"/>
    <mergeCell ref="C172:I172"/>
    <mergeCell ref="A174:C174"/>
    <mergeCell ref="H174:J174"/>
    <mergeCell ref="E175:F175"/>
    <mergeCell ref="H175:J176"/>
    <mergeCell ref="L175:L176"/>
    <mergeCell ref="E166:F166"/>
    <mergeCell ref="H166:J167"/>
    <mergeCell ref="L166:L167"/>
    <mergeCell ref="H170:I170"/>
    <mergeCell ref="K170:L171"/>
    <mergeCell ref="N170:N171"/>
    <mergeCell ref="C161:I161"/>
    <mergeCell ref="A163:C163"/>
    <mergeCell ref="H163:J163"/>
    <mergeCell ref="A164:C164"/>
    <mergeCell ref="H164:J164"/>
    <mergeCell ref="A165:C165"/>
    <mergeCell ref="H165:J165"/>
    <mergeCell ref="L186:L187"/>
    <mergeCell ref="H190:I190"/>
    <mergeCell ref="K190:L191"/>
    <mergeCell ref="N190:N191"/>
    <mergeCell ref="C192:I192"/>
    <mergeCell ref="A194:C194"/>
    <mergeCell ref="H194:J194"/>
    <mergeCell ref="A184:C184"/>
    <mergeCell ref="H184:J184"/>
    <mergeCell ref="A185:C185"/>
    <mergeCell ref="H185:J185"/>
    <mergeCell ref="E186:F186"/>
    <mergeCell ref="H186:J187"/>
    <mergeCell ref="H179:I179"/>
    <mergeCell ref="K179:L180"/>
    <mergeCell ref="N179:N180"/>
    <mergeCell ref="C181:I181"/>
    <mergeCell ref="A183:C183"/>
    <mergeCell ref="H183:J183"/>
    <mergeCell ref="L205:L206"/>
    <mergeCell ref="H209:I209"/>
    <mergeCell ref="K209:L210"/>
    <mergeCell ref="N209:N210"/>
    <mergeCell ref="C211:I211"/>
    <mergeCell ref="A213:C213"/>
    <mergeCell ref="H213:J213"/>
    <mergeCell ref="C201:I201"/>
    <mergeCell ref="A203:C203"/>
    <mergeCell ref="H203:J203"/>
    <mergeCell ref="A204:C204"/>
    <mergeCell ref="H204:J204"/>
    <mergeCell ref="E205:F205"/>
    <mergeCell ref="H205:J206"/>
    <mergeCell ref="E195:F195"/>
    <mergeCell ref="H195:J196"/>
    <mergeCell ref="L195:L196"/>
    <mergeCell ref="H199:I199"/>
    <mergeCell ref="K199:L200"/>
    <mergeCell ref="N199:N200"/>
    <mergeCell ref="H228:I228"/>
    <mergeCell ref="K228:L229"/>
    <mergeCell ref="N228:N229"/>
    <mergeCell ref="C230:I230"/>
    <mergeCell ref="A232:C232"/>
    <mergeCell ref="H232:J232"/>
    <mergeCell ref="N219:N220"/>
    <mergeCell ref="C221:I221"/>
    <mergeCell ref="A223:C223"/>
    <mergeCell ref="H223:J223"/>
    <mergeCell ref="E224:F224"/>
    <mergeCell ref="H224:J225"/>
    <mergeCell ref="L224:L225"/>
    <mergeCell ref="A214:C214"/>
    <mergeCell ref="H214:J214"/>
    <mergeCell ref="E215:F215"/>
    <mergeCell ref="H215:J216"/>
    <mergeCell ref="L215:L216"/>
    <mergeCell ref="H219:I219"/>
    <mergeCell ref="K219:L220"/>
    <mergeCell ref="H246:I246"/>
    <mergeCell ref="K246:L247"/>
    <mergeCell ref="N246:N247"/>
    <mergeCell ref="C248:I248"/>
    <mergeCell ref="A250:C250"/>
    <mergeCell ref="H250:J250"/>
    <mergeCell ref="C239:I239"/>
    <mergeCell ref="A241:C241"/>
    <mergeCell ref="H241:J241"/>
    <mergeCell ref="E242:F242"/>
    <mergeCell ref="H242:J243"/>
    <mergeCell ref="L242:L243"/>
    <mergeCell ref="E233:F233"/>
    <mergeCell ref="H233:J234"/>
    <mergeCell ref="L233:L234"/>
    <mergeCell ref="H237:I237"/>
    <mergeCell ref="K237:L238"/>
    <mergeCell ref="N237:N238"/>
    <mergeCell ref="H264:I264"/>
    <mergeCell ref="K264:L265"/>
    <mergeCell ref="N264:N265"/>
    <mergeCell ref="C266:I266"/>
    <mergeCell ref="A268:C268"/>
    <mergeCell ref="H268:J268"/>
    <mergeCell ref="C257:I257"/>
    <mergeCell ref="A259:C259"/>
    <mergeCell ref="H259:J259"/>
    <mergeCell ref="E260:F260"/>
    <mergeCell ref="H260:J261"/>
    <mergeCell ref="L260:L261"/>
    <mergeCell ref="E251:F251"/>
    <mergeCell ref="H251:J252"/>
    <mergeCell ref="L251:L252"/>
    <mergeCell ref="H255:I255"/>
    <mergeCell ref="K255:L256"/>
    <mergeCell ref="N255:N256"/>
    <mergeCell ref="L279:L280"/>
    <mergeCell ref="H283:I283"/>
    <mergeCell ref="K283:L284"/>
    <mergeCell ref="N283:N284"/>
    <mergeCell ref="C285:I285"/>
    <mergeCell ref="A287:C287"/>
    <mergeCell ref="H287:J287"/>
    <mergeCell ref="C275:I275"/>
    <mergeCell ref="A277:C277"/>
    <mergeCell ref="H277:J277"/>
    <mergeCell ref="A278:C278"/>
    <mergeCell ref="H278:J278"/>
    <mergeCell ref="E279:F279"/>
    <mergeCell ref="H279:J280"/>
    <mergeCell ref="E269:F269"/>
    <mergeCell ref="H269:J270"/>
    <mergeCell ref="L269:L270"/>
    <mergeCell ref="H273:I273"/>
    <mergeCell ref="K273:L274"/>
    <mergeCell ref="N273:N274"/>
    <mergeCell ref="H301:I301"/>
    <mergeCell ref="K301:L302"/>
    <mergeCell ref="N301:N302"/>
    <mergeCell ref="C303:I303"/>
    <mergeCell ref="A305:C305"/>
    <mergeCell ref="H305:J305"/>
    <mergeCell ref="C294:I294"/>
    <mergeCell ref="A296:C296"/>
    <mergeCell ref="H296:J296"/>
    <mergeCell ref="E297:F297"/>
    <mergeCell ref="H297:J298"/>
    <mergeCell ref="L297:L298"/>
    <mergeCell ref="E288:F288"/>
    <mergeCell ref="H288:J289"/>
    <mergeCell ref="L288:L289"/>
    <mergeCell ref="H292:I292"/>
    <mergeCell ref="K292:L293"/>
    <mergeCell ref="N292:N293"/>
    <mergeCell ref="H319:I319"/>
    <mergeCell ref="K319:L320"/>
    <mergeCell ref="N319:N320"/>
    <mergeCell ref="C321:I321"/>
    <mergeCell ref="A323:C323"/>
    <mergeCell ref="H323:J323"/>
    <mergeCell ref="C312:I312"/>
    <mergeCell ref="A314:C314"/>
    <mergeCell ref="H314:J314"/>
    <mergeCell ref="E315:F315"/>
    <mergeCell ref="H315:J316"/>
    <mergeCell ref="L315:L316"/>
    <mergeCell ref="E306:F306"/>
    <mergeCell ref="H306:J307"/>
    <mergeCell ref="L306:L307"/>
    <mergeCell ref="H310:I310"/>
    <mergeCell ref="K310:L311"/>
    <mergeCell ref="N310:N311"/>
    <mergeCell ref="L334:L335"/>
    <mergeCell ref="H338:I338"/>
    <mergeCell ref="K338:L339"/>
    <mergeCell ref="N338:N339"/>
    <mergeCell ref="C340:I340"/>
    <mergeCell ref="A342:C342"/>
    <mergeCell ref="H342:J342"/>
    <mergeCell ref="C330:I330"/>
    <mergeCell ref="A332:C332"/>
    <mergeCell ref="H332:J332"/>
    <mergeCell ref="A333:C333"/>
    <mergeCell ref="H333:J333"/>
    <mergeCell ref="E334:F334"/>
    <mergeCell ref="H334:J335"/>
    <mergeCell ref="E324:F324"/>
    <mergeCell ref="H324:J325"/>
    <mergeCell ref="L324:L325"/>
    <mergeCell ref="H328:I328"/>
    <mergeCell ref="K328:L329"/>
    <mergeCell ref="N328:N329"/>
    <mergeCell ref="E354:F354"/>
    <mergeCell ref="H354:J355"/>
    <mergeCell ref="L354:L355"/>
    <mergeCell ref="H358:I358"/>
    <mergeCell ref="K358:L359"/>
    <mergeCell ref="N358:N359"/>
    <mergeCell ref="N348:N349"/>
    <mergeCell ref="C350:I350"/>
    <mergeCell ref="A352:C352"/>
    <mergeCell ref="H352:J352"/>
    <mergeCell ref="A353:C353"/>
    <mergeCell ref="H353:J353"/>
    <mergeCell ref="A343:C343"/>
    <mergeCell ref="H343:J343"/>
    <mergeCell ref="E344:F344"/>
    <mergeCell ref="H344:J345"/>
    <mergeCell ref="L344:L345"/>
    <mergeCell ref="H348:I348"/>
    <mergeCell ref="K348:L349"/>
    <mergeCell ref="A372:C372"/>
    <mergeCell ref="H372:J372"/>
    <mergeCell ref="A373:C373"/>
    <mergeCell ref="H373:J373"/>
    <mergeCell ref="A374:C374"/>
    <mergeCell ref="H374:J374"/>
    <mergeCell ref="H367:I367"/>
    <mergeCell ref="K367:L368"/>
    <mergeCell ref="N367:N368"/>
    <mergeCell ref="C369:I369"/>
    <mergeCell ref="A371:C371"/>
    <mergeCell ref="H371:J371"/>
    <mergeCell ref="C360:I360"/>
    <mergeCell ref="A362:C362"/>
    <mergeCell ref="H362:J362"/>
    <mergeCell ref="E363:F363"/>
    <mergeCell ref="H363:J364"/>
    <mergeCell ref="L363:L364"/>
    <mergeCell ref="N393:N394"/>
    <mergeCell ref="A386:C386"/>
    <mergeCell ref="H386:J386"/>
    <mergeCell ref="A387:C387"/>
    <mergeCell ref="H387:J387"/>
    <mergeCell ref="A388:C388"/>
    <mergeCell ref="H388:J388"/>
    <mergeCell ref="N380:N381"/>
    <mergeCell ref="C382:I382"/>
    <mergeCell ref="A384:C384"/>
    <mergeCell ref="H384:J384"/>
    <mergeCell ref="A385:C385"/>
    <mergeCell ref="H385:J385"/>
    <mergeCell ref="A375:C375"/>
    <mergeCell ref="H375:J375"/>
    <mergeCell ref="E376:F376"/>
    <mergeCell ref="H376:J377"/>
    <mergeCell ref="L376:L377"/>
    <mergeCell ref="H380:I380"/>
    <mergeCell ref="K380:L381"/>
    <mergeCell ref="A400:C400"/>
    <mergeCell ref="H400:J400"/>
    <mergeCell ref="A401:C401"/>
    <mergeCell ref="H401:J401"/>
    <mergeCell ref="E402:F402"/>
    <mergeCell ref="H402:J403"/>
    <mergeCell ref="C395:I395"/>
    <mergeCell ref="A397:C397"/>
    <mergeCell ref="H397:J397"/>
    <mergeCell ref="A398:C398"/>
    <mergeCell ref="H398:J398"/>
    <mergeCell ref="A399:C399"/>
    <mergeCell ref="H399:J399"/>
    <mergeCell ref="E389:F389"/>
    <mergeCell ref="H389:J390"/>
    <mergeCell ref="L389:L390"/>
    <mergeCell ref="H393:I393"/>
    <mergeCell ref="K393:L394"/>
    <mergeCell ref="A414:C414"/>
    <mergeCell ref="H414:J414"/>
    <mergeCell ref="E415:F415"/>
    <mergeCell ref="H415:J416"/>
    <mergeCell ref="L415:L416"/>
    <mergeCell ref="H419:I419"/>
    <mergeCell ref="K419:L420"/>
    <mergeCell ref="A411:C411"/>
    <mergeCell ref="H411:J411"/>
    <mergeCell ref="A412:C412"/>
    <mergeCell ref="H412:J412"/>
    <mergeCell ref="A413:C413"/>
    <mergeCell ref="H413:J413"/>
    <mergeCell ref="L402:L403"/>
    <mergeCell ref="H406:I406"/>
    <mergeCell ref="K406:L407"/>
    <mergeCell ref="N406:N407"/>
    <mergeCell ref="C408:I408"/>
    <mergeCell ref="A410:C410"/>
    <mergeCell ref="H410:J410"/>
    <mergeCell ref="E428:F428"/>
    <mergeCell ref="H428:J429"/>
    <mergeCell ref="L428:L429"/>
    <mergeCell ref="H432:I432"/>
    <mergeCell ref="K432:L433"/>
    <mergeCell ref="N432:N433"/>
    <mergeCell ref="A425:C425"/>
    <mergeCell ref="H425:J425"/>
    <mergeCell ref="A426:C426"/>
    <mergeCell ref="H426:J426"/>
    <mergeCell ref="A427:C427"/>
    <mergeCell ref="H427:J427"/>
    <mergeCell ref="N419:N420"/>
    <mergeCell ref="C421:I421"/>
    <mergeCell ref="A423:C423"/>
    <mergeCell ref="H423:J423"/>
    <mergeCell ref="A424:C424"/>
    <mergeCell ref="H424:J424"/>
    <mergeCell ref="L441:L442"/>
    <mergeCell ref="H445:I445"/>
    <mergeCell ref="K445:L446"/>
    <mergeCell ref="N445:N446"/>
    <mergeCell ref="C447:I447"/>
    <mergeCell ref="A449:C449"/>
    <mergeCell ref="H449:J449"/>
    <mergeCell ref="A439:C439"/>
    <mergeCell ref="H439:J439"/>
    <mergeCell ref="A440:C440"/>
    <mergeCell ref="H440:J440"/>
    <mergeCell ref="E441:F441"/>
    <mergeCell ref="H441:J442"/>
    <mergeCell ref="C434:I434"/>
    <mergeCell ref="A436:C436"/>
    <mergeCell ref="H436:J436"/>
    <mergeCell ref="A437:C437"/>
    <mergeCell ref="H437:J437"/>
    <mergeCell ref="A438:C438"/>
    <mergeCell ref="H438:J438"/>
    <mergeCell ref="N458:N459"/>
    <mergeCell ref="C460:I460"/>
    <mergeCell ref="A462:C462"/>
    <mergeCell ref="H462:J462"/>
    <mergeCell ref="A463:C463"/>
    <mergeCell ref="H463:J463"/>
    <mergeCell ref="A453:C453"/>
    <mergeCell ref="H453:J453"/>
    <mergeCell ref="E454:F454"/>
    <mergeCell ref="H454:J455"/>
    <mergeCell ref="L454:L455"/>
    <mergeCell ref="H458:I458"/>
    <mergeCell ref="K458:L459"/>
    <mergeCell ref="A450:C450"/>
    <mergeCell ref="H450:J450"/>
    <mergeCell ref="A451:C451"/>
    <mergeCell ref="H451:J451"/>
    <mergeCell ref="A452:C452"/>
    <mergeCell ref="H452:J452"/>
    <mergeCell ref="C473:I473"/>
    <mergeCell ref="A475:C475"/>
    <mergeCell ref="H475:J475"/>
    <mergeCell ref="E476:F476"/>
    <mergeCell ref="H476:J477"/>
    <mergeCell ref="L476:L477"/>
    <mergeCell ref="E467:F467"/>
    <mergeCell ref="H467:J468"/>
    <mergeCell ref="L467:L468"/>
    <mergeCell ref="H471:I471"/>
    <mergeCell ref="K471:L472"/>
    <mergeCell ref="N471:N472"/>
    <mergeCell ref="A464:C464"/>
    <mergeCell ref="H464:J464"/>
    <mergeCell ref="A465:C465"/>
    <mergeCell ref="H465:J465"/>
    <mergeCell ref="A466:C466"/>
    <mergeCell ref="H466:J466"/>
    <mergeCell ref="N490:N491"/>
    <mergeCell ref="C492:I492"/>
    <mergeCell ref="A494:C494"/>
    <mergeCell ref="H494:J494"/>
    <mergeCell ref="A495:C495"/>
    <mergeCell ref="H495:J495"/>
    <mergeCell ref="A485:C485"/>
    <mergeCell ref="H485:J485"/>
    <mergeCell ref="E486:F486"/>
    <mergeCell ref="H486:J487"/>
    <mergeCell ref="L486:L487"/>
    <mergeCell ref="H490:I490"/>
    <mergeCell ref="K490:L491"/>
    <mergeCell ref="H480:I480"/>
    <mergeCell ref="K480:L481"/>
    <mergeCell ref="N480:N481"/>
    <mergeCell ref="C482:I482"/>
    <mergeCell ref="A484:C484"/>
    <mergeCell ref="H484:J484"/>
    <mergeCell ref="N504:N505"/>
    <mergeCell ref="C506:I506"/>
    <mergeCell ref="A508:C508"/>
    <mergeCell ref="H508:J508"/>
    <mergeCell ref="A509:C509"/>
    <mergeCell ref="H509:J509"/>
    <mergeCell ref="A499:C499"/>
    <mergeCell ref="H499:J499"/>
    <mergeCell ref="E500:F500"/>
    <mergeCell ref="H500:J501"/>
    <mergeCell ref="L500:L501"/>
    <mergeCell ref="H504:I504"/>
    <mergeCell ref="K504:L505"/>
    <mergeCell ref="A496:C496"/>
    <mergeCell ref="H496:J496"/>
    <mergeCell ref="A497:C497"/>
    <mergeCell ref="H497:J497"/>
    <mergeCell ref="A498:C498"/>
    <mergeCell ref="H498:J498"/>
    <mergeCell ref="E521:F521"/>
    <mergeCell ref="H521:J522"/>
    <mergeCell ref="L521:L522"/>
    <mergeCell ref="H525:I525"/>
    <mergeCell ref="K525:L526"/>
    <mergeCell ref="N525:N526"/>
    <mergeCell ref="L512:L513"/>
    <mergeCell ref="H516:I516"/>
    <mergeCell ref="K516:L517"/>
    <mergeCell ref="N516:N517"/>
    <mergeCell ref="C518:I518"/>
    <mergeCell ref="A520:C520"/>
    <mergeCell ref="H520:J520"/>
    <mergeCell ref="A510:C510"/>
    <mergeCell ref="H510:J510"/>
    <mergeCell ref="A511:C511"/>
    <mergeCell ref="H511:J511"/>
    <mergeCell ref="E512:F512"/>
    <mergeCell ref="H512:J513"/>
    <mergeCell ref="L534:L535"/>
    <mergeCell ref="H538:I538"/>
    <mergeCell ref="K538:L539"/>
    <mergeCell ref="N538:N539"/>
    <mergeCell ref="C540:I540"/>
    <mergeCell ref="A542:C542"/>
    <mergeCell ref="H542:J542"/>
    <mergeCell ref="A532:C532"/>
    <mergeCell ref="H532:J532"/>
    <mergeCell ref="A533:C533"/>
    <mergeCell ref="H533:J533"/>
    <mergeCell ref="E534:F534"/>
    <mergeCell ref="H534:J535"/>
    <mergeCell ref="C527:I527"/>
    <mergeCell ref="A529:C529"/>
    <mergeCell ref="H529:J529"/>
    <mergeCell ref="A530:C530"/>
    <mergeCell ref="H530:J530"/>
    <mergeCell ref="A531:C531"/>
    <mergeCell ref="H531:J531"/>
    <mergeCell ref="L548:L549"/>
    <mergeCell ref="H552:I552"/>
    <mergeCell ref="K552:L553"/>
    <mergeCell ref="N552:N553"/>
    <mergeCell ref="C554:I554"/>
    <mergeCell ref="A556:C556"/>
    <mergeCell ref="H556:J556"/>
    <mergeCell ref="A546:C546"/>
    <mergeCell ref="H546:J546"/>
    <mergeCell ref="A547:C547"/>
    <mergeCell ref="H547:J547"/>
    <mergeCell ref="E548:F548"/>
    <mergeCell ref="H548:J549"/>
    <mergeCell ref="A543:C543"/>
    <mergeCell ref="H543:J543"/>
    <mergeCell ref="A544:C544"/>
    <mergeCell ref="H544:J544"/>
    <mergeCell ref="A545:C545"/>
    <mergeCell ref="H545:J545"/>
    <mergeCell ref="N565:N566"/>
    <mergeCell ref="C567:I567"/>
    <mergeCell ref="A569:C569"/>
    <mergeCell ref="H569:J569"/>
    <mergeCell ref="A570:C570"/>
    <mergeCell ref="H570:J570"/>
    <mergeCell ref="A560:C560"/>
    <mergeCell ref="H560:J560"/>
    <mergeCell ref="E561:F561"/>
    <mergeCell ref="H561:J562"/>
    <mergeCell ref="L561:L562"/>
    <mergeCell ref="H565:I565"/>
    <mergeCell ref="K565:L566"/>
    <mergeCell ref="A557:C557"/>
    <mergeCell ref="H557:J557"/>
    <mergeCell ref="A558:C558"/>
    <mergeCell ref="H558:J558"/>
    <mergeCell ref="A559:C559"/>
    <mergeCell ref="H559:J559"/>
    <mergeCell ref="A582:C582"/>
    <mergeCell ref="H582:J582"/>
    <mergeCell ref="A583:C583"/>
    <mergeCell ref="H583:J583"/>
    <mergeCell ref="A584:C584"/>
    <mergeCell ref="H584:J584"/>
    <mergeCell ref="L573:L574"/>
    <mergeCell ref="H577:I577"/>
    <mergeCell ref="K577:L578"/>
    <mergeCell ref="N577:N578"/>
    <mergeCell ref="C579:I579"/>
    <mergeCell ref="A581:C581"/>
    <mergeCell ref="H581:J581"/>
    <mergeCell ref="A571:C571"/>
    <mergeCell ref="H571:J571"/>
    <mergeCell ref="A572:C572"/>
    <mergeCell ref="H572:J572"/>
    <mergeCell ref="E573:F573"/>
    <mergeCell ref="H573:J574"/>
    <mergeCell ref="N603:N604"/>
    <mergeCell ref="A596:C596"/>
    <mergeCell ref="H596:J596"/>
    <mergeCell ref="A597:C597"/>
    <mergeCell ref="H597:J597"/>
    <mergeCell ref="A598:C598"/>
    <mergeCell ref="H598:J598"/>
    <mergeCell ref="N590:N591"/>
    <mergeCell ref="C592:I592"/>
    <mergeCell ref="A594:C594"/>
    <mergeCell ref="H594:J594"/>
    <mergeCell ref="A595:C595"/>
    <mergeCell ref="H595:J595"/>
    <mergeCell ref="A585:C585"/>
    <mergeCell ref="H585:J585"/>
    <mergeCell ref="E586:F586"/>
    <mergeCell ref="H586:J587"/>
    <mergeCell ref="L586:L587"/>
    <mergeCell ref="H590:I590"/>
    <mergeCell ref="K590:L591"/>
    <mergeCell ref="A610:C610"/>
    <mergeCell ref="H610:J610"/>
    <mergeCell ref="A611:C611"/>
    <mergeCell ref="H611:J611"/>
    <mergeCell ref="A612:C612"/>
    <mergeCell ref="H612:J612"/>
    <mergeCell ref="C605:I605"/>
    <mergeCell ref="A607:C607"/>
    <mergeCell ref="H607:J607"/>
    <mergeCell ref="A608:C608"/>
    <mergeCell ref="H608:J608"/>
    <mergeCell ref="A609:C609"/>
    <mergeCell ref="H609:J609"/>
    <mergeCell ref="E599:F599"/>
    <mergeCell ref="H599:J600"/>
    <mergeCell ref="L599:L600"/>
    <mergeCell ref="H603:I603"/>
    <mergeCell ref="K603:L604"/>
    <mergeCell ref="N635:N636"/>
    <mergeCell ref="H626:I626"/>
    <mergeCell ref="K626:L627"/>
    <mergeCell ref="N626:N627"/>
    <mergeCell ref="C628:I628"/>
    <mergeCell ref="A630:C630"/>
    <mergeCell ref="H630:J630"/>
    <mergeCell ref="C619:I619"/>
    <mergeCell ref="A621:C621"/>
    <mergeCell ref="H621:J621"/>
    <mergeCell ref="E622:F622"/>
    <mergeCell ref="H622:J623"/>
    <mergeCell ref="L622:L623"/>
    <mergeCell ref="E613:F613"/>
    <mergeCell ref="H613:J614"/>
    <mergeCell ref="L613:L614"/>
    <mergeCell ref="H617:I617"/>
    <mergeCell ref="K617:L618"/>
    <mergeCell ref="N617:N618"/>
    <mergeCell ref="A642:C642"/>
    <mergeCell ref="H642:J642"/>
    <mergeCell ref="A643:C643"/>
    <mergeCell ref="H643:J643"/>
    <mergeCell ref="E644:F644"/>
    <mergeCell ref="H644:J645"/>
    <mergeCell ref="C637:I637"/>
    <mergeCell ref="A639:C639"/>
    <mergeCell ref="H639:J639"/>
    <mergeCell ref="A640:C640"/>
    <mergeCell ref="H640:J640"/>
    <mergeCell ref="A641:C641"/>
    <mergeCell ref="H641:J641"/>
    <mergeCell ref="E631:F631"/>
    <mergeCell ref="H631:J632"/>
    <mergeCell ref="L631:L632"/>
    <mergeCell ref="H635:I635"/>
    <mergeCell ref="K635:L636"/>
    <mergeCell ref="A656:C656"/>
    <mergeCell ref="H656:J656"/>
    <mergeCell ref="A657:C657"/>
    <mergeCell ref="H657:J657"/>
    <mergeCell ref="E658:F658"/>
    <mergeCell ref="H658:J659"/>
    <mergeCell ref="A653:C653"/>
    <mergeCell ref="H653:J653"/>
    <mergeCell ref="A654:C654"/>
    <mergeCell ref="H654:J654"/>
    <mergeCell ref="A655:C655"/>
    <mergeCell ref="H655:J655"/>
    <mergeCell ref="L644:L645"/>
    <mergeCell ref="H648:I648"/>
    <mergeCell ref="K648:L649"/>
    <mergeCell ref="N648:N649"/>
    <mergeCell ref="C650:I650"/>
    <mergeCell ref="A652:C652"/>
    <mergeCell ref="H652:J652"/>
    <mergeCell ref="N672:N673"/>
    <mergeCell ref="C674:I674"/>
    <mergeCell ref="A676:C676"/>
    <mergeCell ref="H676:J676"/>
    <mergeCell ref="A677:C677"/>
    <mergeCell ref="H677:J677"/>
    <mergeCell ref="A667:C667"/>
    <mergeCell ref="H667:J667"/>
    <mergeCell ref="E668:F668"/>
    <mergeCell ref="H668:J669"/>
    <mergeCell ref="L668:L669"/>
    <mergeCell ref="H672:I672"/>
    <mergeCell ref="K672:L673"/>
    <mergeCell ref="L658:L659"/>
    <mergeCell ref="H662:I662"/>
    <mergeCell ref="K662:L663"/>
    <mergeCell ref="N662:N663"/>
    <mergeCell ref="C664:I664"/>
    <mergeCell ref="A666:C666"/>
    <mergeCell ref="H666:J666"/>
    <mergeCell ref="C687:I687"/>
    <mergeCell ref="A689:C689"/>
    <mergeCell ref="H689:J689"/>
    <mergeCell ref="E690:F690"/>
    <mergeCell ref="H690:J691"/>
    <mergeCell ref="L690:L691"/>
    <mergeCell ref="E681:F681"/>
    <mergeCell ref="H681:J682"/>
    <mergeCell ref="L681:L682"/>
    <mergeCell ref="H685:I685"/>
    <mergeCell ref="K685:L686"/>
    <mergeCell ref="N685:N686"/>
    <mergeCell ref="A678:C678"/>
    <mergeCell ref="H678:J678"/>
    <mergeCell ref="A679:C679"/>
    <mergeCell ref="H679:J679"/>
    <mergeCell ref="A680:C680"/>
    <mergeCell ref="H680:J680"/>
    <mergeCell ref="A702:C702"/>
    <mergeCell ref="H702:J702"/>
    <mergeCell ref="E703:F703"/>
    <mergeCell ref="H703:J704"/>
    <mergeCell ref="L703:L704"/>
    <mergeCell ref="H707:I707"/>
    <mergeCell ref="K707:L708"/>
    <mergeCell ref="A699:C699"/>
    <mergeCell ref="H699:J699"/>
    <mergeCell ref="A700:C700"/>
    <mergeCell ref="H700:J700"/>
    <mergeCell ref="A701:C701"/>
    <mergeCell ref="H701:J701"/>
    <mergeCell ref="H694:I694"/>
    <mergeCell ref="K694:L695"/>
    <mergeCell ref="N694:N695"/>
    <mergeCell ref="C696:I696"/>
    <mergeCell ref="A698:C698"/>
    <mergeCell ref="H698:J698"/>
    <mergeCell ref="L715:L716"/>
    <mergeCell ref="H719:I719"/>
    <mergeCell ref="K719:L720"/>
    <mergeCell ref="N719:N720"/>
    <mergeCell ref="C721:I721"/>
    <mergeCell ref="A723:C723"/>
    <mergeCell ref="H723:J723"/>
    <mergeCell ref="A713:C713"/>
    <mergeCell ref="H713:J713"/>
    <mergeCell ref="A714:C714"/>
    <mergeCell ref="H714:J714"/>
    <mergeCell ref="E715:F715"/>
    <mergeCell ref="H715:J716"/>
    <mergeCell ref="N707:N708"/>
    <mergeCell ref="C709:I709"/>
    <mergeCell ref="A711:C711"/>
    <mergeCell ref="H711:J711"/>
    <mergeCell ref="A712:C712"/>
    <mergeCell ref="H712:J712"/>
    <mergeCell ref="H737:I737"/>
    <mergeCell ref="K737:L738"/>
    <mergeCell ref="N737:N738"/>
    <mergeCell ref="C739:I739"/>
    <mergeCell ref="A741:C741"/>
    <mergeCell ref="H741:J741"/>
    <mergeCell ref="C730:I730"/>
    <mergeCell ref="A732:C732"/>
    <mergeCell ref="H732:J732"/>
    <mergeCell ref="E733:F733"/>
    <mergeCell ref="H733:J734"/>
    <mergeCell ref="L733:L734"/>
    <mergeCell ref="E724:F724"/>
    <mergeCell ref="H724:J725"/>
    <mergeCell ref="L724:L725"/>
    <mergeCell ref="H728:I728"/>
    <mergeCell ref="K728:L729"/>
    <mergeCell ref="N728:N729"/>
    <mergeCell ref="H755:I755"/>
    <mergeCell ref="K755:L756"/>
    <mergeCell ref="N755:N756"/>
    <mergeCell ref="C757:I757"/>
    <mergeCell ref="A759:C759"/>
    <mergeCell ref="H759:J759"/>
    <mergeCell ref="C748:I748"/>
    <mergeCell ref="A750:C750"/>
    <mergeCell ref="H750:J750"/>
    <mergeCell ref="E751:F751"/>
    <mergeCell ref="H751:J752"/>
    <mergeCell ref="L751:L752"/>
    <mergeCell ref="E742:F742"/>
    <mergeCell ref="H742:J743"/>
    <mergeCell ref="L742:L743"/>
    <mergeCell ref="H746:I746"/>
    <mergeCell ref="K746:L747"/>
    <mergeCell ref="N746:N747"/>
    <mergeCell ref="H773:I773"/>
    <mergeCell ref="K773:L774"/>
    <mergeCell ref="N773:N774"/>
    <mergeCell ref="C775:I775"/>
    <mergeCell ref="A777:C777"/>
    <mergeCell ref="H777:J777"/>
    <mergeCell ref="C766:I766"/>
    <mergeCell ref="A768:C768"/>
    <mergeCell ref="H768:J768"/>
    <mergeCell ref="E769:F769"/>
    <mergeCell ref="H769:J770"/>
    <mergeCell ref="L769:L770"/>
    <mergeCell ref="E760:F760"/>
    <mergeCell ref="H760:J761"/>
    <mergeCell ref="L760:L761"/>
    <mergeCell ref="H764:I764"/>
    <mergeCell ref="K764:L765"/>
    <mergeCell ref="N764:N765"/>
    <mergeCell ref="N796:N797"/>
    <mergeCell ref="C787:I787"/>
    <mergeCell ref="A789:C789"/>
    <mergeCell ref="H789:J789"/>
    <mergeCell ref="A790:C790"/>
    <mergeCell ref="H790:J790"/>
    <mergeCell ref="A791:C791"/>
    <mergeCell ref="H791:J791"/>
    <mergeCell ref="E781:F781"/>
    <mergeCell ref="H781:J782"/>
    <mergeCell ref="L781:L782"/>
    <mergeCell ref="H785:I785"/>
    <mergeCell ref="K785:L786"/>
    <mergeCell ref="N785:N786"/>
    <mergeCell ref="A778:C778"/>
    <mergeCell ref="H778:J778"/>
    <mergeCell ref="A779:C779"/>
    <mergeCell ref="H779:J779"/>
    <mergeCell ref="A780:C780"/>
    <mergeCell ref="H780:J780"/>
    <mergeCell ref="A803:C803"/>
    <mergeCell ref="H803:J803"/>
    <mergeCell ref="E804:F804"/>
    <mergeCell ref="H804:J805"/>
    <mergeCell ref="L804:L805"/>
    <mergeCell ref="H808:I808"/>
    <mergeCell ref="K808:L809"/>
    <mergeCell ref="C798:I798"/>
    <mergeCell ref="A800:C800"/>
    <mergeCell ref="H800:J800"/>
    <mergeCell ref="A801:C801"/>
    <mergeCell ref="H801:J801"/>
    <mergeCell ref="A802:C802"/>
    <mergeCell ref="H802:J802"/>
    <mergeCell ref="E792:F792"/>
    <mergeCell ref="H792:J793"/>
    <mergeCell ref="L792:L793"/>
    <mergeCell ref="H796:I796"/>
    <mergeCell ref="K796:L797"/>
    <mergeCell ref="C820:I820"/>
    <mergeCell ref="A822:C822"/>
    <mergeCell ref="H822:J822"/>
    <mergeCell ref="A823:C823"/>
    <mergeCell ref="H823:J823"/>
    <mergeCell ref="E824:F824"/>
    <mergeCell ref="H824:J825"/>
    <mergeCell ref="E814:F814"/>
    <mergeCell ref="H814:J815"/>
    <mergeCell ref="L814:L815"/>
    <mergeCell ref="H818:I818"/>
    <mergeCell ref="K818:L819"/>
    <mergeCell ref="N818:N819"/>
    <mergeCell ref="N808:N809"/>
    <mergeCell ref="C810:I810"/>
    <mergeCell ref="A812:C812"/>
    <mergeCell ref="H812:J812"/>
    <mergeCell ref="A813:C813"/>
    <mergeCell ref="H813:J813"/>
    <mergeCell ref="N838:N839"/>
    <mergeCell ref="C840:I840"/>
    <mergeCell ref="A842:C842"/>
    <mergeCell ref="H842:J842"/>
    <mergeCell ref="E843:F843"/>
    <mergeCell ref="H843:J844"/>
    <mergeCell ref="L843:L844"/>
    <mergeCell ref="A833:C833"/>
    <mergeCell ref="H833:J833"/>
    <mergeCell ref="E834:F834"/>
    <mergeCell ref="H834:J835"/>
    <mergeCell ref="L834:L835"/>
    <mergeCell ref="H838:I838"/>
    <mergeCell ref="K838:L839"/>
    <mergeCell ref="L824:L825"/>
    <mergeCell ref="H828:I828"/>
    <mergeCell ref="K828:L829"/>
    <mergeCell ref="N828:N829"/>
    <mergeCell ref="C830:I830"/>
    <mergeCell ref="A832:C832"/>
    <mergeCell ref="H832:J832"/>
    <mergeCell ref="C858:I858"/>
    <mergeCell ref="A860:C860"/>
    <mergeCell ref="H860:J860"/>
    <mergeCell ref="E861:F861"/>
    <mergeCell ref="H861:J862"/>
    <mergeCell ref="L861:L862"/>
    <mergeCell ref="E852:F852"/>
    <mergeCell ref="H852:J853"/>
    <mergeCell ref="L852:L853"/>
    <mergeCell ref="H856:I856"/>
    <mergeCell ref="K856:L857"/>
    <mergeCell ref="N856:N857"/>
    <mergeCell ref="H847:I847"/>
    <mergeCell ref="K847:L848"/>
    <mergeCell ref="N847:N848"/>
    <mergeCell ref="C849:I849"/>
    <mergeCell ref="A851:C851"/>
    <mergeCell ref="H851:J851"/>
    <mergeCell ref="N875:N876"/>
    <mergeCell ref="C877:I877"/>
    <mergeCell ref="A879:C879"/>
    <mergeCell ref="H879:J879"/>
    <mergeCell ref="A880:C880"/>
    <mergeCell ref="H880:J880"/>
    <mergeCell ref="A870:C870"/>
    <mergeCell ref="H870:J870"/>
    <mergeCell ref="E871:F871"/>
    <mergeCell ref="H871:J872"/>
    <mergeCell ref="L871:L872"/>
    <mergeCell ref="H875:I875"/>
    <mergeCell ref="K875:L876"/>
    <mergeCell ref="H865:I865"/>
    <mergeCell ref="K865:L866"/>
    <mergeCell ref="N865:N866"/>
    <mergeCell ref="C867:I867"/>
    <mergeCell ref="A869:C869"/>
    <mergeCell ref="H869:J869"/>
    <mergeCell ref="L891:L892"/>
    <mergeCell ref="H895:I895"/>
    <mergeCell ref="K895:L896"/>
    <mergeCell ref="N895:N896"/>
    <mergeCell ref="C897:I897"/>
    <mergeCell ref="A899:C899"/>
    <mergeCell ref="H899:J899"/>
    <mergeCell ref="C887:I887"/>
    <mergeCell ref="A889:C889"/>
    <mergeCell ref="H889:J889"/>
    <mergeCell ref="A890:C890"/>
    <mergeCell ref="H890:J890"/>
    <mergeCell ref="E891:F891"/>
    <mergeCell ref="H891:J892"/>
    <mergeCell ref="E881:F881"/>
    <mergeCell ref="H881:J882"/>
    <mergeCell ref="L881:L882"/>
    <mergeCell ref="H885:I885"/>
    <mergeCell ref="K885:L886"/>
    <mergeCell ref="N885:N886"/>
    <mergeCell ref="E911:F911"/>
    <mergeCell ref="H911:J912"/>
    <mergeCell ref="L911:L912"/>
    <mergeCell ref="H915:I915"/>
    <mergeCell ref="K915:L916"/>
    <mergeCell ref="N915:N916"/>
    <mergeCell ref="N905:N906"/>
    <mergeCell ref="C907:I907"/>
    <mergeCell ref="A909:C909"/>
    <mergeCell ref="H909:J909"/>
    <mergeCell ref="A910:C910"/>
    <mergeCell ref="H910:J910"/>
    <mergeCell ref="A900:C900"/>
    <mergeCell ref="H900:J900"/>
    <mergeCell ref="E901:F901"/>
    <mergeCell ref="H901:J902"/>
    <mergeCell ref="L901:L902"/>
    <mergeCell ref="H905:I905"/>
    <mergeCell ref="K905:L906"/>
    <mergeCell ref="E929:F929"/>
    <mergeCell ref="H929:J930"/>
    <mergeCell ref="L929:L930"/>
    <mergeCell ref="H933:I933"/>
    <mergeCell ref="K933:L934"/>
    <mergeCell ref="N933:N934"/>
    <mergeCell ref="H924:I924"/>
    <mergeCell ref="K924:L925"/>
    <mergeCell ref="N924:N925"/>
    <mergeCell ref="C926:I926"/>
    <mergeCell ref="A928:C928"/>
    <mergeCell ref="H928:J928"/>
    <mergeCell ref="C917:I917"/>
    <mergeCell ref="A919:C919"/>
    <mergeCell ref="H919:J919"/>
    <mergeCell ref="E920:F920"/>
    <mergeCell ref="H920:J921"/>
    <mergeCell ref="L920:L921"/>
    <mergeCell ref="A948:C948"/>
    <mergeCell ref="H948:J948"/>
    <mergeCell ref="A949:C949"/>
    <mergeCell ref="H949:J949"/>
    <mergeCell ref="E950:F950"/>
    <mergeCell ref="H950:J951"/>
    <mergeCell ref="L939:L940"/>
    <mergeCell ref="H943:I943"/>
    <mergeCell ref="K943:L944"/>
    <mergeCell ref="N943:N944"/>
    <mergeCell ref="C945:I945"/>
    <mergeCell ref="A947:C947"/>
    <mergeCell ref="H947:J947"/>
    <mergeCell ref="C935:I935"/>
    <mergeCell ref="A937:C937"/>
    <mergeCell ref="H937:J937"/>
    <mergeCell ref="A938:C938"/>
    <mergeCell ref="H938:J938"/>
    <mergeCell ref="E939:F939"/>
    <mergeCell ref="H939:J940"/>
    <mergeCell ref="N964:N965"/>
    <mergeCell ref="C966:I966"/>
    <mergeCell ref="A968:C968"/>
    <mergeCell ref="H968:J968"/>
    <mergeCell ref="A969:C969"/>
    <mergeCell ref="H969:J969"/>
    <mergeCell ref="A959:C959"/>
    <mergeCell ref="H959:J959"/>
    <mergeCell ref="E960:F960"/>
    <mergeCell ref="H960:J961"/>
    <mergeCell ref="L960:L961"/>
    <mergeCell ref="H964:I964"/>
    <mergeCell ref="K964:L965"/>
    <mergeCell ref="L950:L951"/>
    <mergeCell ref="H954:I954"/>
    <mergeCell ref="K954:L955"/>
    <mergeCell ref="N954:N955"/>
    <mergeCell ref="C956:I956"/>
    <mergeCell ref="A958:C958"/>
    <mergeCell ref="H958:J958"/>
    <mergeCell ref="E981:F981"/>
    <mergeCell ref="H981:J982"/>
    <mergeCell ref="L981:L982"/>
    <mergeCell ref="H985:I985"/>
    <mergeCell ref="K985:L986"/>
    <mergeCell ref="N985:N986"/>
    <mergeCell ref="N975:N976"/>
    <mergeCell ref="C977:I977"/>
    <mergeCell ref="A979:C979"/>
    <mergeCell ref="H979:J979"/>
    <mergeCell ref="A980:C980"/>
    <mergeCell ref="H980:J980"/>
    <mergeCell ref="A970:C970"/>
    <mergeCell ref="H970:J970"/>
    <mergeCell ref="E971:F971"/>
    <mergeCell ref="H971:J972"/>
    <mergeCell ref="L971:L972"/>
    <mergeCell ref="H975:I975"/>
    <mergeCell ref="K975:L976"/>
    <mergeCell ref="A1000:C1000"/>
    <mergeCell ref="H1000:J1000"/>
    <mergeCell ref="E1001:F1001"/>
    <mergeCell ref="H1001:J1002"/>
    <mergeCell ref="L1001:L1002"/>
    <mergeCell ref="H1005:I1005"/>
    <mergeCell ref="K1005:L1006"/>
    <mergeCell ref="L991:L992"/>
    <mergeCell ref="H995:I995"/>
    <mergeCell ref="K995:L996"/>
    <mergeCell ref="N995:N996"/>
    <mergeCell ref="C997:I997"/>
    <mergeCell ref="A999:C999"/>
    <mergeCell ref="H999:J999"/>
    <mergeCell ref="C987:I987"/>
    <mergeCell ref="A989:C989"/>
    <mergeCell ref="H989:J989"/>
    <mergeCell ref="A990:C990"/>
    <mergeCell ref="H990:J990"/>
    <mergeCell ref="E991:F991"/>
    <mergeCell ref="H991:J992"/>
    <mergeCell ref="E1019:F1019"/>
    <mergeCell ref="H1019:J1020"/>
    <mergeCell ref="L1019:L1020"/>
    <mergeCell ref="H1023:I1023"/>
    <mergeCell ref="K1023:L1024"/>
    <mergeCell ref="N1023:N1024"/>
    <mergeCell ref="H1014:I1014"/>
    <mergeCell ref="K1014:L1015"/>
    <mergeCell ref="N1014:N1015"/>
    <mergeCell ref="C1016:I1016"/>
    <mergeCell ref="A1018:C1018"/>
    <mergeCell ref="H1018:J1018"/>
    <mergeCell ref="N1005:N1006"/>
    <mergeCell ref="C1007:I1007"/>
    <mergeCell ref="A1009:C1009"/>
    <mergeCell ref="H1009:J1009"/>
    <mergeCell ref="E1010:F1010"/>
    <mergeCell ref="H1010:J1011"/>
    <mergeCell ref="L1010:L1011"/>
    <mergeCell ref="C1036:I1036"/>
    <mergeCell ref="A1038:C1038"/>
    <mergeCell ref="H1038:J1038"/>
    <mergeCell ref="E1039:F1039"/>
    <mergeCell ref="H1039:J1040"/>
    <mergeCell ref="L1039:L1040"/>
    <mergeCell ref="E1030:F1030"/>
    <mergeCell ref="H1030:J1031"/>
    <mergeCell ref="L1030:L1031"/>
    <mergeCell ref="H1034:I1034"/>
    <mergeCell ref="K1034:L1035"/>
    <mergeCell ref="N1034:N1035"/>
    <mergeCell ref="C1025:I1025"/>
    <mergeCell ref="A1027:C1027"/>
    <mergeCell ref="H1027:J1027"/>
    <mergeCell ref="A1028:C1028"/>
    <mergeCell ref="H1028:J1028"/>
    <mergeCell ref="A1029:C1029"/>
    <mergeCell ref="H1029:J1029"/>
    <mergeCell ref="C1054:I1054"/>
    <mergeCell ref="A1056:C1056"/>
    <mergeCell ref="H1056:J1056"/>
    <mergeCell ref="E1057:F1057"/>
    <mergeCell ref="H1057:J1058"/>
    <mergeCell ref="L1057:L1058"/>
    <mergeCell ref="E1048:F1048"/>
    <mergeCell ref="H1048:J1049"/>
    <mergeCell ref="L1048:L1049"/>
    <mergeCell ref="H1052:I1052"/>
    <mergeCell ref="K1052:L1053"/>
    <mergeCell ref="N1052:N1053"/>
    <mergeCell ref="H1043:I1043"/>
    <mergeCell ref="K1043:L1044"/>
    <mergeCell ref="N1043:N1044"/>
    <mergeCell ref="C1045:I1045"/>
    <mergeCell ref="A1047:C1047"/>
    <mergeCell ref="H1047:J1047"/>
    <mergeCell ref="C1072:I1072"/>
    <mergeCell ref="A1074:C1074"/>
    <mergeCell ref="H1074:J1074"/>
    <mergeCell ref="E1075:F1075"/>
    <mergeCell ref="H1075:J1076"/>
    <mergeCell ref="L1075:L1076"/>
    <mergeCell ref="E1066:F1066"/>
    <mergeCell ref="H1066:J1067"/>
    <mergeCell ref="L1066:L1067"/>
    <mergeCell ref="H1070:I1070"/>
    <mergeCell ref="K1070:L1071"/>
    <mergeCell ref="N1070:N1071"/>
    <mergeCell ref="H1061:I1061"/>
    <mergeCell ref="K1061:L1062"/>
    <mergeCell ref="N1061:N1062"/>
    <mergeCell ref="C1063:I1063"/>
    <mergeCell ref="A1065:C1065"/>
    <mergeCell ref="H1065:J1065"/>
    <mergeCell ref="C1090:I1090"/>
    <mergeCell ref="A1092:C1092"/>
    <mergeCell ref="H1092:J1092"/>
    <mergeCell ref="E1093:F1093"/>
    <mergeCell ref="H1093:J1094"/>
    <mergeCell ref="L1093:L1094"/>
    <mergeCell ref="E1084:F1084"/>
    <mergeCell ref="H1084:J1085"/>
    <mergeCell ref="L1084:L1085"/>
    <mergeCell ref="H1088:I1088"/>
    <mergeCell ref="K1088:L1089"/>
    <mergeCell ref="N1088:N1089"/>
    <mergeCell ref="H1079:I1079"/>
    <mergeCell ref="K1079:L1080"/>
    <mergeCell ref="N1079:N1080"/>
    <mergeCell ref="C1081:I1081"/>
    <mergeCell ref="A1083:C1083"/>
    <mergeCell ref="H1083:J1083"/>
    <mergeCell ref="C1108:I1108"/>
    <mergeCell ref="A1110:C1110"/>
    <mergeCell ref="H1110:J1110"/>
    <mergeCell ref="E1111:F1111"/>
    <mergeCell ref="H1111:J1112"/>
    <mergeCell ref="L1111:L1112"/>
    <mergeCell ref="E1102:F1102"/>
    <mergeCell ref="H1102:J1103"/>
    <mergeCell ref="L1102:L1103"/>
    <mergeCell ref="H1106:I1106"/>
    <mergeCell ref="K1106:L1107"/>
    <mergeCell ref="N1106:N1107"/>
    <mergeCell ref="H1097:I1097"/>
    <mergeCell ref="K1097:L1098"/>
    <mergeCell ref="N1097:N1098"/>
    <mergeCell ref="C1099:I1099"/>
    <mergeCell ref="A1101:C1101"/>
    <mergeCell ref="H1101:J1101"/>
    <mergeCell ref="C1126:I1126"/>
    <mergeCell ref="A1128:C1128"/>
    <mergeCell ref="H1128:J1128"/>
    <mergeCell ref="E1129:F1129"/>
    <mergeCell ref="H1129:J1130"/>
    <mergeCell ref="L1129:L1130"/>
    <mergeCell ref="E1120:F1120"/>
    <mergeCell ref="H1120:J1121"/>
    <mergeCell ref="L1120:L1121"/>
    <mergeCell ref="H1124:I1124"/>
    <mergeCell ref="K1124:L1125"/>
    <mergeCell ref="N1124:N1125"/>
    <mergeCell ref="H1115:I1115"/>
    <mergeCell ref="K1115:L1116"/>
    <mergeCell ref="N1115:N1116"/>
    <mergeCell ref="C1117:I1117"/>
    <mergeCell ref="A1119:C1119"/>
    <mergeCell ref="H1119:J1119"/>
    <mergeCell ref="N1143:N1144"/>
    <mergeCell ref="C1145:I1145"/>
    <mergeCell ref="A1147:C1147"/>
    <mergeCell ref="H1147:J1147"/>
    <mergeCell ref="A1148:C1148"/>
    <mergeCell ref="H1148:J1148"/>
    <mergeCell ref="A1138:C1138"/>
    <mergeCell ref="H1138:J1138"/>
    <mergeCell ref="E1139:F1139"/>
    <mergeCell ref="H1139:J1140"/>
    <mergeCell ref="L1139:L1140"/>
    <mergeCell ref="H1143:I1143"/>
    <mergeCell ref="K1143:L1144"/>
    <mergeCell ref="H1133:I1133"/>
    <mergeCell ref="K1133:L1134"/>
    <mergeCell ref="N1133:N1134"/>
    <mergeCell ref="C1135:I1135"/>
    <mergeCell ref="A1137:C1137"/>
    <mergeCell ref="H1137:J1137"/>
    <mergeCell ref="H1162:I1162"/>
    <mergeCell ref="K1162:L1163"/>
    <mergeCell ref="N1162:N1163"/>
    <mergeCell ref="C1164:I1164"/>
    <mergeCell ref="A1166:C1166"/>
    <mergeCell ref="H1166:J1166"/>
    <mergeCell ref="C1155:I1155"/>
    <mergeCell ref="A1157:C1157"/>
    <mergeCell ref="H1157:J1157"/>
    <mergeCell ref="E1158:F1158"/>
    <mergeCell ref="H1158:J1159"/>
    <mergeCell ref="L1158:L1159"/>
    <mergeCell ref="E1149:F1149"/>
    <mergeCell ref="H1149:J1150"/>
    <mergeCell ref="L1149:L1150"/>
    <mergeCell ref="H1153:I1153"/>
    <mergeCell ref="K1153:L1154"/>
    <mergeCell ref="N1153:N1154"/>
    <mergeCell ref="H1180:I1180"/>
    <mergeCell ref="K1180:L1181"/>
    <mergeCell ref="N1180:N1181"/>
    <mergeCell ref="C1182:I1182"/>
    <mergeCell ref="A1184:C1184"/>
    <mergeCell ref="H1184:J1184"/>
    <mergeCell ref="C1173:I1173"/>
    <mergeCell ref="A1175:C1175"/>
    <mergeCell ref="H1175:J1175"/>
    <mergeCell ref="E1176:F1176"/>
    <mergeCell ref="H1176:J1177"/>
    <mergeCell ref="L1176:L1177"/>
    <mergeCell ref="E1167:F1167"/>
    <mergeCell ref="H1167:J1168"/>
    <mergeCell ref="L1167:L1168"/>
    <mergeCell ref="H1171:I1171"/>
    <mergeCell ref="K1171:L1172"/>
    <mergeCell ref="N1171:N1172"/>
    <mergeCell ref="H1198:I1198"/>
    <mergeCell ref="K1198:L1199"/>
    <mergeCell ref="N1198:N1199"/>
    <mergeCell ref="C1200:I1200"/>
    <mergeCell ref="A1202:C1202"/>
    <mergeCell ref="H1202:J1202"/>
    <mergeCell ref="C1191:I1191"/>
    <mergeCell ref="A1193:C1193"/>
    <mergeCell ref="H1193:J1193"/>
    <mergeCell ref="E1194:F1194"/>
    <mergeCell ref="H1194:J1195"/>
    <mergeCell ref="L1194:L1195"/>
    <mergeCell ref="E1185:F1185"/>
    <mergeCell ref="H1185:J1186"/>
    <mergeCell ref="L1185:L1186"/>
    <mergeCell ref="H1189:I1189"/>
    <mergeCell ref="K1189:L1190"/>
    <mergeCell ref="N1189:N1190"/>
    <mergeCell ref="H1216:I1216"/>
    <mergeCell ref="K1216:L1217"/>
    <mergeCell ref="N1216:N1217"/>
    <mergeCell ref="C1218:I1218"/>
    <mergeCell ref="A1220:C1220"/>
    <mergeCell ref="H1220:J1220"/>
    <mergeCell ref="C1209:I1209"/>
    <mergeCell ref="A1211:C1211"/>
    <mergeCell ref="H1211:J1211"/>
    <mergeCell ref="E1212:F1212"/>
    <mergeCell ref="H1212:J1213"/>
    <mergeCell ref="L1212:L1213"/>
    <mergeCell ref="E1203:F1203"/>
    <mergeCell ref="H1203:J1204"/>
    <mergeCell ref="L1203:L1204"/>
    <mergeCell ref="H1207:I1207"/>
    <mergeCell ref="K1207:L1208"/>
    <mergeCell ref="N1207:N1208"/>
    <mergeCell ref="N1243:N1244"/>
    <mergeCell ref="H1234:I1234"/>
    <mergeCell ref="K1234:L1235"/>
    <mergeCell ref="N1234:N1235"/>
    <mergeCell ref="C1236:I1236"/>
    <mergeCell ref="A1238:C1238"/>
    <mergeCell ref="H1238:J1238"/>
    <mergeCell ref="C1227:I1227"/>
    <mergeCell ref="A1229:C1229"/>
    <mergeCell ref="H1229:J1229"/>
    <mergeCell ref="E1230:F1230"/>
    <mergeCell ref="H1230:J1231"/>
    <mergeCell ref="L1230:L1231"/>
    <mergeCell ref="E1221:F1221"/>
    <mergeCell ref="H1221:J1222"/>
    <mergeCell ref="L1221:L1222"/>
    <mergeCell ref="H1225:I1225"/>
    <mergeCell ref="K1225:L1226"/>
    <mergeCell ref="N1225:N1226"/>
    <mergeCell ref="A1250:C1250"/>
    <mergeCell ref="H1250:J1250"/>
    <mergeCell ref="E1251:F1251"/>
    <mergeCell ref="H1251:J1252"/>
    <mergeCell ref="L1251:L1252"/>
    <mergeCell ref="H1255:I1255"/>
    <mergeCell ref="K1255:L1256"/>
    <mergeCell ref="C1245:I1245"/>
    <mergeCell ref="A1247:C1247"/>
    <mergeCell ref="H1247:J1247"/>
    <mergeCell ref="A1248:C1248"/>
    <mergeCell ref="H1248:J1248"/>
    <mergeCell ref="A1249:C1249"/>
    <mergeCell ref="H1249:J1249"/>
    <mergeCell ref="E1239:F1239"/>
    <mergeCell ref="H1239:J1240"/>
    <mergeCell ref="L1239:L1240"/>
    <mergeCell ref="H1243:I1243"/>
    <mergeCell ref="K1243:L1244"/>
    <mergeCell ref="C1267:I1267"/>
    <mergeCell ref="A1269:C1269"/>
    <mergeCell ref="H1269:J1269"/>
    <mergeCell ref="A1270:C1270"/>
    <mergeCell ref="H1270:J1270"/>
    <mergeCell ref="A1271:C1271"/>
    <mergeCell ref="H1271:J1271"/>
    <mergeCell ref="E1261:F1261"/>
    <mergeCell ref="H1261:J1262"/>
    <mergeCell ref="L1261:L1262"/>
    <mergeCell ref="H1265:I1265"/>
    <mergeCell ref="K1265:L1266"/>
    <mergeCell ref="N1265:N1266"/>
    <mergeCell ref="N1255:N1256"/>
    <mergeCell ref="C1257:I1257"/>
    <mergeCell ref="A1259:C1259"/>
    <mergeCell ref="H1259:J1259"/>
    <mergeCell ref="A1260:C1260"/>
    <mergeCell ref="H1260:J1260"/>
    <mergeCell ref="L1282:L1283"/>
    <mergeCell ref="H1286:I1286"/>
    <mergeCell ref="K1286:L1287"/>
    <mergeCell ref="N1286:N1287"/>
    <mergeCell ref="C1288:I1288"/>
    <mergeCell ref="A1290:C1290"/>
    <mergeCell ref="H1290:J1290"/>
    <mergeCell ref="C1278:I1278"/>
    <mergeCell ref="A1280:C1280"/>
    <mergeCell ref="H1280:J1280"/>
    <mergeCell ref="A1281:C1281"/>
    <mergeCell ref="H1281:J1281"/>
    <mergeCell ref="E1282:F1282"/>
    <mergeCell ref="H1282:J1283"/>
    <mergeCell ref="E1272:F1272"/>
    <mergeCell ref="H1272:J1273"/>
    <mergeCell ref="L1272:L1273"/>
    <mergeCell ref="H1276:I1276"/>
    <mergeCell ref="K1276:L1277"/>
    <mergeCell ref="N1276:N1277"/>
    <mergeCell ref="H1305:I1305"/>
    <mergeCell ref="K1305:L1306"/>
    <mergeCell ref="N1305:N1306"/>
    <mergeCell ref="C1307:I1307"/>
    <mergeCell ref="A1309:C1309"/>
    <mergeCell ref="H1309:J1309"/>
    <mergeCell ref="N1296:N1297"/>
    <mergeCell ref="C1298:I1298"/>
    <mergeCell ref="A1300:C1300"/>
    <mergeCell ref="H1300:J1300"/>
    <mergeCell ref="E1301:F1301"/>
    <mergeCell ref="H1301:J1302"/>
    <mergeCell ref="L1301:L1302"/>
    <mergeCell ref="A1291:C1291"/>
    <mergeCell ref="H1291:J1291"/>
    <mergeCell ref="E1292:F1292"/>
    <mergeCell ref="H1292:J1293"/>
    <mergeCell ref="L1292:L1293"/>
    <mergeCell ref="H1296:I1296"/>
    <mergeCell ref="K1296:L1297"/>
    <mergeCell ref="E1321:F1321"/>
    <mergeCell ref="H1321:J1322"/>
    <mergeCell ref="L1321:L1322"/>
    <mergeCell ref="H1325:I1325"/>
    <mergeCell ref="K1325:L1326"/>
    <mergeCell ref="N1325:N1326"/>
    <mergeCell ref="L1312:L1313"/>
    <mergeCell ref="H1316:I1316"/>
    <mergeCell ref="K1316:L1317"/>
    <mergeCell ref="N1316:N1317"/>
    <mergeCell ref="C1318:I1318"/>
    <mergeCell ref="A1320:C1320"/>
    <mergeCell ref="H1320:J1320"/>
    <mergeCell ref="A1310:C1310"/>
    <mergeCell ref="H1310:J1310"/>
    <mergeCell ref="A1311:C1311"/>
    <mergeCell ref="H1311:J1311"/>
    <mergeCell ref="E1312:F1312"/>
    <mergeCell ref="H1312:J1313"/>
    <mergeCell ref="E1339:F1339"/>
    <mergeCell ref="H1339:J1340"/>
    <mergeCell ref="L1339:L1340"/>
    <mergeCell ref="H1343:I1343"/>
    <mergeCell ref="K1343:L1344"/>
    <mergeCell ref="N1343:N1344"/>
    <mergeCell ref="H1334:I1334"/>
    <mergeCell ref="K1334:L1335"/>
    <mergeCell ref="N1334:N1335"/>
    <mergeCell ref="C1336:I1336"/>
    <mergeCell ref="A1338:C1338"/>
    <mergeCell ref="H1338:J1338"/>
    <mergeCell ref="C1327:I1327"/>
    <mergeCell ref="A1329:C1329"/>
    <mergeCell ref="H1329:J1329"/>
    <mergeCell ref="E1330:F1330"/>
    <mergeCell ref="H1330:J1331"/>
    <mergeCell ref="L1330:L1331"/>
    <mergeCell ref="E1357:F1357"/>
    <mergeCell ref="H1357:J1358"/>
    <mergeCell ref="L1357:L1358"/>
    <mergeCell ref="H1361:I1361"/>
    <mergeCell ref="K1361:L1362"/>
    <mergeCell ref="N1361:N1362"/>
    <mergeCell ref="H1352:I1352"/>
    <mergeCell ref="K1352:L1353"/>
    <mergeCell ref="N1352:N1353"/>
    <mergeCell ref="C1354:I1354"/>
    <mergeCell ref="A1356:C1356"/>
    <mergeCell ref="H1356:J1356"/>
    <mergeCell ref="C1345:I1345"/>
    <mergeCell ref="A1347:C1347"/>
    <mergeCell ref="H1347:J1347"/>
    <mergeCell ref="E1348:F1348"/>
    <mergeCell ref="H1348:J1349"/>
    <mergeCell ref="L1348:L1349"/>
    <mergeCell ref="E1375:F1375"/>
    <mergeCell ref="H1375:J1376"/>
    <mergeCell ref="L1375:L1376"/>
    <mergeCell ref="H1379:I1379"/>
    <mergeCell ref="K1379:L1380"/>
    <mergeCell ref="N1379:N1380"/>
    <mergeCell ref="H1370:I1370"/>
    <mergeCell ref="K1370:L1371"/>
    <mergeCell ref="N1370:N1371"/>
    <mergeCell ref="C1372:I1372"/>
    <mergeCell ref="A1374:C1374"/>
    <mergeCell ref="H1374:J1374"/>
    <mergeCell ref="C1363:I1363"/>
    <mergeCell ref="A1365:C1365"/>
    <mergeCell ref="H1365:J1365"/>
    <mergeCell ref="E1366:F1366"/>
    <mergeCell ref="H1366:J1367"/>
    <mergeCell ref="L1366:L1367"/>
    <mergeCell ref="E1393:F1393"/>
    <mergeCell ref="H1393:J1394"/>
    <mergeCell ref="L1393:L1394"/>
    <mergeCell ref="H1397:I1397"/>
    <mergeCell ref="K1397:L1398"/>
    <mergeCell ref="N1397:N1398"/>
    <mergeCell ref="H1388:I1388"/>
    <mergeCell ref="K1388:L1389"/>
    <mergeCell ref="N1388:N1389"/>
    <mergeCell ref="C1390:I1390"/>
    <mergeCell ref="A1392:C1392"/>
    <mergeCell ref="H1392:J1392"/>
    <mergeCell ref="C1381:I1381"/>
    <mergeCell ref="A1383:C1383"/>
    <mergeCell ref="H1383:J1383"/>
    <mergeCell ref="E1384:F1384"/>
    <mergeCell ref="H1384:J1385"/>
    <mergeCell ref="L1384:L1385"/>
    <mergeCell ref="E1411:F1411"/>
    <mergeCell ref="H1411:J1412"/>
    <mergeCell ref="L1411:L1412"/>
    <mergeCell ref="H1415:I1415"/>
    <mergeCell ref="K1415:L1416"/>
    <mergeCell ref="N1415:N1416"/>
    <mergeCell ref="H1406:I1406"/>
    <mergeCell ref="K1406:L1407"/>
    <mergeCell ref="N1406:N1407"/>
    <mergeCell ref="C1408:I1408"/>
    <mergeCell ref="A1410:C1410"/>
    <mergeCell ref="H1410:J1410"/>
    <mergeCell ref="C1399:I1399"/>
    <mergeCell ref="A1401:C1401"/>
    <mergeCell ref="H1401:J1401"/>
    <mergeCell ref="E1402:F1402"/>
    <mergeCell ref="H1402:J1403"/>
    <mergeCell ref="L1402:L1403"/>
    <mergeCell ref="E1429:F1429"/>
    <mergeCell ref="H1429:J1430"/>
    <mergeCell ref="L1429:L1430"/>
    <mergeCell ref="H1433:I1433"/>
    <mergeCell ref="K1433:L1434"/>
    <mergeCell ref="N1433:N1434"/>
    <mergeCell ref="H1424:I1424"/>
    <mergeCell ref="K1424:L1425"/>
    <mergeCell ref="N1424:N1425"/>
    <mergeCell ref="C1426:I1426"/>
    <mergeCell ref="A1428:C1428"/>
    <mergeCell ref="H1428:J1428"/>
    <mergeCell ref="C1417:I1417"/>
    <mergeCell ref="A1419:C1419"/>
    <mergeCell ref="H1419:J1419"/>
    <mergeCell ref="E1420:F1420"/>
    <mergeCell ref="H1420:J1421"/>
    <mergeCell ref="L1420:L1421"/>
    <mergeCell ref="E1447:F1447"/>
    <mergeCell ref="H1447:J1448"/>
    <mergeCell ref="L1447:L1448"/>
    <mergeCell ref="H1451:I1451"/>
    <mergeCell ref="K1451:L1452"/>
    <mergeCell ref="N1451:N1452"/>
    <mergeCell ref="H1442:I1442"/>
    <mergeCell ref="K1442:L1443"/>
    <mergeCell ref="N1442:N1443"/>
    <mergeCell ref="C1444:I1444"/>
    <mergeCell ref="A1446:C1446"/>
    <mergeCell ref="H1446:J1446"/>
    <mergeCell ref="C1435:I1435"/>
    <mergeCell ref="A1437:C1437"/>
    <mergeCell ref="H1437:J1437"/>
    <mergeCell ref="E1438:F1438"/>
    <mergeCell ref="H1438:J1439"/>
    <mergeCell ref="L1438:L1439"/>
    <mergeCell ref="A1466:C1466"/>
    <mergeCell ref="H1466:J1466"/>
    <mergeCell ref="E1467:F1467"/>
    <mergeCell ref="H1467:J1468"/>
    <mergeCell ref="L1467:L1468"/>
    <mergeCell ref="H1471:I1471"/>
    <mergeCell ref="K1471:L1472"/>
    <mergeCell ref="L1457:L1458"/>
    <mergeCell ref="H1461:I1461"/>
    <mergeCell ref="K1461:L1462"/>
    <mergeCell ref="N1461:N1462"/>
    <mergeCell ref="C1463:I1463"/>
    <mergeCell ref="A1465:C1465"/>
    <mergeCell ref="H1465:J1465"/>
    <mergeCell ref="C1453:I1453"/>
    <mergeCell ref="A1455:C1455"/>
    <mergeCell ref="H1455:J1455"/>
    <mergeCell ref="A1456:C1456"/>
    <mergeCell ref="H1456:J1456"/>
    <mergeCell ref="E1457:F1457"/>
    <mergeCell ref="H1457:J1458"/>
    <mergeCell ref="C1483:I1483"/>
    <mergeCell ref="A1485:C1485"/>
    <mergeCell ref="H1485:J1485"/>
    <mergeCell ref="E1486:F1486"/>
    <mergeCell ref="H1486:J1487"/>
    <mergeCell ref="L1486:L1487"/>
    <mergeCell ref="E1477:F1477"/>
    <mergeCell ref="H1477:J1478"/>
    <mergeCell ref="L1477:L1478"/>
    <mergeCell ref="H1481:I1481"/>
    <mergeCell ref="K1481:L1482"/>
    <mergeCell ref="N1481:N1482"/>
    <mergeCell ref="N1471:N1472"/>
    <mergeCell ref="C1473:I1473"/>
    <mergeCell ref="A1475:C1475"/>
    <mergeCell ref="H1475:J1475"/>
    <mergeCell ref="A1476:C1476"/>
    <mergeCell ref="H1476:J1476"/>
    <mergeCell ref="C1501:I1501"/>
    <mergeCell ref="A1503:C1503"/>
    <mergeCell ref="H1503:J1503"/>
    <mergeCell ref="E1504:F1504"/>
    <mergeCell ref="H1504:J1505"/>
    <mergeCell ref="L1504:L1505"/>
    <mergeCell ref="E1495:F1495"/>
    <mergeCell ref="H1495:J1496"/>
    <mergeCell ref="L1495:L1496"/>
    <mergeCell ref="H1499:I1499"/>
    <mergeCell ref="K1499:L1500"/>
    <mergeCell ref="N1499:N1500"/>
    <mergeCell ref="H1490:I1490"/>
    <mergeCell ref="K1490:L1491"/>
    <mergeCell ref="N1490:N1491"/>
    <mergeCell ref="C1492:I1492"/>
    <mergeCell ref="A1494:C1494"/>
    <mergeCell ref="H1494:J1494"/>
    <mergeCell ref="N1518:N1519"/>
    <mergeCell ref="C1520:I1520"/>
    <mergeCell ref="A1522:C1522"/>
    <mergeCell ref="H1522:J1522"/>
    <mergeCell ref="E1523:F1523"/>
    <mergeCell ref="H1523:J1524"/>
    <mergeCell ref="L1523:L1524"/>
    <mergeCell ref="A1513:C1513"/>
    <mergeCell ref="H1513:J1513"/>
    <mergeCell ref="E1514:F1514"/>
    <mergeCell ref="H1514:J1515"/>
    <mergeCell ref="L1514:L1515"/>
    <mergeCell ref="H1518:I1518"/>
    <mergeCell ref="K1518:L1519"/>
    <mergeCell ref="H1508:I1508"/>
    <mergeCell ref="K1508:L1509"/>
    <mergeCell ref="N1508:N1509"/>
    <mergeCell ref="C1510:I1510"/>
    <mergeCell ref="A1512:C1512"/>
    <mergeCell ref="H1512:J1512"/>
    <mergeCell ref="N1537:N1538"/>
    <mergeCell ref="C1539:I1539"/>
    <mergeCell ref="A1541:C1541"/>
    <mergeCell ref="H1541:J1541"/>
    <mergeCell ref="A1542:C1542"/>
    <mergeCell ref="H1542:J1542"/>
    <mergeCell ref="A1532:C1532"/>
    <mergeCell ref="H1532:J1532"/>
    <mergeCell ref="E1533:F1533"/>
    <mergeCell ref="H1533:J1534"/>
    <mergeCell ref="L1533:L1534"/>
    <mergeCell ref="H1537:I1537"/>
    <mergeCell ref="K1537:L1538"/>
    <mergeCell ref="H1527:I1527"/>
    <mergeCell ref="K1527:L1528"/>
    <mergeCell ref="N1527:N1528"/>
    <mergeCell ref="C1529:I1529"/>
    <mergeCell ref="A1531:C1531"/>
    <mergeCell ref="H1531:J1531"/>
    <mergeCell ref="L1553:L1554"/>
    <mergeCell ref="H1557:I1557"/>
    <mergeCell ref="K1557:L1558"/>
    <mergeCell ref="N1557:N1558"/>
    <mergeCell ref="C1559:I1559"/>
    <mergeCell ref="A1561:C1561"/>
    <mergeCell ref="H1561:J1561"/>
    <mergeCell ref="C1549:I1549"/>
    <mergeCell ref="A1551:C1551"/>
    <mergeCell ref="H1551:J1551"/>
    <mergeCell ref="A1552:C1552"/>
    <mergeCell ref="H1552:J1552"/>
    <mergeCell ref="E1553:F1553"/>
    <mergeCell ref="H1553:J1554"/>
    <mergeCell ref="E1543:F1543"/>
    <mergeCell ref="H1543:J1544"/>
    <mergeCell ref="L1543:L1544"/>
    <mergeCell ref="H1547:I1547"/>
    <mergeCell ref="K1547:L1548"/>
    <mergeCell ref="N1547:N1548"/>
    <mergeCell ref="H1576:I1576"/>
    <mergeCell ref="K1576:L1577"/>
    <mergeCell ref="N1576:N1577"/>
    <mergeCell ref="C1578:I1578"/>
    <mergeCell ref="A1580:C1580"/>
    <mergeCell ref="H1580:J1580"/>
    <mergeCell ref="N1567:N1568"/>
    <mergeCell ref="C1569:I1569"/>
    <mergeCell ref="A1571:C1571"/>
    <mergeCell ref="H1571:J1571"/>
    <mergeCell ref="E1572:F1572"/>
    <mergeCell ref="H1572:J1573"/>
    <mergeCell ref="L1572:L1573"/>
    <mergeCell ref="A1562:C1562"/>
    <mergeCell ref="H1562:J1562"/>
    <mergeCell ref="E1563:F1563"/>
    <mergeCell ref="H1563:J1564"/>
    <mergeCell ref="L1563:L1564"/>
    <mergeCell ref="H1567:I1567"/>
    <mergeCell ref="K1567:L1568"/>
    <mergeCell ref="E1592:F1592"/>
    <mergeCell ref="H1592:J1593"/>
    <mergeCell ref="L1592:L1593"/>
    <mergeCell ref="H1596:I1596"/>
    <mergeCell ref="K1596:L1597"/>
    <mergeCell ref="N1596:N1597"/>
    <mergeCell ref="C1587:I1587"/>
    <mergeCell ref="A1589:C1589"/>
    <mergeCell ref="H1589:J1589"/>
    <mergeCell ref="A1590:C1590"/>
    <mergeCell ref="H1590:J1590"/>
    <mergeCell ref="A1591:C1591"/>
    <mergeCell ref="H1591:J1591"/>
    <mergeCell ref="E1581:F1581"/>
    <mergeCell ref="H1581:J1582"/>
    <mergeCell ref="L1581:L1582"/>
    <mergeCell ref="H1585:I1585"/>
    <mergeCell ref="K1585:L1586"/>
    <mergeCell ref="N1585:N1586"/>
    <mergeCell ref="E1610:F1610"/>
    <mergeCell ref="H1610:J1611"/>
    <mergeCell ref="L1610:L1611"/>
    <mergeCell ref="H1614:I1614"/>
    <mergeCell ref="K1614:L1615"/>
    <mergeCell ref="N1614:N1615"/>
    <mergeCell ref="H1605:I1605"/>
    <mergeCell ref="K1605:L1606"/>
    <mergeCell ref="N1605:N1606"/>
    <mergeCell ref="C1607:I1607"/>
    <mergeCell ref="A1609:C1609"/>
    <mergeCell ref="H1609:J1609"/>
    <mergeCell ref="C1598:I1598"/>
    <mergeCell ref="A1600:C1600"/>
    <mergeCell ref="H1600:J1600"/>
    <mergeCell ref="E1601:F1601"/>
    <mergeCell ref="H1601:J1602"/>
    <mergeCell ref="L1601:L1602"/>
    <mergeCell ref="A1628:C1628"/>
    <mergeCell ref="H1628:J1628"/>
    <mergeCell ref="E1629:F1629"/>
    <mergeCell ref="H1629:J1630"/>
    <mergeCell ref="L1629:L1630"/>
    <mergeCell ref="H1633:I1633"/>
    <mergeCell ref="K1633:L1634"/>
    <mergeCell ref="H1623:I1623"/>
    <mergeCell ref="K1623:L1624"/>
    <mergeCell ref="N1623:N1624"/>
    <mergeCell ref="C1625:I1625"/>
    <mergeCell ref="A1627:C1627"/>
    <mergeCell ref="H1627:J1627"/>
    <mergeCell ref="C1616:I1616"/>
    <mergeCell ref="A1618:C1618"/>
    <mergeCell ref="H1618:J1618"/>
    <mergeCell ref="E1619:F1619"/>
    <mergeCell ref="H1619:J1620"/>
    <mergeCell ref="L1619:L1620"/>
    <mergeCell ref="E1647:F1647"/>
    <mergeCell ref="H1647:J1648"/>
    <mergeCell ref="L1647:L1648"/>
    <mergeCell ref="H1651:I1651"/>
    <mergeCell ref="K1651:L1652"/>
    <mergeCell ref="N1651:N1652"/>
    <mergeCell ref="H1642:I1642"/>
    <mergeCell ref="K1642:L1643"/>
    <mergeCell ref="N1642:N1643"/>
    <mergeCell ref="C1644:I1644"/>
    <mergeCell ref="A1646:C1646"/>
    <mergeCell ref="H1646:J1646"/>
    <mergeCell ref="N1633:N1634"/>
    <mergeCell ref="C1635:I1635"/>
    <mergeCell ref="A1637:C1637"/>
    <mergeCell ref="H1637:J1637"/>
    <mergeCell ref="E1638:F1638"/>
    <mergeCell ref="H1638:J1639"/>
    <mergeCell ref="L1638:L1639"/>
    <mergeCell ref="E1666:F1666"/>
    <mergeCell ref="H1666:J1667"/>
    <mergeCell ref="L1666:L1667"/>
    <mergeCell ref="H1670:I1670"/>
    <mergeCell ref="K1670:L1671"/>
    <mergeCell ref="N1670:N1671"/>
    <mergeCell ref="L1657:L1658"/>
    <mergeCell ref="H1661:I1661"/>
    <mergeCell ref="K1661:L1662"/>
    <mergeCell ref="N1661:N1662"/>
    <mergeCell ref="C1663:I1663"/>
    <mergeCell ref="A1665:C1665"/>
    <mergeCell ref="H1665:J1665"/>
    <mergeCell ref="C1653:I1653"/>
    <mergeCell ref="A1655:C1655"/>
    <mergeCell ref="H1655:J1655"/>
    <mergeCell ref="A1656:C1656"/>
    <mergeCell ref="H1656:J1656"/>
    <mergeCell ref="E1657:F1657"/>
    <mergeCell ref="H1657:J1658"/>
    <mergeCell ref="A1684:C1684"/>
    <mergeCell ref="H1684:J1684"/>
    <mergeCell ref="E1685:F1685"/>
    <mergeCell ref="H1685:J1686"/>
    <mergeCell ref="L1685:L1686"/>
    <mergeCell ref="H1689:I1689"/>
    <mergeCell ref="K1689:L1690"/>
    <mergeCell ref="H1679:I1679"/>
    <mergeCell ref="K1679:L1680"/>
    <mergeCell ref="N1679:N1680"/>
    <mergeCell ref="C1681:I1681"/>
    <mergeCell ref="A1683:C1683"/>
    <mergeCell ref="H1683:J1683"/>
    <mergeCell ref="C1672:I1672"/>
    <mergeCell ref="A1674:C1674"/>
    <mergeCell ref="H1674:J1674"/>
    <mergeCell ref="E1675:F1675"/>
    <mergeCell ref="H1675:J1676"/>
    <mergeCell ref="L1675:L1676"/>
    <mergeCell ref="C1701:I1701"/>
    <mergeCell ref="A1703:C1703"/>
    <mergeCell ref="H1703:J1703"/>
    <mergeCell ref="E1704:F1704"/>
    <mergeCell ref="H1704:J1705"/>
    <mergeCell ref="L1704:L1705"/>
    <mergeCell ref="E1695:F1695"/>
    <mergeCell ref="H1695:J1696"/>
    <mergeCell ref="L1695:L1696"/>
    <mergeCell ref="H1699:I1699"/>
    <mergeCell ref="K1699:L1700"/>
    <mergeCell ref="N1699:N1700"/>
    <mergeCell ref="N1689:N1690"/>
    <mergeCell ref="C1691:I1691"/>
    <mergeCell ref="A1693:C1693"/>
    <mergeCell ref="H1693:J1693"/>
    <mergeCell ref="A1694:C1694"/>
    <mergeCell ref="H1694:J1694"/>
    <mergeCell ref="C1719:I1719"/>
    <mergeCell ref="A1721:C1721"/>
    <mergeCell ref="H1721:J1721"/>
    <mergeCell ref="E1722:F1722"/>
    <mergeCell ref="H1722:J1723"/>
    <mergeCell ref="L1722:L1723"/>
    <mergeCell ref="E1713:F1713"/>
    <mergeCell ref="H1713:J1714"/>
    <mergeCell ref="L1713:L1714"/>
    <mergeCell ref="H1717:I1717"/>
    <mergeCell ref="K1717:L1718"/>
    <mergeCell ref="N1717:N1718"/>
    <mergeCell ref="H1708:I1708"/>
    <mergeCell ref="K1708:L1709"/>
    <mergeCell ref="N1708:N1709"/>
    <mergeCell ref="C1710:I1710"/>
    <mergeCell ref="A1712:C1712"/>
    <mergeCell ref="H1712:J1712"/>
    <mergeCell ref="C1737:I1737"/>
    <mergeCell ref="A1739:C1739"/>
    <mergeCell ref="H1739:J1739"/>
    <mergeCell ref="E1740:F1740"/>
    <mergeCell ref="H1740:J1741"/>
    <mergeCell ref="L1740:L1741"/>
    <mergeCell ref="E1731:F1731"/>
    <mergeCell ref="H1731:J1732"/>
    <mergeCell ref="L1731:L1732"/>
    <mergeCell ref="H1735:I1735"/>
    <mergeCell ref="K1735:L1736"/>
    <mergeCell ref="N1735:N1736"/>
    <mergeCell ref="H1726:I1726"/>
    <mergeCell ref="K1726:L1727"/>
    <mergeCell ref="N1726:N1727"/>
    <mergeCell ref="C1728:I1728"/>
    <mergeCell ref="A1730:C1730"/>
    <mergeCell ref="H1730:J1730"/>
    <mergeCell ref="C1755:I1755"/>
    <mergeCell ref="A1757:C1757"/>
    <mergeCell ref="H1757:J1757"/>
    <mergeCell ref="E1758:F1758"/>
    <mergeCell ref="H1758:J1759"/>
    <mergeCell ref="L1758:L1759"/>
    <mergeCell ref="E1749:F1749"/>
    <mergeCell ref="H1749:J1750"/>
    <mergeCell ref="L1749:L1750"/>
    <mergeCell ref="H1753:I1753"/>
    <mergeCell ref="K1753:L1754"/>
    <mergeCell ref="N1753:N1754"/>
    <mergeCell ref="H1744:I1744"/>
    <mergeCell ref="K1744:L1745"/>
    <mergeCell ref="N1744:N1745"/>
    <mergeCell ref="C1746:I1746"/>
    <mergeCell ref="A1748:C1748"/>
    <mergeCell ref="H1748:J1748"/>
    <mergeCell ref="C1773:I1773"/>
    <mergeCell ref="A1775:C1775"/>
    <mergeCell ref="H1775:J1775"/>
    <mergeCell ref="A1776:C1776"/>
    <mergeCell ref="H1776:J1776"/>
    <mergeCell ref="E1777:F1777"/>
    <mergeCell ref="H1777:J1778"/>
    <mergeCell ref="E1767:F1767"/>
    <mergeCell ref="H1767:J1768"/>
    <mergeCell ref="L1767:L1768"/>
    <mergeCell ref="H1771:I1771"/>
    <mergeCell ref="K1771:L1772"/>
    <mergeCell ref="N1771:N1772"/>
    <mergeCell ref="H1762:I1762"/>
    <mergeCell ref="K1762:L1763"/>
    <mergeCell ref="N1762:N1763"/>
    <mergeCell ref="C1764:I1764"/>
    <mergeCell ref="A1766:C1766"/>
    <mergeCell ref="H1766:J1766"/>
    <mergeCell ref="C1792:I1792"/>
    <mergeCell ref="A1794:C1794"/>
    <mergeCell ref="H1794:J1794"/>
    <mergeCell ref="E1795:F1795"/>
    <mergeCell ref="H1795:J1796"/>
    <mergeCell ref="L1795:L1796"/>
    <mergeCell ref="E1786:F1786"/>
    <mergeCell ref="H1786:J1787"/>
    <mergeCell ref="L1786:L1787"/>
    <mergeCell ref="H1790:I1790"/>
    <mergeCell ref="K1790:L1791"/>
    <mergeCell ref="N1790:N1791"/>
    <mergeCell ref="L1777:L1778"/>
    <mergeCell ref="H1781:I1781"/>
    <mergeCell ref="K1781:L1782"/>
    <mergeCell ref="N1781:N1782"/>
    <mergeCell ref="C1783:I1783"/>
    <mergeCell ref="A1785:C1785"/>
    <mergeCell ref="H1785:J1785"/>
    <mergeCell ref="C1810:I1810"/>
    <mergeCell ref="A1812:C1812"/>
    <mergeCell ref="H1812:J1812"/>
    <mergeCell ref="A1813:C1813"/>
    <mergeCell ref="H1813:J1813"/>
    <mergeCell ref="A1814:C1814"/>
    <mergeCell ref="H1814:J1814"/>
    <mergeCell ref="E1804:F1804"/>
    <mergeCell ref="H1804:J1805"/>
    <mergeCell ref="L1804:L1805"/>
    <mergeCell ref="H1808:I1808"/>
    <mergeCell ref="K1808:L1809"/>
    <mergeCell ref="N1808:N1809"/>
    <mergeCell ref="H1799:I1799"/>
    <mergeCell ref="K1799:L1800"/>
    <mergeCell ref="N1799:N1800"/>
    <mergeCell ref="C1801:I1801"/>
    <mergeCell ref="A1803:C1803"/>
    <mergeCell ref="H1803:J1803"/>
    <mergeCell ref="A1826:C1826"/>
    <mergeCell ref="H1826:J1826"/>
    <mergeCell ref="A1827:C1827"/>
    <mergeCell ref="H1827:J1827"/>
    <mergeCell ref="A1828:C1828"/>
    <mergeCell ref="H1828:J1828"/>
    <mergeCell ref="L1817:L1818"/>
    <mergeCell ref="H1821:I1821"/>
    <mergeCell ref="K1821:L1822"/>
    <mergeCell ref="N1821:N1822"/>
    <mergeCell ref="C1823:I1823"/>
    <mergeCell ref="A1825:C1825"/>
    <mergeCell ref="H1825:J1825"/>
    <mergeCell ref="A1815:C1815"/>
    <mergeCell ref="H1815:J1815"/>
    <mergeCell ref="A1816:C1816"/>
    <mergeCell ref="H1816:J1816"/>
    <mergeCell ref="E1817:F1817"/>
    <mergeCell ref="H1817:J1818"/>
    <mergeCell ref="E1840:F1840"/>
    <mergeCell ref="H1840:J1841"/>
    <mergeCell ref="L1840:L1841"/>
    <mergeCell ref="H1844:I1844"/>
    <mergeCell ref="K1844:L1845"/>
    <mergeCell ref="N1844:N1845"/>
    <mergeCell ref="L1831:L1832"/>
    <mergeCell ref="H1835:I1835"/>
    <mergeCell ref="K1835:L1836"/>
    <mergeCell ref="N1835:N1836"/>
    <mergeCell ref="C1837:I1837"/>
    <mergeCell ref="A1839:C1839"/>
    <mergeCell ref="H1839:J1839"/>
    <mergeCell ref="A1829:C1829"/>
    <mergeCell ref="H1829:J1829"/>
    <mergeCell ref="A1830:C1830"/>
    <mergeCell ref="H1830:J1830"/>
    <mergeCell ref="E1831:F1831"/>
    <mergeCell ref="H1831:J1832"/>
    <mergeCell ref="A1859:C1859"/>
    <mergeCell ref="H1859:J1859"/>
    <mergeCell ref="E1860:F1860"/>
    <mergeCell ref="H1860:J1861"/>
    <mergeCell ref="L1860:L1861"/>
    <mergeCell ref="H1864:I1864"/>
    <mergeCell ref="K1864:L1865"/>
    <mergeCell ref="L1850:L1851"/>
    <mergeCell ref="H1854:I1854"/>
    <mergeCell ref="K1854:L1855"/>
    <mergeCell ref="N1854:N1855"/>
    <mergeCell ref="C1856:I1856"/>
    <mergeCell ref="A1858:C1858"/>
    <mergeCell ref="H1858:J1858"/>
    <mergeCell ref="C1846:I1846"/>
    <mergeCell ref="A1848:C1848"/>
    <mergeCell ref="H1848:J1848"/>
    <mergeCell ref="A1849:C1849"/>
    <mergeCell ref="H1849:J1849"/>
    <mergeCell ref="E1850:F1850"/>
    <mergeCell ref="H1850:J1851"/>
    <mergeCell ref="C1876:I1876"/>
    <mergeCell ref="A1878:C1878"/>
    <mergeCell ref="H1878:J1878"/>
    <mergeCell ref="A1879:C1879"/>
    <mergeCell ref="H1879:J1879"/>
    <mergeCell ref="E1880:F1880"/>
    <mergeCell ref="H1880:J1881"/>
    <mergeCell ref="E1870:F1870"/>
    <mergeCell ref="H1870:J1871"/>
    <mergeCell ref="L1870:L1871"/>
    <mergeCell ref="H1874:I1874"/>
    <mergeCell ref="K1874:L1875"/>
    <mergeCell ref="N1874:N1875"/>
    <mergeCell ref="N1864:N1865"/>
    <mergeCell ref="C1866:I1866"/>
    <mergeCell ref="A1868:C1868"/>
    <mergeCell ref="H1868:J1868"/>
    <mergeCell ref="A1869:C1869"/>
    <mergeCell ref="H1869:J1869"/>
    <mergeCell ref="N1894:N1895"/>
    <mergeCell ref="C1896:I1896"/>
    <mergeCell ref="A1898:C1898"/>
    <mergeCell ref="H1898:J1898"/>
    <mergeCell ref="A1899:C1899"/>
    <mergeCell ref="H1899:J1899"/>
    <mergeCell ref="A1889:C1889"/>
    <mergeCell ref="H1889:J1889"/>
    <mergeCell ref="E1890:F1890"/>
    <mergeCell ref="H1890:J1891"/>
    <mergeCell ref="L1890:L1891"/>
    <mergeCell ref="H1894:I1894"/>
    <mergeCell ref="K1894:L1895"/>
    <mergeCell ref="L1880:L1881"/>
    <mergeCell ref="H1884:I1884"/>
    <mergeCell ref="K1884:L1885"/>
    <mergeCell ref="N1884:N1885"/>
    <mergeCell ref="C1886:I1886"/>
    <mergeCell ref="A1888:C1888"/>
    <mergeCell ref="H1888:J1888"/>
    <mergeCell ref="H1913:I1913"/>
    <mergeCell ref="K1913:L1914"/>
    <mergeCell ref="N1913:N1914"/>
    <mergeCell ref="C1915:I1915"/>
    <mergeCell ref="A1917:C1917"/>
    <mergeCell ref="H1917:J1917"/>
    <mergeCell ref="C1906:I1906"/>
    <mergeCell ref="A1908:C1908"/>
    <mergeCell ref="H1908:J1908"/>
    <mergeCell ref="E1909:F1909"/>
    <mergeCell ref="H1909:J1910"/>
    <mergeCell ref="L1909:L1910"/>
    <mergeCell ref="E1900:F1900"/>
    <mergeCell ref="H1900:J1901"/>
    <mergeCell ref="L1900:L1901"/>
    <mergeCell ref="H1904:I1904"/>
    <mergeCell ref="K1904:L1905"/>
    <mergeCell ref="N1904:N1905"/>
    <mergeCell ref="H1931:I1931"/>
    <mergeCell ref="K1931:L1932"/>
    <mergeCell ref="N1931:N1932"/>
    <mergeCell ref="C1933:I1933"/>
    <mergeCell ref="A1935:C1935"/>
    <mergeCell ref="H1935:J1935"/>
    <mergeCell ref="C1924:I1924"/>
    <mergeCell ref="A1926:C1926"/>
    <mergeCell ref="H1926:J1926"/>
    <mergeCell ref="E1927:F1927"/>
    <mergeCell ref="H1927:J1928"/>
    <mergeCell ref="L1927:L1928"/>
    <mergeCell ref="E1918:F1918"/>
    <mergeCell ref="H1918:J1919"/>
    <mergeCell ref="L1918:L1919"/>
    <mergeCell ref="H1922:I1922"/>
    <mergeCell ref="K1922:L1923"/>
    <mergeCell ref="N1922:N1923"/>
    <mergeCell ref="E1955:F1955"/>
    <mergeCell ref="H1955:J1956"/>
    <mergeCell ref="L1955:L1956"/>
    <mergeCell ref="H1950:I1950"/>
    <mergeCell ref="K1950:L1951"/>
    <mergeCell ref="N1950:N1951"/>
    <mergeCell ref="C1952:I1952"/>
    <mergeCell ref="A1954:C1954"/>
    <mergeCell ref="H1954:J1954"/>
    <mergeCell ref="N1941:N1942"/>
    <mergeCell ref="C1943:I1943"/>
    <mergeCell ref="A1945:C1945"/>
    <mergeCell ref="H1945:J1945"/>
    <mergeCell ref="E1946:F1946"/>
    <mergeCell ref="H1946:J1947"/>
    <mergeCell ref="L1946:L1947"/>
    <mergeCell ref="A1936:C1936"/>
    <mergeCell ref="H1936:J1936"/>
    <mergeCell ref="E1937:F1937"/>
    <mergeCell ref="H1937:J1938"/>
    <mergeCell ref="L1937:L1938"/>
    <mergeCell ref="H1941:I1941"/>
    <mergeCell ref="K1941:L194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039"/>
  <sheetViews>
    <sheetView topLeftCell="D697" workbookViewId="0">
      <selection activeCell="D45" sqref="D45"/>
    </sheetView>
  </sheetViews>
  <sheetFormatPr defaultColWidth="8.19921875" defaultRowHeight="14.4"/>
  <cols>
    <col min="1" max="1" width="9.59765625" style="2162" customWidth="1"/>
    <col min="2" max="2" width="1.69921875" style="2162" customWidth="1"/>
    <col min="3" max="3" width="35.19921875" style="2162" customWidth="1"/>
    <col min="4" max="4" width="8.69921875" style="2162" customWidth="1"/>
    <col min="5" max="5" width="17.59765625" style="2162" customWidth="1"/>
    <col min="6" max="6" width="7.19921875" style="2162" customWidth="1"/>
    <col min="7" max="7" width="8.69921875" style="2162" hidden="1" customWidth="1"/>
    <col min="8" max="11" width="8.69921875" style="2162" customWidth="1"/>
    <col min="12" max="12" width="11" style="2162" customWidth="1"/>
    <col min="13" max="13" width="8.69921875" style="2162" customWidth="1"/>
    <col min="14" max="14" width="9.59765625" style="2162" customWidth="1"/>
    <col min="15" max="15" width="10.69921875" style="2162" bestFit="1" customWidth="1"/>
    <col min="16" max="16384" width="8.19921875" style="2162"/>
  </cols>
  <sheetData>
    <row r="1" spans="1:15">
      <c r="A1" s="2160" t="s">
        <v>2634</v>
      </c>
      <c r="B1" s="2161"/>
      <c r="C1" s="2160" t="s">
        <v>2635</v>
      </c>
      <c r="D1" s="2161"/>
      <c r="E1" s="2160" t="s">
        <v>2640</v>
      </c>
      <c r="F1" s="2161"/>
    </row>
    <row r="2" spans="1:15">
      <c r="A2" s="2163"/>
      <c r="B2" s="2163"/>
      <c r="C2" s="2163"/>
      <c r="D2" s="2163"/>
      <c r="E2" s="2163"/>
      <c r="F2" s="2163"/>
      <c r="G2" s="2163"/>
      <c r="H2" s="2163"/>
      <c r="I2" s="2163"/>
      <c r="J2" s="2163"/>
      <c r="K2" s="2163"/>
      <c r="L2" s="2163"/>
      <c r="M2" s="2163"/>
    </row>
    <row r="3" spans="1:15">
      <c r="A3" s="2164"/>
      <c r="H3" s="2522" t="s">
        <v>2637</v>
      </c>
      <c r="I3" s="2522"/>
      <c r="J3" s="2163"/>
      <c r="K3" s="2523">
        <v>0</v>
      </c>
      <c r="L3" s="2523"/>
      <c r="M3" s="2163"/>
      <c r="N3" s="2527"/>
      <c r="O3" s="2163"/>
    </row>
    <row r="4" spans="1:15">
      <c r="H4" s="2163"/>
      <c r="I4" s="2163"/>
      <c r="J4" s="2163"/>
      <c r="K4" s="2523"/>
      <c r="L4" s="2523"/>
      <c r="N4" s="2527"/>
    </row>
    <row r="5" spans="1:15" ht="15.75" customHeight="1">
      <c r="A5" s="2165">
        <v>2300</v>
      </c>
      <c r="B5" s="2163"/>
      <c r="C5" s="2524" t="s">
        <v>2880</v>
      </c>
      <c r="D5" s="2524"/>
      <c r="E5" s="2524"/>
      <c r="F5" s="2524"/>
      <c r="G5" s="2524"/>
      <c r="H5" s="2524"/>
      <c r="I5" s="2524"/>
      <c r="J5" s="2163"/>
      <c r="K5" s="2163"/>
      <c r="L5" s="2163"/>
      <c r="M5" s="2163"/>
    </row>
    <row r="6" spans="1:15">
      <c r="A6" s="2163"/>
      <c r="B6" s="2163"/>
      <c r="C6" s="2163"/>
      <c r="D6" s="2163"/>
      <c r="E6" s="2163"/>
      <c r="F6" s="2163"/>
      <c r="G6" s="2163"/>
      <c r="H6" s="2163"/>
      <c r="I6" s="2163"/>
      <c r="J6" s="2163"/>
      <c r="K6" s="2163"/>
      <c r="L6" s="2163"/>
      <c r="M6" s="2163"/>
    </row>
    <row r="7" spans="1:15">
      <c r="A7" s="2529"/>
      <c r="B7" s="2529"/>
      <c r="C7" s="2529"/>
      <c r="D7" s="2166"/>
      <c r="E7" s="2166"/>
      <c r="F7" s="2166"/>
      <c r="G7" s="2166"/>
      <c r="H7" s="2525"/>
      <c r="I7" s="2525"/>
      <c r="J7" s="2525"/>
      <c r="K7" s="2166"/>
      <c r="L7" s="2167"/>
      <c r="M7" s="2166"/>
    </row>
    <row r="8" spans="1:15">
      <c r="A8" s="2164"/>
      <c r="B8" s="2164"/>
      <c r="C8" s="2164"/>
      <c r="D8" s="2164"/>
      <c r="E8" s="2522" t="s">
        <v>2639</v>
      </c>
      <c r="F8" s="2522"/>
      <c r="G8" s="2164"/>
      <c r="H8" s="2523">
        <v>0</v>
      </c>
      <c r="I8" s="2523"/>
      <c r="J8" s="2523"/>
      <c r="K8" s="2163"/>
      <c r="L8" s="2523">
        <v>0</v>
      </c>
      <c r="M8" s="2163"/>
    </row>
    <row r="9" spans="1:15">
      <c r="A9" s="2164"/>
      <c r="B9" s="2164"/>
      <c r="C9" s="2164"/>
      <c r="D9" s="2164"/>
      <c r="E9" s="2164"/>
      <c r="F9" s="2164"/>
      <c r="G9" s="2164"/>
      <c r="H9" s="2523"/>
      <c r="I9" s="2523"/>
      <c r="J9" s="2523"/>
      <c r="K9" s="2163"/>
      <c r="L9" s="2523"/>
      <c r="M9" s="2163"/>
    </row>
    <row r="10" spans="1:15">
      <c r="A10" s="2160" t="s">
        <v>2634</v>
      </c>
      <c r="B10" s="2161"/>
      <c r="C10" s="2160" t="s">
        <v>2635</v>
      </c>
      <c r="D10" s="2161"/>
      <c r="E10" s="2160" t="s">
        <v>2640</v>
      </c>
      <c r="F10" s="2161"/>
    </row>
    <row r="11" spans="1:15">
      <c r="A11" s="2163"/>
      <c r="B11" s="2163"/>
      <c r="C11" s="2163"/>
      <c r="D11" s="2163"/>
      <c r="E11" s="2163"/>
      <c r="F11" s="2163"/>
      <c r="G11" s="2163"/>
      <c r="H11" s="2163"/>
      <c r="I11" s="2163"/>
      <c r="J11" s="2163"/>
      <c r="K11" s="2163"/>
      <c r="L11" s="2163"/>
      <c r="M11" s="2163"/>
    </row>
    <row r="12" spans="1:15">
      <c r="A12" s="2164"/>
      <c r="H12" s="2522" t="s">
        <v>2637</v>
      </c>
      <c r="I12" s="2522"/>
      <c r="J12" s="2163"/>
      <c r="K12" s="2523">
        <v>0</v>
      </c>
      <c r="L12" s="2523"/>
      <c r="M12" s="2163"/>
      <c r="N12" s="2527"/>
      <c r="O12" s="2163"/>
    </row>
    <row r="13" spans="1:15">
      <c r="H13" s="2163"/>
      <c r="I13" s="2163"/>
      <c r="J13" s="2163"/>
      <c r="K13" s="2523"/>
      <c r="L13" s="2523"/>
      <c r="N13" s="2527"/>
    </row>
    <row r="14" spans="1:15">
      <c r="A14" s="2165">
        <v>5178</v>
      </c>
      <c r="B14" s="2163"/>
      <c r="C14" s="2524" t="s">
        <v>2880</v>
      </c>
      <c r="D14" s="2524"/>
      <c r="E14" s="2524"/>
      <c r="F14" s="2524"/>
      <c r="G14" s="2524"/>
      <c r="H14" s="2524"/>
      <c r="I14" s="2524"/>
      <c r="J14" s="2163"/>
      <c r="K14" s="2163"/>
      <c r="L14" s="2163"/>
      <c r="M14" s="2163"/>
    </row>
    <row r="15" spans="1:15">
      <c r="A15" s="2163"/>
      <c r="B15" s="2163"/>
      <c r="C15" s="2163"/>
      <c r="D15" s="2163"/>
      <c r="E15" s="2163"/>
      <c r="F15" s="2163"/>
      <c r="G15" s="2163"/>
      <c r="H15" s="2163"/>
      <c r="I15" s="2163"/>
      <c r="J15" s="2163"/>
      <c r="K15" s="2163"/>
      <c r="L15" s="2163"/>
      <c r="M15" s="2163"/>
    </row>
    <row r="16" spans="1:15">
      <c r="A16" s="2520" t="s">
        <v>2649</v>
      </c>
      <c r="B16" s="2520"/>
      <c r="C16" s="2520"/>
      <c r="D16" s="2166"/>
      <c r="E16" s="2166"/>
      <c r="F16" s="2166"/>
      <c r="G16" s="2166"/>
      <c r="H16" s="2525">
        <v>0.40500000000000003</v>
      </c>
      <c r="I16" s="2525"/>
      <c r="J16" s="2525"/>
      <c r="K16" s="2166"/>
      <c r="L16" s="2167">
        <v>43.99</v>
      </c>
      <c r="M16" s="2166"/>
    </row>
    <row r="17" spans="1:15">
      <c r="A17" s="2164"/>
      <c r="B17" s="2164"/>
      <c r="C17" s="2164"/>
      <c r="D17" s="2164"/>
      <c r="E17" s="2522" t="s">
        <v>2639</v>
      </c>
      <c r="F17" s="2522"/>
      <c r="G17" s="2164"/>
      <c r="H17" s="2523">
        <v>0.40510000000000002</v>
      </c>
      <c r="I17" s="2523"/>
      <c r="J17" s="2523"/>
      <c r="K17" s="2163"/>
      <c r="L17" s="2523">
        <v>44.05</v>
      </c>
      <c r="M17" s="2163"/>
    </row>
    <row r="18" spans="1:15">
      <c r="A18" s="2164"/>
      <c r="B18" s="2164"/>
      <c r="C18" s="2164"/>
      <c r="D18" s="2164"/>
      <c r="E18" s="2164"/>
      <c r="F18" s="2164"/>
      <c r="G18" s="2164"/>
      <c r="H18" s="2523"/>
      <c r="I18" s="2523"/>
      <c r="J18" s="2523"/>
      <c r="K18" s="2163"/>
      <c r="L18" s="2523"/>
      <c r="M18" s="2163"/>
    </row>
    <row r="19" spans="1:15">
      <c r="A19" s="2160" t="s">
        <v>2634</v>
      </c>
      <c r="B19" s="2161"/>
      <c r="C19" s="2160" t="s">
        <v>2635</v>
      </c>
      <c r="D19" s="2161"/>
      <c r="E19" s="2160" t="s">
        <v>2640</v>
      </c>
      <c r="F19" s="2161"/>
    </row>
    <row r="20" spans="1:15">
      <c r="A20" s="2163"/>
      <c r="B20" s="2163"/>
      <c r="C20" s="2163"/>
      <c r="D20" s="2163"/>
      <c r="E20" s="2163"/>
      <c r="F20" s="2163"/>
      <c r="G20" s="2163"/>
      <c r="H20" s="2163"/>
      <c r="I20" s="2163"/>
      <c r="J20" s="2163"/>
      <c r="K20" s="2163"/>
      <c r="L20" s="2163"/>
      <c r="M20" s="2163"/>
    </row>
    <row r="21" spans="1:15">
      <c r="A21" s="2164"/>
      <c r="H21" s="2522" t="s">
        <v>2637</v>
      </c>
      <c r="I21" s="2522"/>
      <c r="J21" s="2163"/>
      <c r="K21" s="2523">
        <v>0</v>
      </c>
      <c r="L21" s="2523"/>
      <c r="M21" s="2163"/>
      <c r="N21" s="2527"/>
      <c r="O21" s="2163"/>
    </row>
    <row r="22" spans="1:15">
      <c r="H22" s="2163"/>
      <c r="I22" s="2163"/>
      <c r="J22" s="2163"/>
      <c r="K22" s="2523"/>
      <c r="L22" s="2523"/>
      <c r="N22" s="2527"/>
    </row>
    <row r="23" spans="1:15">
      <c r="A23" s="2165">
        <v>31791</v>
      </c>
      <c r="B23" s="2163"/>
      <c r="C23" s="2524" t="s">
        <v>2881</v>
      </c>
      <c r="D23" s="2524"/>
      <c r="E23" s="2524"/>
      <c r="F23" s="2524"/>
      <c r="G23" s="2524"/>
      <c r="H23" s="2524"/>
      <c r="I23" s="2524"/>
      <c r="J23" s="2163"/>
      <c r="K23" s="2163"/>
      <c r="L23" s="2163"/>
      <c r="M23" s="2163"/>
    </row>
    <row r="24" spans="1:15">
      <c r="A24" s="2163"/>
      <c r="B24" s="2163"/>
      <c r="C24" s="2163"/>
      <c r="D24" s="2163"/>
      <c r="E24" s="2163"/>
      <c r="F24" s="2163"/>
      <c r="G24" s="2163"/>
      <c r="H24" s="2163"/>
      <c r="I24" s="2163"/>
      <c r="J24" s="2163"/>
      <c r="K24" s="2163"/>
      <c r="L24" s="2163"/>
      <c r="M24" s="2163"/>
    </row>
    <row r="25" spans="1:15">
      <c r="A25" s="2529"/>
      <c r="B25" s="2529"/>
      <c r="C25" s="2529"/>
      <c r="D25" s="2166"/>
      <c r="E25" s="2166"/>
      <c r="F25" s="2166"/>
      <c r="G25" s="2166"/>
      <c r="H25" s="2525"/>
      <c r="I25" s="2525"/>
      <c r="J25" s="2525"/>
      <c r="K25" s="2166"/>
      <c r="L25" s="2167"/>
      <c r="M25" s="2166"/>
    </row>
    <row r="26" spans="1:15">
      <c r="A26" s="2164"/>
      <c r="B26" s="2164"/>
      <c r="C26" s="2164"/>
      <c r="D26" s="2164"/>
      <c r="E26" s="2522" t="s">
        <v>2639</v>
      </c>
      <c r="F26" s="2522"/>
      <c r="G26" s="2164"/>
      <c r="H26" s="2523">
        <v>0</v>
      </c>
      <c r="I26" s="2523"/>
      <c r="J26" s="2523"/>
      <c r="K26" s="2163"/>
      <c r="L26" s="2523">
        <v>0</v>
      </c>
      <c r="M26" s="2163"/>
    </row>
    <row r="27" spans="1:15">
      <c r="A27" s="2164"/>
      <c r="B27" s="2164"/>
      <c r="C27" s="2164"/>
      <c r="D27" s="2164"/>
      <c r="E27" s="2164"/>
      <c r="F27" s="2164"/>
      <c r="G27" s="2164"/>
      <c r="H27" s="2523"/>
      <c r="I27" s="2523"/>
      <c r="J27" s="2523"/>
      <c r="K27" s="2163"/>
      <c r="L27" s="2523"/>
      <c r="M27" s="2163"/>
    </row>
    <row r="28" spans="1:15">
      <c r="A28" s="2160" t="s">
        <v>2634</v>
      </c>
      <c r="B28" s="2161"/>
      <c r="C28" s="2160" t="s">
        <v>2635</v>
      </c>
      <c r="D28" s="2161"/>
      <c r="E28" s="2160" t="s">
        <v>2640</v>
      </c>
      <c r="F28" s="2161"/>
    </row>
    <row r="29" spans="1:15">
      <c r="A29" s="2163"/>
      <c r="B29" s="2163"/>
      <c r="C29" s="2163"/>
      <c r="D29" s="2163"/>
      <c r="E29" s="2163"/>
      <c r="F29" s="2163"/>
      <c r="G29" s="2163"/>
      <c r="H29" s="2163"/>
      <c r="I29" s="2163"/>
      <c r="J29" s="2163"/>
      <c r="K29" s="2163"/>
      <c r="L29" s="2163"/>
      <c r="M29" s="2163"/>
    </row>
    <row r="30" spans="1:15">
      <c r="A30" s="2164"/>
      <c r="H30" s="2522" t="s">
        <v>2637</v>
      </c>
      <c r="I30" s="2522"/>
      <c r="J30" s="2163"/>
      <c r="K30" s="2523">
        <v>0</v>
      </c>
      <c r="L30" s="2523"/>
      <c r="M30" s="2163"/>
      <c r="N30" s="2527"/>
      <c r="O30" s="2163"/>
    </row>
    <row r="31" spans="1:15">
      <c r="H31" s="2163"/>
      <c r="I31" s="2163"/>
      <c r="J31" s="2163"/>
      <c r="K31" s="2523"/>
      <c r="L31" s="2523"/>
      <c r="N31" s="2527"/>
    </row>
    <row r="32" spans="1:15">
      <c r="A32" s="2165">
        <v>41512</v>
      </c>
      <c r="B32" s="2163"/>
      <c r="C32" s="2524" t="s">
        <v>3119</v>
      </c>
      <c r="D32" s="2524"/>
      <c r="E32" s="2524"/>
      <c r="F32" s="2524"/>
      <c r="G32" s="2524"/>
      <c r="H32" s="2524"/>
      <c r="I32" s="2524"/>
      <c r="J32" s="2163"/>
      <c r="K32" s="2163"/>
      <c r="L32" s="2163"/>
      <c r="M32" s="2163"/>
    </row>
    <row r="33" spans="1:15">
      <c r="A33" s="2163"/>
      <c r="B33" s="2163"/>
      <c r="C33" s="2163"/>
      <c r="D33" s="2163"/>
      <c r="E33" s="2163"/>
      <c r="F33" s="2163"/>
      <c r="G33" s="2163"/>
      <c r="H33" s="2163"/>
      <c r="I33" s="2163"/>
      <c r="J33" s="2163"/>
      <c r="K33" s="2163"/>
      <c r="L33" s="2163"/>
      <c r="M33" s="2163"/>
    </row>
    <row r="34" spans="1:15">
      <c r="A34" s="2529"/>
      <c r="B34" s="2529"/>
      <c r="C34" s="2529"/>
      <c r="D34" s="2166"/>
      <c r="E34" s="2166"/>
      <c r="F34" s="2166"/>
      <c r="G34" s="2166"/>
      <c r="H34" s="2525"/>
      <c r="I34" s="2525"/>
      <c r="J34" s="2525"/>
      <c r="K34" s="2166"/>
      <c r="L34" s="2167"/>
      <c r="M34" s="2166"/>
    </row>
    <row r="35" spans="1:15">
      <c r="A35" s="2164"/>
      <c r="B35" s="2164"/>
      <c r="C35" s="2164"/>
      <c r="D35" s="2164"/>
      <c r="E35" s="2522" t="s">
        <v>2639</v>
      </c>
      <c r="F35" s="2522"/>
      <c r="G35" s="2164"/>
      <c r="H35" s="2523">
        <v>0</v>
      </c>
      <c r="I35" s="2523"/>
      <c r="J35" s="2523"/>
      <c r="K35" s="2163"/>
      <c r="L35" s="2523">
        <v>0</v>
      </c>
      <c r="M35" s="2163"/>
    </row>
    <row r="36" spans="1:15">
      <c r="A36" s="2164"/>
      <c r="B36" s="2164"/>
      <c r="C36" s="2164"/>
      <c r="D36" s="2164"/>
      <c r="E36" s="2164"/>
      <c r="F36" s="2164"/>
      <c r="G36" s="2164"/>
      <c r="H36" s="2523"/>
      <c r="I36" s="2523"/>
      <c r="J36" s="2523"/>
      <c r="K36" s="2163"/>
      <c r="L36" s="2523"/>
      <c r="M36" s="2163"/>
    </row>
    <row r="37" spans="1:15">
      <c r="A37" s="2160" t="s">
        <v>2634</v>
      </c>
      <c r="B37" s="2161"/>
      <c r="C37" s="2160" t="s">
        <v>2635</v>
      </c>
      <c r="D37" s="2161"/>
      <c r="E37" s="2160" t="s">
        <v>2640</v>
      </c>
      <c r="F37" s="2161"/>
    </row>
    <row r="38" spans="1:15">
      <c r="A38" s="2163"/>
      <c r="B38" s="2163"/>
      <c r="C38" s="2163"/>
      <c r="D38" s="2163"/>
      <c r="E38" s="2163"/>
      <c r="F38" s="2163"/>
      <c r="G38" s="2163"/>
      <c r="H38" s="2163"/>
      <c r="I38" s="2163"/>
      <c r="J38" s="2163"/>
      <c r="K38" s="2163"/>
      <c r="L38" s="2163"/>
      <c r="M38" s="2163"/>
    </row>
    <row r="39" spans="1:15">
      <c r="A39" s="2164"/>
      <c r="H39" s="2522" t="s">
        <v>2637</v>
      </c>
      <c r="I39" s="2522"/>
      <c r="J39" s="2163"/>
      <c r="K39" s="2523">
        <v>0</v>
      </c>
      <c r="L39" s="2523"/>
      <c r="M39" s="2163"/>
      <c r="N39" s="2527"/>
      <c r="O39" s="2163"/>
    </row>
    <row r="40" spans="1:15">
      <c r="H40" s="2163"/>
      <c r="I40" s="2163"/>
      <c r="J40" s="2163"/>
      <c r="K40" s="2523"/>
      <c r="L40" s="2523"/>
      <c r="N40" s="2527"/>
    </row>
    <row r="41" spans="1:15">
      <c r="A41" s="2165">
        <v>40568</v>
      </c>
      <c r="B41" s="2163"/>
      <c r="C41" s="2524" t="s">
        <v>2882</v>
      </c>
      <c r="D41" s="2524"/>
      <c r="E41" s="2524"/>
      <c r="F41" s="2524"/>
      <c r="G41" s="2524"/>
      <c r="H41" s="2524"/>
      <c r="I41" s="2524"/>
      <c r="J41" s="2163"/>
      <c r="K41" s="2163"/>
      <c r="L41" s="2163"/>
      <c r="M41" s="2163"/>
    </row>
    <row r="42" spans="1:15">
      <c r="A42" s="2163"/>
      <c r="B42" s="2163"/>
      <c r="C42" s="2163"/>
      <c r="D42" s="2163"/>
      <c r="E42" s="2163"/>
      <c r="F42" s="2163"/>
      <c r="G42" s="2163"/>
      <c r="H42" s="2163"/>
      <c r="I42" s="2163"/>
      <c r="J42" s="2163"/>
      <c r="K42" s="2163"/>
      <c r="L42" s="2163"/>
      <c r="M42" s="2163"/>
    </row>
    <row r="43" spans="1:15">
      <c r="A43" s="2520" t="s">
        <v>2649</v>
      </c>
      <c r="B43" s="2520"/>
      <c r="C43" s="2520"/>
      <c r="D43" s="2166"/>
      <c r="E43" s="2166"/>
      <c r="F43" s="2166"/>
      <c r="G43" s="2166"/>
      <c r="H43" s="2525">
        <v>1.639</v>
      </c>
      <c r="I43" s="2525"/>
      <c r="J43" s="2525"/>
      <c r="K43" s="2166"/>
      <c r="L43" s="2167">
        <v>178</v>
      </c>
      <c r="M43" s="2166"/>
    </row>
    <row r="44" spans="1:15">
      <c r="A44" s="2164"/>
      <c r="B44" s="2164"/>
      <c r="C44" s="2164"/>
      <c r="D44" s="2164"/>
      <c r="E44" s="2522" t="s">
        <v>2639</v>
      </c>
      <c r="F44" s="2522"/>
      <c r="G44" s="2164"/>
      <c r="H44" s="2523">
        <v>1.639</v>
      </c>
      <c r="I44" s="2523"/>
      <c r="J44" s="2523"/>
      <c r="K44" s="2163"/>
      <c r="L44" s="2523">
        <v>178.24</v>
      </c>
      <c r="M44" s="2163"/>
    </row>
    <row r="45" spans="1:15">
      <c r="A45" s="2164"/>
      <c r="B45" s="2164"/>
      <c r="C45" s="2164"/>
      <c r="D45" s="2164"/>
      <c r="E45" s="2164"/>
      <c r="F45" s="2164"/>
      <c r="G45" s="2164"/>
      <c r="H45" s="2523"/>
      <c r="I45" s="2523"/>
      <c r="J45" s="2523"/>
      <c r="K45" s="2163"/>
      <c r="L45" s="2523"/>
      <c r="M45" s="2163"/>
    </row>
    <row r="46" spans="1:15">
      <c r="A46" s="2160" t="s">
        <v>2634</v>
      </c>
      <c r="B46" s="2161"/>
      <c r="C46" s="2160" t="s">
        <v>2635</v>
      </c>
      <c r="D46" s="2161"/>
      <c r="E46" s="2160" t="s">
        <v>2640</v>
      </c>
      <c r="F46" s="2161"/>
    </row>
    <row r="47" spans="1:15">
      <c r="A47" s="2163"/>
      <c r="B47" s="2163"/>
      <c r="C47" s="2163"/>
      <c r="D47" s="2163"/>
      <c r="E47" s="2163"/>
      <c r="F47" s="2163"/>
      <c r="G47" s="2163"/>
      <c r="H47" s="2163"/>
      <c r="I47" s="2163"/>
      <c r="J47" s="2163"/>
      <c r="K47" s="2163"/>
      <c r="L47" s="2163"/>
      <c r="M47" s="2163"/>
    </row>
    <row r="48" spans="1:15">
      <c r="A48" s="2164"/>
      <c r="H48" s="2522" t="s">
        <v>2637</v>
      </c>
      <c r="I48" s="2522"/>
      <c r="J48" s="2163"/>
      <c r="K48" s="2523">
        <v>0</v>
      </c>
      <c r="L48" s="2523"/>
      <c r="M48" s="2163"/>
      <c r="N48" s="2527"/>
      <c r="O48" s="2163"/>
    </row>
    <row r="49" spans="1:15">
      <c r="H49" s="2163"/>
      <c r="I49" s="2163"/>
      <c r="J49" s="2163"/>
      <c r="K49" s="2523"/>
      <c r="L49" s="2523"/>
      <c r="N49" s="2527"/>
    </row>
    <row r="50" spans="1:15">
      <c r="A50" s="2165">
        <v>33411</v>
      </c>
      <c r="B50" s="2163"/>
      <c r="C50" s="2524" t="s">
        <v>2883</v>
      </c>
      <c r="D50" s="2524"/>
      <c r="E50" s="2524"/>
      <c r="F50" s="2524"/>
      <c r="G50" s="2524"/>
      <c r="H50" s="2524"/>
      <c r="I50" s="2524"/>
      <c r="J50" s="2163"/>
      <c r="K50" s="2163"/>
      <c r="L50" s="2163"/>
      <c r="M50" s="2163"/>
    </row>
    <row r="51" spans="1:15">
      <c r="A51" s="2163"/>
      <c r="B51" s="2163"/>
      <c r="C51" s="2163"/>
      <c r="D51" s="2163"/>
      <c r="E51" s="2163"/>
      <c r="F51" s="2163"/>
      <c r="G51" s="2163"/>
      <c r="H51" s="2163"/>
      <c r="I51" s="2163"/>
      <c r="J51" s="2163"/>
      <c r="K51" s="2163"/>
      <c r="L51" s="2163"/>
      <c r="M51" s="2163"/>
    </row>
    <row r="52" spans="1:15">
      <c r="A52" s="2529"/>
      <c r="B52" s="2529"/>
      <c r="C52" s="2529"/>
      <c r="D52" s="2166"/>
      <c r="E52" s="2166"/>
      <c r="F52" s="2166"/>
      <c r="G52" s="2166"/>
      <c r="H52" s="2525"/>
      <c r="I52" s="2525"/>
      <c r="J52" s="2525"/>
      <c r="K52" s="2166"/>
      <c r="L52" s="2167"/>
      <c r="M52" s="2166"/>
    </row>
    <row r="53" spans="1:15">
      <c r="A53" s="2164"/>
      <c r="B53" s="2164"/>
      <c r="C53" s="2164"/>
      <c r="D53" s="2164"/>
      <c r="E53" s="2522" t="s">
        <v>2639</v>
      </c>
      <c r="F53" s="2522"/>
      <c r="G53" s="2164"/>
      <c r="H53" s="2523">
        <v>0</v>
      </c>
      <c r="I53" s="2523"/>
      <c r="J53" s="2523"/>
      <c r="K53" s="2163"/>
      <c r="L53" s="2523">
        <v>0</v>
      </c>
      <c r="M53" s="2163"/>
    </row>
    <row r="54" spans="1:15">
      <c r="A54" s="2164"/>
      <c r="B54" s="2164"/>
      <c r="C54" s="2164"/>
      <c r="D54" s="2164"/>
      <c r="E54" s="2164"/>
      <c r="F54" s="2164"/>
      <c r="G54" s="2164"/>
      <c r="H54" s="2523"/>
      <c r="I54" s="2523"/>
      <c r="J54" s="2523"/>
      <c r="K54" s="2163"/>
      <c r="L54" s="2523"/>
      <c r="M54" s="2163"/>
    </row>
    <row r="55" spans="1:15">
      <c r="A55" s="2160" t="s">
        <v>2634</v>
      </c>
      <c r="B55" s="2161"/>
      <c r="C55" s="2160" t="s">
        <v>2635</v>
      </c>
      <c r="D55" s="2161"/>
      <c r="E55" s="2160" t="s">
        <v>2640</v>
      </c>
      <c r="F55" s="2161"/>
    </row>
    <row r="56" spans="1:15">
      <c r="A56" s="2163"/>
      <c r="B56" s="2163"/>
      <c r="C56" s="2163"/>
      <c r="D56" s="2163"/>
      <c r="E56" s="2163"/>
      <c r="F56" s="2163"/>
      <c r="G56" s="2163"/>
      <c r="H56" s="2163"/>
      <c r="I56" s="2163"/>
      <c r="J56" s="2163"/>
      <c r="K56" s="2163"/>
      <c r="L56" s="2163"/>
      <c r="M56" s="2163"/>
    </row>
    <row r="57" spans="1:15">
      <c r="A57" s="2164"/>
      <c r="H57" s="2522" t="s">
        <v>2637</v>
      </c>
      <c r="I57" s="2522"/>
      <c r="J57" s="2163"/>
      <c r="K57" s="2523">
        <v>0</v>
      </c>
      <c r="L57" s="2523"/>
      <c r="M57" s="2163"/>
      <c r="N57" s="2527"/>
      <c r="O57" s="2163"/>
    </row>
    <row r="58" spans="1:15">
      <c r="H58" s="2163"/>
      <c r="I58" s="2163"/>
      <c r="J58" s="2163"/>
      <c r="K58" s="2523"/>
      <c r="L58" s="2523"/>
      <c r="N58" s="2527"/>
    </row>
    <row r="59" spans="1:15">
      <c r="A59" s="2165">
        <v>33762</v>
      </c>
      <c r="B59" s="2163"/>
      <c r="C59" s="2524" t="s">
        <v>2884</v>
      </c>
      <c r="D59" s="2524"/>
      <c r="E59" s="2524"/>
      <c r="F59" s="2524"/>
      <c r="G59" s="2524"/>
      <c r="H59" s="2524"/>
      <c r="I59" s="2524"/>
      <c r="J59" s="2163"/>
      <c r="K59" s="2163"/>
      <c r="L59" s="2163"/>
      <c r="M59" s="2163"/>
    </row>
    <row r="60" spans="1:15">
      <c r="A60" s="2163"/>
      <c r="B60" s="2163"/>
      <c r="C60" s="2163"/>
      <c r="D60" s="2163"/>
      <c r="E60" s="2163"/>
      <c r="F60" s="2163"/>
      <c r="G60" s="2163"/>
      <c r="H60" s="2163"/>
      <c r="I60" s="2163"/>
      <c r="J60" s="2163"/>
      <c r="K60" s="2163"/>
      <c r="L60" s="2163"/>
      <c r="M60" s="2163"/>
    </row>
    <row r="61" spans="1:15">
      <c r="A61" s="2529"/>
      <c r="B61" s="2529"/>
      <c r="C61" s="2529"/>
      <c r="D61" s="2166"/>
      <c r="E61" s="2166"/>
      <c r="F61" s="2166"/>
      <c r="G61" s="2166"/>
      <c r="H61" s="2525"/>
      <c r="I61" s="2525"/>
      <c r="J61" s="2525"/>
      <c r="K61" s="2166"/>
      <c r="L61" s="2167"/>
      <c r="M61" s="2166"/>
    </row>
    <row r="62" spans="1:15">
      <c r="A62" s="2164"/>
      <c r="B62" s="2164"/>
      <c r="C62" s="2164"/>
      <c r="D62" s="2164"/>
      <c r="E62" s="2522" t="s">
        <v>2639</v>
      </c>
      <c r="F62" s="2522"/>
      <c r="G62" s="2164"/>
      <c r="H62" s="2523">
        <v>0</v>
      </c>
      <c r="I62" s="2523"/>
      <c r="J62" s="2523"/>
      <c r="K62" s="2163"/>
      <c r="L62" s="2523">
        <v>0</v>
      </c>
      <c r="M62" s="2163"/>
    </row>
    <row r="63" spans="1:15">
      <c r="A63" s="2164"/>
      <c r="B63" s="2164"/>
      <c r="C63" s="2164"/>
      <c r="D63" s="2164"/>
      <c r="E63" s="2164"/>
      <c r="F63" s="2164"/>
      <c r="G63" s="2164"/>
      <c r="H63" s="2523"/>
      <c r="I63" s="2523"/>
      <c r="J63" s="2523"/>
      <c r="K63" s="2163"/>
      <c r="L63" s="2523"/>
      <c r="M63" s="2163"/>
    </row>
    <row r="64" spans="1:15">
      <c r="A64" s="2160" t="s">
        <v>2634</v>
      </c>
      <c r="B64" s="2161"/>
      <c r="C64" s="2160" t="s">
        <v>2635</v>
      </c>
      <c r="D64" s="2161"/>
      <c r="E64" s="2160" t="s">
        <v>2640</v>
      </c>
      <c r="F64" s="2161"/>
    </row>
    <row r="65" spans="1:15">
      <c r="A65" s="2163"/>
      <c r="B65" s="2163"/>
      <c r="C65" s="2163"/>
      <c r="D65" s="2163"/>
      <c r="E65" s="2163"/>
      <c r="F65" s="2163"/>
      <c r="G65" s="2163"/>
      <c r="H65" s="2163"/>
      <c r="I65" s="2163"/>
      <c r="J65" s="2163"/>
      <c r="K65" s="2163"/>
      <c r="L65" s="2163"/>
      <c r="M65" s="2163"/>
    </row>
    <row r="66" spans="1:15">
      <c r="A66" s="2164"/>
      <c r="H66" s="2522" t="s">
        <v>2637</v>
      </c>
      <c r="I66" s="2522"/>
      <c r="J66" s="2163"/>
      <c r="K66" s="2523">
        <v>0</v>
      </c>
      <c r="L66" s="2523"/>
      <c r="M66" s="2163"/>
      <c r="N66" s="2527"/>
      <c r="O66" s="2163"/>
    </row>
    <row r="67" spans="1:15">
      <c r="H67" s="2163"/>
      <c r="I67" s="2163"/>
      <c r="J67" s="2163"/>
      <c r="K67" s="2523"/>
      <c r="L67" s="2523"/>
      <c r="N67" s="2527"/>
    </row>
    <row r="68" spans="1:15">
      <c r="A68" s="2165">
        <v>35647</v>
      </c>
      <c r="B68" s="2163"/>
      <c r="C68" s="2524" t="s">
        <v>2885</v>
      </c>
      <c r="D68" s="2524"/>
      <c r="E68" s="2524"/>
      <c r="F68" s="2524"/>
      <c r="G68" s="2524"/>
      <c r="H68" s="2524"/>
      <c r="I68" s="2524"/>
      <c r="J68" s="2163"/>
      <c r="K68" s="2163"/>
      <c r="L68" s="2163"/>
      <c r="M68" s="2163"/>
    </row>
    <row r="69" spans="1:15">
      <c r="A69" s="2163"/>
      <c r="B69" s="2163"/>
      <c r="C69" s="2163"/>
      <c r="D69" s="2163"/>
      <c r="E69" s="2163"/>
      <c r="F69" s="2163"/>
      <c r="G69" s="2163"/>
      <c r="H69" s="2163"/>
      <c r="I69" s="2163"/>
      <c r="J69" s="2163"/>
      <c r="K69" s="2163"/>
      <c r="L69" s="2163"/>
      <c r="M69" s="2163"/>
    </row>
    <row r="70" spans="1:15">
      <c r="A70" s="2529"/>
      <c r="B70" s="2529"/>
      <c r="C70" s="2529"/>
      <c r="D70" s="2166"/>
      <c r="E70" s="2166"/>
      <c r="F70" s="2166"/>
      <c r="G70" s="2166"/>
      <c r="H70" s="2525"/>
      <c r="I70" s="2525"/>
      <c r="J70" s="2525"/>
      <c r="K70" s="2166"/>
      <c r="L70" s="2167"/>
      <c r="M70" s="2166"/>
    </row>
    <row r="71" spans="1:15">
      <c r="A71" s="2164"/>
      <c r="B71" s="2164"/>
      <c r="C71" s="2164"/>
      <c r="D71" s="2164"/>
      <c r="E71" s="2522" t="s">
        <v>2639</v>
      </c>
      <c r="F71" s="2522"/>
      <c r="G71" s="2164"/>
      <c r="H71" s="2523">
        <v>0</v>
      </c>
      <c r="I71" s="2523"/>
      <c r="J71" s="2523"/>
      <c r="K71" s="2163"/>
      <c r="L71" s="2523">
        <v>0</v>
      </c>
      <c r="M71" s="2163"/>
    </row>
    <row r="72" spans="1:15">
      <c r="A72" s="2164"/>
      <c r="B72" s="2164"/>
      <c r="C72" s="2164"/>
      <c r="D72" s="2164"/>
      <c r="E72" s="2164"/>
      <c r="F72" s="2164"/>
      <c r="G72" s="2164"/>
      <c r="H72" s="2523"/>
      <c r="I72" s="2523"/>
      <c r="J72" s="2523"/>
      <c r="K72" s="2163"/>
      <c r="L72" s="2523"/>
      <c r="M72" s="2163"/>
    </row>
    <row r="73" spans="1:15">
      <c r="A73" s="2160" t="s">
        <v>2634</v>
      </c>
      <c r="B73" s="2161"/>
      <c r="C73" s="2160" t="s">
        <v>2635</v>
      </c>
      <c r="D73" s="2161"/>
      <c r="E73" s="2160" t="s">
        <v>2640</v>
      </c>
      <c r="F73" s="2161"/>
    </row>
    <row r="74" spans="1:15">
      <c r="A74" s="2163"/>
      <c r="B74" s="2163"/>
      <c r="C74" s="2163"/>
      <c r="D74" s="2163"/>
      <c r="E74" s="2163"/>
      <c r="F74" s="2163"/>
      <c r="G74" s="2163"/>
      <c r="H74" s="2163"/>
      <c r="I74" s="2163"/>
      <c r="J74" s="2163"/>
      <c r="K74" s="2163"/>
      <c r="L74" s="2163"/>
      <c r="M74" s="2163"/>
    </row>
    <row r="75" spans="1:15">
      <c r="A75" s="2164"/>
      <c r="H75" s="2522" t="s">
        <v>2637</v>
      </c>
      <c r="I75" s="2522"/>
      <c r="J75" s="2163"/>
      <c r="K75" s="2523">
        <v>0</v>
      </c>
      <c r="L75" s="2523"/>
      <c r="M75" s="2163"/>
      <c r="N75" s="2527"/>
      <c r="O75" s="2163"/>
    </row>
    <row r="76" spans="1:15">
      <c r="H76" s="2163"/>
      <c r="I76" s="2163"/>
      <c r="J76" s="2163"/>
      <c r="K76" s="2523"/>
      <c r="L76" s="2523"/>
      <c r="N76" s="2527"/>
    </row>
    <row r="77" spans="1:15">
      <c r="A77" s="2165">
        <v>50602</v>
      </c>
      <c r="B77" s="2163"/>
      <c r="C77" s="2524" t="s">
        <v>2880</v>
      </c>
      <c r="D77" s="2524"/>
      <c r="E77" s="2524"/>
      <c r="F77" s="2524"/>
      <c r="G77" s="2524"/>
      <c r="H77" s="2524"/>
      <c r="I77" s="2524"/>
      <c r="J77" s="2163"/>
      <c r="K77" s="2163"/>
      <c r="L77" s="2163"/>
      <c r="M77" s="2163"/>
    </row>
    <row r="78" spans="1:15">
      <c r="A78" s="2163"/>
      <c r="B78" s="2163"/>
      <c r="C78" s="2163"/>
      <c r="D78" s="2163"/>
      <c r="E78" s="2163"/>
      <c r="F78" s="2163"/>
      <c r="G78" s="2163"/>
      <c r="H78" s="2163"/>
      <c r="I78" s="2163"/>
      <c r="J78" s="2163"/>
      <c r="K78" s="2163"/>
      <c r="L78" s="2163"/>
      <c r="M78" s="2163"/>
    </row>
    <row r="79" spans="1:15">
      <c r="A79" s="2529"/>
      <c r="B79" s="2529"/>
      <c r="C79" s="2529"/>
      <c r="D79" s="2166"/>
      <c r="E79" s="2166"/>
      <c r="F79" s="2166"/>
      <c r="G79" s="2166"/>
      <c r="H79" s="2525"/>
      <c r="I79" s="2525"/>
      <c r="J79" s="2525"/>
      <c r="K79" s="2166"/>
      <c r="L79" s="2167"/>
      <c r="M79" s="2166"/>
    </row>
    <row r="80" spans="1:15">
      <c r="A80" s="2164"/>
      <c r="B80" s="2164"/>
      <c r="C80" s="2164"/>
      <c r="D80" s="2164"/>
      <c r="E80" s="2522" t="s">
        <v>2639</v>
      </c>
      <c r="F80" s="2522"/>
      <c r="G80" s="2164"/>
      <c r="H80" s="2523">
        <v>0</v>
      </c>
      <c r="I80" s="2523"/>
      <c r="J80" s="2523"/>
      <c r="K80" s="2163"/>
      <c r="L80" s="2523">
        <v>0</v>
      </c>
      <c r="M80" s="2163"/>
    </row>
    <row r="81" spans="1:15">
      <c r="A81" s="2164"/>
      <c r="B81" s="2164"/>
      <c r="C81" s="2164"/>
      <c r="D81" s="2164"/>
      <c r="E81" s="2164"/>
      <c r="F81" s="2164"/>
      <c r="G81" s="2164"/>
      <c r="H81" s="2523"/>
      <c r="I81" s="2523"/>
      <c r="J81" s="2523"/>
      <c r="K81" s="2163"/>
      <c r="L81" s="2523"/>
      <c r="M81" s="2163"/>
    </row>
    <row r="82" spans="1:15">
      <c r="A82" s="2160" t="s">
        <v>2634</v>
      </c>
      <c r="B82" s="2161"/>
      <c r="C82" s="2160" t="s">
        <v>2635</v>
      </c>
      <c r="D82" s="2161"/>
      <c r="E82" s="2160" t="s">
        <v>2640</v>
      </c>
      <c r="F82" s="2161"/>
    </row>
    <row r="83" spans="1:15">
      <c r="A83" s="2163"/>
      <c r="B83" s="2163"/>
      <c r="C83" s="2163"/>
      <c r="D83" s="2163"/>
      <c r="E83" s="2163"/>
      <c r="F83" s="2163"/>
      <c r="G83" s="2163"/>
      <c r="H83" s="2163"/>
      <c r="I83" s="2163"/>
      <c r="J83" s="2163"/>
      <c r="K83" s="2163"/>
      <c r="L83" s="2163"/>
      <c r="M83" s="2163"/>
    </row>
    <row r="84" spans="1:15">
      <c r="A84" s="2164"/>
      <c r="H84" s="2522" t="s">
        <v>2637</v>
      </c>
      <c r="I84" s="2522"/>
      <c r="J84" s="2163"/>
      <c r="K84" s="2523">
        <v>4.1999999999999997E-3</v>
      </c>
      <c r="L84" s="2523"/>
      <c r="M84" s="2163"/>
      <c r="N84" s="2527"/>
      <c r="O84" s="2163"/>
    </row>
    <row r="85" spans="1:15">
      <c r="H85" s="2163"/>
      <c r="I85" s="2163"/>
      <c r="J85" s="2163"/>
      <c r="K85" s="2523"/>
      <c r="L85" s="2523"/>
      <c r="N85" s="2527"/>
    </row>
    <row r="86" spans="1:15">
      <c r="A86" s="2165">
        <v>64050</v>
      </c>
      <c r="B86" s="2163"/>
      <c r="C86" s="2524" t="s">
        <v>2886</v>
      </c>
      <c r="D86" s="2524"/>
      <c r="E86" s="2524"/>
      <c r="F86" s="2524"/>
      <c r="G86" s="2524"/>
      <c r="H86" s="2524"/>
      <c r="I86" s="2524"/>
      <c r="J86" s="2163"/>
      <c r="K86" s="2163"/>
      <c r="L86" s="2163"/>
      <c r="M86" s="2163"/>
    </row>
    <row r="87" spans="1:15">
      <c r="A87" s="2163"/>
      <c r="B87" s="2163"/>
      <c r="C87" s="2163"/>
      <c r="D87" s="2163"/>
      <c r="E87" s="2163"/>
      <c r="F87" s="2163"/>
      <c r="G87" s="2163"/>
      <c r="H87" s="2163"/>
      <c r="I87" s="2163"/>
      <c r="J87" s="2163"/>
      <c r="K87" s="2163"/>
      <c r="L87" s="2163"/>
      <c r="M87" s="2163"/>
    </row>
    <row r="88" spans="1:15">
      <c r="A88" s="2529"/>
      <c r="B88" s="2529"/>
      <c r="C88" s="2529"/>
      <c r="D88" s="2166"/>
      <c r="E88" s="2166"/>
      <c r="F88" s="2166"/>
      <c r="G88" s="2166"/>
      <c r="H88" s="2525"/>
      <c r="I88" s="2525"/>
      <c r="J88" s="2525"/>
      <c r="K88" s="2166"/>
      <c r="L88" s="2167"/>
      <c r="M88" s="2166"/>
    </row>
    <row r="89" spans="1:15">
      <c r="A89" s="2164"/>
      <c r="B89" s="2164"/>
      <c r="C89" s="2164"/>
      <c r="D89" s="2164"/>
      <c r="E89" s="2522" t="s">
        <v>2639</v>
      </c>
      <c r="F89" s="2522"/>
      <c r="G89" s="2164"/>
      <c r="H89" s="2523">
        <v>4.1999999999999997E-3</v>
      </c>
      <c r="I89" s="2523"/>
      <c r="J89" s="2523"/>
      <c r="K89" s="2163"/>
      <c r="L89" s="2523">
        <v>0.46</v>
      </c>
      <c r="M89" s="2163"/>
    </row>
    <row r="90" spans="1:15">
      <c r="A90" s="2164"/>
      <c r="B90" s="2164"/>
      <c r="C90" s="2164"/>
      <c r="D90" s="2164"/>
      <c r="E90" s="2164"/>
      <c r="F90" s="2164"/>
      <c r="G90" s="2164"/>
      <c r="H90" s="2523"/>
      <c r="I90" s="2523"/>
      <c r="J90" s="2523"/>
      <c r="K90" s="2163"/>
      <c r="L90" s="2523"/>
      <c r="M90" s="2163"/>
    </row>
    <row r="91" spans="1:15">
      <c r="A91" s="2160" t="s">
        <v>2634</v>
      </c>
      <c r="B91" s="2161"/>
      <c r="C91" s="2160" t="s">
        <v>2635</v>
      </c>
      <c r="D91" s="2161"/>
      <c r="E91" s="2160" t="s">
        <v>2671</v>
      </c>
      <c r="F91" s="2161"/>
    </row>
    <row r="92" spans="1:15">
      <c r="A92" s="2163"/>
      <c r="B92" s="2163"/>
      <c r="C92" s="2163"/>
      <c r="D92" s="2163"/>
      <c r="E92" s="2163"/>
      <c r="F92" s="2163"/>
      <c r="G92" s="2163"/>
      <c r="H92" s="2163"/>
      <c r="I92" s="2163"/>
      <c r="J92" s="2163"/>
      <c r="K92" s="2163"/>
      <c r="L92" s="2163"/>
      <c r="M92" s="2163"/>
    </row>
    <row r="93" spans="1:15">
      <c r="A93" s="2164"/>
      <c r="H93" s="2522" t="s">
        <v>2637</v>
      </c>
      <c r="I93" s="2522"/>
      <c r="J93" s="2163"/>
      <c r="K93" s="2523">
        <v>0</v>
      </c>
      <c r="L93" s="2523"/>
      <c r="M93" s="2163"/>
      <c r="N93" s="2527"/>
      <c r="O93" s="2163"/>
    </row>
    <row r="94" spans="1:15">
      <c r="H94" s="2163"/>
      <c r="I94" s="2163"/>
      <c r="J94" s="2163"/>
      <c r="K94" s="2523"/>
      <c r="L94" s="2523"/>
      <c r="N94" s="2527"/>
    </row>
    <row r="95" spans="1:15">
      <c r="A95" s="2165">
        <v>40568</v>
      </c>
      <c r="B95" s="2163"/>
      <c r="C95" s="2524" t="s">
        <v>2882</v>
      </c>
      <c r="D95" s="2524"/>
      <c r="E95" s="2524"/>
      <c r="F95" s="2524"/>
      <c r="G95" s="2524"/>
      <c r="H95" s="2524"/>
      <c r="I95" s="2524"/>
      <c r="J95" s="2163"/>
      <c r="K95" s="2163"/>
      <c r="L95" s="2163"/>
      <c r="M95" s="2163"/>
    </row>
    <row r="96" spans="1:15">
      <c r="A96" s="2163"/>
      <c r="B96" s="2163"/>
      <c r="C96" s="2163"/>
      <c r="D96" s="2163"/>
      <c r="E96" s="2163"/>
      <c r="F96" s="2163"/>
      <c r="G96" s="2163"/>
      <c r="H96" s="2163"/>
      <c r="I96" s="2163"/>
      <c r="J96" s="2163"/>
      <c r="K96" s="2163"/>
      <c r="L96" s="2163"/>
      <c r="M96" s="2163"/>
    </row>
    <row r="97" spans="1:15">
      <c r="A97" s="2529"/>
      <c r="B97" s="2529"/>
      <c r="C97" s="2529"/>
      <c r="D97" s="2166"/>
      <c r="E97" s="2166"/>
      <c r="F97" s="2166"/>
      <c r="G97" s="2166"/>
      <c r="H97" s="2525"/>
      <c r="I97" s="2525"/>
      <c r="J97" s="2525"/>
      <c r="K97" s="2166"/>
      <c r="L97" s="2167"/>
      <c r="M97" s="2166"/>
    </row>
    <row r="98" spans="1:15">
      <c r="A98" s="2164"/>
      <c r="B98" s="2164"/>
      <c r="C98" s="2164"/>
      <c r="D98" s="2164"/>
      <c r="E98" s="2522" t="s">
        <v>2639</v>
      </c>
      <c r="F98" s="2522"/>
      <c r="G98" s="2164"/>
      <c r="H98" s="2523">
        <v>0</v>
      </c>
      <c r="I98" s="2523"/>
      <c r="J98" s="2523"/>
      <c r="K98" s="2163"/>
      <c r="L98" s="2523">
        <v>0</v>
      </c>
      <c r="M98" s="2163"/>
    </row>
    <row r="99" spans="1:15">
      <c r="A99" s="2164"/>
      <c r="B99" s="2164"/>
      <c r="C99" s="2164"/>
      <c r="D99" s="2164"/>
      <c r="E99" s="2164"/>
      <c r="F99" s="2164"/>
      <c r="G99" s="2164"/>
      <c r="H99" s="2523"/>
      <c r="I99" s="2523"/>
      <c r="J99" s="2523"/>
      <c r="K99" s="2163"/>
      <c r="L99" s="2523"/>
      <c r="M99" s="2163"/>
    </row>
    <row r="100" spans="1:15">
      <c r="A100" s="2160" t="s">
        <v>2673</v>
      </c>
      <c r="B100" s="2161"/>
      <c r="C100" s="2160" t="s">
        <v>2674</v>
      </c>
      <c r="D100" s="2161"/>
      <c r="E100" s="2160" t="s">
        <v>2640</v>
      </c>
      <c r="F100" s="2161"/>
    </row>
    <row r="101" spans="1:15">
      <c r="A101" s="2163"/>
      <c r="B101" s="2163"/>
      <c r="C101" s="2163"/>
      <c r="D101" s="2163"/>
      <c r="E101" s="2163"/>
      <c r="F101" s="2163"/>
      <c r="G101" s="2163"/>
      <c r="H101" s="2163"/>
      <c r="I101" s="2163"/>
      <c r="J101" s="2163"/>
      <c r="K101" s="2163"/>
      <c r="L101" s="2163"/>
      <c r="M101" s="2163"/>
    </row>
    <row r="102" spans="1:15">
      <c r="A102" s="2164"/>
      <c r="H102" s="2522" t="s">
        <v>2637</v>
      </c>
      <c r="I102" s="2522"/>
      <c r="J102" s="2163"/>
      <c r="K102" s="2523">
        <v>0</v>
      </c>
      <c r="L102" s="2523"/>
      <c r="M102" s="2163"/>
      <c r="N102" s="2527"/>
      <c r="O102" s="2163"/>
    </row>
    <row r="103" spans="1:15">
      <c r="H103" s="2163"/>
      <c r="I103" s="2163"/>
      <c r="J103" s="2163"/>
      <c r="K103" s="2523"/>
      <c r="L103" s="2523"/>
      <c r="N103" s="2527"/>
    </row>
    <row r="104" spans="1:15">
      <c r="A104" s="2165">
        <v>41512</v>
      </c>
      <c r="B104" s="2163"/>
      <c r="C104" s="2524" t="s">
        <v>3119</v>
      </c>
      <c r="D104" s="2524"/>
      <c r="E104" s="2524"/>
      <c r="F104" s="2524"/>
      <c r="G104" s="2524"/>
      <c r="H104" s="2524"/>
      <c r="I104" s="2524"/>
      <c r="J104" s="2163"/>
      <c r="K104" s="2163"/>
      <c r="L104" s="2163"/>
      <c r="M104" s="2163"/>
    </row>
    <row r="105" spans="1:15">
      <c r="A105" s="2163"/>
      <c r="B105" s="2163"/>
      <c r="C105" s="2163"/>
      <c r="D105" s="2163"/>
      <c r="E105" s="2163"/>
      <c r="F105" s="2163"/>
      <c r="G105" s="2163"/>
      <c r="H105" s="2163"/>
      <c r="I105" s="2163"/>
      <c r="J105" s="2163"/>
      <c r="K105" s="2163"/>
      <c r="L105" s="2163"/>
      <c r="M105" s="2163"/>
    </row>
    <row r="106" spans="1:15">
      <c r="A106" s="2529"/>
      <c r="B106" s="2529"/>
      <c r="C106" s="2529"/>
      <c r="D106" s="2166"/>
      <c r="E106" s="2166"/>
      <c r="F106" s="2166"/>
      <c r="G106" s="2166"/>
      <c r="H106" s="2525"/>
      <c r="I106" s="2525"/>
      <c r="J106" s="2525"/>
      <c r="K106" s="2166"/>
      <c r="L106" s="2167"/>
      <c r="M106" s="2166"/>
    </row>
    <row r="107" spans="1:15">
      <c r="A107" s="2164"/>
      <c r="B107" s="2164"/>
      <c r="C107" s="2164"/>
      <c r="D107" s="2164"/>
      <c r="E107" s="2522" t="s">
        <v>2639</v>
      </c>
      <c r="F107" s="2522"/>
      <c r="G107" s="2164"/>
      <c r="H107" s="2523">
        <v>0</v>
      </c>
      <c r="I107" s="2523"/>
      <c r="J107" s="2523"/>
      <c r="K107" s="2163"/>
      <c r="L107" s="2530"/>
      <c r="M107" s="2163"/>
    </row>
    <row r="108" spans="1:15">
      <c r="A108" s="2164"/>
      <c r="B108" s="2164"/>
      <c r="C108" s="2164"/>
      <c r="D108" s="2164"/>
      <c r="E108" s="2164"/>
      <c r="F108" s="2164"/>
      <c r="G108" s="2164"/>
      <c r="H108" s="2523"/>
      <c r="I108" s="2523"/>
      <c r="J108" s="2523"/>
      <c r="K108" s="2163"/>
      <c r="L108" s="2530"/>
      <c r="M108" s="2163"/>
    </row>
    <row r="109" spans="1:15">
      <c r="A109" s="2160" t="s">
        <v>2673</v>
      </c>
      <c r="B109" s="2161"/>
      <c r="C109" s="2160" t="s">
        <v>2674</v>
      </c>
      <c r="D109" s="2161"/>
      <c r="E109" s="2160" t="s">
        <v>2640</v>
      </c>
      <c r="F109" s="2161"/>
    </row>
    <row r="110" spans="1:15">
      <c r="A110" s="2163"/>
      <c r="B110" s="2163"/>
      <c r="C110" s="2163"/>
      <c r="D110" s="2163"/>
      <c r="E110" s="2163"/>
      <c r="F110" s="2163"/>
      <c r="G110" s="2163"/>
      <c r="H110" s="2163"/>
      <c r="I110" s="2163"/>
      <c r="J110" s="2163"/>
      <c r="K110" s="2163"/>
      <c r="L110" s="2163"/>
      <c r="M110" s="2163"/>
    </row>
    <row r="111" spans="1:15">
      <c r="A111" s="2164"/>
      <c r="H111" s="2522" t="s">
        <v>2637</v>
      </c>
      <c r="I111" s="2522"/>
      <c r="J111" s="2163"/>
      <c r="K111" s="2523">
        <v>0</v>
      </c>
      <c r="L111" s="2523"/>
      <c r="M111" s="2163"/>
      <c r="N111" s="2527"/>
      <c r="O111" s="2163"/>
    </row>
    <row r="112" spans="1:15">
      <c r="H112" s="2163"/>
      <c r="I112" s="2163"/>
      <c r="J112" s="2163"/>
      <c r="K112" s="2523"/>
      <c r="L112" s="2523"/>
      <c r="N112" s="2527"/>
    </row>
    <row r="113" spans="1:15">
      <c r="A113" s="2165">
        <v>33411</v>
      </c>
      <c r="B113" s="2163"/>
      <c r="C113" s="2524" t="s">
        <v>2883</v>
      </c>
      <c r="D113" s="2524"/>
      <c r="E113" s="2524"/>
      <c r="F113" s="2524"/>
      <c r="G113" s="2524"/>
      <c r="H113" s="2524"/>
      <c r="I113" s="2524"/>
      <c r="J113" s="2163"/>
      <c r="K113" s="2163"/>
      <c r="L113" s="2163"/>
      <c r="M113" s="2163"/>
    </row>
    <row r="114" spans="1:15">
      <c r="A114" s="2163"/>
      <c r="B114" s="2163"/>
      <c r="C114" s="2163"/>
      <c r="D114" s="2163"/>
      <c r="E114" s="2163"/>
      <c r="F114" s="2163"/>
      <c r="G114" s="2163"/>
      <c r="H114" s="2163"/>
      <c r="I114" s="2163"/>
      <c r="J114" s="2163"/>
      <c r="K114" s="2163"/>
      <c r="L114" s="2163"/>
      <c r="M114" s="2163"/>
    </row>
    <row r="115" spans="1:15">
      <c r="A115" s="2529"/>
      <c r="B115" s="2529"/>
      <c r="C115" s="2529"/>
      <c r="D115" s="2166"/>
      <c r="E115" s="2166"/>
      <c r="F115" s="2166"/>
      <c r="G115" s="2166"/>
      <c r="H115" s="2525"/>
      <c r="I115" s="2525"/>
      <c r="J115" s="2525"/>
      <c r="K115" s="2166"/>
      <c r="L115" s="2167"/>
      <c r="M115" s="2166"/>
    </row>
    <row r="116" spans="1:15">
      <c r="A116" s="2164"/>
      <c r="B116" s="2164"/>
      <c r="C116" s="2164"/>
      <c r="D116" s="2164"/>
      <c r="E116" s="2522" t="s">
        <v>2639</v>
      </c>
      <c r="F116" s="2522"/>
      <c r="G116" s="2164"/>
      <c r="H116" s="2523">
        <v>0</v>
      </c>
      <c r="I116" s="2523"/>
      <c r="J116" s="2523"/>
      <c r="K116" s="2163"/>
      <c r="L116" s="2530"/>
      <c r="M116" s="2163"/>
    </row>
    <row r="117" spans="1:15">
      <c r="A117" s="2164"/>
      <c r="B117" s="2164"/>
      <c r="C117" s="2164"/>
      <c r="D117" s="2164"/>
      <c r="E117" s="2164"/>
      <c r="F117" s="2164"/>
      <c r="G117" s="2164"/>
      <c r="H117" s="2523"/>
      <c r="I117" s="2523"/>
      <c r="J117" s="2523"/>
      <c r="K117" s="2163"/>
      <c r="L117" s="2530"/>
      <c r="M117" s="2163"/>
    </row>
    <row r="118" spans="1:15">
      <c r="A118" s="2160" t="s">
        <v>2673</v>
      </c>
      <c r="B118" s="2161"/>
      <c r="C118" s="2160" t="s">
        <v>2674</v>
      </c>
      <c r="D118" s="2161"/>
      <c r="E118" s="2160" t="s">
        <v>2640</v>
      </c>
      <c r="F118" s="2161"/>
    </row>
    <row r="119" spans="1:15">
      <c r="A119" s="2163"/>
      <c r="B119" s="2163"/>
      <c r="C119" s="2163"/>
      <c r="D119" s="2163"/>
      <c r="E119" s="2163"/>
      <c r="F119" s="2163"/>
      <c r="G119" s="2163"/>
      <c r="H119" s="2163"/>
      <c r="I119" s="2163"/>
      <c r="J119" s="2163"/>
      <c r="K119" s="2163"/>
      <c r="L119" s="2163"/>
      <c r="M119" s="2163"/>
    </row>
    <row r="120" spans="1:15">
      <c r="A120" s="2164"/>
      <c r="H120" s="2522" t="s">
        <v>2637</v>
      </c>
      <c r="I120" s="2522"/>
      <c r="J120" s="2163"/>
      <c r="K120" s="2523">
        <v>0</v>
      </c>
      <c r="L120" s="2523"/>
      <c r="M120" s="2163"/>
      <c r="N120" s="2527"/>
      <c r="O120" s="2163"/>
    </row>
    <row r="121" spans="1:15">
      <c r="H121" s="2163"/>
      <c r="I121" s="2163"/>
      <c r="J121" s="2163"/>
      <c r="K121" s="2523"/>
      <c r="L121" s="2523"/>
      <c r="N121" s="2527"/>
    </row>
    <row r="122" spans="1:15">
      <c r="A122" s="2165">
        <v>33762</v>
      </c>
      <c r="B122" s="2163"/>
      <c r="C122" s="2524" t="s">
        <v>2884</v>
      </c>
      <c r="D122" s="2524"/>
      <c r="E122" s="2524"/>
      <c r="F122" s="2524"/>
      <c r="G122" s="2524"/>
      <c r="H122" s="2524"/>
      <c r="I122" s="2524"/>
      <c r="J122" s="2163"/>
      <c r="K122" s="2163"/>
      <c r="L122" s="2163"/>
      <c r="M122" s="2163"/>
    </row>
    <row r="123" spans="1:15">
      <c r="A123" s="2163"/>
      <c r="B123" s="2163"/>
      <c r="C123" s="2163"/>
      <c r="D123" s="2163"/>
      <c r="E123" s="2163"/>
      <c r="F123" s="2163"/>
      <c r="G123" s="2163"/>
      <c r="H123" s="2163"/>
      <c r="I123" s="2163"/>
      <c r="J123" s="2163"/>
      <c r="K123" s="2163"/>
      <c r="L123" s="2163"/>
      <c r="M123" s="2163"/>
    </row>
    <row r="124" spans="1:15">
      <c r="A124" s="2529"/>
      <c r="B124" s="2529"/>
      <c r="C124" s="2529"/>
      <c r="D124" s="2166"/>
      <c r="E124" s="2166"/>
      <c r="F124" s="2166"/>
      <c r="G124" s="2166"/>
      <c r="H124" s="2525"/>
      <c r="I124" s="2525"/>
      <c r="J124" s="2525"/>
      <c r="K124" s="2166"/>
      <c r="L124" s="2167"/>
      <c r="M124" s="2166"/>
    </row>
    <row r="125" spans="1:15">
      <c r="A125" s="2164"/>
      <c r="B125" s="2164"/>
      <c r="C125" s="2164"/>
      <c r="D125" s="2164"/>
      <c r="E125" s="2522" t="s">
        <v>2639</v>
      </c>
      <c r="F125" s="2522"/>
      <c r="G125" s="2164"/>
      <c r="H125" s="2523">
        <v>0</v>
      </c>
      <c r="I125" s="2523"/>
      <c r="J125" s="2523"/>
      <c r="K125" s="2163"/>
      <c r="L125" s="2530"/>
      <c r="M125" s="2163"/>
    </row>
    <row r="126" spans="1:15">
      <c r="A126" s="2164"/>
      <c r="B126" s="2164"/>
      <c r="C126" s="2164"/>
      <c r="D126" s="2164"/>
      <c r="E126" s="2164"/>
      <c r="F126" s="2164"/>
      <c r="G126" s="2164"/>
      <c r="H126" s="2523"/>
      <c r="I126" s="2523"/>
      <c r="J126" s="2523"/>
      <c r="K126" s="2163"/>
      <c r="L126" s="2530"/>
      <c r="M126" s="2163"/>
    </row>
    <row r="127" spans="1:15">
      <c r="A127" s="2160" t="s">
        <v>2673</v>
      </c>
      <c r="B127" s="2161"/>
      <c r="C127" s="2160" t="s">
        <v>2674</v>
      </c>
      <c r="D127" s="2161"/>
      <c r="E127" s="2160" t="s">
        <v>2640</v>
      </c>
      <c r="F127" s="2161"/>
    </row>
    <row r="128" spans="1:15">
      <c r="A128" s="2163"/>
      <c r="B128" s="2163"/>
      <c r="C128" s="2163"/>
      <c r="D128" s="2163"/>
      <c r="E128" s="2163"/>
      <c r="F128" s="2163"/>
      <c r="G128" s="2163"/>
      <c r="H128" s="2163"/>
      <c r="I128" s="2163"/>
      <c r="J128" s="2163"/>
      <c r="K128" s="2163"/>
      <c r="L128" s="2163"/>
      <c r="M128" s="2163"/>
    </row>
    <row r="129" spans="1:15">
      <c r="A129" s="2164"/>
      <c r="H129" s="2522" t="s">
        <v>2637</v>
      </c>
      <c r="I129" s="2522"/>
      <c r="J129" s="2163"/>
      <c r="K129" s="2523">
        <v>0</v>
      </c>
      <c r="L129" s="2523"/>
      <c r="M129" s="2163"/>
      <c r="N129" s="2527"/>
      <c r="O129" s="2163"/>
    </row>
    <row r="130" spans="1:15">
      <c r="H130" s="2163"/>
      <c r="I130" s="2163"/>
      <c r="J130" s="2163"/>
      <c r="K130" s="2523"/>
      <c r="L130" s="2523"/>
      <c r="N130" s="2527"/>
    </row>
    <row r="131" spans="1:15">
      <c r="A131" s="2165">
        <v>54545</v>
      </c>
      <c r="B131" s="2163"/>
      <c r="C131" s="2524" t="s">
        <v>2884</v>
      </c>
      <c r="D131" s="2524"/>
      <c r="E131" s="2524"/>
      <c r="F131" s="2524"/>
      <c r="G131" s="2524"/>
      <c r="H131" s="2524"/>
      <c r="I131" s="2524"/>
      <c r="J131" s="2163"/>
      <c r="K131" s="2163"/>
      <c r="L131" s="2163"/>
      <c r="M131" s="2163"/>
    </row>
    <row r="132" spans="1:15">
      <c r="A132" s="2163"/>
      <c r="B132" s="2163"/>
      <c r="C132" s="2163"/>
      <c r="D132" s="2163"/>
      <c r="E132" s="2163"/>
      <c r="F132" s="2163"/>
      <c r="G132" s="2163"/>
      <c r="H132" s="2163"/>
      <c r="I132" s="2163"/>
      <c r="J132" s="2163"/>
      <c r="K132" s="2163"/>
      <c r="L132" s="2163"/>
      <c r="M132" s="2163"/>
    </row>
    <row r="133" spans="1:15">
      <c r="A133" s="2529"/>
      <c r="B133" s="2529"/>
      <c r="C133" s="2529"/>
      <c r="D133" s="2166"/>
      <c r="E133" s="2166"/>
      <c r="F133" s="2166"/>
      <c r="G133" s="2166"/>
      <c r="H133" s="2525"/>
      <c r="I133" s="2525"/>
      <c r="J133" s="2525"/>
      <c r="K133" s="2166"/>
      <c r="L133" s="2167"/>
      <c r="M133" s="2166"/>
    </row>
    <row r="134" spans="1:15">
      <c r="A134" s="2164"/>
      <c r="B134" s="2164"/>
      <c r="C134" s="2164"/>
      <c r="D134" s="2164"/>
      <c r="E134" s="2522" t="s">
        <v>2639</v>
      </c>
      <c r="F134" s="2522"/>
      <c r="G134" s="2164"/>
      <c r="H134" s="2523">
        <v>0</v>
      </c>
      <c r="I134" s="2523"/>
      <c r="J134" s="2523"/>
      <c r="K134" s="2163"/>
      <c r="L134" s="2530"/>
      <c r="M134" s="2163"/>
    </row>
    <row r="135" spans="1:15">
      <c r="A135" s="2164"/>
      <c r="B135" s="2164"/>
      <c r="C135" s="2164"/>
      <c r="D135" s="2164"/>
      <c r="E135" s="2164"/>
      <c r="F135" s="2164"/>
      <c r="G135" s="2164"/>
      <c r="H135" s="2523"/>
      <c r="I135" s="2523"/>
      <c r="J135" s="2523"/>
      <c r="K135" s="2163"/>
      <c r="L135" s="2530"/>
      <c r="M135" s="2163"/>
    </row>
    <row r="136" spans="1:15" ht="27.6">
      <c r="A136" s="2160" t="s">
        <v>2676</v>
      </c>
      <c r="B136" s="2161"/>
      <c r="C136" s="2160" t="s">
        <v>2677</v>
      </c>
      <c r="D136" s="2161"/>
      <c r="E136" s="2160" t="s">
        <v>2640</v>
      </c>
      <c r="F136" s="2161"/>
    </row>
    <row r="137" spans="1:15">
      <c r="A137" s="2163"/>
      <c r="B137" s="2163"/>
      <c r="C137" s="2163"/>
      <c r="D137" s="2163"/>
      <c r="E137" s="2163"/>
      <c r="F137" s="2163"/>
      <c r="G137" s="2163"/>
      <c r="H137" s="2163"/>
      <c r="I137" s="2163"/>
      <c r="J137" s="2163"/>
      <c r="K137" s="2163"/>
      <c r="L137" s="2163"/>
      <c r="M137" s="2163"/>
    </row>
    <row r="138" spans="1:15">
      <c r="A138" s="2164"/>
      <c r="H138" s="2522" t="s">
        <v>2637</v>
      </c>
      <c r="I138" s="2522"/>
      <c r="J138" s="2163"/>
      <c r="K138" s="2523">
        <v>0</v>
      </c>
      <c r="L138" s="2523"/>
      <c r="M138" s="2163"/>
      <c r="N138" s="2527"/>
      <c r="O138" s="2163"/>
    </row>
    <row r="139" spans="1:15">
      <c r="H139" s="2163"/>
      <c r="I139" s="2163"/>
      <c r="J139" s="2163"/>
      <c r="K139" s="2523"/>
      <c r="L139" s="2523"/>
      <c r="N139" s="2527"/>
    </row>
    <row r="140" spans="1:15">
      <c r="A140" s="2165">
        <v>5123</v>
      </c>
      <c r="B140" s="2163"/>
      <c r="C140" s="2524" t="s">
        <v>2887</v>
      </c>
      <c r="D140" s="2524"/>
      <c r="E140" s="2524"/>
      <c r="F140" s="2524"/>
      <c r="G140" s="2524"/>
      <c r="H140" s="2524"/>
      <c r="I140" s="2524"/>
      <c r="J140" s="2163"/>
      <c r="K140" s="2163"/>
      <c r="L140" s="2163"/>
      <c r="M140" s="2163"/>
    </row>
    <row r="141" spans="1:15">
      <c r="A141" s="2163"/>
      <c r="B141" s="2163"/>
      <c r="C141" s="2163"/>
      <c r="D141" s="2163"/>
      <c r="E141" s="2163"/>
      <c r="F141" s="2163"/>
      <c r="G141" s="2163"/>
      <c r="H141" s="2163"/>
      <c r="I141" s="2163"/>
      <c r="J141" s="2163"/>
      <c r="K141" s="2163"/>
      <c r="L141" s="2163"/>
      <c r="M141" s="2163"/>
    </row>
    <row r="142" spans="1:15">
      <c r="A142" s="2529"/>
      <c r="B142" s="2529"/>
      <c r="C142" s="2529"/>
      <c r="D142" s="2166"/>
      <c r="E142" s="2166"/>
      <c r="F142" s="2166"/>
      <c r="G142" s="2166"/>
      <c r="H142" s="2525"/>
      <c r="I142" s="2525"/>
      <c r="J142" s="2525"/>
      <c r="K142" s="2166"/>
      <c r="L142" s="2167"/>
      <c r="M142" s="2166"/>
    </row>
    <row r="143" spans="1:15">
      <c r="A143" s="2164"/>
      <c r="B143" s="2164"/>
      <c r="C143" s="2164"/>
      <c r="D143" s="2164"/>
      <c r="E143" s="2522" t="s">
        <v>2639</v>
      </c>
      <c r="F143" s="2522"/>
      <c r="G143" s="2164"/>
      <c r="H143" s="2523">
        <v>0</v>
      </c>
      <c r="I143" s="2523"/>
      <c r="J143" s="2523"/>
      <c r="K143" s="2163"/>
      <c r="L143" s="2523">
        <v>0</v>
      </c>
      <c r="M143" s="2163"/>
    </row>
    <row r="144" spans="1:15">
      <c r="A144" s="2164"/>
      <c r="B144" s="2164"/>
      <c r="C144" s="2164"/>
      <c r="D144" s="2164"/>
      <c r="E144" s="2164"/>
      <c r="F144" s="2164"/>
      <c r="G144" s="2164"/>
      <c r="H144" s="2523"/>
      <c r="I144" s="2523"/>
      <c r="J144" s="2523"/>
      <c r="K144" s="2163"/>
      <c r="L144" s="2523"/>
      <c r="M144" s="2163"/>
    </row>
    <row r="145" spans="1:15" ht="27.6">
      <c r="A145" s="2160" t="s">
        <v>2676</v>
      </c>
      <c r="B145" s="2161"/>
      <c r="C145" s="2160" t="s">
        <v>2677</v>
      </c>
      <c r="D145" s="2161"/>
      <c r="E145" s="2160" t="s">
        <v>2640</v>
      </c>
      <c r="F145" s="2161"/>
    </row>
    <row r="146" spans="1:15">
      <c r="A146" s="2163"/>
      <c r="B146" s="2163"/>
      <c r="C146" s="2163"/>
      <c r="D146" s="2163"/>
      <c r="E146" s="2163"/>
      <c r="F146" s="2163"/>
      <c r="G146" s="2163"/>
      <c r="H146" s="2163"/>
      <c r="I146" s="2163"/>
      <c r="J146" s="2163"/>
      <c r="K146" s="2163"/>
      <c r="L146" s="2163"/>
      <c r="M146" s="2163"/>
    </row>
    <row r="147" spans="1:15">
      <c r="A147" s="2164"/>
      <c r="H147" s="2522" t="s">
        <v>2637</v>
      </c>
      <c r="I147" s="2522"/>
      <c r="J147" s="2163"/>
      <c r="K147" s="2523">
        <v>0</v>
      </c>
      <c r="L147" s="2523"/>
      <c r="M147" s="2163"/>
      <c r="N147" s="2527"/>
      <c r="O147" s="2163"/>
    </row>
    <row r="148" spans="1:15">
      <c r="H148" s="2163"/>
      <c r="I148" s="2163"/>
      <c r="J148" s="2163"/>
      <c r="K148" s="2523"/>
      <c r="L148" s="2523"/>
      <c r="N148" s="2527"/>
    </row>
    <row r="149" spans="1:15">
      <c r="A149" s="2165">
        <v>5178</v>
      </c>
      <c r="B149" s="2163"/>
      <c r="C149" s="2524" t="s">
        <v>2880</v>
      </c>
      <c r="D149" s="2524"/>
      <c r="E149" s="2524"/>
      <c r="F149" s="2524"/>
      <c r="G149" s="2524"/>
      <c r="H149" s="2524"/>
      <c r="I149" s="2524"/>
      <c r="J149" s="2163"/>
      <c r="K149" s="2163"/>
      <c r="L149" s="2163"/>
      <c r="M149" s="2163"/>
    </row>
    <row r="150" spans="1:15">
      <c r="A150" s="2163"/>
      <c r="B150" s="2163"/>
      <c r="C150" s="2163"/>
      <c r="D150" s="2163"/>
      <c r="E150" s="2163"/>
      <c r="F150" s="2163"/>
      <c r="G150" s="2163"/>
      <c r="H150" s="2163"/>
      <c r="I150" s="2163"/>
      <c r="J150" s="2163"/>
      <c r="K150" s="2163"/>
      <c r="L150" s="2163"/>
      <c r="M150" s="2163"/>
    </row>
    <row r="151" spans="1:15">
      <c r="A151" s="2529"/>
      <c r="B151" s="2529"/>
      <c r="C151" s="2529"/>
      <c r="D151" s="2166"/>
      <c r="E151" s="2166"/>
      <c r="F151" s="2166"/>
      <c r="G151" s="2166"/>
      <c r="H151" s="2525"/>
      <c r="I151" s="2525"/>
      <c r="J151" s="2525"/>
      <c r="K151" s="2166"/>
      <c r="L151" s="2167"/>
      <c r="M151" s="2166"/>
    </row>
    <row r="152" spans="1:15">
      <c r="A152" s="2164"/>
      <c r="B152" s="2164"/>
      <c r="C152" s="2164"/>
      <c r="D152" s="2164"/>
      <c r="E152" s="2522" t="s">
        <v>2639</v>
      </c>
      <c r="F152" s="2522"/>
      <c r="G152" s="2164"/>
      <c r="H152" s="2523">
        <v>0</v>
      </c>
      <c r="I152" s="2523"/>
      <c r="J152" s="2523"/>
      <c r="K152" s="2163"/>
      <c r="L152" s="2523">
        <v>0</v>
      </c>
      <c r="M152" s="2163"/>
    </row>
    <row r="153" spans="1:15">
      <c r="A153" s="2164"/>
      <c r="B153" s="2164"/>
      <c r="C153" s="2164"/>
      <c r="D153" s="2164"/>
      <c r="E153" s="2164"/>
      <c r="F153" s="2164"/>
      <c r="G153" s="2164"/>
      <c r="H153" s="2523"/>
      <c r="I153" s="2523"/>
      <c r="J153" s="2523"/>
      <c r="K153" s="2163"/>
      <c r="L153" s="2523"/>
      <c r="M153" s="2163"/>
    </row>
    <row r="154" spans="1:15" ht="27.6">
      <c r="A154" s="2160" t="s">
        <v>2676</v>
      </c>
      <c r="B154" s="2161"/>
      <c r="C154" s="2160" t="s">
        <v>2677</v>
      </c>
      <c r="D154" s="2161"/>
      <c r="E154" s="2160" t="s">
        <v>2640</v>
      </c>
      <c r="F154" s="2161"/>
    </row>
    <row r="155" spans="1:15">
      <c r="A155" s="2163"/>
      <c r="B155" s="2163"/>
      <c r="C155" s="2163"/>
      <c r="D155" s="2163"/>
      <c r="E155" s="2163"/>
      <c r="F155" s="2163"/>
      <c r="G155" s="2163"/>
      <c r="H155" s="2163"/>
      <c r="I155" s="2163"/>
      <c r="J155" s="2163"/>
      <c r="K155" s="2163"/>
      <c r="L155" s="2163"/>
      <c r="M155" s="2163"/>
    </row>
    <row r="156" spans="1:15">
      <c r="A156" s="2164"/>
      <c r="H156" s="2522" t="s">
        <v>2637</v>
      </c>
      <c r="I156" s="2522"/>
      <c r="J156" s="2163"/>
      <c r="K156" s="2523">
        <v>0</v>
      </c>
      <c r="L156" s="2523"/>
      <c r="M156" s="2163"/>
      <c r="N156" s="2527"/>
      <c r="O156" s="2163"/>
    </row>
    <row r="157" spans="1:15">
      <c r="H157" s="2163"/>
      <c r="I157" s="2163"/>
      <c r="J157" s="2163"/>
      <c r="K157" s="2523"/>
      <c r="L157" s="2523"/>
      <c r="N157" s="2527"/>
    </row>
    <row r="158" spans="1:15">
      <c r="A158" s="2165">
        <v>19339</v>
      </c>
      <c r="B158" s="2163"/>
      <c r="C158" s="2524" t="s">
        <v>2887</v>
      </c>
      <c r="D158" s="2524"/>
      <c r="E158" s="2524"/>
      <c r="F158" s="2524"/>
      <c r="G158" s="2524"/>
      <c r="H158" s="2524"/>
      <c r="I158" s="2524"/>
      <c r="J158" s="2163"/>
      <c r="K158" s="2163"/>
      <c r="L158" s="2163"/>
      <c r="M158" s="2163"/>
    </row>
    <row r="159" spans="1:15">
      <c r="A159" s="2163"/>
      <c r="B159" s="2163"/>
      <c r="C159" s="2163"/>
      <c r="D159" s="2163"/>
      <c r="E159" s="2163"/>
      <c r="F159" s="2163"/>
      <c r="G159" s="2163"/>
      <c r="H159" s="2163"/>
      <c r="I159" s="2163"/>
      <c r="J159" s="2163"/>
      <c r="K159" s="2163"/>
      <c r="L159" s="2163"/>
      <c r="M159" s="2163"/>
    </row>
    <row r="160" spans="1:15">
      <c r="A160" s="2529"/>
      <c r="B160" s="2529"/>
      <c r="C160" s="2529"/>
      <c r="D160" s="2166"/>
      <c r="E160" s="2166"/>
      <c r="F160" s="2166"/>
      <c r="G160" s="2166"/>
      <c r="H160" s="2525"/>
      <c r="I160" s="2525"/>
      <c r="J160" s="2525"/>
      <c r="K160" s="2166"/>
      <c r="L160" s="2167"/>
      <c r="M160" s="2166"/>
    </row>
    <row r="161" spans="1:15">
      <c r="A161" s="2164"/>
      <c r="B161" s="2164"/>
      <c r="C161" s="2164"/>
      <c r="D161" s="2164"/>
      <c r="E161" s="2522" t="s">
        <v>2639</v>
      </c>
      <c r="F161" s="2522"/>
      <c r="G161" s="2164"/>
      <c r="H161" s="2523">
        <v>0</v>
      </c>
      <c r="I161" s="2523"/>
      <c r="J161" s="2523"/>
      <c r="K161" s="2163"/>
      <c r="L161" s="2523">
        <v>0</v>
      </c>
      <c r="M161" s="2163"/>
    </row>
    <row r="162" spans="1:15">
      <c r="A162" s="2164"/>
      <c r="B162" s="2164"/>
      <c r="C162" s="2164"/>
      <c r="D162" s="2164"/>
      <c r="E162" s="2164"/>
      <c r="F162" s="2164"/>
      <c r="G162" s="2164"/>
      <c r="H162" s="2523"/>
      <c r="I162" s="2523"/>
      <c r="J162" s="2523"/>
      <c r="K162" s="2163"/>
      <c r="L162" s="2523"/>
      <c r="M162" s="2163"/>
    </row>
    <row r="163" spans="1:15" ht="27.6">
      <c r="A163" s="2160" t="s">
        <v>2676</v>
      </c>
      <c r="B163" s="2161"/>
      <c r="C163" s="2160" t="s">
        <v>2677</v>
      </c>
      <c r="D163" s="2161"/>
      <c r="E163" s="2160" t="s">
        <v>2640</v>
      </c>
      <c r="F163" s="2161"/>
    </row>
    <row r="164" spans="1:15">
      <c r="A164" s="2163"/>
      <c r="B164" s="2163"/>
      <c r="C164" s="2163"/>
      <c r="D164" s="2163"/>
      <c r="E164" s="2163"/>
      <c r="F164" s="2163"/>
      <c r="G164" s="2163"/>
      <c r="H164" s="2163"/>
      <c r="I164" s="2163"/>
      <c r="J164" s="2163"/>
      <c r="K164" s="2163"/>
      <c r="L164" s="2163"/>
      <c r="M164" s="2163"/>
    </row>
    <row r="165" spans="1:15">
      <c r="A165" s="2164"/>
      <c r="H165" s="2522" t="s">
        <v>2637</v>
      </c>
      <c r="I165" s="2522"/>
      <c r="J165" s="2163"/>
      <c r="K165" s="2523">
        <v>0</v>
      </c>
      <c r="L165" s="2523"/>
      <c r="M165" s="2163"/>
      <c r="N165" s="2527"/>
      <c r="O165" s="2163"/>
    </row>
    <row r="166" spans="1:15">
      <c r="H166" s="2163"/>
      <c r="I166" s="2163"/>
      <c r="J166" s="2163"/>
      <c r="K166" s="2523"/>
      <c r="L166" s="2523"/>
      <c r="N166" s="2527"/>
    </row>
    <row r="167" spans="1:15">
      <c r="A167" s="2165">
        <v>41512</v>
      </c>
      <c r="B167" s="2163"/>
      <c r="C167" s="2524" t="s">
        <v>3119</v>
      </c>
      <c r="D167" s="2524"/>
      <c r="E167" s="2524"/>
      <c r="F167" s="2524"/>
      <c r="G167" s="2524"/>
      <c r="H167" s="2524"/>
      <c r="I167" s="2524"/>
      <c r="J167" s="2163"/>
      <c r="K167" s="2163"/>
      <c r="L167" s="2163"/>
      <c r="M167" s="2163"/>
    </row>
    <row r="168" spans="1:15">
      <c r="A168" s="2163"/>
      <c r="B168" s="2163"/>
      <c r="C168" s="2163"/>
      <c r="D168" s="2163"/>
      <c r="E168" s="2163"/>
      <c r="F168" s="2163"/>
      <c r="G168" s="2163"/>
      <c r="H168" s="2163"/>
      <c r="I168" s="2163"/>
      <c r="J168" s="2163"/>
      <c r="K168" s="2163"/>
      <c r="L168" s="2163"/>
      <c r="M168" s="2163"/>
    </row>
    <row r="169" spans="1:15">
      <c r="A169" s="2529"/>
      <c r="B169" s="2529"/>
      <c r="C169" s="2529"/>
      <c r="D169" s="2166"/>
      <c r="E169" s="2166"/>
      <c r="F169" s="2166"/>
      <c r="G169" s="2166"/>
      <c r="H169" s="2525"/>
      <c r="I169" s="2525"/>
      <c r="J169" s="2525"/>
      <c r="K169" s="2166"/>
      <c r="L169" s="2167"/>
      <c r="M169" s="2166"/>
    </row>
    <row r="170" spans="1:15">
      <c r="A170" s="2164"/>
      <c r="B170" s="2164"/>
      <c r="C170" s="2164"/>
      <c r="D170" s="2164"/>
      <c r="E170" s="2522" t="s">
        <v>2639</v>
      </c>
      <c r="F170" s="2522"/>
      <c r="G170" s="2164"/>
      <c r="H170" s="2523">
        <v>0</v>
      </c>
      <c r="I170" s="2523"/>
      <c r="J170" s="2523"/>
      <c r="K170" s="2163"/>
      <c r="L170" s="2523">
        <v>0</v>
      </c>
      <c r="M170" s="2163"/>
    </row>
    <row r="171" spans="1:15">
      <c r="A171" s="2164"/>
      <c r="B171" s="2164"/>
      <c r="C171" s="2164"/>
      <c r="D171" s="2164"/>
      <c r="E171" s="2164"/>
      <c r="F171" s="2164"/>
      <c r="G171" s="2164"/>
      <c r="H171" s="2523"/>
      <c r="I171" s="2523"/>
      <c r="J171" s="2523"/>
      <c r="K171" s="2163"/>
      <c r="L171" s="2523"/>
      <c r="M171" s="2163"/>
    </row>
    <row r="172" spans="1:15" ht="27.6">
      <c r="A172" s="2160" t="s">
        <v>2676</v>
      </c>
      <c r="B172" s="2161"/>
      <c r="C172" s="2160" t="s">
        <v>2677</v>
      </c>
      <c r="D172" s="2161"/>
      <c r="E172" s="2160" t="s">
        <v>2640</v>
      </c>
      <c r="F172" s="2161"/>
    </row>
    <row r="173" spans="1:15">
      <c r="A173" s="2163"/>
      <c r="B173" s="2163"/>
      <c r="C173" s="2163"/>
      <c r="D173" s="2163"/>
      <c r="E173" s="2163"/>
      <c r="F173" s="2163"/>
      <c r="G173" s="2163"/>
      <c r="H173" s="2163"/>
      <c r="I173" s="2163"/>
      <c r="J173" s="2163"/>
      <c r="K173" s="2163"/>
      <c r="L173" s="2163"/>
      <c r="M173" s="2163"/>
    </row>
    <row r="174" spans="1:15">
      <c r="A174" s="2164"/>
      <c r="H174" s="2522" t="s">
        <v>2637</v>
      </c>
      <c r="I174" s="2522"/>
      <c r="J174" s="2163"/>
      <c r="K174" s="2523">
        <v>0</v>
      </c>
      <c r="L174" s="2523"/>
      <c r="M174" s="2163"/>
      <c r="N174" s="2527"/>
      <c r="O174" s="2163"/>
    </row>
    <row r="175" spans="1:15">
      <c r="H175" s="2163"/>
      <c r="I175" s="2163"/>
      <c r="J175" s="2163"/>
      <c r="K175" s="2523"/>
      <c r="L175" s="2523"/>
      <c r="N175" s="2527"/>
    </row>
    <row r="176" spans="1:15">
      <c r="A176" s="2165">
        <v>33411</v>
      </c>
      <c r="B176" s="2163"/>
      <c r="C176" s="2524" t="s">
        <v>2883</v>
      </c>
      <c r="D176" s="2524"/>
      <c r="E176" s="2524"/>
      <c r="F176" s="2524"/>
      <c r="G176" s="2524"/>
      <c r="H176" s="2524"/>
      <c r="I176" s="2524"/>
      <c r="J176" s="2163"/>
      <c r="K176" s="2163"/>
      <c r="L176" s="2163"/>
      <c r="M176" s="2163"/>
    </row>
    <row r="177" spans="1:15">
      <c r="A177" s="2163"/>
      <c r="B177" s="2163"/>
      <c r="C177" s="2163"/>
      <c r="D177" s="2163"/>
      <c r="E177" s="2163"/>
      <c r="F177" s="2163"/>
      <c r="G177" s="2163"/>
      <c r="H177" s="2163"/>
      <c r="I177" s="2163"/>
      <c r="J177" s="2163"/>
      <c r="K177" s="2163"/>
      <c r="L177" s="2163"/>
      <c r="M177" s="2163"/>
    </row>
    <row r="178" spans="1:15">
      <c r="A178" s="2529"/>
      <c r="B178" s="2529"/>
      <c r="C178" s="2529"/>
      <c r="D178" s="2166"/>
      <c r="E178" s="2166"/>
      <c r="F178" s="2166"/>
      <c r="G178" s="2166"/>
      <c r="H178" s="2525"/>
      <c r="I178" s="2525"/>
      <c r="J178" s="2525"/>
      <c r="K178" s="2166"/>
      <c r="L178" s="2167"/>
      <c r="M178" s="2166"/>
    </row>
    <row r="179" spans="1:15">
      <c r="A179" s="2164"/>
      <c r="B179" s="2164"/>
      <c r="C179" s="2164"/>
      <c r="D179" s="2164"/>
      <c r="E179" s="2522" t="s">
        <v>2639</v>
      </c>
      <c r="F179" s="2522"/>
      <c r="G179" s="2164"/>
      <c r="H179" s="2523">
        <v>0</v>
      </c>
      <c r="I179" s="2523"/>
      <c r="J179" s="2523"/>
      <c r="K179" s="2163"/>
      <c r="L179" s="2523">
        <v>0</v>
      </c>
      <c r="M179" s="2163"/>
    </row>
    <row r="180" spans="1:15">
      <c r="A180" s="2164"/>
      <c r="B180" s="2164"/>
      <c r="C180" s="2164"/>
      <c r="D180" s="2164"/>
      <c r="E180" s="2164"/>
      <c r="F180" s="2164"/>
      <c r="G180" s="2164"/>
      <c r="H180" s="2523"/>
      <c r="I180" s="2523"/>
      <c r="J180" s="2523"/>
      <c r="K180" s="2163"/>
      <c r="L180" s="2523"/>
      <c r="M180" s="2163"/>
    </row>
    <row r="181" spans="1:15" ht="27.6">
      <c r="A181" s="2160" t="s">
        <v>2676</v>
      </c>
      <c r="B181" s="2161"/>
      <c r="C181" s="2160" t="s">
        <v>2677</v>
      </c>
      <c r="D181" s="2161"/>
      <c r="E181" s="2160" t="s">
        <v>2640</v>
      </c>
      <c r="F181" s="2161"/>
    </row>
    <row r="182" spans="1:15">
      <c r="A182" s="2163"/>
      <c r="B182" s="2163"/>
      <c r="C182" s="2163"/>
      <c r="D182" s="2163"/>
      <c r="E182" s="2163"/>
      <c r="F182" s="2163"/>
      <c r="G182" s="2163"/>
      <c r="H182" s="2163"/>
      <c r="I182" s="2163"/>
      <c r="J182" s="2163"/>
      <c r="K182" s="2163"/>
      <c r="L182" s="2163"/>
      <c r="M182" s="2163"/>
    </row>
    <row r="183" spans="1:15">
      <c r="A183" s="2164"/>
      <c r="H183" s="2522" t="s">
        <v>2637</v>
      </c>
      <c r="I183" s="2522"/>
      <c r="J183" s="2163"/>
      <c r="K183" s="2523">
        <v>0.23080000000000001</v>
      </c>
      <c r="L183" s="2523"/>
      <c r="M183" s="2163"/>
      <c r="N183" s="2527">
        <v>18</v>
      </c>
      <c r="O183" s="2163"/>
    </row>
    <row r="184" spans="1:15">
      <c r="H184" s="2163"/>
      <c r="I184" s="2163"/>
      <c r="J184" s="2163"/>
      <c r="K184" s="2523"/>
      <c r="L184" s="2523"/>
      <c r="N184" s="2527"/>
    </row>
    <row r="185" spans="1:15">
      <c r="A185" s="2165">
        <v>33762</v>
      </c>
      <c r="B185" s="2163"/>
      <c r="C185" s="2524" t="s">
        <v>2884</v>
      </c>
      <c r="D185" s="2524"/>
      <c r="E185" s="2524"/>
      <c r="F185" s="2524"/>
      <c r="G185" s="2524"/>
      <c r="H185" s="2524"/>
      <c r="I185" s="2524"/>
      <c r="J185" s="2163"/>
      <c r="K185" s="2163"/>
      <c r="L185" s="2163"/>
      <c r="M185" s="2163"/>
    </row>
    <row r="186" spans="1:15">
      <c r="A186" s="2163"/>
      <c r="B186" s="2163"/>
      <c r="C186" s="2163"/>
      <c r="D186" s="2163"/>
      <c r="E186" s="2163"/>
      <c r="F186" s="2163"/>
      <c r="G186" s="2163"/>
      <c r="H186" s="2163"/>
      <c r="I186" s="2163"/>
      <c r="J186" s="2163"/>
      <c r="K186" s="2163"/>
      <c r="L186" s="2163"/>
      <c r="M186" s="2163"/>
    </row>
    <row r="187" spans="1:15">
      <c r="A187" s="2529"/>
      <c r="B187" s="2529"/>
      <c r="C187" s="2529"/>
      <c r="D187" s="2166"/>
      <c r="E187" s="2166"/>
      <c r="F187" s="2166"/>
      <c r="G187" s="2166"/>
      <c r="H187" s="2525"/>
      <c r="I187" s="2525"/>
      <c r="J187" s="2525"/>
      <c r="K187" s="2166"/>
      <c r="L187" s="2167"/>
      <c r="M187" s="2166"/>
    </row>
    <row r="188" spans="1:15">
      <c r="A188" s="2164"/>
      <c r="B188" s="2164"/>
      <c r="C188" s="2164"/>
      <c r="D188" s="2164"/>
      <c r="E188" s="2522" t="s">
        <v>2639</v>
      </c>
      <c r="F188" s="2522"/>
      <c r="G188" s="2164"/>
      <c r="H188" s="2523">
        <v>0.23080000000000001</v>
      </c>
      <c r="I188" s="2523"/>
      <c r="J188" s="2523"/>
      <c r="K188" s="2163"/>
      <c r="L188" s="2523">
        <v>17.670000000000002</v>
      </c>
      <c r="M188" s="2163"/>
    </row>
    <row r="189" spans="1:15">
      <c r="A189" s="2164"/>
      <c r="B189" s="2164"/>
      <c r="C189" s="2164"/>
      <c r="D189" s="2164"/>
      <c r="E189" s="2164"/>
      <c r="F189" s="2164"/>
      <c r="G189" s="2164"/>
      <c r="H189" s="2523"/>
      <c r="I189" s="2523"/>
      <c r="J189" s="2523"/>
      <c r="K189" s="2163"/>
      <c r="L189" s="2523"/>
      <c r="M189" s="2163"/>
    </row>
    <row r="190" spans="1:15" ht="27.6">
      <c r="A190" s="2160" t="s">
        <v>2676</v>
      </c>
      <c r="B190" s="2161"/>
      <c r="C190" s="2160" t="s">
        <v>2677</v>
      </c>
      <c r="D190" s="2161"/>
      <c r="E190" s="2160" t="s">
        <v>2640</v>
      </c>
      <c r="F190" s="2161"/>
    </row>
    <row r="191" spans="1:15">
      <c r="A191" s="2163"/>
      <c r="B191" s="2163"/>
      <c r="C191" s="2163"/>
      <c r="D191" s="2163"/>
      <c r="E191" s="2163"/>
      <c r="F191" s="2163"/>
      <c r="G191" s="2163"/>
      <c r="H191" s="2163"/>
      <c r="I191" s="2163"/>
      <c r="J191" s="2163"/>
      <c r="K191" s="2163"/>
      <c r="L191" s="2163"/>
      <c r="M191" s="2163"/>
    </row>
    <row r="192" spans="1:15">
      <c r="A192" s="2164"/>
      <c r="H192" s="2522" t="s">
        <v>2637</v>
      </c>
      <c r="I192" s="2522"/>
      <c r="J192" s="2163"/>
      <c r="K192" s="2523">
        <v>0</v>
      </c>
      <c r="L192" s="2523"/>
      <c r="M192" s="2163"/>
      <c r="N192" s="2527"/>
      <c r="O192" s="2163"/>
    </row>
    <row r="193" spans="1:15">
      <c r="H193" s="2163"/>
      <c r="I193" s="2163"/>
      <c r="J193" s="2163"/>
      <c r="K193" s="2523"/>
      <c r="L193" s="2523"/>
      <c r="N193" s="2527"/>
    </row>
    <row r="194" spans="1:15">
      <c r="A194" s="2165">
        <v>35647</v>
      </c>
      <c r="B194" s="2163"/>
      <c r="C194" s="2524" t="s">
        <v>2885</v>
      </c>
      <c r="D194" s="2524"/>
      <c r="E194" s="2524"/>
      <c r="F194" s="2524"/>
      <c r="G194" s="2524"/>
      <c r="H194" s="2524"/>
      <c r="I194" s="2524"/>
      <c r="J194" s="2163"/>
      <c r="K194" s="2163"/>
      <c r="L194" s="2163"/>
      <c r="M194" s="2163"/>
    </row>
    <row r="195" spans="1:15">
      <c r="A195" s="2163"/>
      <c r="B195" s="2163"/>
      <c r="C195" s="2163"/>
      <c r="D195" s="2163"/>
      <c r="E195" s="2163"/>
      <c r="F195" s="2163"/>
      <c r="G195" s="2163"/>
      <c r="H195" s="2163"/>
      <c r="I195" s="2163"/>
      <c r="J195" s="2163"/>
      <c r="K195" s="2163"/>
      <c r="L195" s="2163"/>
      <c r="M195" s="2163"/>
    </row>
    <row r="196" spans="1:15">
      <c r="A196" s="2529"/>
      <c r="B196" s="2529"/>
      <c r="C196" s="2529"/>
      <c r="D196" s="2166"/>
      <c r="E196" s="2166"/>
      <c r="F196" s="2166"/>
      <c r="G196" s="2166"/>
      <c r="H196" s="2525"/>
      <c r="I196" s="2525"/>
      <c r="J196" s="2525"/>
      <c r="K196" s="2166"/>
      <c r="L196" s="2167"/>
      <c r="M196" s="2166"/>
    </row>
    <row r="197" spans="1:15">
      <c r="A197" s="2164"/>
      <c r="B197" s="2164"/>
      <c r="C197" s="2164"/>
      <c r="D197" s="2164"/>
      <c r="E197" s="2522" t="s">
        <v>2639</v>
      </c>
      <c r="F197" s="2522"/>
      <c r="G197" s="2164"/>
      <c r="H197" s="2523">
        <v>0</v>
      </c>
      <c r="I197" s="2523"/>
      <c r="J197" s="2523"/>
      <c r="K197" s="2163"/>
      <c r="L197" s="2523">
        <v>0</v>
      </c>
      <c r="M197" s="2163"/>
    </row>
    <row r="198" spans="1:15">
      <c r="A198" s="2164"/>
      <c r="B198" s="2164"/>
      <c r="C198" s="2164"/>
      <c r="D198" s="2164"/>
      <c r="E198" s="2164"/>
      <c r="F198" s="2164"/>
      <c r="G198" s="2164"/>
      <c r="H198" s="2523"/>
      <c r="I198" s="2523"/>
      <c r="J198" s="2523"/>
      <c r="K198" s="2163"/>
      <c r="L198" s="2523"/>
      <c r="M198" s="2163"/>
    </row>
    <row r="199" spans="1:15" ht="27.6">
      <c r="A199" s="2160" t="s">
        <v>2676</v>
      </c>
      <c r="B199" s="2161"/>
      <c r="C199" s="2160" t="s">
        <v>2677</v>
      </c>
      <c r="D199" s="2161"/>
      <c r="E199" s="2160" t="s">
        <v>2640</v>
      </c>
      <c r="F199" s="2161"/>
    </row>
    <row r="200" spans="1:15">
      <c r="A200" s="2163"/>
      <c r="B200" s="2163"/>
      <c r="C200" s="2163"/>
      <c r="D200" s="2163"/>
      <c r="E200" s="2163"/>
      <c r="F200" s="2163"/>
      <c r="G200" s="2163"/>
      <c r="H200" s="2163"/>
      <c r="I200" s="2163"/>
      <c r="J200" s="2163"/>
      <c r="K200" s="2163"/>
      <c r="L200" s="2163"/>
      <c r="M200" s="2163"/>
    </row>
    <row r="201" spans="1:15">
      <c r="A201" s="2164"/>
      <c r="H201" s="2522" t="s">
        <v>2637</v>
      </c>
      <c r="I201" s="2522"/>
      <c r="J201" s="2163"/>
      <c r="K201" s="2523">
        <v>0</v>
      </c>
      <c r="L201" s="2523"/>
      <c r="M201" s="2163"/>
      <c r="N201" s="2527"/>
      <c r="O201" s="2163"/>
    </row>
    <row r="202" spans="1:15">
      <c r="H202" s="2163"/>
      <c r="I202" s="2163"/>
      <c r="J202" s="2163"/>
      <c r="K202" s="2523"/>
      <c r="L202" s="2523"/>
      <c r="N202" s="2527"/>
    </row>
    <row r="203" spans="1:15">
      <c r="A203" s="2165">
        <v>35608</v>
      </c>
      <c r="B203" s="2163"/>
      <c r="C203" s="2524" t="s">
        <v>2888</v>
      </c>
      <c r="D203" s="2524"/>
      <c r="E203" s="2524"/>
      <c r="F203" s="2524"/>
      <c r="G203" s="2524"/>
      <c r="H203" s="2524"/>
      <c r="I203" s="2524"/>
      <c r="J203" s="2163"/>
      <c r="K203" s="2163"/>
      <c r="L203" s="2163"/>
      <c r="M203" s="2163"/>
    </row>
    <row r="204" spans="1:15">
      <c r="A204" s="2163"/>
      <c r="B204" s="2163"/>
      <c r="C204" s="2163"/>
      <c r="D204" s="2163"/>
      <c r="E204" s="2163"/>
      <c r="F204" s="2163"/>
      <c r="G204" s="2163"/>
      <c r="H204" s="2163"/>
      <c r="I204" s="2163"/>
      <c r="J204" s="2163"/>
      <c r="K204" s="2163"/>
      <c r="L204" s="2163"/>
      <c r="M204" s="2163"/>
    </row>
    <row r="205" spans="1:15">
      <c r="A205" s="2529"/>
      <c r="B205" s="2529"/>
      <c r="C205" s="2529"/>
      <c r="D205" s="2166"/>
      <c r="E205" s="2166"/>
      <c r="F205" s="2166"/>
      <c r="G205" s="2166"/>
      <c r="H205" s="2525"/>
      <c r="I205" s="2525"/>
      <c r="J205" s="2525"/>
      <c r="K205" s="2166"/>
      <c r="L205" s="2167"/>
      <c r="M205" s="2166"/>
    </row>
    <row r="206" spans="1:15">
      <c r="A206" s="2164"/>
      <c r="B206" s="2164"/>
      <c r="C206" s="2164"/>
      <c r="D206" s="2164"/>
      <c r="E206" s="2522" t="s">
        <v>2639</v>
      </c>
      <c r="F206" s="2522"/>
      <c r="G206" s="2164"/>
      <c r="H206" s="2523">
        <v>0</v>
      </c>
      <c r="I206" s="2523"/>
      <c r="J206" s="2523"/>
      <c r="K206" s="2163"/>
      <c r="L206" s="2523">
        <v>0</v>
      </c>
      <c r="M206" s="2163"/>
    </row>
    <row r="207" spans="1:15">
      <c r="A207" s="2164"/>
      <c r="B207" s="2164"/>
      <c r="C207" s="2164"/>
      <c r="D207" s="2164"/>
      <c r="E207" s="2164"/>
      <c r="F207" s="2164"/>
      <c r="G207" s="2164"/>
      <c r="H207" s="2523"/>
      <c r="I207" s="2523"/>
      <c r="J207" s="2523"/>
      <c r="K207" s="2163"/>
      <c r="L207" s="2523"/>
      <c r="M207" s="2163"/>
    </row>
    <row r="208" spans="1:15" ht="27.6">
      <c r="A208" s="2160" t="s">
        <v>2676</v>
      </c>
      <c r="B208" s="2161"/>
      <c r="C208" s="2160" t="s">
        <v>2677</v>
      </c>
      <c r="D208" s="2161"/>
      <c r="E208" s="2160" t="s">
        <v>2640</v>
      </c>
      <c r="F208" s="2161"/>
    </row>
    <row r="209" spans="1:15">
      <c r="A209" s="2163"/>
      <c r="B209" s="2163"/>
      <c r="C209" s="2163"/>
      <c r="D209" s="2163"/>
      <c r="E209" s="2163"/>
      <c r="F209" s="2163"/>
      <c r="G209" s="2163"/>
      <c r="H209" s="2163"/>
      <c r="I209" s="2163"/>
      <c r="J209" s="2163"/>
      <c r="K209" s="2163"/>
      <c r="L209" s="2163"/>
      <c r="M209" s="2163"/>
    </row>
    <row r="210" spans="1:15">
      <c r="A210" s="2164"/>
      <c r="H210" s="2522" t="s">
        <v>2637</v>
      </c>
      <c r="I210" s="2522"/>
      <c r="J210" s="2163"/>
      <c r="K210" s="2523">
        <v>8.9899999999999994E-2</v>
      </c>
      <c r="L210" s="2523"/>
      <c r="M210" s="2163"/>
      <c r="N210" s="2527">
        <v>7</v>
      </c>
      <c r="O210" s="2163"/>
    </row>
    <row r="211" spans="1:15">
      <c r="H211" s="2163"/>
      <c r="I211" s="2163"/>
      <c r="J211" s="2163"/>
      <c r="K211" s="2523"/>
      <c r="L211" s="2523"/>
      <c r="N211" s="2527"/>
    </row>
    <row r="212" spans="1:15">
      <c r="A212" s="2165">
        <v>64050</v>
      </c>
      <c r="B212" s="2163"/>
      <c r="C212" s="2524" t="s">
        <v>2886</v>
      </c>
      <c r="D212" s="2524"/>
      <c r="E212" s="2524"/>
      <c r="F212" s="2524"/>
      <c r="G212" s="2524"/>
      <c r="H212" s="2524"/>
      <c r="I212" s="2524"/>
      <c r="J212" s="2163"/>
      <c r="K212" s="2163"/>
      <c r="L212" s="2163"/>
      <c r="M212" s="2163"/>
    </row>
    <row r="213" spans="1:15">
      <c r="A213" s="2163"/>
      <c r="B213" s="2163"/>
      <c r="C213" s="2163"/>
      <c r="D213" s="2163"/>
      <c r="E213" s="2163"/>
      <c r="F213" s="2163"/>
      <c r="G213" s="2163"/>
      <c r="H213" s="2163"/>
      <c r="I213" s="2163"/>
      <c r="J213" s="2163"/>
      <c r="K213" s="2163"/>
      <c r="L213" s="2163"/>
      <c r="M213" s="2163"/>
    </row>
    <row r="214" spans="1:15">
      <c r="A214" s="2529"/>
      <c r="B214" s="2529"/>
      <c r="C214" s="2529"/>
      <c r="D214" s="2166"/>
      <c r="E214" s="2166"/>
      <c r="F214" s="2166"/>
      <c r="G214" s="2166"/>
      <c r="H214" s="2525"/>
      <c r="I214" s="2525"/>
      <c r="J214" s="2525"/>
      <c r="K214" s="2166"/>
      <c r="L214" s="2167"/>
      <c r="M214" s="2166"/>
    </row>
    <row r="215" spans="1:15">
      <c r="A215" s="2164"/>
      <c r="B215" s="2164"/>
      <c r="C215" s="2164"/>
      <c r="D215" s="2164"/>
      <c r="E215" s="2522" t="s">
        <v>2639</v>
      </c>
      <c r="F215" s="2522"/>
      <c r="G215" s="2164"/>
      <c r="H215" s="2523">
        <v>8.9899999999999994E-2</v>
      </c>
      <c r="I215" s="2523"/>
      <c r="J215" s="2523"/>
      <c r="K215" s="2163"/>
      <c r="L215" s="2523">
        <v>6.88</v>
      </c>
      <c r="M215" s="2163"/>
    </row>
    <row r="216" spans="1:15">
      <c r="A216" s="2164"/>
      <c r="B216" s="2164"/>
      <c r="C216" s="2164"/>
      <c r="D216" s="2164"/>
      <c r="E216" s="2164"/>
      <c r="F216" s="2164"/>
      <c r="G216" s="2164"/>
      <c r="H216" s="2523"/>
      <c r="I216" s="2523"/>
      <c r="J216" s="2523"/>
      <c r="K216" s="2163"/>
      <c r="L216" s="2523"/>
      <c r="M216" s="2163"/>
    </row>
    <row r="217" spans="1:15" ht="27.6">
      <c r="A217" s="2160" t="s">
        <v>2676</v>
      </c>
      <c r="B217" s="2161"/>
      <c r="C217" s="2160" t="s">
        <v>2677</v>
      </c>
      <c r="D217" s="2161"/>
      <c r="E217" s="2160" t="s">
        <v>2640</v>
      </c>
      <c r="F217" s="2161"/>
    </row>
    <row r="218" spans="1:15">
      <c r="A218" s="2163"/>
      <c r="B218" s="2163"/>
      <c r="C218" s="2163"/>
      <c r="D218" s="2163"/>
      <c r="E218" s="2163"/>
      <c r="F218" s="2163"/>
      <c r="G218" s="2163"/>
      <c r="H218" s="2163"/>
      <c r="I218" s="2163"/>
      <c r="J218" s="2163"/>
      <c r="K218" s="2163"/>
      <c r="L218" s="2163"/>
      <c r="M218" s="2163"/>
    </row>
    <row r="219" spans="1:15">
      <c r="A219" s="2164"/>
      <c r="H219" s="2522" t="s">
        <v>2637</v>
      </c>
      <c r="I219" s="2522"/>
      <c r="J219" s="2163"/>
      <c r="K219" s="2523">
        <v>0</v>
      </c>
      <c r="L219" s="2523"/>
      <c r="M219" s="2163"/>
      <c r="N219" s="2527"/>
      <c r="O219" s="2163"/>
    </row>
    <row r="220" spans="1:15">
      <c r="H220" s="2163"/>
      <c r="I220" s="2163"/>
      <c r="J220" s="2163"/>
      <c r="K220" s="2523"/>
      <c r="L220" s="2523"/>
      <c r="N220" s="2527"/>
    </row>
    <row r="221" spans="1:15">
      <c r="A221" s="2165">
        <v>73898</v>
      </c>
      <c r="B221" s="2163"/>
      <c r="C221" s="2524" t="s">
        <v>2880</v>
      </c>
      <c r="D221" s="2524"/>
      <c r="E221" s="2524"/>
      <c r="F221" s="2524"/>
      <c r="G221" s="2524"/>
      <c r="H221" s="2524"/>
      <c r="I221" s="2524"/>
      <c r="J221" s="2163"/>
      <c r="K221" s="2163"/>
      <c r="L221" s="2163"/>
      <c r="M221" s="2163"/>
    </row>
    <row r="222" spans="1:15">
      <c r="A222" s="2163"/>
      <c r="B222" s="2163"/>
      <c r="C222" s="2163"/>
      <c r="D222" s="2163"/>
      <c r="E222" s="2163"/>
      <c r="F222" s="2163"/>
      <c r="G222" s="2163"/>
      <c r="H222" s="2163"/>
      <c r="I222" s="2163"/>
      <c r="J222" s="2163"/>
      <c r="K222" s="2163"/>
      <c r="L222" s="2163"/>
      <c r="M222" s="2163"/>
    </row>
    <row r="223" spans="1:15">
      <c r="A223" s="2529"/>
      <c r="B223" s="2529"/>
      <c r="C223" s="2529"/>
      <c r="D223" s="2166"/>
      <c r="E223" s="2166"/>
      <c r="F223" s="2166"/>
      <c r="G223" s="2166"/>
      <c r="H223" s="2525"/>
      <c r="I223" s="2525"/>
      <c r="J223" s="2525"/>
      <c r="K223" s="2166"/>
      <c r="L223" s="2167"/>
      <c r="M223" s="2166"/>
    </row>
    <row r="224" spans="1:15">
      <c r="A224" s="2164"/>
      <c r="B224" s="2164"/>
      <c r="C224" s="2164"/>
      <c r="D224" s="2164"/>
      <c r="E224" s="2522" t="s">
        <v>2639</v>
      </c>
      <c r="F224" s="2522"/>
      <c r="G224" s="2164"/>
      <c r="H224" s="2523">
        <v>0</v>
      </c>
      <c r="I224" s="2523"/>
      <c r="J224" s="2523"/>
      <c r="K224" s="2163"/>
      <c r="L224" s="2523">
        <v>0</v>
      </c>
      <c r="M224" s="2163"/>
    </row>
    <row r="225" spans="1:15">
      <c r="A225" s="2164"/>
      <c r="B225" s="2164"/>
      <c r="C225" s="2164"/>
      <c r="D225" s="2164"/>
      <c r="E225" s="2164"/>
      <c r="F225" s="2164"/>
      <c r="G225" s="2164"/>
      <c r="H225" s="2523"/>
      <c r="I225" s="2523"/>
      <c r="J225" s="2523"/>
      <c r="K225" s="2163"/>
      <c r="L225" s="2523"/>
      <c r="M225" s="2163"/>
    </row>
    <row r="226" spans="1:15">
      <c r="A226" s="2160" t="s">
        <v>2680</v>
      </c>
      <c r="B226" s="2161"/>
      <c r="C226" s="2160" t="s">
        <v>2681</v>
      </c>
      <c r="D226" s="2161"/>
      <c r="E226" s="2160" t="s">
        <v>2640</v>
      </c>
      <c r="F226" s="2161"/>
    </row>
    <row r="227" spans="1:15">
      <c r="A227" s="2163"/>
      <c r="B227" s="2163"/>
      <c r="C227" s="2163"/>
      <c r="D227" s="2163"/>
      <c r="E227" s="2163"/>
      <c r="F227" s="2163"/>
      <c r="G227" s="2163"/>
      <c r="H227" s="2163"/>
      <c r="I227" s="2163"/>
      <c r="J227" s="2163"/>
      <c r="K227" s="2163"/>
      <c r="L227" s="2163"/>
      <c r="M227" s="2163"/>
    </row>
    <row r="228" spans="1:15">
      <c r="A228" s="2164"/>
      <c r="H228" s="2522" t="s">
        <v>2637</v>
      </c>
      <c r="I228" s="2522"/>
      <c r="J228" s="2163"/>
      <c r="K228" s="2523">
        <v>0</v>
      </c>
      <c r="L228" s="2523"/>
      <c r="M228" s="2163"/>
      <c r="N228" s="2527"/>
      <c r="O228" s="2163"/>
    </row>
    <row r="229" spans="1:15">
      <c r="H229" s="2163"/>
      <c r="I229" s="2163"/>
      <c r="J229" s="2163"/>
      <c r="K229" s="2523"/>
      <c r="L229" s="2523"/>
      <c r="N229" s="2527"/>
    </row>
    <row r="230" spans="1:15">
      <c r="A230" s="2165">
        <v>2300</v>
      </c>
      <c r="B230" s="2163"/>
      <c r="C230" s="2524" t="s">
        <v>2880</v>
      </c>
      <c r="D230" s="2524"/>
      <c r="E230" s="2524"/>
      <c r="F230" s="2524"/>
      <c r="G230" s="2524"/>
      <c r="H230" s="2524"/>
      <c r="I230" s="2524"/>
      <c r="J230" s="2163"/>
      <c r="K230" s="2163"/>
      <c r="L230" s="2163"/>
      <c r="M230" s="2163"/>
    </row>
    <row r="231" spans="1:15">
      <c r="A231" s="2163"/>
      <c r="B231" s="2163"/>
      <c r="C231" s="2163"/>
      <c r="D231" s="2163"/>
      <c r="E231" s="2163"/>
      <c r="F231" s="2163"/>
      <c r="G231" s="2163"/>
      <c r="H231" s="2163"/>
      <c r="I231" s="2163"/>
      <c r="J231" s="2163"/>
      <c r="K231" s="2163"/>
      <c r="L231" s="2163"/>
      <c r="M231" s="2163"/>
    </row>
    <row r="232" spans="1:15">
      <c r="A232" s="2529"/>
      <c r="B232" s="2529"/>
      <c r="C232" s="2529"/>
      <c r="D232" s="2166"/>
      <c r="E232" s="2166"/>
      <c r="F232" s="2166"/>
      <c r="G232" s="2166"/>
      <c r="H232" s="2525"/>
      <c r="I232" s="2525"/>
      <c r="J232" s="2525"/>
      <c r="K232" s="2166"/>
      <c r="L232" s="2167"/>
      <c r="M232" s="2166"/>
    </row>
    <row r="233" spans="1:15">
      <c r="A233" s="2164"/>
      <c r="B233" s="2164"/>
      <c r="C233" s="2164"/>
      <c r="D233" s="2164"/>
      <c r="E233" s="2522" t="s">
        <v>2639</v>
      </c>
      <c r="F233" s="2522"/>
      <c r="G233" s="2164"/>
      <c r="H233" s="2523">
        <v>0</v>
      </c>
      <c r="I233" s="2523"/>
      <c r="J233" s="2523"/>
      <c r="K233" s="2163"/>
      <c r="L233" s="2523">
        <v>0</v>
      </c>
      <c r="M233" s="2163"/>
    </row>
    <row r="234" spans="1:15">
      <c r="A234" s="2164"/>
      <c r="B234" s="2164"/>
      <c r="C234" s="2164"/>
      <c r="D234" s="2164"/>
      <c r="E234" s="2164"/>
      <c r="F234" s="2164"/>
      <c r="G234" s="2164"/>
      <c r="H234" s="2523"/>
      <c r="I234" s="2523"/>
      <c r="J234" s="2523"/>
      <c r="K234" s="2163"/>
      <c r="L234" s="2523"/>
      <c r="M234" s="2163"/>
    </row>
    <row r="235" spans="1:15">
      <c r="A235" s="2160" t="s">
        <v>2680</v>
      </c>
      <c r="B235" s="2161"/>
      <c r="C235" s="2160" t="s">
        <v>2681</v>
      </c>
      <c r="D235" s="2161"/>
      <c r="E235" s="2160" t="s">
        <v>2640</v>
      </c>
      <c r="F235" s="2161"/>
    </row>
    <row r="236" spans="1:15">
      <c r="A236" s="2163"/>
      <c r="B236" s="2163"/>
      <c r="C236" s="2163"/>
      <c r="D236" s="2163"/>
      <c r="E236" s="2163"/>
      <c r="F236" s="2163"/>
      <c r="G236" s="2163"/>
      <c r="H236" s="2163"/>
      <c r="I236" s="2163"/>
      <c r="J236" s="2163"/>
      <c r="K236" s="2163"/>
      <c r="L236" s="2163"/>
      <c r="M236" s="2163"/>
    </row>
    <row r="237" spans="1:15">
      <c r="A237" s="2164"/>
      <c r="H237" s="2522" t="s">
        <v>2637</v>
      </c>
      <c r="I237" s="2522"/>
      <c r="J237" s="2163"/>
      <c r="K237" s="2523">
        <v>0</v>
      </c>
      <c r="L237" s="2523"/>
      <c r="M237" s="2163"/>
      <c r="N237" s="2527"/>
      <c r="O237" s="2163"/>
    </row>
    <row r="238" spans="1:15">
      <c r="H238" s="2163"/>
      <c r="I238" s="2163"/>
      <c r="J238" s="2163"/>
      <c r="K238" s="2523"/>
      <c r="L238" s="2523"/>
      <c r="N238" s="2527"/>
    </row>
    <row r="239" spans="1:15">
      <c r="A239" s="2165">
        <v>5123</v>
      </c>
      <c r="B239" s="2163"/>
      <c r="C239" s="2524" t="s">
        <v>2887</v>
      </c>
      <c r="D239" s="2524"/>
      <c r="E239" s="2524"/>
      <c r="F239" s="2524"/>
      <c r="G239" s="2524"/>
      <c r="H239" s="2524"/>
      <c r="I239" s="2524"/>
      <c r="J239" s="2163"/>
      <c r="K239" s="2163"/>
      <c r="L239" s="2163"/>
      <c r="M239" s="2163"/>
    </row>
    <row r="240" spans="1:15">
      <c r="A240" s="2163"/>
      <c r="B240" s="2163"/>
      <c r="C240" s="2163"/>
      <c r="D240" s="2163"/>
      <c r="E240" s="2163"/>
      <c r="F240" s="2163"/>
      <c r="G240" s="2163"/>
      <c r="H240" s="2163"/>
      <c r="I240" s="2163"/>
      <c r="J240" s="2163"/>
      <c r="K240" s="2163"/>
      <c r="L240" s="2163"/>
      <c r="M240" s="2163"/>
    </row>
    <row r="241" spans="1:15">
      <c r="A241" s="2529"/>
      <c r="B241" s="2529"/>
      <c r="C241" s="2529"/>
      <c r="D241" s="2166"/>
      <c r="E241" s="2166"/>
      <c r="F241" s="2166"/>
      <c r="G241" s="2166"/>
      <c r="H241" s="2525"/>
      <c r="I241" s="2525"/>
      <c r="J241" s="2525"/>
      <c r="K241" s="2166"/>
      <c r="L241" s="2167"/>
      <c r="M241" s="2166"/>
    </row>
    <row r="242" spans="1:15">
      <c r="A242" s="2164"/>
      <c r="B242" s="2164"/>
      <c r="C242" s="2164"/>
      <c r="D242" s="2164"/>
      <c r="E242" s="2522" t="s">
        <v>2639</v>
      </c>
      <c r="F242" s="2522"/>
      <c r="G242" s="2164"/>
      <c r="H242" s="2523">
        <v>0</v>
      </c>
      <c r="I242" s="2523"/>
      <c r="J242" s="2523"/>
      <c r="K242" s="2163"/>
      <c r="L242" s="2523">
        <v>0</v>
      </c>
      <c r="M242" s="2163"/>
    </row>
    <row r="243" spans="1:15">
      <c r="A243" s="2164"/>
      <c r="B243" s="2164"/>
      <c r="C243" s="2164"/>
      <c r="D243" s="2164"/>
      <c r="E243" s="2164"/>
      <c r="F243" s="2164"/>
      <c r="G243" s="2164"/>
      <c r="H243" s="2523"/>
      <c r="I243" s="2523"/>
      <c r="J243" s="2523"/>
      <c r="K243" s="2163"/>
      <c r="L243" s="2523"/>
      <c r="M243" s="2163"/>
    </row>
    <row r="244" spans="1:15">
      <c r="A244" s="2160" t="s">
        <v>2680</v>
      </c>
      <c r="B244" s="2161"/>
      <c r="C244" s="2160" t="s">
        <v>2681</v>
      </c>
      <c r="D244" s="2161"/>
      <c r="E244" s="2160" t="s">
        <v>2640</v>
      </c>
      <c r="F244" s="2161"/>
    </row>
    <row r="245" spans="1:15">
      <c r="A245" s="2163"/>
      <c r="B245" s="2163"/>
      <c r="C245" s="2163"/>
      <c r="D245" s="2163"/>
      <c r="E245" s="2163"/>
      <c r="F245" s="2163"/>
      <c r="G245" s="2163"/>
      <c r="H245" s="2163"/>
      <c r="I245" s="2163"/>
      <c r="J245" s="2163"/>
      <c r="K245" s="2163"/>
      <c r="L245" s="2163"/>
      <c r="M245" s="2163"/>
    </row>
    <row r="246" spans="1:15">
      <c r="A246" s="2164"/>
      <c r="H246" s="2522" t="s">
        <v>2637</v>
      </c>
      <c r="I246" s="2522"/>
      <c r="J246" s="2163"/>
      <c r="K246" s="2523">
        <v>0</v>
      </c>
      <c r="L246" s="2523"/>
      <c r="M246" s="2163"/>
      <c r="N246" s="2527"/>
      <c r="O246" s="2163"/>
    </row>
    <row r="247" spans="1:15">
      <c r="H247" s="2163"/>
      <c r="I247" s="2163"/>
      <c r="J247" s="2163"/>
      <c r="K247" s="2523"/>
      <c r="L247" s="2523"/>
      <c r="N247" s="2527"/>
    </row>
    <row r="248" spans="1:15">
      <c r="A248" s="2165">
        <v>5178</v>
      </c>
      <c r="B248" s="2163"/>
      <c r="C248" s="2524" t="s">
        <v>2880</v>
      </c>
      <c r="D248" s="2524"/>
      <c r="E248" s="2524"/>
      <c r="F248" s="2524"/>
      <c r="G248" s="2524"/>
      <c r="H248" s="2524"/>
      <c r="I248" s="2524"/>
      <c r="J248" s="2163"/>
      <c r="K248" s="2163"/>
      <c r="L248" s="2163"/>
      <c r="M248" s="2163"/>
    </row>
    <row r="249" spans="1:15">
      <c r="A249" s="2163"/>
      <c r="B249" s="2163"/>
      <c r="C249" s="2163"/>
      <c r="D249" s="2163"/>
      <c r="E249" s="2163"/>
      <c r="F249" s="2163"/>
      <c r="G249" s="2163"/>
      <c r="H249" s="2163"/>
      <c r="I249" s="2163"/>
      <c r="J249" s="2163"/>
      <c r="K249" s="2163"/>
      <c r="L249" s="2163"/>
      <c r="M249" s="2163"/>
    </row>
    <row r="250" spans="1:15">
      <c r="A250" s="2520" t="s">
        <v>2647</v>
      </c>
      <c r="B250" s="2520"/>
      <c r="C250" s="2520"/>
      <c r="D250" s="2166"/>
      <c r="E250" s="2166"/>
      <c r="F250" s="2166"/>
      <c r="G250" s="2166"/>
      <c r="H250" s="2526">
        <v>24783.752</v>
      </c>
      <c r="I250" s="2526"/>
      <c r="J250" s="2526"/>
      <c r="K250" s="2166"/>
      <c r="L250" s="2168">
        <v>2500000</v>
      </c>
      <c r="M250" s="2166"/>
    </row>
    <row r="251" spans="1:15">
      <c r="A251" s="2520" t="s">
        <v>2648</v>
      </c>
      <c r="B251" s="2520"/>
      <c r="C251" s="2520"/>
      <c r="D251" s="2166"/>
      <c r="E251" s="2166"/>
      <c r="F251" s="2166"/>
      <c r="G251" s="2166"/>
      <c r="H251" s="2526">
        <v>-24927.452000000001</v>
      </c>
      <c r="I251" s="2526"/>
      <c r="J251" s="2526"/>
      <c r="K251" s="2166"/>
      <c r="L251" s="2168">
        <v>-2514092.4</v>
      </c>
      <c r="M251" s="2166"/>
    </row>
    <row r="252" spans="1:15">
      <c r="A252" s="2520" t="s">
        <v>2645</v>
      </c>
      <c r="B252" s="2520"/>
      <c r="C252" s="2520"/>
      <c r="D252" s="2166"/>
      <c r="E252" s="2166"/>
      <c r="F252" s="2166"/>
      <c r="G252" s="2166"/>
      <c r="H252" s="2525"/>
      <c r="I252" s="2525"/>
      <c r="J252" s="2525"/>
      <c r="K252" s="2166"/>
      <c r="L252" s="2167"/>
      <c r="M252" s="2166"/>
    </row>
    <row r="253" spans="1:15">
      <c r="A253" s="2520" t="s">
        <v>2645</v>
      </c>
      <c r="B253" s="2520"/>
      <c r="C253" s="2520"/>
      <c r="D253" s="2166"/>
      <c r="E253" s="2166"/>
      <c r="F253" s="2166"/>
      <c r="G253" s="2166"/>
      <c r="H253" s="2525">
        <v>139.661</v>
      </c>
      <c r="I253" s="2525"/>
      <c r="J253" s="2525"/>
      <c r="K253" s="2166"/>
      <c r="L253" s="2168">
        <v>14085.62</v>
      </c>
      <c r="M253" s="2166"/>
    </row>
    <row r="254" spans="1:15">
      <c r="A254" s="2520" t="s">
        <v>2649</v>
      </c>
      <c r="B254" s="2520"/>
      <c r="C254" s="2520"/>
      <c r="D254" s="2166"/>
      <c r="E254" s="2166"/>
      <c r="F254" s="2166"/>
      <c r="G254" s="2166"/>
      <c r="H254" s="2525">
        <v>11.670999999999999</v>
      </c>
      <c r="I254" s="2525"/>
      <c r="J254" s="2525"/>
      <c r="K254" s="2166"/>
      <c r="L254" s="2167">
        <v>770</v>
      </c>
      <c r="M254" s="2166"/>
    </row>
    <row r="255" spans="1:15">
      <c r="A255" s="2164"/>
      <c r="B255" s="2164"/>
      <c r="C255" s="2164"/>
      <c r="D255" s="2164"/>
      <c r="E255" s="2522" t="s">
        <v>2639</v>
      </c>
      <c r="F255" s="2522"/>
      <c r="G255" s="2164"/>
      <c r="H255" s="2523">
        <v>7.6319999999999997</v>
      </c>
      <c r="I255" s="2523"/>
      <c r="J255" s="2523"/>
      <c r="K255" s="2163"/>
      <c r="L255" s="2523">
        <v>770.98</v>
      </c>
      <c r="M255" s="2163"/>
    </row>
    <row r="256" spans="1:15">
      <c r="A256" s="2164"/>
      <c r="B256" s="2164"/>
      <c r="C256" s="2164"/>
      <c r="D256" s="2164"/>
      <c r="E256" s="2164"/>
      <c r="F256" s="2164"/>
      <c r="G256" s="2164"/>
      <c r="H256" s="2523"/>
      <c r="I256" s="2523"/>
      <c r="J256" s="2523"/>
      <c r="K256" s="2163"/>
      <c r="L256" s="2523"/>
      <c r="M256" s="2163"/>
    </row>
    <row r="257" spans="1:15">
      <c r="A257" s="2160" t="s">
        <v>2680</v>
      </c>
      <c r="B257" s="2161"/>
      <c r="C257" s="2160" t="s">
        <v>2681</v>
      </c>
      <c r="D257" s="2161"/>
      <c r="E257" s="2160" t="s">
        <v>2640</v>
      </c>
      <c r="F257" s="2161"/>
    </row>
    <row r="258" spans="1:15">
      <c r="A258" s="2163"/>
      <c r="B258" s="2163"/>
      <c r="C258" s="2163"/>
      <c r="D258" s="2163"/>
      <c r="E258" s="2163"/>
      <c r="F258" s="2163"/>
      <c r="G258" s="2163"/>
      <c r="H258" s="2163"/>
      <c r="I258" s="2163"/>
      <c r="J258" s="2163"/>
      <c r="K258" s="2163"/>
      <c r="L258" s="2163"/>
      <c r="M258" s="2163"/>
    </row>
    <row r="259" spans="1:15">
      <c r="A259" s="2164"/>
      <c r="H259" s="2522" t="s">
        <v>2637</v>
      </c>
      <c r="I259" s="2522"/>
      <c r="J259" s="2163"/>
      <c r="K259" s="2523">
        <v>0</v>
      </c>
      <c r="L259" s="2523"/>
      <c r="M259" s="2163"/>
      <c r="N259" s="2527"/>
      <c r="O259" s="2163"/>
    </row>
    <row r="260" spans="1:15">
      <c r="H260" s="2163"/>
      <c r="I260" s="2163"/>
      <c r="J260" s="2163"/>
      <c r="K260" s="2523"/>
      <c r="L260" s="2523"/>
      <c r="N260" s="2527"/>
    </row>
    <row r="261" spans="1:15">
      <c r="A261" s="2165">
        <v>19339</v>
      </c>
      <c r="B261" s="2163"/>
      <c r="C261" s="2524" t="s">
        <v>2887</v>
      </c>
      <c r="D261" s="2524"/>
      <c r="E261" s="2524"/>
      <c r="F261" s="2524"/>
      <c r="G261" s="2524"/>
      <c r="H261" s="2524"/>
      <c r="I261" s="2524"/>
      <c r="J261" s="2163"/>
      <c r="K261" s="2163"/>
      <c r="L261" s="2163"/>
      <c r="M261" s="2163"/>
    </row>
    <row r="262" spans="1:15">
      <c r="A262" s="2163"/>
      <c r="B262" s="2163"/>
      <c r="C262" s="2163"/>
      <c r="D262" s="2163"/>
      <c r="E262" s="2163"/>
      <c r="F262" s="2163"/>
      <c r="G262" s="2163"/>
      <c r="H262" s="2163"/>
      <c r="I262" s="2163"/>
      <c r="J262" s="2163"/>
      <c r="K262" s="2163"/>
      <c r="L262" s="2163"/>
      <c r="M262" s="2163"/>
    </row>
    <row r="263" spans="1:15">
      <c r="A263" s="2529"/>
      <c r="B263" s="2529"/>
      <c r="C263" s="2529"/>
      <c r="D263" s="2166"/>
      <c r="E263" s="2166"/>
      <c r="F263" s="2166"/>
      <c r="G263" s="2166"/>
      <c r="H263" s="2525"/>
      <c r="I263" s="2525"/>
      <c r="J263" s="2525"/>
      <c r="K263" s="2166"/>
      <c r="L263" s="2167"/>
      <c r="M263" s="2166"/>
    </row>
    <row r="264" spans="1:15">
      <c r="A264" s="2164"/>
      <c r="B264" s="2164"/>
      <c r="C264" s="2164"/>
      <c r="D264" s="2164"/>
      <c r="E264" s="2522" t="s">
        <v>2639</v>
      </c>
      <c r="F264" s="2522"/>
      <c r="G264" s="2164"/>
      <c r="H264" s="2523">
        <v>0</v>
      </c>
      <c r="I264" s="2523"/>
      <c r="J264" s="2523"/>
      <c r="K264" s="2163"/>
      <c r="L264" s="2523">
        <v>0</v>
      </c>
      <c r="M264" s="2163"/>
    </row>
    <row r="265" spans="1:15">
      <c r="A265" s="2164"/>
      <c r="B265" s="2164"/>
      <c r="C265" s="2164"/>
      <c r="D265" s="2164"/>
      <c r="E265" s="2164"/>
      <c r="F265" s="2164"/>
      <c r="G265" s="2164"/>
      <c r="H265" s="2523"/>
      <c r="I265" s="2523"/>
      <c r="J265" s="2523"/>
      <c r="K265" s="2163"/>
      <c r="L265" s="2523"/>
      <c r="M265" s="2163"/>
    </row>
    <row r="266" spans="1:15">
      <c r="A266" s="2160" t="s">
        <v>2680</v>
      </c>
      <c r="B266" s="2161"/>
      <c r="C266" s="2160" t="s">
        <v>2681</v>
      </c>
      <c r="D266" s="2161"/>
      <c r="E266" s="2160" t="s">
        <v>2640</v>
      </c>
      <c r="F266" s="2161"/>
    </row>
    <row r="267" spans="1:15">
      <c r="A267" s="2163"/>
      <c r="B267" s="2163"/>
      <c r="C267" s="2163"/>
      <c r="D267" s="2163"/>
      <c r="E267" s="2163"/>
      <c r="F267" s="2163"/>
      <c r="G267" s="2163"/>
      <c r="H267" s="2163"/>
      <c r="I267" s="2163"/>
      <c r="J267" s="2163"/>
      <c r="K267" s="2163"/>
      <c r="L267" s="2163"/>
      <c r="M267" s="2163"/>
    </row>
    <row r="268" spans="1:15">
      <c r="A268" s="2164"/>
      <c r="H268" s="2522" t="s">
        <v>2637</v>
      </c>
      <c r="I268" s="2522"/>
      <c r="J268" s="2163"/>
      <c r="K268" s="2523">
        <v>0</v>
      </c>
      <c r="L268" s="2523"/>
      <c r="M268" s="2163"/>
      <c r="N268" s="2527"/>
      <c r="O268" s="2163"/>
    </row>
    <row r="269" spans="1:15">
      <c r="H269" s="2163"/>
      <c r="I269" s="2163"/>
      <c r="J269" s="2163"/>
      <c r="K269" s="2523"/>
      <c r="L269" s="2523"/>
      <c r="N269" s="2527"/>
    </row>
    <row r="270" spans="1:15">
      <c r="A270" s="2165">
        <v>31791</v>
      </c>
      <c r="B270" s="2163"/>
      <c r="C270" s="2524" t="s">
        <v>2881</v>
      </c>
      <c r="D270" s="2524"/>
      <c r="E270" s="2524"/>
      <c r="F270" s="2524"/>
      <c r="G270" s="2524"/>
      <c r="H270" s="2524"/>
      <c r="I270" s="2524"/>
      <c r="J270" s="2163"/>
      <c r="K270" s="2163"/>
      <c r="L270" s="2163"/>
      <c r="M270" s="2163"/>
    </row>
    <row r="271" spans="1:15">
      <c r="A271" s="2163"/>
      <c r="B271" s="2163"/>
      <c r="C271" s="2163"/>
      <c r="D271" s="2163"/>
      <c r="E271" s="2163"/>
      <c r="F271" s="2163"/>
      <c r="G271" s="2163"/>
      <c r="H271" s="2163"/>
      <c r="I271" s="2163"/>
      <c r="J271" s="2163"/>
      <c r="K271" s="2163"/>
      <c r="L271" s="2163"/>
      <c r="M271" s="2163"/>
    </row>
    <row r="272" spans="1:15">
      <c r="A272" s="2529"/>
      <c r="B272" s="2529"/>
      <c r="C272" s="2529"/>
      <c r="D272" s="2166"/>
      <c r="E272" s="2166"/>
      <c r="F272" s="2166"/>
      <c r="G272" s="2166"/>
      <c r="H272" s="2525"/>
      <c r="I272" s="2525"/>
      <c r="J272" s="2525"/>
      <c r="K272" s="2166"/>
      <c r="L272" s="2167"/>
      <c r="M272" s="2166"/>
    </row>
    <row r="273" spans="1:15">
      <c r="A273" s="2164"/>
      <c r="B273" s="2164"/>
      <c r="C273" s="2164"/>
      <c r="D273" s="2164"/>
      <c r="E273" s="2522" t="s">
        <v>2639</v>
      </c>
      <c r="F273" s="2522"/>
      <c r="G273" s="2164"/>
      <c r="H273" s="2523">
        <v>0</v>
      </c>
      <c r="I273" s="2523"/>
      <c r="J273" s="2523"/>
      <c r="K273" s="2163"/>
      <c r="L273" s="2523">
        <v>0</v>
      </c>
      <c r="M273" s="2163"/>
    </row>
    <row r="274" spans="1:15">
      <c r="A274" s="2164"/>
      <c r="B274" s="2164"/>
      <c r="C274" s="2164"/>
      <c r="D274" s="2164"/>
      <c r="E274" s="2164"/>
      <c r="F274" s="2164"/>
      <c r="G274" s="2164"/>
      <c r="H274" s="2523"/>
      <c r="I274" s="2523"/>
      <c r="J274" s="2523"/>
      <c r="K274" s="2163"/>
      <c r="L274" s="2523"/>
      <c r="M274" s="2163"/>
    </row>
    <row r="275" spans="1:15">
      <c r="A275" s="2160" t="s">
        <v>2680</v>
      </c>
      <c r="B275" s="2161"/>
      <c r="C275" s="2160" t="s">
        <v>2681</v>
      </c>
      <c r="D275" s="2161"/>
      <c r="E275" s="2160" t="s">
        <v>2640</v>
      </c>
      <c r="F275" s="2161"/>
    </row>
    <row r="276" spans="1:15">
      <c r="A276" s="2163"/>
      <c r="B276" s="2163"/>
      <c r="C276" s="2163"/>
      <c r="D276" s="2163"/>
      <c r="E276" s="2163"/>
      <c r="F276" s="2163"/>
      <c r="G276" s="2163"/>
      <c r="H276" s="2163"/>
      <c r="I276" s="2163"/>
      <c r="J276" s="2163"/>
      <c r="K276" s="2163"/>
      <c r="L276" s="2163"/>
      <c r="M276" s="2163"/>
    </row>
    <row r="277" spans="1:15">
      <c r="A277" s="2164"/>
      <c r="H277" s="2522" t="s">
        <v>2637</v>
      </c>
      <c r="I277" s="2522"/>
      <c r="J277" s="2163"/>
      <c r="K277" s="2523">
        <v>9.1999999999999998E-3</v>
      </c>
      <c r="L277" s="2523"/>
      <c r="M277" s="2163"/>
      <c r="N277" s="2527">
        <v>1</v>
      </c>
      <c r="O277" s="2163"/>
    </row>
    <row r="278" spans="1:15">
      <c r="H278" s="2163"/>
      <c r="I278" s="2163"/>
      <c r="J278" s="2163"/>
      <c r="K278" s="2523"/>
      <c r="L278" s="2523"/>
      <c r="N278" s="2527"/>
    </row>
    <row r="279" spans="1:15">
      <c r="A279" s="2165">
        <v>41512</v>
      </c>
      <c r="B279" s="2163"/>
      <c r="C279" s="2524" t="s">
        <v>3119</v>
      </c>
      <c r="D279" s="2524"/>
      <c r="E279" s="2524"/>
      <c r="F279" s="2524"/>
      <c r="G279" s="2524"/>
      <c r="H279" s="2524"/>
      <c r="I279" s="2524"/>
      <c r="J279" s="2163"/>
      <c r="K279" s="2163"/>
      <c r="L279" s="2163"/>
      <c r="M279" s="2163"/>
    </row>
    <row r="280" spans="1:15">
      <c r="A280" s="2163"/>
      <c r="B280" s="2163"/>
      <c r="C280" s="2163"/>
      <c r="D280" s="2163"/>
      <c r="E280" s="2163"/>
      <c r="F280" s="2163"/>
      <c r="G280" s="2163"/>
      <c r="H280" s="2163"/>
      <c r="I280" s="2163"/>
      <c r="J280" s="2163"/>
      <c r="K280" s="2163"/>
      <c r="L280" s="2163"/>
      <c r="M280" s="2163"/>
    </row>
    <row r="281" spans="1:15">
      <c r="A281" s="2520" t="s">
        <v>2649</v>
      </c>
      <c r="B281" s="2520"/>
      <c r="C281" s="2520"/>
      <c r="D281" s="2166"/>
      <c r="E281" s="2166"/>
      <c r="F281" s="2166"/>
      <c r="G281" s="2166"/>
      <c r="H281" s="2525">
        <v>3.0139999999999998</v>
      </c>
      <c r="I281" s="2525"/>
      <c r="J281" s="2525"/>
      <c r="K281" s="2166"/>
      <c r="L281" s="2167">
        <v>304.07</v>
      </c>
      <c r="M281" s="2166"/>
    </row>
    <row r="282" spans="1:15">
      <c r="A282" s="2164"/>
      <c r="B282" s="2164"/>
      <c r="C282" s="2164"/>
      <c r="D282" s="2164"/>
      <c r="E282" s="2522" t="s">
        <v>2639</v>
      </c>
      <c r="F282" s="2522"/>
      <c r="G282" s="2164"/>
      <c r="H282" s="2523">
        <v>3.0230000000000001</v>
      </c>
      <c r="I282" s="2523"/>
      <c r="J282" s="2523"/>
      <c r="K282" s="2163"/>
      <c r="L282" s="2523">
        <v>305.38</v>
      </c>
      <c r="M282" s="2163"/>
    </row>
    <row r="283" spans="1:15">
      <c r="A283" s="2164"/>
      <c r="B283" s="2164"/>
      <c r="C283" s="2164"/>
      <c r="D283" s="2164"/>
      <c r="E283" s="2164"/>
      <c r="F283" s="2164"/>
      <c r="G283" s="2164"/>
      <c r="H283" s="2523"/>
      <c r="I283" s="2523"/>
      <c r="J283" s="2523"/>
      <c r="K283" s="2163"/>
      <c r="L283" s="2523"/>
      <c r="M283" s="2163"/>
    </row>
    <row r="284" spans="1:15">
      <c r="A284" s="2160" t="s">
        <v>2680</v>
      </c>
      <c r="B284" s="2161"/>
      <c r="C284" s="2160" t="s">
        <v>2681</v>
      </c>
      <c r="D284" s="2161"/>
      <c r="E284" s="2160" t="s">
        <v>2640</v>
      </c>
      <c r="F284" s="2161"/>
    </row>
    <row r="285" spans="1:15">
      <c r="A285" s="2163"/>
      <c r="B285" s="2163"/>
      <c r="C285" s="2163"/>
      <c r="D285" s="2163"/>
      <c r="E285" s="2163"/>
      <c r="F285" s="2163"/>
      <c r="G285" s="2163"/>
      <c r="H285" s="2163"/>
      <c r="I285" s="2163"/>
      <c r="J285" s="2163"/>
      <c r="K285" s="2163"/>
      <c r="L285" s="2163"/>
      <c r="M285" s="2163"/>
    </row>
    <row r="286" spans="1:15">
      <c r="A286" s="2164"/>
      <c r="H286" s="2522" t="s">
        <v>2637</v>
      </c>
      <c r="I286" s="2522"/>
      <c r="J286" s="2163"/>
      <c r="K286" s="2523">
        <v>1E-4</v>
      </c>
      <c r="L286" s="2523"/>
      <c r="M286" s="2163"/>
      <c r="N286" s="2527"/>
      <c r="O286" s="2163"/>
    </row>
    <row r="287" spans="1:15">
      <c r="H287" s="2163"/>
      <c r="I287" s="2163"/>
      <c r="J287" s="2163"/>
      <c r="K287" s="2523"/>
      <c r="L287" s="2523"/>
      <c r="N287" s="2527"/>
    </row>
    <row r="288" spans="1:15">
      <c r="A288" s="2165">
        <v>40568</v>
      </c>
      <c r="B288" s="2163"/>
      <c r="C288" s="2524" t="s">
        <v>2882</v>
      </c>
      <c r="D288" s="2524"/>
      <c r="E288" s="2524"/>
      <c r="F288" s="2524"/>
      <c r="G288" s="2524"/>
      <c r="H288" s="2524"/>
      <c r="I288" s="2524"/>
      <c r="J288" s="2163"/>
      <c r="K288" s="2163"/>
      <c r="L288" s="2163"/>
      <c r="M288" s="2163"/>
    </row>
    <row r="289" spans="1:15">
      <c r="A289" s="2163"/>
      <c r="B289" s="2163"/>
      <c r="C289" s="2163"/>
      <c r="D289" s="2163"/>
      <c r="E289" s="2163"/>
      <c r="F289" s="2163"/>
      <c r="G289" s="2163"/>
      <c r="H289" s="2163"/>
      <c r="I289" s="2163"/>
      <c r="J289" s="2163"/>
      <c r="K289" s="2163"/>
      <c r="L289" s="2163"/>
      <c r="M289" s="2163"/>
    </row>
    <row r="290" spans="1:15">
      <c r="A290" s="2520" t="s">
        <v>2649</v>
      </c>
      <c r="B290" s="2520"/>
      <c r="C290" s="2520"/>
      <c r="D290" s="2166"/>
      <c r="E290" s="2166"/>
      <c r="F290" s="2166"/>
      <c r="G290" s="2166"/>
      <c r="H290" s="2525">
        <v>8.9489999999999998</v>
      </c>
      <c r="I290" s="2525"/>
      <c r="J290" s="2525"/>
      <c r="K290" s="2166"/>
      <c r="L290" s="2167">
        <v>902.87</v>
      </c>
      <c r="M290" s="2166"/>
    </row>
    <row r="291" spans="1:15">
      <c r="A291" s="2164"/>
      <c r="B291" s="2164"/>
      <c r="C291" s="2164"/>
      <c r="D291" s="2164"/>
      <c r="E291" s="2522" t="s">
        <v>2639</v>
      </c>
      <c r="F291" s="2522"/>
      <c r="G291" s="2164"/>
      <c r="H291" s="2523">
        <v>8.9489999999999998</v>
      </c>
      <c r="I291" s="2523"/>
      <c r="J291" s="2523"/>
      <c r="K291" s="2163"/>
      <c r="L291" s="2523">
        <v>904.03</v>
      </c>
      <c r="M291" s="2163"/>
    </row>
    <row r="292" spans="1:15">
      <c r="A292" s="2164"/>
      <c r="B292" s="2164"/>
      <c r="C292" s="2164"/>
      <c r="D292" s="2164"/>
      <c r="E292" s="2164"/>
      <c r="F292" s="2164"/>
      <c r="G292" s="2164"/>
      <c r="H292" s="2523"/>
      <c r="I292" s="2523"/>
      <c r="J292" s="2523"/>
      <c r="K292" s="2163"/>
      <c r="L292" s="2523"/>
      <c r="M292" s="2163"/>
    </row>
    <row r="293" spans="1:15">
      <c r="A293" s="2160" t="s">
        <v>2680</v>
      </c>
      <c r="B293" s="2161"/>
      <c r="C293" s="2160" t="s">
        <v>2681</v>
      </c>
      <c r="D293" s="2161"/>
      <c r="E293" s="2160" t="s">
        <v>2640</v>
      </c>
      <c r="F293" s="2161"/>
    </row>
    <row r="294" spans="1:15">
      <c r="A294" s="2163"/>
      <c r="B294" s="2163"/>
      <c r="C294" s="2163"/>
      <c r="D294" s="2163"/>
      <c r="E294" s="2163"/>
      <c r="F294" s="2163"/>
      <c r="G294" s="2163"/>
      <c r="H294" s="2163"/>
      <c r="I294" s="2163"/>
      <c r="J294" s="2163"/>
      <c r="K294" s="2163"/>
      <c r="L294" s="2163"/>
      <c r="M294" s="2163"/>
    </row>
    <row r="295" spans="1:15">
      <c r="A295" s="2164"/>
      <c r="H295" s="2522" t="s">
        <v>2637</v>
      </c>
      <c r="I295" s="2522"/>
      <c r="J295" s="2163"/>
      <c r="K295" s="2523">
        <v>0</v>
      </c>
      <c r="L295" s="2523"/>
      <c r="M295" s="2163"/>
      <c r="N295" s="2527"/>
      <c r="O295" s="2163"/>
    </row>
    <row r="296" spans="1:15">
      <c r="H296" s="2163"/>
      <c r="I296" s="2163"/>
      <c r="J296" s="2163"/>
      <c r="K296" s="2523"/>
      <c r="L296" s="2523"/>
      <c r="N296" s="2527"/>
    </row>
    <row r="297" spans="1:15">
      <c r="A297" s="2165">
        <v>33762</v>
      </c>
      <c r="B297" s="2163"/>
      <c r="C297" s="2524" t="s">
        <v>2884</v>
      </c>
      <c r="D297" s="2524"/>
      <c r="E297" s="2524"/>
      <c r="F297" s="2524"/>
      <c r="G297" s="2524"/>
      <c r="H297" s="2524"/>
      <c r="I297" s="2524"/>
      <c r="J297" s="2163"/>
      <c r="K297" s="2163"/>
      <c r="L297" s="2163"/>
      <c r="M297" s="2163"/>
    </row>
    <row r="298" spans="1:15">
      <c r="A298" s="2163"/>
      <c r="B298" s="2163"/>
      <c r="C298" s="2163"/>
      <c r="D298" s="2163"/>
      <c r="E298" s="2163"/>
      <c r="F298" s="2163"/>
      <c r="G298" s="2163"/>
      <c r="H298" s="2163"/>
      <c r="I298" s="2163"/>
      <c r="J298" s="2163"/>
      <c r="K298" s="2163"/>
      <c r="L298" s="2163"/>
      <c r="M298" s="2163"/>
    </row>
    <row r="299" spans="1:15">
      <c r="A299" s="2529"/>
      <c r="B299" s="2529"/>
      <c r="C299" s="2529"/>
      <c r="D299" s="2166"/>
      <c r="E299" s="2166"/>
      <c r="F299" s="2166"/>
      <c r="G299" s="2166"/>
      <c r="H299" s="2525"/>
      <c r="I299" s="2525"/>
      <c r="J299" s="2525"/>
      <c r="K299" s="2166"/>
      <c r="L299" s="2167"/>
      <c r="M299" s="2166"/>
    </row>
    <row r="300" spans="1:15">
      <c r="A300" s="2164"/>
      <c r="B300" s="2164"/>
      <c r="C300" s="2164"/>
      <c r="D300" s="2164"/>
      <c r="E300" s="2522" t="s">
        <v>2639</v>
      </c>
      <c r="F300" s="2522"/>
      <c r="G300" s="2164"/>
      <c r="H300" s="2523">
        <v>0</v>
      </c>
      <c r="I300" s="2523"/>
      <c r="J300" s="2523"/>
      <c r="K300" s="2163"/>
      <c r="L300" s="2523">
        <v>0</v>
      </c>
      <c r="M300" s="2163"/>
    </row>
    <row r="301" spans="1:15">
      <c r="A301" s="2164"/>
      <c r="B301" s="2164"/>
      <c r="C301" s="2164"/>
      <c r="D301" s="2164"/>
      <c r="E301" s="2164"/>
      <c r="F301" s="2164"/>
      <c r="G301" s="2164"/>
      <c r="H301" s="2523"/>
      <c r="I301" s="2523"/>
      <c r="J301" s="2523"/>
      <c r="K301" s="2163"/>
      <c r="L301" s="2523"/>
      <c r="M301" s="2163"/>
    </row>
    <row r="302" spans="1:15">
      <c r="A302" s="2160" t="s">
        <v>2680</v>
      </c>
      <c r="B302" s="2161"/>
      <c r="C302" s="2160" t="s">
        <v>2681</v>
      </c>
      <c r="D302" s="2161"/>
      <c r="E302" s="2160" t="s">
        <v>2640</v>
      </c>
      <c r="F302" s="2161"/>
    </row>
    <row r="303" spans="1:15">
      <c r="A303" s="2163"/>
      <c r="B303" s="2163"/>
      <c r="C303" s="2163"/>
      <c r="D303" s="2163"/>
      <c r="E303" s="2163"/>
      <c r="F303" s="2163"/>
      <c r="G303" s="2163"/>
      <c r="H303" s="2163"/>
      <c r="I303" s="2163"/>
      <c r="J303" s="2163"/>
      <c r="K303" s="2163"/>
      <c r="L303" s="2163"/>
      <c r="M303" s="2163"/>
    </row>
    <row r="304" spans="1:15">
      <c r="A304" s="2164"/>
      <c r="H304" s="2522" t="s">
        <v>2637</v>
      </c>
      <c r="I304" s="2522"/>
      <c r="J304" s="2163"/>
      <c r="K304" s="2528">
        <v>2874.2541999999999</v>
      </c>
      <c r="L304" s="2528"/>
      <c r="M304" s="2163"/>
      <c r="N304" s="2527" t="s">
        <v>3120</v>
      </c>
      <c r="O304" s="2163"/>
    </row>
    <row r="305" spans="1:15">
      <c r="H305" s="2163"/>
      <c r="I305" s="2163"/>
      <c r="J305" s="2163"/>
      <c r="K305" s="2528"/>
      <c r="L305" s="2528"/>
      <c r="N305" s="2527"/>
    </row>
    <row r="306" spans="1:15">
      <c r="A306" s="2165">
        <v>35647</v>
      </c>
      <c r="B306" s="2163"/>
      <c r="C306" s="2524" t="s">
        <v>2885</v>
      </c>
      <c r="D306" s="2524"/>
      <c r="E306" s="2524"/>
      <c r="F306" s="2524"/>
      <c r="G306" s="2524"/>
      <c r="H306" s="2524"/>
      <c r="I306" s="2524"/>
      <c r="J306" s="2163"/>
      <c r="K306" s="2163"/>
      <c r="L306" s="2163"/>
      <c r="M306" s="2163"/>
    </row>
    <row r="307" spans="1:15">
      <c r="A307" s="2163"/>
      <c r="B307" s="2163"/>
      <c r="C307" s="2163"/>
      <c r="D307" s="2163"/>
      <c r="E307" s="2163"/>
      <c r="F307" s="2163"/>
      <c r="G307" s="2163"/>
      <c r="H307" s="2163"/>
      <c r="I307" s="2163"/>
      <c r="J307" s="2163"/>
      <c r="K307" s="2163"/>
      <c r="L307" s="2163"/>
      <c r="M307" s="2163"/>
    </row>
    <row r="308" spans="1:15">
      <c r="A308" s="2520" t="s">
        <v>2645</v>
      </c>
      <c r="B308" s="2520"/>
      <c r="C308" s="2520"/>
      <c r="D308" s="2166"/>
      <c r="E308" s="2166"/>
      <c r="F308" s="2166"/>
      <c r="G308" s="2166"/>
      <c r="H308" s="2525"/>
      <c r="I308" s="2525"/>
      <c r="J308" s="2525"/>
      <c r="K308" s="2166"/>
      <c r="L308" s="2167"/>
      <c r="M308" s="2166"/>
    </row>
    <row r="309" spans="1:15">
      <c r="A309" s="2520" t="s">
        <v>2645</v>
      </c>
      <c r="B309" s="2520"/>
      <c r="C309" s="2520"/>
      <c r="D309" s="2166"/>
      <c r="E309" s="2166"/>
      <c r="F309" s="2166"/>
      <c r="G309" s="2166"/>
      <c r="H309" s="2525">
        <v>8.2210000000000001</v>
      </c>
      <c r="I309" s="2525"/>
      <c r="J309" s="2525"/>
      <c r="K309" s="2166"/>
      <c r="L309" s="2167">
        <v>829.18</v>
      </c>
      <c r="M309" s="2166"/>
    </row>
    <row r="310" spans="1:15">
      <c r="A310" s="2520" t="s">
        <v>2679</v>
      </c>
      <c r="B310" s="2520"/>
      <c r="C310" s="2520"/>
      <c r="D310" s="2166"/>
      <c r="E310" s="2166"/>
      <c r="F310" s="2166"/>
      <c r="G310" s="2166"/>
      <c r="H310" s="2526">
        <v>-2479.1489999999999</v>
      </c>
      <c r="I310" s="2526"/>
      <c r="J310" s="2526"/>
      <c r="K310" s="2166"/>
      <c r="L310" s="2168">
        <v>-250500</v>
      </c>
      <c r="M310" s="2166"/>
    </row>
    <row r="311" spans="1:15">
      <c r="A311" s="2164"/>
      <c r="B311" s="2164"/>
      <c r="C311" s="2164"/>
      <c r="D311" s="2164"/>
      <c r="E311" s="2522" t="s">
        <v>2639</v>
      </c>
      <c r="F311" s="2522"/>
      <c r="G311" s="2164"/>
      <c r="H311" s="2523">
        <v>403.32619999999997</v>
      </c>
      <c r="I311" s="2523"/>
      <c r="J311" s="2523"/>
      <c r="K311" s="2163"/>
      <c r="L311" s="2528">
        <v>40743.93</v>
      </c>
      <c r="M311" s="2163"/>
    </row>
    <row r="312" spans="1:15">
      <c r="A312" s="2164"/>
      <c r="B312" s="2164"/>
      <c r="C312" s="2164"/>
      <c r="D312" s="2164"/>
      <c r="E312" s="2164"/>
      <c r="F312" s="2164"/>
      <c r="G312" s="2164"/>
      <c r="H312" s="2523"/>
      <c r="I312" s="2523"/>
      <c r="J312" s="2523"/>
      <c r="K312" s="2163"/>
      <c r="L312" s="2528"/>
      <c r="M312" s="2163"/>
    </row>
    <row r="313" spans="1:15">
      <c r="A313" s="2160" t="s">
        <v>2680</v>
      </c>
      <c r="B313" s="2161"/>
      <c r="C313" s="2160" t="s">
        <v>2681</v>
      </c>
      <c r="D313" s="2161"/>
      <c r="E313" s="2160" t="s">
        <v>2640</v>
      </c>
      <c r="F313" s="2161"/>
    </row>
    <row r="314" spans="1:15">
      <c r="A314" s="2163"/>
      <c r="B314" s="2163"/>
      <c r="C314" s="2163"/>
      <c r="D314" s="2163"/>
      <c r="E314" s="2163"/>
      <c r="F314" s="2163"/>
      <c r="G314" s="2163"/>
      <c r="H314" s="2163"/>
      <c r="I314" s="2163"/>
      <c r="J314" s="2163"/>
      <c r="K314" s="2163"/>
      <c r="L314" s="2163"/>
      <c r="M314" s="2163"/>
    </row>
    <row r="315" spans="1:15">
      <c r="A315" s="2164"/>
      <c r="H315" s="2522" t="s">
        <v>2637</v>
      </c>
      <c r="I315" s="2522"/>
      <c r="J315" s="2163"/>
      <c r="K315" s="2523">
        <v>0</v>
      </c>
      <c r="L315" s="2523"/>
      <c r="M315" s="2163"/>
      <c r="N315" s="2527"/>
      <c r="O315" s="2163"/>
    </row>
    <row r="316" spans="1:15">
      <c r="H316" s="2163"/>
      <c r="I316" s="2163"/>
      <c r="J316" s="2163"/>
      <c r="K316" s="2523"/>
      <c r="L316" s="2523"/>
      <c r="N316" s="2527"/>
    </row>
    <row r="317" spans="1:15">
      <c r="A317" s="2165">
        <v>50602</v>
      </c>
      <c r="B317" s="2163"/>
      <c r="C317" s="2524" t="s">
        <v>2880</v>
      </c>
      <c r="D317" s="2524"/>
      <c r="E317" s="2524"/>
      <c r="F317" s="2524"/>
      <c r="G317" s="2524"/>
      <c r="H317" s="2524"/>
      <c r="I317" s="2524"/>
      <c r="J317" s="2163"/>
      <c r="K317" s="2163"/>
      <c r="L317" s="2163"/>
      <c r="M317" s="2163"/>
    </row>
    <row r="318" spans="1:15">
      <c r="A318" s="2163"/>
      <c r="B318" s="2163"/>
      <c r="C318" s="2163"/>
      <c r="D318" s="2163"/>
      <c r="E318" s="2163"/>
      <c r="F318" s="2163"/>
      <c r="G318" s="2163"/>
      <c r="H318" s="2163"/>
      <c r="I318" s="2163"/>
      <c r="J318" s="2163"/>
      <c r="K318" s="2163"/>
      <c r="L318" s="2163"/>
      <c r="M318" s="2163"/>
    </row>
    <row r="319" spans="1:15">
      <c r="A319" s="2520" t="s">
        <v>2647</v>
      </c>
      <c r="B319" s="2520"/>
      <c r="C319" s="2520"/>
      <c r="D319" s="2166"/>
      <c r="E319" s="2166"/>
      <c r="F319" s="2166"/>
      <c r="G319" s="2166"/>
      <c r="H319" s="2526">
        <v>1222.6179999999999</v>
      </c>
      <c r="I319" s="2526"/>
      <c r="J319" s="2526"/>
      <c r="K319" s="2166"/>
      <c r="L319" s="2168">
        <v>123342</v>
      </c>
      <c r="M319" s="2166"/>
    </row>
    <row r="320" spans="1:15">
      <c r="A320" s="2520" t="s">
        <v>2648</v>
      </c>
      <c r="B320" s="2520"/>
      <c r="C320" s="2520"/>
      <c r="D320" s="2166"/>
      <c r="E320" s="2166"/>
      <c r="F320" s="2166"/>
      <c r="G320" s="2166"/>
      <c r="H320" s="2526">
        <v>-1222.6179999999999</v>
      </c>
      <c r="I320" s="2526"/>
      <c r="J320" s="2526"/>
      <c r="K320" s="2166"/>
      <c r="L320" s="2168">
        <v>-123395.19</v>
      </c>
      <c r="M320" s="2166"/>
    </row>
    <row r="321" spans="1:15">
      <c r="A321" s="2164"/>
      <c r="B321" s="2164"/>
      <c r="C321" s="2164"/>
      <c r="D321" s="2164"/>
      <c r="E321" s="2522" t="s">
        <v>2639</v>
      </c>
      <c r="F321" s="2522"/>
      <c r="G321" s="2164"/>
      <c r="H321" s="2523">
        <v>0</v>
      </c>
      <c r="I321" s="2523"/>
      <c r="J321" s="2523"/>
      <c r="K321" s="2163"/>
      <c r="L321" s="2523">
        <v>0</v>
      </c>
      <c r="M321" s="2163"/>
    </row>
    <row r="322" spans="1:15">
      <c r="A322" s="2164"/>
      <c r="B322" s="2164"/>
      <c r="C322" s="2164"/>
      <c r="D322" s="2164"/>
      <c r="E322" s="2164"/>
      <c r="F322" s="2164"/>
      <c r="G322" s="2164"/>
      <c r="H322" s="2523"/>
      <c r="I322" s="2523"/>
      <c r="J322" s="2523"/>
      <c r="K322" s="2163"/>
      <c r="L322" s="2523"/>
      <c r="M322" s="2163"/>
    </row>
    <row r="323" spans="1:15">
      <c r="A323" s="2160" t="s">
        <v>2680</v>
      </c>
      <c r="B323" s="2161"/>
      <c r="C323" s="2160" t="s">
        <v>2681</v>
      </c>
      <c r="D323" s="2161"/>
      <c r="E323" s="2160" t="s">
        <v>2640</v>
      </c>
      <c r="F323" s="2161"/>
    </row>
    <row r="324" spans="1:15">
      <c r="A324" s="2163"/>
      <c r="B324" s="2163"/>
      <c r="C324" s="2163"/>
      <c r="D324" s="2163"/>
      <c r="E324" s="2163"/>
      <c r="F324" s="2163"/>
      <c r="G324" s="2163"/>
      <c r="H324" s="2163"/>
      <c r="I324" s="2163"/>
      <c r="J324" s="2163"/>
      <c r="K324" s="2163"/>
      <c r="L324" s="2163"/>
      <c r="M324" s="2163"/>
    </row>
    <row r="325" spans="1:15">
      <c r="A325" s="2164"/>
      <c r="H325" s="2522" t="s">
        <v>2637</v>
      </c>
      <c r="I325" s="2522"/>
      <c r="J325" s="2163"/>
      <c r="K325" s="2523">
        <v>0</v>
      </c>
      <c r="L325" s="2523"/>
      <c r="M325" s="2163"/>
      <c r="N325" s="2527"/>
      <c r="O325" s="2163"/>
    </row>
    <row r="326" spans="1:15">
      <c r="H326" s="2163"/>
      <c r="I326" s="2163"/>
      <c r="J326" s="2163"/>
      <c r="K326" s="2523"/>
      <c r="L326" s="2523"/>
      <c r="N326" s="2527"/>
    </row>
    <row r="327" spans="1:15">
      <c r="A327" s="2165">
        <v>75627</v>
      </c>
      <c r="B327" s="2163"/>
      <c r="C327" s="2524" t="s">
        <v>2889</v>
      </c>
      <c r="D327" s="2524"/>
      <c r="E327" s="2524"/>
      <c r="F327" s="2524"/>
      <c r="G327" s="2524"/>
      <c r="H327" s="2524"/>
      <c r="I327" s="2524"/>
      <c r="J327" s="2163"/>
      <c r="K327" s="2163"/>
      <c r="L327" s="2163"/>
      <c r="M327" s="2163"/>
    </row>
    <row r="328" spans="1:15">
      <c r="A328" s="2163"/>
      <c r="B328" s="2163"/>
      <c r="C328" s="2163"/>
      <c r="D328" s="2163"/>
      <c r="E328" s="2163"/>
      <c r="F328" s="2163"/>
      <c r="G328" s="2163"/>
      <c r="H328" s="2163"/>
      <c r="I328" s="2163"/>
      <c r="J328" s="2163"/>
      <c r="K328" s="2163"/>
      <c r="L328" s="2163"/>
      <c r="M328" s="2163"/>
    </row>
    <row r="329" spans="1:15">
      <c r="A329" s="2520" t="s">
        <v>2647</v>
      </c>
      <c r="B329" s="2520"/>
      <c r="C329" s="2520"/>
      <c r="D329" s="2166"/>
      <c r="E329" s="2166"/>
      <c r="F329" s="2166"/>
      <c r="G329" s="2166"/>
      <c r="H329" s="2526">
        <v>82783.001000000004</v>
      </c>
      <c r="I329" s="2526"/>
      <c r="J329" s="2526"/>
      <c r="K329" s="2166"/>
      <c r="L329" s="2168">
        <v>8359487.3399999999</v>
      </c>
      <c r="M329" s="2166"/>
    </row>
    <row r="330" spans="1:15">
      <c r="A330" s="2520" t="s">
        <v>2648</v>
      </c>
      <c r="B330" s="2520"/>
      <c r="C330" s="2520"/>
      <c r="D330" s="2166"/>
      <c r="E330" s="2166"/>
      <c r="F330" s="2166"/>
      <c r="G330" s="2166"/>
      <c r="H330" s="2526">
        <v>-60794.159</v>
      </c>
      <c r="I330" s="2526"/>
      <c r="J330" s="2526"/>
      <c r="K330" s="2166"/>
      <c r="L330" s="2168">
        <v>-6142252.7800000003</v>
      </c>
      <c r="M330" s="2166"/>
    </row>
    <row r="331" spans="1:15">
      <c r="A331" s="2520" t="s">
        <v>2679</v>
      </c>
      <c r="B331" s="2520"/>
      <c r="C331" s="2520"/>
      <c r="D331" s="2166"/>
      <c r="E331" s="2166"/>
      <c r="F331" s="2166"/>
      <c r="G331" s="2166"/>
      <c r="H331" s="2526">
        <v>-22128.587</v>
      </c>
      <c r="I331" s="2526"/>
      <c r="J331" s="2526"/>
      <c r="K331" s="2166"/>
      <c r="L331" s="2168">
        <v>-2234271.4300000002</v>
      </c>
      <c r="M331" s="2166"/>
    </row>
    <row r="332" spans="1:15">
      <c r="A332" s="2520" t="s">
        <v>2649</v>
      </c>
      <c r="B332" s="2520"/>
      <c r="C332" s="2520"/>
      <c r="D332" s="2166"/>
      <c r="E332" s="2166"/>
      <c r="F332" s="2166"/>
      <c r="G332" s="2166"/>
      <c r="H332" s="2525">
        <v>139.745</v>
      </c>
      <c r="I332" s="2525"/>
      <c r="J332" s="2525"/>
      <c r="K332" s="2166"/>
      <c r="L332" s="2168">
        <v>14099.08</v>
      </c>
      <c r="M332" s="2166"/>
    </row>
    <row r="333" spans="1:15">
      <c r="A333" s="2164"/>
      <c r="B333" s="2164"/>
      <c r="C333" s="2164"/>
      <c r="D333" s="2164"/>
      <c r="E333" s="2522" t="s">
        <v>2639</v>
      </c>
      <c r="F333" s="2522"/>
      <c r="G333" s="2164"/>
      <c r="H333" s="2523">
        <v>1E-4</v>
      </c>
      <c r="I333" s="2523"/>
      <c r="J333" s="2523"/>
      <c r="K333" s="2163"/>
      <c r="L333" s="2523">
        <v>0.01</v>
      </c>
      <c r="M333" s="2163"/>
    </row>
    <row r="334" spans="1:15">
      <c r="A334" s="2164"/>
      <c r="B334" s="2164"/>
      <c r="C334" s="2164"/>
      <c r="D334" s="2164"/>
      <c r="E334" s="2164"/>
      <c r="F334" s="2164"/>
      <c r="G334" s="2164"/>
      <c r="H334" s="2523"/>
      <c r="I334" s="2523"/>
      <c r="J334" s="2523"/>
      <c r="K334" s="2163"/>
      <c r="L334" s="2523"/>
      <c r="M334" s="2163"/>
    </row>
    <row r="335" spans="1:15">
      <c r="A335" s="2160" t="s">
        <v>2680</v>
      </c>
      <c r="B335" s="2161"/>
      <c r="C335" s="2160" t="s">
        <v>2681</v>
      </c>
      <c r="D335" s="2161"/>
      <c r="E335" s="2160" t="s">
        <v>2640</v>
      </c>
      <c r="F335" s="2161"/>
    </row>
    <row r="336" spans="1:15">
      <c r="A336" s="2163"/>
      <c r="B336" s="2163"/>
      <c r="C336" s="2163"/>
      <c r="D336" s="2163"/>
      <c r="E336" s="2163"/>
      <c r="F336" s="2163"/>
      <c r="G336" s="2163"/>
      <c r="H336" s="2163"/>
      <c r="I336" s="2163"/>
      <c r="J336" s="2163"/>
      <c r="K336" s="2163"/>
      <c r="L336" s="2163"/>
      <c r="M336" s="2163"/>
    </row>
    <row r="337" spans="1:15">
      <c r="A337" s="2164"/>
      <c r="H337" s="2522" t="s">
        <v>2637</v>
      </c>
      <c r="I337" s="2522"/>
      <c r="J337" s="2163"/>
      <c r="K337" s="2523">
        <v>0</v>
      </c>
      <c r="L337" s="2523"/>
      <c r="M337" s="2163"/>
      <c r="N337" s="2527"/>
      <c r="O337" s="2163"/>
    </row>
    <row r="338" spans="1:15">
      <c r="H338" s="2163"/>
      <c r="I338" s="2163"/>
      <c r="J338" s="2163"/>
      <c r="K338" s="2523"/>
      <c r="L338" s="2523"/>
      <c r="N338" s="2527"/>
    </row>
    <row r="339" spans="1:15">
      <c r="A339" s="2165">
        <v>75677</v>
      </c>
      <c r="B339" s="2163"/>
      <c r="C339" s="2524" t="s">
        <v>2890</v>
      </c>
      <c r="D339" s="2524"/>
      <c r="E339" s="2524"/>
      <c r="F339" s="2524"/>
      <c r="G339" s="2524"/>
      <c r="H339" s="2524"/>
      <c r="I339" s="2524"/>
      <c r="J339" s="2163"/>
      <c r="K339" s="2163"/>
      <c r="L339" s="2163"/>
      <c r="M339" s="2163"/>
    </row>
    <row r="340" spans="1:15">
      <c r="A340" s="2163"/>
      <c r="B340" s="2163"/>
      <c r="C340" s="2163"/>
      <c r="D340" s="2163"/>
      <c r="E340" s="2163"/>
      <c r="F340" s="2163"/>
      <c r="G340" s="2163"/>
      <c r="H340" s="2163"/>
      <c r="I340" s="2163"/>
      <c r="J340" s="2163"/>
      <c r="K340" s="2163"/>
      <c r="L340" s="2163"/>
      <c r="M340" s="2163"/>
    </row>
    <row r="341" spans="1:15">
      <c r="A341" s="2520" t="s">
        <v>2649</v>
      </c>
      <c r="B341" s="2520"/>
      <c r="C341" s="2520"/>
      <c r="D341" s="2166"/>
      <c r="E341" s="2166"/>
      <c r="F341" s="2166"/>
      <c r="G341" s="2166"/>
      <c r="H341" s="2525">
        <v>9.9000000000000005E-2</v>
      </c>
      <c r="I341" s="2525"/>
      <c r="J341" s="2525"/>
      <c r="K341" s="2166"/>
      <c r="L341" s="2167">
        <v>10</v>
      </c>
      <c r="M341" s="2166"/>
    </row>
    <row r="342" spans="1:15">
      <c r="A342" s="2164"/>
      <c r="B342" s="2164"/>
      <c r="C342" s="2164"/>
      <c r="D342" s="2164"/>
      <c r="E342" s="2522" t="s">
        <v>2639</v>
      </c>
      <c r="F342" s="2522"/>
      <c r="G342" s="2164"/>
      <c r="H342" s="2523">
        <v>9.9099999999999994E-2</v>
      </c>
      <c r="I342" s="2523"/>
      <c r="J342" s="2523"/>
      <c r="K342" s="2163"/>
      <c r="L342" s="2523">
        <v>10.01</v>
      </c>
      <c r="M342" s="2163"/>
    </row>
    <row r="343" spans="1:15">
      <c r="A343" s="2164"/>
      <c r="B343" s="2164"/>
      <c r="C343" s="2164"/>
      <c r="D343" s="2164"/>
      <c r="E343" s="2164"/>
      <c r="F343" s="2164"/>
      <c r="G343" s="2164"/>
      <c r="H343" s="2523"/>
      <c r="I343" s="2523"/>
      <c r="J343" s="2523"/>
      <c r="K343" s="2163"/>
      <c r="L343" s="2523"/>
      <c r="M343" s="2163"/>
    </row>
    <row r="344" spans="1:15">
      <c r="A344" s="2160" t="s">
        <v>2680</v>
      </c>
      <c r="B344" s="2161"/>
      <c r="C344" s="2160" t="s">
        <v>2681</v>
      </c>
      <c r="D344" s="2161"/>
      <c r="E344" s="2160" t="s">
        <v>2640</v>
      </c>
      <c r="F344" s="2161"/>
    </row>
    <row r="345" spans="1:15">
      <c r="A345" s="2163"/>
      <c r="B345" s="2163"/>
      <c r="C345" s="2163"/>
      <c r="D345" s="2163"/>
      <c r="E345" s="2163"/>
      <c r="F345" s="2163"/>
      <c r="G345" s="2163"/>
      <c r="H345" s="2163"/>
      <c r="I345" s="2163"/>
      <c r="J345" s="2163"/>
      <c r="K345" s="2163"/>
      <c r="L345" s="2163"/>
      <c r="M345" s="2163"/>
    </row>
    <row r="346" spans="1:15">
      <c r="A346" s="2164"/>
      <c r="H346" s="2522" t="s">
        <v>2637</v>
      </c>
      <c r="I346" s="2522"/>
      <c r="J346" s="2163"/>
      <c r="K346" s="2528">
        <v>76658.660699999993</v>
      </c>
      <c r="L346" s="2528"/>
      <c r="M346" s="2163"/>
      <c r="N346" s="2527" t="s">
        <v>3121</v>
      </c>
      <c r="O346" s="2163"/>
    </row>
    <row r="347" spans="1:15">
      <c r="H347" s="2163"/>
      <c r="I347" s="2163"/>
      <c r="J347" s="2163"/>
      <c r="K347" s="2528"/>
      <c r="L347" s="2528"/>
      <c r="N347" s="2527"/>
    </row>
    <row r="348" spans="1:15">
      <c r="A348" s="2165">
        <v>64050</v>
      </c>
      <c r="B348" s="2163"/>
      <c r="C348" s="2524" t="s">
        <v>2886</v>
      </c>
      <c r="D348" s="2524"/>
      <c r="E348" s="2524"/>
      <c r="F348" s="2524"/>
      <c r="G348" s="2524"/>
      <c r="H348" s="2524"/>
      <c r="I348" s="2524"/>
      <c r="J348" s="2163"/>
      <c r="K348" s="2163"/>
      <c r="L348" s="2163"/>
      <c r="M348" s="2163"/>
    </row>
    <row r="349" spans="1:15">
      <c r="A349" s="2163"/>
      <c r="B349" s="2163"/>
      <c r="C349" s="2163"/>
      <c r="D349" s="2163"/>
      <c r="E349" s="2163"/>
      <c r="F349" s="2163"/>
      <c r="G349" s="2163"/>
      <c r="H349" s="2163"/>
      <c r="I349" s="2163"/>
      <c r="J349" s="2163"/>
      <c r="K349" s="2163"/>
      <c r="L349" s="2163"/>
      <c r="M349" s="2163"/>
    </row>
    <row r="350" spans="1:15">
      <c r="A350" s="2520" t="s">
        <v>2645</v>
      </c>
      <c r="B350" s="2520"/>
      <c r="C350" s="2520"/>
      <c r="D350" s="2166"/>
      <c r="E350" s="2166"/>
      <c r="F350" s="2166"/>
      <c r="G350" s="2166"/>
      <c r="H350" s="2525"/>
      <c r="I350" s="2525"/>
      <c r="J350" s="2525"/>
      <c r="K350" s="2166"/>
      <c r="L350" s="2167"/>
      <c r="M350" s="2166"/>
    </row>
    <row r="351" spans="1:15">
      <c r="A351" s="2520" t="s">
        <v>2645</v>
      </c>
      <c r="B351" s="2520"/>
      <c r="C351" s="2520"/>
      <c r="D351" s="2166"/>
      <c r="E351" s="2166"/>
      <c r="F351" s="2166"/>
      <c r="G351" s="2166"/>
      <c r="H351" s="2525">
        <v>635.07000000000005</v>
      </c>
      <c r="I351" s="2525"/>
      <c r="J351" s="2525"/>
      <c r="K351" s="2166"/>
      <c r="L351" s="2168">
        <v>64050.720000000001</v>
      </c>
      <c r="M351" s="2166"/>
    </row>
    <row r="352" spans="1:15">
      <c r="A352" s="2520" t="s">
        <v>2679</v>
      </c>
      <c r="B352" s="2520"/>
      <c r="C352" s="2520"/>
      <c r="D352" s="2166"/>
      <c r="E352" s="2166"/>
      <c r="F352" s="2166"/>
      <c r="G352" s="2166"/>
      <c r="H352" s="2526">
        <v>-39545.347000000002</v>
      </c>
      <c r="I352" s="2526"/>
      <c r="J352" s="2526"/>
      <c r="K352" s="2166"/>
      <c r="L352" s="2168">
        <v>-4000000</v>
      </c>
      <c r="M352" s="2166"/>
    </row>
    <row r="353" spans="1:15">
      <c r="A353" s="2520" t="s">
        <v>2649</v>
      </c>
      <c r="B353" s="2520"/>
      <c r="C353" s="2520"/>
      <c r="D353" s="2166"/>
      <c r="E353" s="2166"/>
      <c r="F353" s="2166"/>
      <c r="G353" s="2166"/>
      <c r="H353" s="2526">
        <v>17864.605</v>
      </c>
      <c r="I353" s="2526"/>
      <c r="J353" s="2526"/>
      <c r="K353" s="2166"/>
      <c r="L353" s="2168">
        <v>1801755.01</v>
      </c>
      <c r="M353" s="2166"/>
    </row>
    <row r="354" spans="1:15">
      <c r="A354" s="2164"/>
      <c r="B354" s="2164"/>
      <c r="C354" s="2164"/>
      <c r="D354" s="2164"/>
      <c r="E354" s="2522" t="s">
        <v>2639</v>
      </c>
      <c r="F354" s="2522"/>
      <c r="G354" s="2164"/>
      <c r="H354" s="2528">
        <v>55612.989099999999</v>
      </c>
      <c r="I354" s="2528"/>
      <c r="J354" s="2528"/>
      <c r="K354" s="2163"/>
      <c r="L354" s="2528">
        <v>5618013.0300000003</v>
      </c>
      <c r="M354" s="2163"/>
    </row>
    <row r="355" spans="1:15">
      <c r="A355" s="2164"/>
      <c r="B355" s="2164"/>
      <c r="C355" s="2164"/>
      <c r="D355" s="2164"/>
      <c r="E355" s="2164"/>
      <c r="F355" s="2164"/>
      <c r="G355" s="2164"/>
      <c r="H355" s="2528"/>
      <c r="I355" s="2528"/>
      <c r="J355" s="2528"/>
      <c r="K355" s="2163"/>
      <c r="L355" s="2528"/>
      <c r="M355" s="2163"/>
    </row>
    <row r="356" spans="1:15">
      <c r="A356" s="2160" t="s">
        <v>2680</v>
      </c>
      <c r="B356" s="2161"/>
      <c r="C356" s="2160" t="s">
        <v>2681</v>
      </c>
      <c r="D356" s="2161"/>
      <c r="E356" s="2160" t="s">
        <v>2640</v>
      </c>
      <c r="F356" s="2161"/>
    </row>
    <row r="357" spans="1:15">
      <c r="A357" s="2163"/>
      <c r="B357" s="2163"/>
      <c r="C357" s="2163"/>
      <c r="D357" s="2163"/>
      <c r="E357" s="2163"/>
      <c r="F357" s="2163"/>
      <c r="G357" s="2163"/>
      <c r="H357" s="2163"/>
      <c r="I357" s="2163"/>
      <c r="J357" s="2163"/>
      <c r="K357" s="2163"/>
      <c r="L357" s="2163"/>
      <c r="M357" s="2163"/>
    </row>
    <row r="358" spans="1:15">
      <c r="A358" s="2164"/>
      <c r="H358" s="2522" t="s">
        <v>2637</v>
      </c>
      <c r="I358" s="2522"/>
      <c r="J358" s="2163"/>
      <c r="K358" s="2528">
        <v>84630.126399999994</v>
      </c>
      <c r="L358" s="2528"/>
      <c r="M358" s="2163"/>
      <c r="N358" s="2527" t="s">
        <v>3122</v>
      </c>
      <c r="O358" s="2163"/>
    </row>
    <row r="359" spans="1:15">
      <c r="H359" s="2163"/>
      <c r="I359" s="2163"/>
      <c r="J359" s="2163"/>
      <c r="K359" s="2528"/>
      <c r="L359" s="2528"/>
      <c r="N359" s="2527"/>
    </row>
    <row r="360" spans="1:15">
      <c r="A360" s="2165">
        <v>67110</v>
      </c>
      <c r="B360" s="2163"/>
      <c r="C360" s="2524" t="s">
        <v>2891</v>
      </c>
      <c r="D360" s="2524"/>
      <c r="E360" s="2524"/>
      <c r="F360" s="2524"/>
      <c r="G360" s="2524"/>
      <c r="H360" s="2524"/>
      <c r="I360" s="2524"/>
      <c r="J360" s="2163"/>
      <c r="K360" s="2163"/>
      <c r="L360" s="2163"/>
      <c r="M360" s="2163"/>
    </row>
    <row r="361" spans="1:15">
      <c r="A361" s="2163"/>
      <c r="B361" s="2163"/>
      <c r="C361" s="2163"/>
      <c r="D361" s="2163"/>
      <c r="E361" s="2163"/>
      <c r="F361" s="2163"/>
      <c r="G361" s="2163"/>
      <c r="H361" s="2163"/>
      <c r="I361" s="2163"/>
      <c r="J361" s="2163"/>
      <c r="K361" s="2163"/>
      <c r="L361" s="2163"/>
      <c r="M361" s="2163"/>
    </row>
    <row r="362" spans="1:15">
      <c r="A362" s="2520" t="s">
        <v>2645</v>
      </c>
      <c r="B362" s="2520"/>
      <c r="C362" s="2520"/>
      <c r="D362" s="2166"/>
      <c r="E362" s="2166"/>
      <c r="F362" s="2166"/>
      <c r="G362" s="2166"/>
      <c r="H362" s="2525"/>
      <c r="I362" s="2525"/>
      <c r="J362" s="2525"/>
      <c r="K362" s="2166"/>
      <c r="L362" s="2167"/>
      <c r="M362" s="2166"/>
    </row>
    <row r="363" spans="1:15">
      <c r="A363" s="2520" t="s">
        <v>2645</v>
      </c>
      <c r="B363" s="2520"/>
      <c r="C363" s="2520"/>
      <c r="D363" s="2166"/>
      <c r="E363" s="2166"/>
      <c r="F363" s="2166"/>
      <c r="G363" s="2166"/>
      <c r="H363" s="2525">
        <v>897.63599999999997</v>
      </c>
      <c r="I363" s="2525"/>
      <c r="J363" s="2525"/>
      <c r="K363" s="2166"/>
      <c r="L363" s="2168">
        <v>90532.04</v>
      </c>
      <c r="M363" s="2166"/>
    </row>
    <row r="364" spans="1:15">
      <c r="A364" s="2520" t="s">
        <v>2679</v>
      </c>
      <c r="B364" s="2520"/>
      <c r="C364" s="2520"/>
      <c r="D364" s="2166"/>
      <c r="E364" s="2166"/>
      <c r="F364" s="2166"/>
      <c r="G364" s="2166"/>
      <c r="H364" s="2526">
        <v>-54374.851999999999</v>
      </c>
      <c r="I364" s="2526"/>
      <c r="J364" s="2526"/>
      <c r="K364" s="2166"/>
      <c r="L364" s="2168">
        <v>-5500000</v>
      </c>
      <c r="M364" s="2166"/>
    </row>
    <row r="365" spans="1:15">
      <c r="A365" s="2520" t="s">
        <v>2649</v>
      </c>
      <c r="B365" s="2520"/>
      <c r="C365" s="2520"/>
      <c r="D365" s="2166"/>
      <c r="E365" s="2166"/>
      <c r="F365" s="2166"/>
      <c r="G365" s="2166"/>
      <c r="H365" s="2526">
        <v>32469.472000000002</v>
      </c>
      <c r="I365" s="2526"/>
      <c r="J365" s="2526"/>
      <c r="K365" s="2166"/>
      <c r="L365" s="2168">
        <v>3274746</v>
      </c>
      <c r="M365" s="2166"/>
    </row>
    <row r="366" spans="1:15">
      <c r="A366" s="2164"/>
      <c r="B366" s="2164"/>
      <c r="C366" s="2164"/>
      <c r="D366" s="2164"/>
      <c r="E366" s="2522" t="s">
        <v>2639</v>
      </c>
      <c r="F366" s="2522"/>
      <c r="G366" s="2164"/>
      <c r="H366" s="2528">
        <v>63622.3822</v>
      </c>
      <c r="I366" s="2528"/>
      <c r="J366" s="2528"/>
      <c r="K366" s="2163"/>
      <c r="L366" s="2528">
        <v>6427120.3200000003</v>
      </c>
      <c r="M366" s="2163"/>
    </row>
    <row r="367" spans="1:15">
      <c r="A367" s="2164"/>
      <c r="B367" s="2164"/>
      <c r="C367" s="2164"/>
      <c r="D367" s="2164"/>
      <c r="E367" s="2164"/>
      <c r="F367" s="2164"/>
      <c r="G367" s="2164"/>
      <c r="H367" s="2528"/>
      <c r="I367" s="2528"/>
      <c r="J367" s="2528"/>
      <c r="K367" s="2163"/>
      <c r="L367" s="2528"/>
      <c r="M367" s="2163"/>
    </row>
    <row r="368" spans="1:15">
      <c r="A368" s="2160" t="s">
        <v>2680</v>
      </c>
      <c r="B368" s="2161"/>
      <c r="C368" s="2160" t="s">
        <v>2681</v>
      </c>
      <c r="D368" s="2161"/>
      <c r="E368" s="2160" t="s">
        <v>2640</v>
      </c>
      <c r="F368" s="2161"/>
    </row>
    <row r="369" spans="1:15">
      <c r="A369" s="2163"/>
      <c r="B369" s="2163"/>
      <c r="C369" s="2163"/>
      <c r="D369" s="2163"/>
      <c r="E369" s="2163"/>
      <c r="F369" s="2163"/>
      <c r="G369" s="2163"/>
      <c r="H369" s="2163"/>
      <c r="I369" s="2163"/>
      <c r="J369" s="2163"/>
      <c r="K369" s="2163"/>
      <c r="L369" s="2163"/>
      <c r="M369" s="2163"/>
    </row>
    <row r="370" spans="1:15">
      <c r="A370" s="2164"/>
      <c r="H370" s="2522" t="s">
        <v>2637</v>
      </c>
      <c r="I370" s="2522"/>
      <c r="J370" s="2163"/>
      <c r="K370" s="2523">
        <v>9.9000000000000008E-3</v>
      </c>
      <c r="L370" s="2523"/>
      <c r="M370" s="2163"/>
      <c r="N370" s="2527">
        <v>1</v>
      </c>
      <c r="O370" s="2163"/>
    </row>
    <row r="371" spans="1:15">
      <c r="H371" s="2163"/>
      <c r="I371" s="2163"/>
      <c r="J371" s="2163"/>
      <c r="K371" s="2523"/>
      <c r="L371" s="2523"/>
      <c r="N371" s="2527"/>
    </row>
    <row r="372" spans="1:15">
      <c r="A372" s="2165">
        <v>73898</v>
      </c>
      <c r="B372" s="2163"/>
      <c r="C372" s="2524" t="s">
        <v>2880</v>
      </c>
      <c r="D372" s="2524"/>
      <c r="E372" s="2524"/>
      <c r="F372" s="2524"/>
      <c r="G372" s="2524"/>
      <c r="H372" s="2524"/>
      <c r="I372" s="2524"/>
      <c r="J372" s="2163"/>
      <c r="K372" s="2163"/>
      <c r="L372" s="2163"/>
      <c r="M372" s="2163"/>
    </row>
    <row r="373" spans="1:15">
      <c r="A373" s="2163"/>
      <c r="B373" s="2163"/>
      <c r="C373" s="2163"/>
      <c r="D373" s="2163"/>
      <c r="E373" s="2163"/>
      <c r="F373" s="2163"/>
      <c r="G373" s="2163"/>
      <c r="H373" s="2163"/>
      <c r="I373" s="2163"/>
      <c r="J373" s="2163"/>
      <c r="K373" s="2163"/>
      <c r="L373" s="2163"/>
      <c r="M373" s="2163"/>
    </row>
    <row r="374" spans="1:15">
      <c r="A374" s="2529"/>
      <c r="B374" s="2529"/>
      <c r="C374" s="2529"/>
      <c r="D374" s="2166"/>
      <c r="E374" s="2166"/>
      <c r="F374" s="2166"/>
      <c r="G374" s="2166"/>
      <c r="H374" s="2525"/>
      <c r="I374" s="2525"/>
      <c r="J374" s="2525"/>
      <c r="K374" s="2166"/>
      <c r="L374" s="2167"/>
      <c r="M374" s="2166"/>
    </row>
    <row r="375" spans="1:15">
      <c r="A375" s="2164"/>
      <c r="B375" s="2164"/>
      <c r="C375" s="2164"/>
      <c r="D375" s="2164"/>
      <c r="E375" s="2522" t="s">
        <v>2639</v>
      </c>
      <c r="F375" s="2522"/>
      <c r="G375" s="2164"/>
      <c r="H375" s="2523">
        <v>9.9000000000000008E-3</v>
      </c>
      <c r="I375" s="2523"/>
      <c r="J375" s="2523"/>
      <c r="K375" s="2163"/>
      <c r="L375" s="2523">
        <v>1</v>
      </c>
      <c r="M375" s="2163"/>
    </row>
    <row r="376" spans="1:15">
      <c r="A376" s="2164"/>
      <c r="B376" s="2164"/>
      <c r="C376" s="2164"/>
      <c r="D376" s="2164"/>
      <c r="E376" s="2164"/>
      <c r="F376" s="2164"/>
      <c r="G376" s="2164"/>
      <c r="H376" s="2523"/>
      <c r="I376" s="2523"/>
      <c r="J376" s="2523"/>
      <c r="K376" s="2163"/>
      <c r="L376" s="2523"/>
      <c r="M376" s="2163"/>
    </row>
    <row r="377" spans="1:15">
      <c r="A377" s="2160" t="s">
        <v>2680</v>
      </c>
      <c r="B377" s="2161"/>
      <c r="C377" s="2160" t="s">
        <v>2681</v>
      </c>
      <c r="D377" s="2161"/>
      <c r="E377" s="2160" t="s">
        <v>2640</v>
      </c>
      <c r="F377" s="2161"/>
    </row>
    <row r="378" spans="1:15">
      <c r="A378" s="2163"/>
      <c r="B378" s="2163"/>
      <c r="C378" s="2163"/>
      <c r="D378" s="2163"/>
      <c r="E378" s="2163"/>
      <c r="F378" s="2163"/>
      <c r="G378" s="2163"/>
      <c r="H378" s="2163"/>
      <c r="I378" s="2163"/>
      <c r="J378" s="2163"/>
      <c r="K378" s="2163"/>
      <c r="L378" s="2163"/>
      <c r="M378" s="2163"/>
    </row>
    <row r="379" spans="1:15">
      <c r="A379" s="2164"/>
      <c r="H379" s="2522" t="s">
        <v>2637</v>
      </c>
      <c r="I379" s="2522"/>
      <c r="J379" s="2163"/>
      <c r="K379" s="2523">
        <v>495.9871</v>
      </c>
      <c r="L379" s="2523"/>
      <c r="M379" s="2163"/>
      <c r="N379" s="2527" t="s">
        <v>3123</v>
      </c>
      <c r="O379" s="2163"/>
    </row>
    <row r="380" spans="1:15">
      <c r="H380" s="2163"/>
      <c r="I380" s="2163"/>
      <c r="J380" s="2163"/>
      <c r="K380" s="2523"/>
      <c r="L380" s="2523"/>
      <c r="N380" s="2527"/>
    </row>
    <row r="381" spans="1:15">
      <c r="A381" s="2165">
        <v>75343</v>
      </c>
      <c r="B381" s="2163"/>
      <c r="C381" s="2524" t="s">
        <v>2892</v>
      </c>
      <c r="D381" s="2524"/>
      <c r="E381" s="2524"/>
      <c r="F381" s="2524"/>
      <c r="G381" s="2524"/>
      <c r="H381" s="2524"/>
      <c r="I381" s="2524"/>
      <c r="J381" s="2163"/>
      <c r="K381" s="2163"/>
      <c r="L381" s="2163"/>
      <c r="M381" s="2163"/>
    </row>
    <row r="382" spans="1:15">
      <c r="A382" s="2163"/>
      <c r="B382" s="2163"/>
      <c r="C382" s="2163"/>
      <c r="D382" s="2163"/>
      <c r="E382" s="2163"/>
      <c r="F382" s="2163"/>
      <c r="G382" s="2163"/>
      <c r="H382" s="2163"/>
      <c r="I382" s="2163"/>
      <c r="J382" s="2163"/>
      <c r="K382" s="2163"/>
      <c r="L382" s="2163"/>
      <c r="M382" s="2163"/>
    </row>
    <row r="383" spans="1:15">
      <c r="A383" s="2520" t="s">
        <v>2647</v>
      </c>
      <c r="B383" s="2520"/>
      <c r="C383" s="2520"/>
      <c r="D383" s="2166"/>
      <c r="E383" s="2166"/>
      <c r="F383" s="2166"/>
      <c r="G383" s="2166"/>
      <c r="H383" s="2526">
        <v>5603.9219999999996</v>
      </c>
      <c r="I383" s="2526"/>
      <c r="J383" s="2526"/>
      <c r="K383" s="2166"/>
      <c r="L383" s="2168">
        <v>565534.44999999995</v>
      </c>
      <c r="M383" s="2166"/>
    </row>
    <row r="384" spans="1:15">
      <c r="A384" s="2520" t="s">
        <v>2648</v>
      </c>
      <c r="B384" s="2520"/>
      <c r="C384" s="2520"/>
      <c r="D384" s="2166"/>
      <c r="E384" s="2166"/>
      <c r="F384" s="2166"/>
      <c r="G384" s="2166"/>
      <c r="H384" s="2526">
        <v>-3567.8580000000002</v>
      </c>
      <c r="I384" s="2526"/>
      <c r="J384" s="2526"/>
      <c r="K384" s="2166"/>
      <c r="L384" s="2168">
        <v>-360144.57</v>
      </c>
      <c r="M384" s="2166"/>
    </row>
    <row r="385" spans="1:15">
      <c r="A385" s="2520" t="s">
        <v>2645</v>
      </c>
      <c r="B385" s="2520"/>
      <c r="C385" s="2520"/>
      <c r="D385" s="2166"/>
      <c r="E385" s="2166"/>
      <c r="F385" s="2166"/>
      <c r="G385" s="2166"/>
      <c r="H385" s="2525"/>
      <c r="I385" s="2525"/>
      <c r="J385" s="2525"/>
      <c r="K385" s="2166"/>
      <c r="L385" s="2167"/>
      <c r="M385" s="2166"/>
    </row>
    <row r="386" spans="1:15">
      <c r="A386" s="2520" t="s">
        <v>2645</v>
      </c>
      <c r="B386" s="2520"/>
      <c r="C386" s="2520"/>
      <c r="D386" s="2166"/>
      <c r="E386" s="2166"/>
      <c r="F386" s="2166"/>
      <c r="G386" s="2166"/>
      <c r="H386" s="2525">
        <v>0.83899999999999997</v>
      </c>
      <c r="I386" s="2525"/>
      <c r="J386" s="2525"/>
      <c r="K386" s="2166"/>
      <c r="L386" s="2167">
        <v>84.66</v>
      </c>
      <c r="M386" s="2166"/>
    </row>
    <row r="387" spans="1:15">
      <c r="A387" s="2520" t="s">
        <v>2679</v>
      </c>
      <c r="B387" s="2520"/>
      <c r="C387" s="2520"/>
      <c r="D387" s="2166"/>
      <c r="E387" s="2166"/>
      <c r="F387" s="2166"/>
      <c r="G387" s="2166"/>
      <c r="H387" s="2526">
        <v>-4317.7610000000004</v>
      </c>
      <c r="I387" s="2526"/>
      <c r="J387" s="2526"/>
      <c r="K387" s="2166"/>
      <c r="L387" s="2168">
        <v>-435930.41</v>
      </c>
      <c r="M387" s="2166"/>
    </row>
    <row r="388" spans="1:15">
      <c r="A388" s="2520" t="s">
        <v>2649</v>
      </c>
      <c r="B388" s="2520"/>
      <c r="C388" s="2520"/>
      <c r="D388" s="2166"/>
      <c r="E388" s="2166"/>
      <c r="F388" s="2166"/>
      <c r="G388" s="2166"/>
      <c r="H388" s="2526">
        <v>1787.7339999999999</v>
      </c>
      <c r="I388" s="2526"/>
      <c r="J388" s="2526"/>
      <c r="K388" s="2166"/>
      <c r="L388" s="2168">
        <v>180288.81</v>
      </c>
      <c r="M388" s="2166"/>
    </row>
    <row r="389" spans="1:15">
      <c r="A389" s="2164"/>
      <c r="B389" s="2164"/>
      <c r="C389" s="2164"/>
      <c r="D389" s="2164"/>
      <c r="E389" s="2522" t="s">
        <v>2639</v>
      </c>
      <c r="F389" s="2522"/>
      <c r="G389" s="2164"/>
      <c r="H389" s="2523">
        <v>2.8626999999999998</v>
      </c>
      <c r="I389" s="2523"/>
      <c r="J389" s="2523"/>
      <c r="K389" s="2163"/>
      <c r="L389" s="2523">
        <v>289.19</v>
      </c>
      <c r="M389" s="2163"/>
    </row>
    <row r="390" spans="1:15">
      <c r="A390" s="2164"/>
      <c r="B390" s="2164"/>
      <c r="C390" s="2164"/>
      <c r="D390" s="2164"/>
      <c r="E390" s="2164"/>
      <c r="F390" s="2164"/>
      <c r="G390" s="2164"/>
      <c r="H390" s="2523"/>
      <c r="I390" s="2523"/>
      <c r="J390" s="2523"/>
      <c r="K390" s="2163"/>
      <c r="L390" s="2523"/>
      <c r="M390" s="2163"/>
    </row>
    <row r="391" spans="1:15">
      <c r="A391" s="2160" t="s">
        <v>2680</v>
      </c>
      <c r="B391" s="2161"/>
      <c r="C391" s="2160" t="s">
        <v>2681</v>
      </c>
      <c r="D391" s="2161"/>
      <c r="E391" s="2160" t="s">
        <v>2640</v>
      </c>
      <c r="F391" s="2161"/>
    </row>
    <row r="392" spans="1:15">
      <c r="A392" s="2163"/>
      <c r="B392" s="2163"/>
      <c r="C392" s="2163"/>
      <c r="D392" s="2163"/>
      <c r="E392" s="2163"/>
      <c r="F392" s="2163"/>
      <c r="G392" s="2163"/>
      <c r="H392" s="2163"/>
      <c r="I392" s="2163"/>
      <c r="J392" s="2163"/>
      <c r="K392" s="2163"/>
      <c r="L392" s="2163"/>
      <c r="M392" s="2163"/>
    </row>
    <row r="393" spans="1:15">
      <c r="A393" s="2164"/>
      <c r="H393" s="2522" t="s">
        <v>2637</v>
      </c>
      <c r="I393" s="2522"/>
      <c r="J393" s="2163"/>
      <c r="K393" s="2528">
        <v>4043.8647000000001</v>
      </c>
      <c r="L393" s="2528"/>
      <c r="M393" s="2163"/>
      <c r="N393" s="2527" t="s">
        <v>3124</v>
      </c>
      <c r="O393" s="2163"/>
    </row>
    <row r="394" spans="1:15">
      <c r="H394" s="2163"/>
      <c r="I394" s="2163"/>
      <c r="J394" s="2163"/>
      <c r="K394" s="2528"/>
      <c r="L394" s="2528"/>
      <c r="N394" s="2527"/>
    </row>
    <row r="395" spans="1:15">
      <c r="A395" s="2165">
        <v>76847</v>
      </c>
      <c r="B395" s="2163"/>
      <c r="C395" s="2524" t="s">
        <v>2885</v>
      </c>
      <c r="D395" s="2524"/>
      <c r="E395" s="2524"/>
      <c r="F395" s="2524"/>
      <c r="G395" s="2524"/>
      <c r="H395" s="2524"/>
      <c r="I395" s="2524"/>
      <c r="J395" s="2163"/>
      <c r="K395" s="2163"/>
      <c r="L395" s="2163"/>
      <c r="M395" s="2163"/>
    </row>
    <row r="396" spans="1:15">
      <c r="A396" s="2163"/>
      <c r="B396" s="2163"/>
      <c r="C396" s="2163"/>
      <c r="D396" s="2163"/>
      <c r="E396" s="2163"/>
      <c r="F396" s="2163"/>
      <c r="G396" s="2163"/>
      <c r="H396" s="2163"/>
      <c r="I396" s="2163"/>
      <c r="J396" s="2163"/>
      <c r="K396" s="2163"/>
      <c r="L396" s="2163"/>
      <c r="M396" s="2163"/>
    </row>
    <row r="397" spans="1:15">
      <c r="A397" s="2520" t="s">
        <v>2648</v>
      </c>
      <c r="B397" s="2520"/>
      <c r="C397" s="2520"/>
      <c r="D397" s="2166"/>
      <c r="E397" s="2166"/>
      <c r="F397" s="2166"/>
      <c r="G397" s="2166"/>
      <c r="H397" s="2526">
        <v>-2569.355</v>
      </c>
      <c r="I397" s="2526"/>
      <c r="J397" s="2526"/>
      <c r="K397" s="2166"/>
      <c r="L397" s="2168">
        <v>-259346.54</v>
      </c>
      <c r="M397" s="2166"/>
    </row>
    <row r="398" spans="1:15">
      <c r="A398" s="2520" t="s">
        <v>2645</v>
      </c>
      <c r="B398" s="2520"/>
      <c r="C398" s="2520"/>
      <c r="D398" s="2166"/>
      <c r="E398" s="2166"/>
      <c r="F398" s="2166"/>
      <c r="G398" s="2166"/>
      <c r="H398" s="2525"/>
      <c r="I398" s="2525"/>
      <c r="J398" s="2525"/>
      <c r="K398" s="2166"/>
      <c r="L398" s="2167"/>
      <c r="M398" s="2166"/>
    </row>
    <row r="399" spans="1:15">
      <c r="A399" s="2520" t="s">
        <v>2645</v>
      </c>
      <c r="B399" s="2520"/>
      <c r="C399" s="2520"/>
      <c r="D399" s="2166"/>
      <c r="E399" s="2166"/>
      <c r="F399" s="2166"/>
      <c r="G399" s="2166"/>
      <c r="H399" s="2525">
        <v>12.034000000000001</v>
      </c>
      <c r="I399" s="2525"/>
      <c r="J399" s="2525"/>
      <c r="K399" s="2166"/>
      <c r="L399" s="2168">
        <v>1213.68</v>
      </c>
      <c r="M399" s="2166"/>
    </row>
    <row r="400" spans="1:15">
      <c r="A400" s="2520" t="s">
        <v>2679</v>
      </c>
      <c r="B400" s="2520"/>
      <c r="C400" s="2520"/>
      <c r="D400" s="2166"/>
      <c r="E400" s="2166"/>
      <c r="F400" s="2166"/>
      <c r="G400" s="2166"/>
      <c r="H400" s="2526">
        <v>-1486.5440000000001</v>
      </c>
      <c r="I400" s="2526"/>
      <c r="J400" s="2526"/>
      <c r="K400" s="2166"/>
      <c r="L400" s="2168">
        <v>-150000</v>
      </c>
      <c r="M400" s="2166"/>
    </row>
    <row r="401" spans="1:15">
      <c r="A401" s="2520" t="s">
        <v>2649</v>
      </c>
      <c r="B401" s="2520"/>
      <c r="C401" s="2520"/>
      <c r="D401" s="2166"/>
      <c r="E401" s="2166"/>
      <c r="F401" s="2166"/>
      <c r="G401" s="2166"/>
      <c r="H401" s="2525">
        <v>67.885000000000005</v>
      </c>
      <c r="I401" s="2525"/>
      <c r="J401" s="2525"/>
      <c r="K401" s="2166"/>
      <c r="L401" s="2168">
        <v>6849</v>
      </c>
      <c r="M401" s="2166"/>
    </row>
    <row r="402" spans="1:15">
      <c r="A402" s="2164"/>
      <c r="B402" s="2164"/>
      <c r="C402" s="2164"/>
      <c r="D402" s="2164"/>
      <c r="E402" s="2522" t="s">
        <v>2639</v>
      </c>
      <c r="F402" s="2522"/>
      <c r="G402" s="2164"/>
      <c r="H402" s="2523">
        <v>67.885099999999994</v>
      </c>
      <c r="I402" s="2523"/>
      <c r="J402" s="2523"/>
      <c r="K402" s="2163"/>
      <c r="L402" s="2523">
        <v>6857.74</v>
      </c>
      <c r="M402" s="2163"/>
    </row>
    <row r="403" spans="1:15">
      <c r="A403" s="2164"/>
      <c r="B403" s="2164"/>
      <c r="C403" s="2164"/>
      <c r="D403" s="2164"/>
      <c r="E403" s="2164"/>
      <c r="F403" s="2164"/>
      <c r="G403" s="2164"/>
      <c r="H403" s="2523"/>
      <c r="I403" s="2523"/>
      <c r="J403" s="2523"/>
      <c r="K403" s="2163"/>
      <c r="L403" s="2523"/>
      <c r="M403" s="2163"/>
    </row>
    <row r="404" spans="1:15">
      <c r="A404" s="2160" t="s">
        <v>2688</v>
      </c>
      <c r="B404" s="2161"/>
      <c r="C404" s="2160" t="s">
        <v>2689</v>
      </c>
      <c r="D404" s="2161"/>
      <c r="E404" s="2160" t="s">
        <v>2640</v>
      </c>
      <c r="F404" s="2161"/>
    </row>
    <row r="405" spans="1:15">
      <c r="A405" s="2163"/>
      <c r="B405" s="2163"/>
      <c r="C405" s="2163"/>
      <c r="D405" s="2163"/>
      <c r="E405" s="2163"/>
      <c r="F405" s="2163"/>
      <c r="G405" s="2163"/>
      <c r="H405" s="2163"/>
      <c r="I405" s="2163"/>
      <c r="J405" s="2163"/>
      <c r="K405" s="2163"/>
      <c r="L405" s="2163"/>
      <c r="M405" s="2163"/>
    </row>
    <row r="406" spans="1:15">
      <c r="A406" s="2164"/>
      <c r="H406" s="2522" t="s">
        <v>2637</v>
      </c>
      <c r="I406" s="2522"/>
      <c r="J406" s="2163"/>
      <c r="K406" s="2523">
        <v>0</v>
      </c>
      <c r="L406" s="2523"/>
      <c r="M406" s="2163"/>
      <c r="N406" s="2527"/>
      <c r="O406" s="2163"/>
    </row>
    <row r="407" spans="1:15">
      <c r="H407" s="2163"/>
      <c r="I407" s="2163"/>
      <c r="J407" s="2163"/>
      <c r="K407" s="2523"/>
      <c r="L407" s="2523"/>
      <c r="N407" s="2527"/>
    </row>
    <row r="408" spans="1:15">
      <c r="A408" s="2165">
        <v>2300</v>
      </c>
      <c r="B408" s="2163"/>
      <c r="C408" s="2524" t="s">
        <v>2880</v>
      </c>
      <c r="D408" s="2524"/>
      <c r="E408" s="2524"/>
      <c r="F408" s="2524"/>
      <c r="G408" s="2524"/>
      <c r="H408" s="2524"/>
      <c r="I408" s="2524"/>
      <c r="J408" s="2163"/>
      <c r="K408" s="2163"/>
      <c r="L408" s="2163"/>
      <c r="M408" s="2163"/>
    </row>
    <row r="409" spans="1:15">
      <c r="A409" s="2163"/>
      <c r="B409" s="2163"/>
      <c r="C409" s="2163"/>
      <c r="D409" s="2163"/>
      <c r="E409" s="2163"/>
      <c r="F409" s="2163"/>
      <c r="G409" s="2163"/>
      <c r="H409" s="2163"/>
      <c r="I409" s="2163"/>
      <c r="J409" s="2163"/>
      <c r="K409" s="2163"/>
      <c r="L409" s="2163"/>
      <c r="M409" s="2163"/>
    </row>
    <row r="410" spans="1:15">
      <c r="A410" s="2529"/>
      <c r="B410" s="2529"/>
      <c r="C410" s="2529"/>
      <c r="D410" s="2166"/>
      <c r="E410" s="2166"/>
      <c r="F410" s="2166"/>
      <c r="G410" s="2166"/>
      <c r="H410" s="2525"/>
      <c r="I410" s="2525"/>
      <c r="J410" s="2525"/>
      <c r="K410" s="2166"/>
      <c r="L410" s="2167"/>
      <c r="M410" s="2166"/>
    </row>
    <row r="411" spans="1:15">
      <c r="A411" s="2164"/>
      <c r="B411" s="2164"/>
      <c r="C411" s="2164"/>
      <c r="D411" s="2164"/>
      <c r="E411" s="2522" t="s">
        <v>2639</v>
      </c>
      <c r="F411" s="2522"/>
      <c r="G411" s="2164"/>
      <c r="H411" s="2523">
        <v>0</v>
      </c>
      <c r="I411" s="2523"/>
      <c r="J411" s="2523"/>
      <c r="K411" s="2163"/>
      <c r="L411" s="2523">
        <v>0</v>
      </c>
      <c r="M411" s="2163"/>
    </row>
    <row r="412" spans="1:15">
      <c r="A412" s="2164"/>
      <c r="B412" s="2164"/>
      <c r="C412" s="2164"/>
      <c r="D412" s="2164"/>
      <c r="E412" s="2164"/>
      <c r="F412" s="2164"/>
      <c r="G412" s="2164"/>
      <c r="H412" s="2523"/>
      <c r="I412" s="2523"/>
      <c r="J412" s="2523"/>
      <c r="K412" s="2163"/>
      <c r="L412" s="2523"/>
      <c r="M412" s="2163"/>
    </row>
    <row r="413" spans="1:15">
      <c r="A413" s="2160" t="s">
        <v>2688</v>
      </c>
      <c r="B413" s="2161"/>
      <c r="C413" s="2160" t="s">
        <v>2689</v>
      </c>
      <c r="D413" s="2161"/>
      <c r="E413" s="2160" t="s">
        <v>2640</v>
      </c>
      <c r="F413" s="2161"/>
    </row>
    <row r="414" spans="1:15">
      <c r="A414" s="2163"/>
      <c r="B414" s="2163"/>
      <c r="C414" s="2163"/>
      <c r="D414" s="2163"/>
      <c r="E414" s="2163"/>
      <c r="F414" s="2163"/>
      <c r="G414" s="2163"/>
      <c r="H414" s="2163"/>
      <c r="I414" s="2163"/>
      <c r="J414" s="2163"/>
      <c r="K414" s="2163"/>
      <c r="L414" s="2163"/>
      <c r="M414" s="2163"/>
    </row>
    <row r="415" spans="1:15">
      <c r="A415" s="2164"/>
      <c r="H415" s="2522" t="s">
        <v>2637</v>
      </c>
      <c r="I415" s="2522"/>
      <c r="J415" s="2163"/>
      <c r="K415" s="2523">
        <v>0</v>
      </c>
      <c r="L415" s="2523"/>
      <c r="M415" s="2163"/>
      <c r="N415" s="2527"/>
      <c r="O415" s="2163"/>
    </row>
    <row r="416" spans="1:15">
      <c r="H416" s="2163"/>
      <c r="I416" s="2163"/>
      <c r="J416" s="2163"/>
      <c r="K416" s="2523"/>
      <c r="L416" s="2523"/>
      <c r="N416" s="2527"/>
    </row>
    <row r="417" spans="1:15">
      <c r="A417" s="2165">
        <v>5178</v>
      </c>
      <c r="B417" s="2163"/>
      <c r="C417" s="2524" t="s">
        <v>2880</v>
      </c>
      <c r="D417" s="2524"/>
      <c r="E417" s="2524"/>
      <c r="F417" s="2524"/>
      <c r="G417" s="2524"/>
      <c r="H417" s="2524"/>
      <c r="I417" s="2524"/>
      <c r="J417" s="2163"/>
      <c r="K417" s="2163"/>
      <c r="L417" s="2163"/>
      <c r="M417" s="2163"/>
    </row>
    <row r="418" spans="1:15">
      <c r="A418" s="2163"/>
      <c r="B418" s="2163"/>
      <c r="C418" s="2163"/>
      <c r="D418" s="2163"/>
      <c r="E418" s="2163"/>
      <c r="F418" s="2163"/>
      <c r="G418" s="2163"/>
      <c r="H418" s="2163"/>
      <c r="I418" s="2163"/>
      <c r="J418" s="2163"/>
      <c r="K418" s="2163"/>
      <c r="L418" s="2163"/>
      <c r="M418" s="2163"/>
    </row>
    <row r="419" spans="1:15">
      <c r="A419" s="2520" t="s">
        <v>2649</v>
      </c>
      <c r="B419" s="2520"/>
      <c r="C419" s="2520"/>
      <c r="D419" s="2166"/>
      <c r="E419" s="2166"/>
      <c r="F419" s="2166"/>
      <c r="G419" s="2166"/>
      <c r="H419" s="2525">
        <v>4.1470000000000002</v>
      </c>
      <c r="I419" s="2525"/>
      <c r="J419" s="2525"/>
      <c r="K419" s="2166"/>
      <c r="L419" s="2167">
        <v>429</v>
      </c>
      <c r="M419" s="2166"/>
    </row>
    <row r="420" spans="1:15">
      <c r="A420" s="2164"/>
      <c r="B420" s="2164"/>
      <c r="C420" s="2164"/>
      <c r="D420" s="2164"/>
      <c r="E420" s="2522" t="s">
        <v>2639</v>
      </c>
      <c r="F420" s="2522"/>
      <c r="G420" s="2164"/>
      <c r="H420" s="2523">
        <v>4.1466000000000003</v>
      </c>
      <c r="I420" s="2523"/>
      <c r="J420" s="2523"/>
      <c r="K420" s="2163"/>
      <c r="L420" s="2523">
        <v>429.56</v>
      </c>
      <c r="M420" s="2163"/>
    </row>
    <row r="421" spans="1:15">
      <c r="A421" s="2164"/>
      <c r="B421" s="2164"/>
      <c r="C421" s="2164"/>
      <c r="D421" s="2164"/>
      <c r="E421" s="2164"/>
      <c r="F421" s="2164"/>
      <c r="G421" s="2164"/>
      <c r="H421" s="2523"/>
      <c r="I421" s="2523"/>
      <c r="J421" s="2523"/>
      <c r="K421" s="2163"/>
      <c r="L421" s="2523"/>
      <c r="M421" s="2163"/>
    </row>
    <row r="422" spans="1:15">
      <c r="A422" s="2160" t="s">
        <v>2688</v>
      </c>
      <c r="B422" s="2161"/>
      <c r="C422" s="2160" t="s">
        <v>2689</v>
      </c>
      <c r="D422" s="2161"/>
      <c r="E422" s="2160" t="s">
        <v>2640</v>
      </c>
      <c r="F422" s="2161"/>
    </row>
    <row r="423" spans="1:15">
      <c r="A423" s="2163"/>
      <c r="B423" s="2163"/>
      <c r="C423" s="2163"/>
      <c r="D423" s="2163"/>
      <c r="E423" s="2163"/>
      <c r="F423" s="2163"/>
      <c r="G423" s="2163"/>
      <c r="H423" s="2163"/>
      <c r="I423" s="2163"/>
      <c r="J423" s="2163"/>
      <c r="K423" s="2163"/>
      <c r="L423" s="2163"/>
      <c r="M423" s="2163"/>
    </row>
    <row r="424" spans="1:15">
      <c r="A424" s="2164"/>
      <c r="H424" s="2522" t="s">
        <v>2637</v>
      </c>
      <c r="I424" s="2522"/>
      <c r="J424" s="2163"/>
      <c r="K424" s="2523">
        <v>1E-4</v>
      </c>
      <c r="L424" s="2523"/>
      <c r="M424" s="2163"/>
      <c r="N424" s="2527"/>
      <c r="O424" s="2163"/>
    </row>
    <row r="425" spans="1:15">
      <c r="H425" s="2163"/>
      <c r="I425" s="2163"/>
      <c r="J425" s="2163"/>
      <c r="K425" s="2523"/>
      <c r="L425" s="2523"/>
      <c r="N425" s="2527"/>
    </row>
    <row r="426" spans="1:15">
      <c r="A426" s="2165">
        <v>19339</v>
      </c>
      <c r="B426" s="2163"/>
      <c r="C426" s="2524" t="s">
        <v>2887</v>
      </c>
      <c r="D426" s="2524"/>
      <c r="E426" s="2524"/>
      <c r="F426" s="2524"/>
      <c r="G426" s="2524"/>
      <c r="H426" s="2524"/>
      <c r="I426" s="2524"/>
      <c r="J426" s="2163"/>
      <c r="K426" s="2163"/>
      <c r="L426" s="2163"/>
      <c r="M426" s="2163"/>
    </row>
    <row r="427" spans="1:15">
      <c r="A427" s="2163"/>
      <c r="B427" s="2163"/>
      <c r="C427" s="2163"/>
      <c r="D427" s="2163"/>
      <c r="E427" s="2163"/>
      <c r="F427" s="2163"/>
      <c r="G427" s="2163"/>
      <c r="H427" s="2163"/>
      <c r="I427" s="2163"/>
      <c r="J427" s="2163"/>
      <c r="K427" s="2163"/>
      <c r="L427" s="2163"/>
      <c r="M427" s="2163"/>
    </row>
    <row r="428" spans="1:15">
      <c r="A428" s="2520" t="s">
        <v>2649</v>
      </c>
      <c r="B428" s="2520"/>
      <c r="C428" s="2520"/>
      <c r="D428" s="2166"/>
      <c r="E428" s="2166"/>
      <c r="F428" s="2166"/>
      <c r="G428" s="2166"/>
      <c r="H428" s="2525">
        <v>2.1000000000000001E-2</v>
      </c>
      <c r="I428" s="2525"/>
      <c r="J428" s="2525"/>
      <c r="K428" s="2166"/>
      <c r="L428" s="2167">
        <v>2.21</v>
      </c>
      <c r="M428" s="2166"/>
    </row>
    <row r="429" spans="1:15">
      <c r="A429" s="2164"/>
      <c r="B429" s="2164"/>
      <c r="C429" s="2164"/>
      <c r="D429" s="2164"/>
      <c r="E429" s="2522" t="s">
        <v>2639</v>
      </c>
      <c r="F429" s="2522"/>
      <c r="G429" s="2164"/>
      <c r="H429" s="2523">
        <v>2.1499999999999998E-2</v>
      </c>
      <c r="I429" s="2523"/>
      <c r="J429" s="2523"/>
      <c r="K429" s="2163"/>
      <c r="L429" s="2523">
        <v>2.23</v>
      </c>
      <c r="M429" s="2163"/>
    </row>
    <row r="430" spans="1:15">
      <c r="A430" s="2164"/>
      <c r="B430" s="2164"/>
      <c r="C430" s="2164"/>
      <c r="D430" s="2164"/>
      <c r="E430" s="2164"/>
      <c r="F430" s="2164"/>
      <c r="G430" s="2164"/>
      <c r="H430" s="2523"/>
      <c r="I430" s="2523"/>
      <c r="J430" s="2523"/>
      <c r="K430" s="2163"/>
      <c r="L430" s="2523"/>
      <c r="M430" s="2163"/>
    </row>
    <row r="431" spans="1:15">
      <c r="A431" s="2160" t="s">
        <v>2688</v>
      </c>
      <c r="B431" s="2161"/>
      <c r="C431" s="2160" t="s">
        <v>2689</v>
      </c>
      <c r="D431" s="2161"/>
      <c r="E431" s="2160" t="s">
        <v>2640</v>
      </c>
      <c r="F431" s="2161"/>
    </row>
    <row r="432" spans="1:15">
      <c r="A432" s="2163"/>
      <c r="B432" s="2163"/>
      <c r="C432" s="2163"/>
      <c r="D432" s="2163"/>
      <c r="E432" s="2163"/>
      <c r="F432" s="2163"/>
      <c r="G432" s="2163"/>
      <c r="H432" s="2163"/>
      <c r="I432" s="2163"/>
      <c r="J432" s="2163"/>
      <c r="K432" s="2163"/>
      <c r="L432" s="2163"/>
      <c r="M432" s="2163"/>
    </row>
    <row r="433" spans="1:15">
      <c r="A433" s="2164"/>
      <c r="H433" s="2522" t="s">
        <v>2637</v>
      </c>
      <c r="I433" s="2522"/>
      <c r="J433" s="2163"/>
      <c r="K433" s="2523">
        <v>0</v>
      </c>
      <c r="L433" s="2523"/>
      <c r="M433" s="2163"/>
      <c r="N433" s="2527"/>
      <c r="O433" s="2163"/>
    </row>
    <row r="434" spans="1:15">
      <c r="H434" s="2163"/>
      <c r="I434" s="2163"/>
      <c r="J434" s="2163"/>
      <c r="K434" s="2523"/>
      <c r="L434" s="2523"/>
      <c r="N434" s="2527"/>
    </row>
    <row r="435" spans="1:15">
      <c r="A435" s="2165">
        <v>31791</v>
      </c>
      <c r="B435" s="2163"/>
      <c r="C435" s="2524" t="s">
        <v>2881</v>
      </c>
      <c r="D435" s="2524"/>
      <c r="E435" s="2524"/>
      <c r="F435" s="2524"/>
      <c r="G435" s="2524"/>
      <c r="H435" s="2524"/>
      <c r="I435" s="2524"/>
      <c r="J435" s="2163"/>
      <c r="K435" s="2163"/>
      <c r="L435" s="2163"/>
      <c r="M435" s="2163"/>
    </row>
    <row r="436" spans="1:15">
      <c r="A436" s="2163"/>
      <c r="B436" s="2163"/>
      <c r="C436" s="2163"/>
      <c r="D436" s="2163"/>
      <c r="E436" s="2163"/>
      <c r="F436" s="2163"/>
      <c r="G436" s="2163"/>
      <c r="H436" s="2163"/>
      <c r="I436" s="2163"/>
      <c r="J436" s="2163"/>
      <c r="K436" s="2163"/>
      <c r="L436" s="2163"/>
      <c r="M436" s="2163"/>
    </row>
    <row r="437" spans="1:15">
      <c r="A437" s="2529"/>
      <c r="B437" s="2529"/>
      <c r="C437" s="2529"/>
      <c r="D437" s="2166"/>
      <c r="E437" s="2166"/>
      <c r="F437" s="2166"/>
      <c r="G437" s="2166"/>
      <c r="H437" s="2525"/>
      <c r="I437" s="2525"/>
      <c r="J437" s="2525"/>
      <c r="K437" s="2166"/>
      <c r="L437" s="2167"/>
      <c r="M437" s="2166"/>
    </row>
    <row r="438" spans="1:15">
      <c r="A438" s="2164"/>
      <c r="B438" s="2164"/>
      <c r="C438" s="2164"/>
      <c r="D438" s="2164"/>
      <c r="E438" s="2522" t="s">
        <v>2639</v>
      </c>
      <c r="F438" s="2522"/>
      <c r="G438" s="2164"/>
      <c r="H438" s="2523">
        <v>0</v>
      </c>
      <c r="I438" s="2523"/>
      <c r="J438" s="2523"/>
      <c r="K438" s="2163"/>
      <c r="L438" s="2523">
        <v>0</v>
      </c>
      <c r="M438" s="2163"/>
    </row>
    <row r="439" spans="1:15">
      <c r="A439" s="2164"/>
      <c r="B439" s="2164"/>
      <c r="C439" s="2164"/>
      <c r="D439" s="2164"/>
      <c r="E439" s="2164"/>
      <c r="F439" s="2164"/>
      <c r="G439" s="2164"/>
      <c r="H439" s="2523"/>
      <c r="I439" s="2523"/>
      <c r="J439" s="2523"/>
      <c r="K439" s="2163"/>
      <c r="L439" s="2523"/>
      <c r="M439" s="2163"/>
    </row>
    <row r="440" spans="1:15">
      <c r="A440" s="2160" t="s">
        <v>2688</v>
      </c>
      <c r="B440" s="2161"/>
      <c r="C440" s="2160" t="s">
        <v>2689</v>
      </c>
      <c r="D440" s="2161"/>
      <c r="E440" s="2160" t="s">
        <v>2640</v>
      </c>
      <c r="F440" s="2161"/>
    </row>
    <row r="441" spans="1:15">
      <c r="A441" s="2163"/>
      <c r="B441" s="2163"/>
      <c r="C441" s="2163"/>
      <c r="D441" s="2163"/>
      <c r="E441" s="2163"/>
      <c r="F441" s="2163"/>
      <c r="G441" s="2163"/>
      <c r="H441" s="2163"/>
      <c r="I441" s="2163"/>
      <c r="J441" s="2163"/>
      <c r="K441" s="2163"/>
      <c r="L441" s="2163"/>
      <c r="M441" s="2163"/>
    </row>
    <row r="442" spans="1:15">
      <c r="A442" s="2164"/>
      <c r="H442" s="2522" t="s">
        <v>2637</v>
      </c>
      <c r="I442" s="2522"/>
      <c r="J442" s="2163"/>
      <c r="K442" s="2523">
        <v>1E-4</v>
      </c>
      <c r="L442" s="2523"/>
      <c r="M442" s="2163"/>
      <c r="N442" s="2527"/>
      <c r="O442" s="2163"/>
    </row>
    <row r="443" spans="1:15">
      <c r="H443" s="2163"/>
      <c r="I443" s="2163"/>
      <c r="J443" s="2163"/>
      <c r="K443" s="2523"/>
      <c r="L443" s="2523"/>
      <c r="N443" s="2527"/>
    </row>
    <row r="444" spans="1:15">
      <c r="A444" s="2165">
        <v>41512</v>
      </c>
      <c r="B444" s="2163"/>
      <c r="C444" s="2524" t="s">
        <v>3119</v>
      </c>
      <c r="D444" s="2524"/>
      <c r="E444" s="2524"/>
      <c r="F444" s="2524"/>
      <c r="G444" s="2524"/>
      <c r="H444" s="2524"/>
      <c r="I444" s="2524"/>
      <c r="J444" s="2163"/>
      <c r="K444" s="2163"/>
      <c r="L444" s="2163"/>
      <c r="M444" s="2163"/>
    </row>
    <row r="445" spans="1:15">
      <c r="A445" s="2163"/>
      <c r="B445" s="2163"/>
      <c r="C445" s="2163"/>
      <c r="D445" s="2163"/>
      <c r="E445" s="2163"/>
      <c r="F445" s="2163"/>
      <c r="G445" s="2163"/>
      <c r="H445" s="2163"/>
      <c r="I445" s="2163"/>
      <c r="J445" s="2163"/>
      <c r="K445" s="2163"/>
      <c r="L445" s="2163"/>
      <c r="M445" s="2163"/>
    </row>
    <row r="446" spans="1:15">
      <c r="A446" s="2520" t="s">
        <v>2647</v>
      </c>
      <c r="B446" s="2520"/>
      <c r="C446" s="2520"/>
      <c r="D446" s="2166"/>
      <c r="E446" s="2166"/>
      <c r="F446" s="2166"/>
      <c r="G446" s="2166"/>
      <c r="H446" s="2526">
        <v>29017.844000000001</v>
      </c>
      <c r="I446" s="2526"/>
      <c r="J446" s="2526"/>
      <c r="K446" s="2166"/>
      <c r="L446" s="2168">
        <v>2975147.41</v>
      </c>
      <c r="M446" s="2166"/>
    </row>
    <row r="447" spans="1:15">
      <c r="A447" s="2520" t="s">
        <v>2648</v>
      </c>
      <c r="B447" s="2520"/>
      <c r="C447" s="2520"/>
      <c r="D447" s="2166"/>
      <c r="E447" s="2166"/>
      <c r="F447" s="2166"/>
      <c r="G447" s="2166"/>
      <c r="H447" s="2526">
        <v>-29017.844000000001</v>
      </c>
      <c r="I447" s="2526"/>
      <c r="J447" s="2526"/>
      <c r="K447" s="2166"/>
      <c r="L447" s="2168">
        <v>-2975831.51</v>
      </c>
      <c r="M447" s="2166"/>
    </row>
    <row r="448" spans="1:15">
      <c r="A448" s="2164"/>
      <c r="B448" s="2164"/>
      <c r="C448" s="2164"/>
      <c r="D448" s="2164"/>
      <c r="E448" s="2522" t="s">
        <v>2639</v>
      </c>
      <c r="F448" s="2522"/>
      <c r="G448" s="2164"/>
      <c r="H448" s="2523">
        <v>1E-4</v>
      </c>
      <c r="I448" s="2523"/>
      <c r="J448" s="2523"/>
      <c r="K448" s="2163"/>
      <c r="L448" s="2523">
        <v>0.01</v>
      </c>
      <c r="M448" s="2163"/>
    </row>
    <row r="449" spans="1:15">
      <c r="A449" s="2164"/>
      <c r="B449" s="2164"/>
      <c r="C449" s="2164"/>
      <c r="D449" s="2164"/>
      <c r="E449" s="2164"/>
      <c r="F449" s="2164"/>
      <c r="G449" s="2164"/>
      <c r="H449" s="2523"/>
      <c r="I449" s="2523"/>
      <c r="J449" s="2523"/>
      <c r="K449" s="2163"/>
      <c r="L449" s="2523"/>
      <c r="M449" s="2163"/>
    </row>
    <row r="450" spans="1:15">
      <c r="A450" s="2160" t="s">
        <v>2688</v>
      </c>
      <c r="B450" s="2161"/>
      <c r="C450" s="2160" t="s">
        <v>2689</v>
      </c>
      <c r="D450" s="2161"/>
      <c r="E450" s="2160" t="s">
        <v>2640</v>
      </c>
      <c r="F450" s="2161"/>
    </row>
    <row r="451" spans="1:15">
      <c r="A451" s="2163"/>
      <c r="B451" s="2163"/>
      <c r="C451" s="2163"/>
      <c r="D451" s="2163"/>
      <c r="E451" s="2163"/>
      <c r="F451" s="2163"/>
      <c r="G451" s="2163"/>
      <c r="H451" s="2163"/>
      <c r="I451" s="2163"/>
      <c r="J451" s="2163"/>
      <c r="K451" s="2163"/>
      <c r="L451" s="2163"/>
      <c r="M451" s="2163"/>
    </row>
    <row r="452" spans="1:15">
      <c r="A452" s="2164"/>
      <c r="H452" s="2522" t="s">
        <v>2637</v>
      </c>
      <c r="I452" s="2522"/>
      <c r="J452" s="2163"/>
      <c r="K452" s="2523">
        <v>1E-4</v>
      </c>
      <c r="L452" s="2523"/>
      <c r="M452" s="2163"/>
      <c r="N452" s="2527"/>
      <c r="O452" s="2163"/>
    </row>
    <row r="453" spans="1:15">
      <c r="H453" s="2163"/>
      <c r="I453" s="2163"/>
      <c r="J453" s="2163"/>
      <c r="K453" s="2523"/>
      <c r="L453" s="2523"/>
      <c r="N453" s="2527"/>
    </row>
    <row r="454" spans="1:15">
      <c r="A454" s="2165">
        <v>40568</v>
      </c>
      <c r="B454" s="2163"/>
      <c r="C454" s="2524" t="s">
        <v>2882</v>
      </c>
      <c r="D454" s="2524"/>
      <c r="E454" s="2524"/>
      <c r="F454" s="2524"/>
      <c r="G454" s="2524"/>
      <c r="H454" s="2524"/>
      <c r="I454" s="2524"/>
      <c r="J454" s="2163"/>
      <c r="K454" s="2163"/>
      <c r="L454" s="2163"/>
      <c r="M454" s="2163"/>
    </row>
    <row r="455" spans="1:15">
      <c r="A455" s="2163"/>
      <c r="B455" s="2163"/>
      <c r="C455" s="2163"/>
      <c r="D455" s="2163"/>
      <c r="E455" s="2163"/>
      <c r="F455" s="2163"/>
      <c r="G455" s="2163"/>
      <c r="H455" s="2163"/>
      <c r="I455" s="2163"/>
      <c r="J455" s="2163"/>
      <c r="K455" s="2163"/>
      <c r="L455" s="2163"/>
      <c r="M455" s="2163"/>
    </row>
    <row r="456" spans="1:15">
      <c r="A456" s="2520" t="s">
        <v>2649</v>
      </c>
      <c r="B456" s="2520"/>
      <c r="C456" s="2520"/>
      <c r="D456" s="2166"/>
      <c r="E456" s="2166"/>
      <c r="F456" s="2166"/>
      <c r="G456" s="2166"/>
      <c r="H456" s="2525">
        <v>2.9969999999999999</v>
      </c>
      <c r="I456" s="2525"/>
      <c r="J456" s="2525"/>
      <c r="K456" s="2166"/>
      <c r="L456" s="2167">
        <v>310.08999999999997</v>
      </c>
      <c r="M456" s="2166"/>
    </row>
    <row r="457" spans="1:15">
      <c r="A457" s="2164"/>
      <c r="B457" s="2164"/>
      <c r="C457" s="2164"/>
      <c r="D457" s="2164"/>
      <c r="E457" s="2522" t="s">
        <v>2639</v>
      </c>
      <c r="F457" s="2522"/>
      <c r="G457" s="2164"/>
      <c r="H457" s="2523">
        <v>2.9973999999999998</v>
      </c>
      <c r="I457" s="2523"/>
      <c r="J457" s="2523"/>
      <c r="K457" s="2163"/>
      <c r="L457" s="2523">
        <v>310.51</v>
      </c>
      <c r="M457" s="2163"/>
    </row>
    <row r="458" spans="1:15">
      <c r="A458" s="2164"/>
      <c r="B458" s="2164"/>
      <c r="C458" s="2164"/>
      <c r="D458" s="2164"/>
      <c r="E458" s="2164"/>
      <c r="F458" s="2164"/>
      <c r="G458" s="2164"/>
      <c r="H458" s="2523"/>
      <c r="I458" s="2523"/>
      <c r="J458" s="2523"/>
      <c r="K458" s="2163"/>
      <c r="L458" s="2523"/>
      <c r="M458" s="2163"/>
    </row>
    <row r="459" spans="1:15">
      <c r="A459" s="2160" t="s">
        <v>2688</v>
      </c>
      <c r="B459" s="2161"/>
      <c r="C459" s="2160" t="s">
        <v>2689</v>
      </c>
      <c r="D459" s="2161"/>
      <c r="E459" s="2160" t="s">
        <v>2640</v>
      </c>
      <c r="F459" s="2161"/>
    </row>
    <row r="460" spans="1:15">
      <c r="A460" s="2163"/>
      <c r="B460" s="2163"/>
      <c r="C460" s="2163"/>
      <c r="D460" s="2163"/>
      <c r="E460" s="2163"/>
      <c r="F460" s="2163"/>
      <c r="G460" s="2163"/>
      <c r="H460" s="2163"/>
      <c r="I460" s="2163"/>
      <c r="J460" s="2163"/>
      <c r="K460" s="2163"/>
      <c r="L460" s="2163"/>
      <c r="M460" s="2163"/>
    </row>
    <row r="461" spans="1:15">
      <c r="A461" s="2164"/>
      <c r="H461" s="2522" t="s">
        <v>2637</v>
      </c>
      <c r="I461" s="2522"/>
      <c r="J461" s="2163"/>
      <c r="K461" s="2523">
        <v>4.6300000000000001E-2</v>
      </c>
      <c r="L461" s="2523"/>
      <c r="M461" s="2163"/>
      <c r="N461" s="2527">
        <v>5</v>
      </c>
      <c r="O461" s="2163"/>
    </row>
    <row r="462" spans="1:15">
      <c r="H462" s="2163"/>
      <c r="I462" s="2163"/>
      <c r="J462" s="2163"/>
      <c r="K462" s="2523"/>
      <c r="L462" s="2523"/>
      <c r="N462" s="2527"/>
    </row>
    <row r="463" spans="1:15">
      <c r="A463" s="2165">
        <v>32068</v>
      </c>
      <c r="B463" s="2163"/>
      <c r="C463" s="2524" t="s">
        <v>2893</v>
      </c>
      <c r="D463" s="2524"/>
      <c r="E463" s="2524"/>
      <c r="F463" s="2524"/>
      <c r="G463" s="2524"/>
      <c r="H463" s="2524"/>
      <c r="I463" s="2524"/>
      <c r="J463" s="2163"/>
      <c r="K463" s="2163"/>
      <c r="L463" s="2163"/>
      <c r="M463" s="2163"/>
    </row>
    <row r="464" spans="1:15">
      <c r="A464" s="2163"/>
      <c r="B464" s="2163"/>
      <c r="C464" s="2163"/>
      <c r="D464" s="2163"/>
      <c r="E464" s="2163"/>
      <c r="F464" s="2163"/>
      <c r="G464" s="2163"/>
      <c r="H464" s="2163"/>
      <c r="I464" s="2163"/>
      <c r="J464" s="2163"/>
      <c r="K464" s="2163"/>
      <c r="L464" s="2163"/>
      <c r="M464" s="2163"/>
    </row>
    <row r="465" spans="1:15">
      <c r="A465" s="2529"/>
      <c r="B465" s="2529"/>
      <c r="C465" s="2529"/>
      <c r="D465" s="2166"/>
      <c r="E465" s="2166"/>
      <c r="F465" s="2166"/>
      <c r="G465" s="2166"/>
      <c r="H465" s="2525"/>
      <c r="I465" s="2525"/>
      <c r="J465" s="2525"/>
      <c r="K465" s="2166"/>
      <c r="L465" s="2167"/>
      <c r="M465" s="2166"/>
    </row>
    <row r="466" spans="1:15">
      <c r="A466" s="2164"/>
      <c r="B466" s="2164"/>
      <c r="C466" s="2164"/>
      <c r="D466" s="2164"/>
      <c r="E466" s="2522" t="s">
        <v>2639</v>
      </c>
      <c r="F466" s="2522"/>
      <c r="G466" s="2164"/>
      <c r="H466" s="2523">
        <v>4.6300000000000001E-2</v>
      </c>
      <c r="I466" s="2523"/>
      <c r="J466" s="2523"/>
      <c r="K466" s="2163"/>
      <c r="L466" s="2523">
        <v>4.8</v>
      </c>
      <c r="M466" s="2163"/>
    </row>
    <row r="467" spans="1:15">
      <c r="A467" s="2164"/>
      <c r="B467" s="2164"/>
      <c r="C467" s="2164"/>
      <c r="D467" s="2164"/>
      <c r="E467" s="2164"/>
      <c r="F467" s="2164"/>
      <c r="G467" s="2164"/>
      <c r="H467" s="2523"/>
      <c r="I467" s="2523"/>
      <c r="J467" s="2523"/>
      <c r="K467" s="2163"/>
      <c r="L467" s="2523"/>
      <c r="M467" s="2163"/>
    </row>
    <row r="468" spans="1:15">
      <c r="A468" s="2160" t="s">
        <v>2688</v>
      </c>
      <c r="B468" s="2161"/>
      <c r="C468" s="2160" t="s">
        <v>2689</v>
      </c>
      <c r="D468" s="2161"/>
      <c r="E468" s="2160" t="s">
        <v>2640</v>
      </c>
      <c r="F468" s="2161"/>
    </row>
    <row r="469" spans="1:15">
      <c r="A469" s="2163"/>
      <c r="B469" s="2163"/>
      <c r="C469" s="2163"/>
      <c r="D469" s="2163"/>
      <c r="E469" s="2163"/>
      <c r="F469" s="2163"/>
      <c r="G469" s="2163"/>
      <c r="H469" s="2163"/>
      <c r="I469" s="2163"/>
      <c r="J469" s="2163"/>
      <c r="K469" s="2163"/>
      <c r="L469" s="2163"/>
      <c r="M469" s="2163"/>
    </row>
    <row r="470" spans="1:15">
      <c r="A470" s="2164"/>
      <c r="H470" s="2522" t="s">
        <v>2637</v>
      </c>
      <c r="I470" s="2522"/>
      <c r="J470" s="2163"/>
      <c r="K470" s="2528">
        <v>49384.006800000003</v>
      </c>
      <c r="L470" s="2528"/>
      <c r="M470" s="2163"/>
      <c r="N470" s="2527" t="s">
        <v>3125</v>
      </c>
      <c r="O470" s="2163"/>
    </row>
    <row r="471" spans="1:15">
      <c r="H471" s="2163"/>
      <c r="I471" s="2163"/>
      <c r="J471" s="2163"/>
      <c r="K471" s="2528"/>
      <c r="L471" s="2528"/>
      <c r="N471" s="2527"/>
    </row>
    <row r="472" spans="1:15">
      <c r="A472" s="2165">
        <v>33411</v>
      </c>
      <c r="B472" s="2163"/>
      <c r="C472" s="2524" t="s">
        <v>2883</v>
      </c>
      <c r="D472" s="2524"/>
      <c r="E472" s="2524"/>
      <c r="F472" s="2524"/>
      <c r="G472" s="2524"/>
      <c r="H472" s="2524"/>
      <c r="I472" s="2524"/>
      <c r="J472" s="2163"/>
      <c r="K472" s="2163"/>
      <c r="L472" s="2163"/>
      <c r="M472" s="2163"/>
    </row>
    <row r="473" spans="1:15">
      <c r="A473" s="2163"/>
      <c r="B473" s="2163"/>
      <c r="C473" s="2163"/>
      <c r="D473" s="2163"/>
      <c r="E473" s="2163"/>
      <c r="F473" s="2163"/>
      <c r="G473" s="2163"/>
      <c r="H473" s="2163"/>
      <c r="I473" s="2163"/>
      <c r="J473" s="2163"/>
      <c r="K473" s="2163"/>
      <c r="L473" s="2163"/>
      <c r="M473" s="2163"/>
    </row>
    <row r="474" spans="1:15">
      <c r="A474" s="2520" t="s">
        <v>2648</v>
      </c>
      <c r="B474" s="2520"/>
      <c r="C474" s="2520"/>
      <c r="D474" s="2166"/>
      <c r="E474" s="2166"/>
      <c r="F474" s="2166"/>
      <c r="G474" s="2166"/>
      <c r="H474" s="2526">
        <v>-1359.4860000000001</v>
      </c>
      <c r="I474" s="2526"/>
      <c r="J474" s="2526"/>
      <c r="K474" s="2166"/>
      <c r="L474" s="2168">
        <v>-140000</v>
      </c>
      <c r="M474" s="2166"/>
    </row>
    <row r="475" spans="1:15">
      <c r="A475" s="2520" t="s">
        <v>2679</v>
      </c>
      <c r="B475" s="2520"/>
      <c r="C475" s="2520"/>
      <c r="D475" s="2166"/>
      <c r="E475" s="2166"/>
      <c r="F475" s="2166"/>
      <c r="G475" s="2166"/>
      <c r="H475" s="2526">
        <v>-26294.774000000001</v>
      </c>
      <c r="I475" s="2526"/>
      <c r="J475" s="2526"/>
      <c r="K475" s="2166"/>
      <c r="L475" s="2168">
        <v>-2700000</v>
      </c>
      <c r="M475" s="2166"/>
    </row>
    <row r="476" spans="1:15">
      <c r="A476" s="2520" t="s">
        <v>2649</v>
      </c>
      <c r="B476" s="2520"/>
      <c r="C476" s="2520"/>
      <c r="D476" s="2166"/>
      <c r="E476" s="2166"/>
      <c r="F476" s="2166"/>
      <c r="G476" s="2166"/>
      <c r="H476" s="2526">
        <v>31311.513999999999</v>
      </c>
      <c r="I476" s="2526"/>
      <c r="J476" s="2526"/>
      <c r="K476" s="2166"/>
      <c r="L476" s="2168">
        <v>3225590.2</v>
      </c>
      <c r="M476" s="2166"/>
    </row>
    <row r="477" spans="1:15">
      <c r="A477" s="2164"/>
      <c r="B477" s="2164"/>
      <c r="C477" s="2164"/>
      <c r="D477" s="2164"/>
      <c r="E477" s="2522" t="s">
        <v>2639</v>
      </c>
      <c r="F477" s="2522"/>
      <c r="G477" s="2164"/>
      <c r="H477" s="2528">
        <v>53041.260499999997</v>
      </c>
      <c r="I477" s="2528"/>
      <c r="J477" s="2528"/>
      <c r="K477" s="2163"/>
      <c r="L477" s="2528">
        <v>5494708.6100000003</v>
      </c>
      <c r="M477" s="2163"/>
    </row>
    <row r="478" spans="1:15">
      <c r="A478" s="2164"/>
      <c r="B478" s="2164"/>
      <c r="C478" s="2164"/>
      <c r="D478" s="2164"/>
      <c r="E478" s="2164"/>
      <c r="F478" s="2164"/>
      <c r="G478" s="2164"/>
      <c r="H478" s="2528"/>
      <c r="I478" s="2528"/>
      <c r="J478" s="2528"/>
      <c r="K478" s="2163"/>
      <c r="L478" s="2528"/>
      <c r="M478" s="2163"/>
    </row>
    <row r="479" spans="1:15">
      <c r="A479" s="2160" t="s">
        <v>2688</v>
      </c>
      <c r="B479" s="2161"/>
      <c r="C479" s="2160" t="s">
        <v>2689</v>
      </c>
      <c r="D479" s="2161"/>
      <c r="E479" s="2160" t="s">
        <v>2640</v>
      </c>
      <c r="F479" s="2161"/>
    </row>
    <row r="480" spans="1:15">
      <c r="A480" s="2163"/>
      <c r="B480" s="2163"/>
      <c r="C480" s="2163"/>
      <c r="D480" s="2163"/>
      <c r="E480" s="2163"/>
      <c r="F480" s="2163"/>
      <c r="G480" s="2163"/>
      <c r="H480" s="2163"/>
      <c r="I480" s="2163"/>
      <c r="J480" s="2163"/>
      <c r="K480" s="2163"/>
      <c r="L480" s="2163"/>
      <c r="M480" s="2163"/>
    </row>
    <row r="481" spans="1:15">
      <c r="A481" s="2164"/>
      <c r="H481" s="2522" t="s">
        <v>2637</v>
      </c>
      <c r="I481" s="2522"/>
      <c r="J481" s="2163"/>
      <c r="K481" s="2523">
        <v>1E-4</v>
      </c>
      <c r="L481" s="2523"/>
      <c r="M481" s="2163"/>
      <c r="N481" s="2527"/>
      <c r="O481" s="2163"/>
    </row>
    <row r="482" spans="1:15">
      <c r="H482" s="2163"/>
      <c r="I482" s="2163"/>
      <c r="J482" s="2163"/>
      <c r="K482" s="2523"/>
      <c r="L482" s="2523"/>
      <c r="N482" s="2527"/>
    </row>
    <row r="483" spans="1:15">
      <c r="A483" s="2165">
        <v>33762</v>
      </c>
      <c r="B483" s="2163"/>
      <c r="C483" s="2524" t="s">
        <v>2884</v>
      </c>
      <c r="D483" s="2524"/>
      <c r="E483" s="2524"/>
      <c r="F483" s="2524"/>
      <c r="G483" s="2524"/>
      <c r="H483" s="2524"/>
      <c r="I483" s="2524"/>
      <c r="J483" s="2163"/>
      <c r="K483" s="2163"/>
      <c r="L483" s="2163"/>
      <c r="M483" s="2163"/>
    </row>
    <row r="484" spans="1:15">
      <c r="A484" s="2163"/>
      <c r="B484" s="2163"/>
      <c r="C484" s="2163"/>
      <c r="D484" s="2163"/>
      <c r="E484" s="2163"/>
      <c r="F484" s="2163"/>
      <c r="G484" s="2163"/>
      <c r="H484" s="2163"/>
      <c r="I484" s="2163"/>
      <c r="J484" s="2163"/>
      <c r="K484" s="2163"/>
      <c r="L484" s="2163"/>
      <c r="M484" s="2163"/>
    </row>
    <row r="485" spans="1:15">
      <c r="A485" s="2520" t="s">
        <v>2649</v>
      </c>
      <c r="B485" s="2520"/>
      <c r="C485" s="2520"/>
      <c r="D485" s="2166"/>
      <c r="E485" s="2166"/>
      <c r="F485" s="2166"/>
      <c r="G485" s="2166"/>
      <c r="H485" s="2525">
        <v>30.106000000000002</v>
      </c>
      <c r="I485" s="2525"/>
      <c r="J485" s="2525"/>
      <c r="K485" s="2166"/>
      <c r="L485" s="2168">
        <v>3114.67</v>
      </c>
      <c r="M485" s="2166"/>
    </row>
    <row r="486" spans="1:15">
      <c r="A486" s="2164"/>
      <c r="B486" s="2164"/>
      <c r="C486" s="2164"/>
      <c r="D486" s="2164"/>
      <c r="E486" s="2522" t="s">
        <v>2639</v>
      </c>
      <c r="F486" s="2522"/>
      <c r="G486" s="2164"/>
      <c r="H486" s="2523">
        <v>30.105699999999999</v>
      </c>
      <c r="I486" s="2523"/>
      <c r="J486" s="2523"/>
      <c r="K486" s="2163"/>
      <c r="L486" s="2523">
        <v>3118.74</v>
      </c>
      <c r="M486" s="2163"/>
    </row>
    <row r="487" spans="1:15">
      <c r="A487" s="2164"/>
      <c r="B487" s="2164"/>
      <c r="C487" s="2164"/>
      <c r="D487" s="2164"/>
      <c r="E487" s="2164"/>
      <c r="F487" s="2164"/>
      <c r="G487" s="2164"/>
      <c r="H487" s="2523"/>
      <c r="I487" s="2523"/>
      <c r="J487" s="2523"/>
      <c r="K487" s="2163"/>
      <c r="L487" s="2523"/>
      <c r="M487" s="2163"/>
    </row>
    <row r="488" spans="1:15">
      <c r="A488" s="2160" t="s">
        <v>2688</v>
      </c>
      <c r="B488" s="2161"/>
      <c r="C488" s="2160" t="s">
        <v>2689</v>
      </c>
      <c r="D488" s="2161"/>
      <c r="E488" s="2160" t="s">
        <v>2640</v>
      </c>
      <c r="F488" s="2161"/>
    </row>
    <row r="489" spans="1:15">
      <c r="A489" s="2163"/>
      <c r="B489" s="2163"/>
      <c r="C489" s="2163"/>
      <c r="D489" s="2163"/>
      <c r="E489" s="2163"/>
      <c r="F489" s="2163"/>
      <c r="G489" s="2163"/>
      <c r="H489" s="2163"/>
      <c r="I489" s="2163"/>
      <c r="J489" s="2163"/>
      <c r="K489" s="2163"/>
      <c r="L489" s="2163"/>
      <c r="M489" s="2163"/>
    </row>
    <row r="490" spans="1:15">
      <c r="A490" s="2164"/>
      <c r="H490" s="2522" t="s">
        <v>2637</v>
      </c>
      <c r="I490" s="2522"/>
      <c r="J490" s="2163"/>
      <c r="K490" s="2523">
        <v>0</v>
      </c>
      <c r="L490" s="2523"/>
      <c r="M490" s="2163"/>
      <c r="N490" s="2527"/>
      <c r="O490" s="2163"/>
    </row>
    <row r="491" spans="1:15">
      <c r="H491" s="2163"/>
      <c r="I491" s="2163"/>
      <c r="J491" s="2163"/>
      <c r="K491" s="2523"/>
      <c r="L491" s="2523"/>
      <c r="N491" s="2527"/>
    </row>
    <row r="492" spans="1:15">
      <c r="A492" s="2165">
        <v>35647</v>
      </c>
      <c r="B492" s="2163"/>
      <c r="C492" s="2524" t="s">
        <v>2885</v>
      </c>
      <c r="D492" s="2524"/>
      <c r="E492" s="2524"/>
      <c r="F492" s="2524"/>
      <c r="G492" s="2524"/>
      <c r="H492" s="2524"/>
      <c r="I492" s="2524"/>
      <c r="J492" s="2163"/>
      <c r="K492" s="2163"/>
      <c r="L492" s="2163"/>
      <c r="M492" s="2163"/>
    </row>
    <row r="493" spans="1:15">
      <c r="A493" s="2163"/>
      <c r="B493" s="2163"/>
      <c r="C493" s="2163"/>
      <c r="D493" s="2163"/>
      <c r="E493" s="2163"/>
      <c r="F493" s="2163"/>
      <c r="G493" s="2163"/>
      <c r="H493" s="2163"/>
      <c r="I493" s="2163"/>
      <c r="J493" s="2163"/>
      <c r="K493" s="2163"/>
      <c r="L493" s="2163"/>
      <c r="M493" s="2163"/>
    </row>
    <row r="494" spans="1:15">
      <c r="A494" s="2520" t="s">
        <v>2649</v>
      </c>
      <c r="B494" s="2520"/>
      <c r="C494" s="2520"/>
      <c r="D494" s="2166"/>
      <c r="E494" s="2166"/>
      <c r="F494" s="2166"/>
      <c r="G494" s="2166"/>
      <c r="H494" s="2526">
        <v>1952.9580000000001</v>
      </c>
      <c r="I494" s="2526"/>
      <c r="J494" s="2526"/>
      <c r="K494" s="2166"/>
      <c r="L494" s="2168">
        <v>200021</v>
      </c>
      <c r="M494" s="2166"/>
    </row>
    <row r="495" spans="1:15">
      <c r="A495" s="2164"/>
      <c r="B495" s="2164"/>
      <c r="C495" s="2164"/>
      <c r="D495" s="2164"/>
      <c r="E495" s="2522" t="s">
        <v>2639</v>
      </c>
      <c r="F495" s="2522"/>
      <c r="G495" s="2164"/>
      <c r="H495" s="2528">
        <v>1952.9580000000001</v>
      </c>
      <c r="I495" s="2528"/>
      <c r="J495" s="2528"/>
      <c r="K495" s="2163"/>
      <c r="L495" s="2528">
        <v>202312.97</v>
      </c>
      <c r="M495" s="2163"/>
    </row>
    <row r="496" spans="1:15">
      <c r="A496" s="2164"/>
      <c r="B496" s="2164"/>
      <c r="C496" s="2164"/>
      <c r="D496" s="2164"/>
      <c r="E496" s="2164"/>
      <c r="F496" s="2164"/>
      <c r="G496" s="2164"/>
      <c r="H496" s="2528"/>
      <c r="I496" s="2528"/>
      <c r="J496" s="2528"/>
      <c r="K496" s="2163"/>
      <c r="L496" s="2528"/>
      <c r="M496" s="2163"/>
    </row>
    <row r="497" spans="1:15">
      <c r="A497" s="2160" t="s">
        <v>2688</v>
      </c>
      <c r="B497" s="2161"/>
      <c r="C497" s="2160" t="s">
        <v>2689</v>
      </c>
      <c r="D497" s="2161"/>
      <c r="E497" s="2160" t="s">
        <v>2640</v>
      </c>
      <c r="F497" s="2161"/>
    </row>
    <row r="498" spans="1:15">
      <c r="A498" s="2163"/>
      <c r="B498" s="2163"/>
      <c r="C498" s="2163"/>
      <c r="D498" s="2163"/>
      <c r="E498" s="2163"/>
      <c r="F498" s="2163"/>
      <c r="G498" s="2163"/>
      <c r="H498" s="2163"/>
      <c r="I498" s="2163"/>
      <c r="J498" s="2163"/>
      <c r="K498" s="2163"/>
      <c r="L498" s="2163"/>
      <c r="M498" s="2163"/>
    </row>
    <row r="499" spans="1:15">
      <c r="A499" s="2164"/>
      <c r="H499" s="2522" t="s">
        <v>2637</v>
      </c>
      <c r="I499" s="2522"/>
      <c r="J499" s="2163"/>
      <c r="K499" s="2523">
        <v>0</v>
      </c>
      <c r="L499" s="2523"/>
      <c r="M499" s="2163"/>
      <c r="N499" s="2527"/>
      <c r="O499" s="2163"/>
    </row>
    <row r="500" spans="1:15">
      <c r="H500" s="2163"/>
      <c r="I500" s="2163"/>
      <c r="J500" s="2163"/>
      <c r="K500" s="2523"/>
      <c r="L500" s="2523"/>
      <c r="N500" s="2527"/>
    </row>
    <row r="501" spans="1:15">
      <c r="A501" s="2165">
        <v>50602</v>
      </c>
      <c r="B501" s="2163"/>
      <c r="C501" s="2524" t="s">
        <v>2880</v>
      </c>
      <c r="D501" s="2524"/>
      <c r="E501" s="2524"/>
      <c r="F501" s="2524"/>
      <c r="G501" s="2524"/>
      <c r="H501" s="2524"/>
      <c r="I501" s="2524"/>
      <c r="J501" s="2163"/>
      <c r="K501" s="2163"/>
      <c r="L501" s="2163"/>
      <c r="M501" s="2163"/>
    </row>
    <row r="502" spans="1:15">
      <c r="A502" s="2163"/>
      <c r="B502" s="2163"/>
      <c r="C502" s="2163"/>
      <c r="D502" s="2163"/>
      <c r="E502" s="2163"/>
      <c r="F502" s="2163"/>
      <c r="G502" s="2163"/>
      <c r="H502" s="2163"/>
      <c r="I502" s="2163"/>
      <c r="J502" s="2163"/>
      <c r="K502" s="2163"/>
      <c r="L502" s="2163"/>
      <c r="M502" s="2163"/>
    </row>
    <row r="503" spans="1:15">
      <c r="A503" s="2529"/>
      <c r="B503" s="2529"/>
      <c r="C503" s="2529"/>
      <c r="D503" s="2166"/>
      <c r="E503" s="2166"/>
      <c r="F503" s="2166"/>
      <c r="G503" s="2166"/>
      <c r="H503" s="2525"/>
      <c r="I503" s="2525"/>
      <c r="J503" s="2525"/>
      <c r="K503" s="2166"/>
      <c r="L503" s="2167"/>
      <c r="M503" s="2166"/>
    </row>
    <row r="504" spans="1:15">
      <c r="A504" s="2164"/>
      <c r="B504" s="2164"/>
      <c r="C504" s="2164"/>
      <c r="D504" s="2164"/>
      <c r="E504" s="2522" t="s">
        <v>2639</v>
      </c>
      <c r="F504" s="2522"/>
      <c r="G504" s="2164"/>
      <c r="H504" s="2523">
        <v>0</v>
      </c>
      <c r="I504" s="2523"/>
      <c r="J504" s="2523"/>
      <c r="K504" s="2163"/>
      <c r="L504" s="2523">
        <v>0</v>
      </c>
      <c r="M504" s="2163"/>
    </row>
    <row r="505" spans="1:15">
      <c r="A505" s="2164"/>
      <c r="B505" s="2164"/>
      <c r="C505" s="2164"/>
      <c r="D505" s="2164"/>
      <c r="E505" s="2164"/>
      <c r="F505" s="2164"/>
      <c r="G505" s="2164"/>
      <c r="H505" s="2523"/>
      <c r="I505" s="2523"/>
      <c r="J505" s="2523"/>
      <c r="K505" s="2163"/>
      <c r="L505" s="2523"/>
      <c r="M505" s="2163"/>
    </row>
    <row r="506" spans="1:15">
      <c r="A506" s="2160" t="s">
        <v>2688</v>
      </c>
      <c r="B506" s="2161"/>
      <c r="C506" s="2160" t="s">
        <v>2689</v>
      </c>
      <c r="D506" s="2161"/>
      <c r="E506" s="2160" t="s">
        <v>2640</v>
      </c>
      <c r="F506" s="2161"/>
    </row>
    <row r="507" spans="1:15">
      <c r="A507" s="2163"/>
      <c r="B507" s="2163"/>
      <c r="C507" s="2163"/>
      <c r="D507" s="2163"/>
      <c r="E507" s="2163"/>
      <c r="F507" s="2163"/>
      <c r="G507" s="2163"/>
      <c r="H507" s="2163"/>
      <c r="I507" s="2163"/>
      <c r="J507" s="2163"/>
      <c r="K507" s="2163"/>
      <c r="L507" s="2163"/>
      <c r="M507" s="2163"/>
    </row>
    <row r="508" spans="1:15">
      <c r="A508" s="2164"/>
      <c r="H508" s="2522" t="s">
        <v>2637</v>
      </c>
      <c r="I508" s="2522"/>
      <c r="J508" s="2163"/>
      <c r="K508" s="2523">
        <v>0</v>
      </c>
      <c r="L508" s="2523"/>
      <c r="M508" s="2163"/>
      <c r="N508" s="2527"/>
      <c r="O508" s="2163"/>
    </row>
    <row r="509" spans="1:15">
      <c r="H509" s="2163"/>
      <c r="I509" s="2163"/>
      <c r="J509" s="2163"/>
      <c r="K509" s="2523"/>
      <c r="L509" s="2523"/>
      <c r="N509" s="2527"/>
    </row>
    <row r="510" spans="1:15">
      <c r="A510" s="2165">
        <v>75627</v>
      </c>
      <c r="B510" s="2163"/>
      <c r="C510" s="2524" t="s">
        <v>2889</v>
      </c>
      <c r="D510" s="2524"/>
      <c r="E510" s="2524"/>
      <c r="F510" s="2524"/>
      <c r="G510" s="2524"/>
      <c r="H510" s="2524"/>
      <c r="I510" s="2524"/>
      <c r="J510" s="2163"/>
      <c r="K510" s="2163"/>
      <c r="L510" s="2163"/>
      <c r="M510" s="2163"/>
    </row>
    <row r="511" spans="1:15">
      <c r="A511" s="2163"/>
      <c r="B511" s="2163"/>
      <c r="C511" s="2163"/>
      <c r="D511" s="2163"/>
      <c r="E511" s="2163"/>
      <c r="F511" s="2163"/>
      <c r="G511" s="2163"/>
      <c r="H511" s="2163"/>
      <c r="I511" s="2163"/>
      <c r="J511" s="2163"/>
      <c r="K511" s="2163"/>
      <c r="L511" s="2163"/>
      <c r="M511" s="2163"/>
    </row>
    <row r="512" spans="1:15">
      <c r="A512" s="2520" t="s">
        <v>2647</v>
      </c>
      <c r="B512" s="2520"/>
      <c r="C512" s="2520"/>
      <c r="D512" s="2166"/>
      <c r="E512" s="2166"/>
      <c r="F512" s="2166"/>
      <c r="G512" s="2166"/>
      <c r="H512" s="2526">
        <v>59205.133000000002</v>
      </c>
      <c r="I512" s="2526"/>
      <c r="J512" s="2526"/>
      <c r="K512" s="2166"/>
      <c r="L512" s="2168">
        <v>6079177.1699999999</v>
      </c>
      <c r="M512" s="2166"/>
    </row>
    <row r="513" spans="1:15">
      <c r="A513" s="2520" t="s">
        <v>2648</v>
      </c>
      <c r="B513" s="2520"/>
      <c r="C513" s="2520"/>
      <c r="D513" s="2166"/>
      <c r="E513" s="2166"/>
      <c r="F513" s="2166"/>
      <c r="G513" s="2166"/>
      <c r="H513" s="2526">
        <v>-59210.661999999997</v>
      </c>
      <c r="I513" s="2526"/>
      <c r="J513" s="2526"/>
      <c r="K513" s="2166"/>
      <c r="L513" s="2168">
        <v>-6079874.0899999999</v>
      </c>
      <c r="M513" s="2166"/>
    </row>
    <row r="514" spans="1:15">
      <c r="A514" s="2520" t="s">
        <v>2649</v>
      </c>
      <c r="B514" s="2520"/>
      <c r="C514" s="2520"/>
      <c r="D514" s="2166"/>
      <c r="E514" s="2166"/>
      <c r="F514" s="2166"/>
      <c r="G514" s="2166"/>
      <c r="H514" s="2525">
        <v>5.5289999999999999</v>
      </c>
      <c r="I514" s="2525"/>
      <c r="J514" s="2525"/>
      <c r="K514" s="2166"/>
      <c r="L514" s="2167">
        <v>572</v>
      </c>
      <c r="M514" s="2166"/>
    </row>
    <row r="515" spans="1:15">
      <c r="A515" s="2164"/>
      <c r="B515" s="2164"/>
      <c r="C515" s="2164"/>
      <c r="D515" s="2164"/>
      <c r="E515" s="2522" t="s">
        <v>2639</v>
      </c>
      <c r="F515" s="2522"/>
      <c r="G515" s="2164"/>
      <c r="H515" s="2523">
        <v>0</v>
      </c>
      <c r="I515" s="2523"/>
      <c r="J515" s="2523"/>
      <c r="K515" s="2163"/>
      <c r="L515" s="2523">
        <v>0</v>
      </c>
      <c r="M515" s="2163"/>
    </row>
    <row r="516" spans="1:15">
      <c r="A516" s="2164"/>
      <c r="B516" s="2164"/>
      <c r="C516" s="2164"/>
      <c r="D516" s="2164"/>
      <c r="E516" s="2164"/>
      <c r="F516" s="2164"/>
      <c r="G516" s="2164"/>
      <c r="H516" s="2523"/>
      <c r="I516" s="2523"/>
      <c r="J516" s="2523"/>
      <c r="K516" s="2163"/>
      <c r="L516" s="2523"/>
      <c r="M516" s="2163"/>
    </row>
    <row r="517" spans="1:15">
      <c r="A517" s="2160" t="s">
        <v>2688</v>
      </c>
      <c r="B517" s="2161"/>
      <c r="C517" s="2160" t="s">
        <v>2689</v>
      </c>
      <c r="D517" s="2161"/>
      <c r="E517" s="2160" t="s">
        <v>2640</v>
      </c>
      <c r="F517" s="2161"/>
    </row>
    <row r="518" spans="1:15">
      <c r="A518" s="2163"/>
      <c r="B518" s="2163"/>
      <c r="C518" s="2163"/>
      <c r="D518" s="2163"/>
      <c r="E518" s="2163"/>
      <c r="F518" s="2163"/>
      <c r="G518" s="2163"/>
      <c r="H518" s="2163"/>
      <c r="I518" s="2163"/>
      <c r="J518" s="2163"/>
      <c r="K518" s="2163"/>
      <c r="L518" s="2163"/>
      <c r="M518" s="2163"/>
    </row>
    <row r="519" spans="1:15">
      <c r="A519" s="2164"/>
      <c r="H519" s="2522" t="s">
        <v>2637</v>
      </c>
      <c r="I519" s="2522"/>
      <c r="J519" s="2163"/>
      <c r="K519" s="2523">
        <v>0</v>
      </c>
      <c r="L519" s="2523"/>
      <c r="M519" s="2163"/>
      <c r="N519" s="2527"/>
      <c r="O519" s="2163"/>
    </row>
    <row r="520" spans="1:15">
      <c r="H520" s="2163"/>
      <c r="I520" s="2163"/>
      <c r="J520" s="2163"/>
      <c r="K520" s="2523"/>
      <c r="L520" s="2523"/>
      <c r="N520" s="2527"/>
    </row>
    <row r="521" spans="1:15">
      <c r="A521" s="2165">
        <v>75677</v>
      </c>
      <c r="B521" s="2163"/>
      <c r="C521" s="2524" t="s">
        <v>2890</v>
      </c>
      <c r="D521" s="2524"/>
      <c r="E521" s="2524"/>
      <c r="F521" s="2524"/>
      <c r="G521" s="2524"/>
      <c r="H521" s="2524"/>
      <c r="I521" s="2524"/>
      <c r="J521" s="2163"/>
      <c r="K521" s="2163"/>
      <c r="L521" s="2163"/>
      <c r="M521" s="2163"/>
    </row>
    <row r="522" spans="1:15">
      <c r="A522" s="2163"/>
      <c r="B522" s="2163"/>
      <c r="C522" s="2163"/>
      <c r="D522" s="2163"/>
      <c r="E522" s="2163"/>
      <c r="F522" s="2163"/>
      <c r="G522" s="2163"/>
      <c r="H522" s="2163"/>
      <c r="I522" s="2163"/>
      <c r="J522" s="2163"/>
      <c r="K522" s="2163"/>
      <c r="L522" s="2163"/>
      <c r="M522" s="2163"/>
    </row>
    <row r="523" spans="1:15">
      <c r="A523" s="2520" t="s">
        <v>2649</v>
      </c>
      <c r="B523" s="2520"/>
      <c r="C523" s="2520"/>
      <c r="D523" s="2166"/>
      <c r="E523" s="2166"/>
      <c r="F523" s="2166"/>
      <c r="G523" s="2166"/>
      <c r="H523" s="2525">
        <v>1.9E-2</v>
      </c>
      <c r="I523" s="2525"/>
      <c r="J523" s="2525"/>
      <c r="K523" s="2166"/>
      <c r="L523" s="2167">
        <v>2</v>
      </c>
      <c r="M523" s="2166"/>
    </row>
    <row r="524" spans="1:15">
      <c r="A524" s="2164"/>
      <c r="B524" s="2164"/>
      <c r="C524" s="2164"/>
      <c r="D524" s="2164"/>
      <c r="E524" s="2522" t="s">
        <v>2639</v>
      </c>
      <c r="F524" s="2522"/>
      <c r="G524" s="2164"/>
      <c r="H524" s="2523">
        <v>1.9300000000000001E-2</v>
      </c>
      <c r="I524" s="2523"/>
      <c r="J524" s="2523"/>
      <c r="K524" s="2163"/>
      <c r="L524" s="2523">
        <v>2</v>
      </c>
      <c r="M524" s="2163"/>
    </row>
    <row r="525" spans="1:15">
      <c r="A525" s="2164"/>
      <c r="B525" s="2164"/>
      <c r="C525" s="2164"/>
      <c r="D525" s="2164"/>
      <c r="E525" s="2164"/>
      <c r="F525" s="2164"/>
      <c r="G525" s="2164"/>
      <c r="H525" s="2523"/>
      <c r="I525" s="2523"/>
      <c r="J525" s="2523"/>
      <c r="K525" s="2163"/>
      <c r="L525" s="2523"/>
      <c r="M525" s="2163"/>
    </row>
    <row r="526" spans="1:15">
      <c r="A526" s="2160" t="s">
        <v>2688</v>
      </c>
      <c r="B526" s="2161"/>
      <c r="C526" s="2160" t="s">
        <v>2689</v>
      </c>
      <c r="D526" s="2161"/>
      <c r="E526" s="2160" t="s">
        <v>2640</v>
      </c>
      <c r="F526" s="2161"/>
    </row>
    <row r="527" spans="1:15">
      <c r="A527" s="2163"/>
      <c r="B527" s="2163"/>
      <c r="C527" s="2163"/>
      <c r="D527" s="2163"/>
      <c r="E527" s="2163"/>
      <c r="F527" s="2163"/>
      <c r="G527" s="2163"/>
      <c r="H527" s="2163"/>
      <c r="I527" s="2163"/>
      <c r="J527" s="2163"/>
      <c r="K527" s="2163"/>
      <c r="L527" s="2163"/>
      <c r="M527" s="2163"/>
    </row>
    <row r="528" spans="1:15">
      <c r="A528" s="2164"/>
      <c r="H528" s="2522" t="s">
        <v>2637</v>
      </c>
      <c r="I528" s="2522"/>
      <c r="J528" s="2163"/>
      <c r="K528" s="2523">
        <v>0</v>
      </c>
      <c r="L528" s="2523"/>
      <c r="M528" s="2163"/>
      <c r="N528" s="2527"/>
      <c r="O528" s="2163"/>
    </row>
    <row r="529" spans="1:15">
      <c r="H529" s="2163"/>
      <c r="I529" s="2163"/>
      <c r="J529" s="2163"/>
      <c r="K529" s="2523"/>
      <c r="L529" s="2523"/>
      <c r="N529" s="2527"/>
    </row>
    <row r="530" spans="1:15">
      <c r="A530" s="2165">
        <v>54545</v>
      </c>
      <c r="B530" s="2163"/>
      <c r="C530" s="2524" t="s">
        <v>2884</v>
      </c>
      <c r="D530" s="2524"/>
      <c r="E530" s="2524"/>
      <c r="F530" s="2524"/>
      <c r="G530" s="2524"/>
      <c r="H530" s="2524"/>
      <c r="I530" s="2524"/>
      <c r="J530" s="2163"/>
      <c r="K530" s="2163"/>
      <c r="L530" s="2163"/>
      <c r="M530" s="2163"/>
    </row>
    <row r="531" spans="1:15">
      <c r="A531" s="2163"/>
      <c r="B531" s="2163"/>
      <c r="C531" s="2163"/>
      <c r="D531" s="2163"/>
      <c r="E531" s="2163"/>
      <c r="F531" s="2163"/>
      <c r="G531" s="2163"/>
      <c r="H531" s="2163"/>
      <c r="I531" s="2163"/>
      <c r="J531" s="2163"/>
      <c r="K531" s="2163"/>
      <c r="L531" s="2163"/>
      <c r="M531" s="2163"/>
    </row>
    <row r="532" spans="1:15">
      <c r="A532" s="2529"/>
      <c r="B532" s="2529"/>
      <c r="C532" s="2529"/>
      <c r="D532" s="2166"/>
      <c r="E532" s="2166"/>
      <c r="F532" s="2166"/>
      <c r="G532" s="2166"/>
      <c r="H532" s="2525"/>
      <c r="I532" s="2525"/>
      <c r="J532" s="2525"/>
      <c r="K532" s="2166"/>
      <c r="L532" s="2167"/>
      <c r="M532" s="2166"/>
    </row>
    <row r="533" spans="1:15">
      <c r="A533" s="2164"/>
      <c r="B533" s="2164"/>
      <c r="C533" s="2164"/>
      <c r="D533" s="2164"/>
      <c r="E533" s="2522" t="s">
        <v>2639</v>
      </c>
      <c r="F533" s="2522"/>
      <c r="G533" s="2164"/>
      <c r="H533" s="2523">
        <v>0</v>
      </c>
      <c r="I533" s="2523"/>
      <c r="J533" s="2523"/>
      <c r="K533" s="2163"/>
      <c r="L533" s="2523">
        <v>0</v>
      </c>
      <c r="M533" s="2163"/>
    </row>
    <row r="534" spans="1:15">
      <c r="A534" s="2164"/>
      <c r="B534" s="2164"/>
      <c r="C534" s="2164"/>
      <c r="D534" s="2164"/>
      <c r="E534" s="2164"/>
      <c r="F534" s="2164"/>
      <c r="G534" s="2164"/>
      <c r="H534" s="2523"/>
      <c r="I534" s="2523"/>
      <c r="J534" s="2523"/>
      <c r="K534" s="2163"/>
      <c r="L534" s="2523"/>
      <c r="M534" s="2163"/>
    </row>
    <row r="535" spans="1:15">
      <c r="A535" s="2160" t="s">
        <v>2688</v>
      </c>
      <c r="B535" s="2161"/>
      <c r="C535" s="2160" t="s">
        <v>2689</v>
      </c>
      <c r="D535" s="2161"/>
      <c r="E535" s="2160" t="s">
        <v>2640</v>
      </c>
      <c r="F535" s="2161"/>
    </row>
    <row r="536" spans="1:15">
      <c r="A536" s="2163"/>
      <c r="B536" s="2163"/>
      <c r="C536" s="2163"/>
      <c r="D536" s="2163"/>
      <c r="E536" s="2163"/>
      <c r="F536" s="2163"/>
      <c r="G536" s="2163"/>
      <c r="H536" s="2163"/>
      <c r="I536" s="2163"/>
      <c r="J536" s="2163"/>
      <c r="K536" s="2163"/>
      <c r="L536" s="2163"/>
      <c r="M536" s="2163"/>
    </row>
    <row r="537" spans="1:15">
      <c r="A537" s="2164"/>
      <c r="H537" s="2522" t="s">
        <v>2637</v>
      </c>
      <c r="I537" s="2522"/>
      <c r="J537" s="2163"/>
      <c r="K537" s="2523">
        <v>0</v>
      </c>
      <c r="L537" s="2523"/>
      <c r="M537" s="2163"/>
      <c r="N537" s="2527"/>
      <c r="O537" s="2163"/>
    </row>
    <row r="538" spans="1:15">
      <c r="H538" s="2163"/>
      <c r="I538" s="2163"/>
      <c r="J538" s="2163"/>
      <c r="K538" s="2523"/>
      <c r="L538" s="2523"/>
      <c r="N538" s="2527"/>
    </row>
    <row r="539" spans="1:15">
      <c r="A539" s="2165">
        <v>61320</v>
      </c>
      <c r="B539" s="2163"/>
      <c r="C539" s="2524" t="s">
        <v>3126</v>
      </c>
      <c r="D539" s="2524"/>
      <c r="E539" s="2524"/>
      <c r="F539" s="2524"/>
      <c r="G539" s="2524"/>
      <c r="H539" s="2524"/>
      <c r="I539" s="2524"/>
      <c r="J539" s="2163"/>
      <c r="K539" s="2163"/>
      <c r="L539" s="2163"/>
      <c r="M539" s="2163"/>
    </row>
    <row r="540" spans="1:15">
      <c r="A540" s="2163"/>
      <c r="B540" s="2163"/>
      <c r="C540" s="2163"/>
      <c r="D540" s="2163"/>
      <c r="E540" s="2163"/>
      <c r="F540" s="2163"/>
      <c r="G540" s="2163"/>
      <c r="H540" s="2163"/>
      <c r="I540" s="2163"/>
      <c r="J540" s="2163"/>
      <c r="K540" s="2163"/>
      <c r="L540" s="2163"/>
      <c r="M540" s="2163"/>
    </row>
    <row r="541" spans="1:15">
      <c r="A541" s="2529"/>
      <c r="B541" s="2529"/>
      <c r="C541" s="2529"/>
      <c r="D541" s="2166"/>
      <c r="E541" s="2166"/>
      <c r="F541" s="2166"/>
      <c r="G541" s="2166"/>
      <c r="H541" s="2525"/>
      <c r="I541" s="2525"/>
      <c r="J541" s="2525"/>
      <c r="K541" s="2166"/>
      <c r="L541" s="2167"/>
      <c r="M541" s="2166"/>
    </row>
    <row r="542" spans="1:15">
      <c r="A542" s="2164"/>
      <c r="B542" s="2164"/>
      <c r="C542" s="2164"/>
      <c r="D542" s="2164"/>
      <c r="E542" s="2522" t="s">
        <v>2639</v>
      </c>
      <c r="F542" s="2522"/>
      <c r="G542" s="2164"/>
      <c r="H542" s="2523">
        <v>0</v>
      </c>
      <c r="I542" s="2523"/>
      <c r="J542" s="2523"/>
      <c r="K542" s="2163"/>
      <c r="L542" s="2523">
        <v>0</v>
      </c>
      <c r="M542" s="2163"/>
    </row>
    <row r="543" spans="1:15">
      <c r="A543" s="2164"/>
      <c r="B543" s="2164"/>
      <c r="C543" s="2164"/>
      <c r="D543" s="2164"/>
      <c r="E543" s="2164"/>
      <c r="F543" s="2164"/>
      <c r="G543" s="2164"/>
      <c r="H543" s="2523"/>
      <c r="I543" s="2523"/>
      <c r="J543" s="2523"/>
      <c r="K543" s="2163"/>
      <c r="L543" s="2523"/>
      <c r="M543" s="2163"/>
    </row>
    <row r="544" spans="1:15">
      <c r="A544" s="2160" t="s">
        <v>2688</v>
      </c>
      <c r="B544" s="2161"/>
      <c r="C544" s="2160" t="s">
        <v>2689</v>
      </c>
      <c r="D544" s="2161"/>
      <c r="E544" s="2160" t="s">
        <v>2640</v>
      </c>
      <c r="F544" s="2161"/>
    </row>
    <row r="545" spans="1:15">
      <c r="A545" s="2163"/>
      <c r="B545" s="2163"/>
      <c r="C545" s="2163"/>
      <c r="D545" s="2163"/>
      <c r="E545" s="2163"/>
      <c r="F545" s="2163"/>
      <c r="G545" s="2163"/>
      <c r="H545" s="2163"/>
      <c r="I545" s="2163"/>
      <c r="J545" s="2163"/>
      <c r="K545" s="2163"/>
      <c r="L545" s="2163"/>
      <c r="M545" s="2163"/>
    </row>
    <row r="546" spans="1:15">
      <c r="A546" s="2164"/>
      <c r="H546" s="2522" t="s">
        <v>2637</v>
      </c>
      <c r="I546" s="2522"/>
      <c r="J546" s="2163"/>
      <c r="K546" s="2523">
        <v>0.37459999999999999</v>
      </c>
      <c r="L546" s="2523"/>
      <c r="M546" s="2163"/>
      <c r="N546" s="2527">
        <v>38</v>
      </c>
      <c r="O546" s="2163"/>
    </row>
    <row r="547" spans="1:15">
      <c r="H547" s="2163"/>
      <c r="I547" s="2163"/>
      <c r="J547" s="2163"/>
      <c r="K547" s="2523"/>
      <c r="L547" s="2523"/>
      <c r="N547" s="2527"/>
    </row>
    <row r="548" spans="1:15">
      <c r="A548" s="2165">
        <v>65309</v>
      </c>
      <c r="B548" s="2163"/>
      <c r="C548" s="2524" t="s">
        <v>2894</v>
      </c>
      <c r="D548" s="2524"/>
      <c r="E548" s="2524"/>
      <c r="F548" s="2524"/>
      <c r="G548" s="2524"/>
      <c r="H548" s="2524"/>
      <c r="I548" s="2524"/>
      <c r="J548" s="2163"/>
      <c r="K548" s="2163"/>
      <c r="L548" s="2163"/>
      <c r="M548" s="2163"/>
    </row>
    <row r="549" spans="1:15">
      <c r="A549" s="2163"/>
      <c r="B549" s="2163"/>
      <c r="C549" s="2163"/>
      <c r="D549" s="2163"/>
      <c r="E549" s="2163"/>
      <c r="F549" s="2163"/>
      <c r="G549" s="2163"/>
      <c r="H549" s="2163"/>
      <c r="I549" s="2163"/>
      <c r="J549" s="2163"/>
      <c r="K549" s="2163"/>
      <c r="L549" s="2163"/>
      <c r="M549" s="2163"/>
    </row>
    <row r="550" spans="1:15">
      <c r="A550" s="2520" t="s">
        <v>2647</v>
      </c>
      <c r="B550" s="2520"/>
      <c r="C550" s="2520"/>
      <c r="D550" s="2166"/>
      <c r="E550" s="2166"/>
      <c r="F550" s="2166"/>
      <c r="G550" s="2166"/>
      <c r="H550" s="2526">
        <v>1962.008</v>
      </c>
      <c r="I550" s="2526"/>
      <c r="J550" s="2526"/>
      <c r="K550" s="2166"/>
      <c r="L550" s="2168">
        <v>201802.68</v>
      </c>
      <c r="M550" s="2166"/>
    </row>
    <row r="551" spans="1:15">
      <c r="A551" s="2520" t="s">
        <v>2648</v>
      </c>
      <c r="B551" s="2520"/>
      <c r="C551" s="2520"/>
      <c r="D551" s="2166"/>
      <c r="E551" s="2166"/>
      <c r="F551" s="2166"/>
      <c r="G551" s="2166"/>
      <c r="H551" s="2526">
        <v>-1962.3820000000001</v>
      </c>
      <c r="I551" s="2526"/>
      <c r="J551" s="2526"/>
      <c r="K551" s="2166"/>
      <c r="L551" s="2168">
        <v>-201991.53</v>
      </c>
      <c r="M551" s="2166"/>
    </row>
    <row r="552" spans="1:15">
      <c r="A552" s="2164"/>
      <c r="B552" s="2164"/>
      <c r="C552" s="2164"/>
      <c r="D552" s="2164"/>
      <c r="E552" s="2522" t="s">
        <v>2639</v>
      </c>
      <c r="F552" s="2522"/>
      <c r="G552" s="2164"/>
      <c r="H552" s="2523">
        <v>0</v>
      </c>
      <c r="I552" s="2523"/>
      <c r="J552" s="2523"/>
      <c r="K552" s="2163"/>
      <c r="L552" s="2523">
        <v>0</v>
      </c>
      <c r="M552" s="2163"/>
    </row>
    <row r="553" spans="1:15">
      <c r="A553" s="2164"/>
      <c r="B553" s="2164"/>
      <c r="C553" s="2164"/>
      <c r="D553" s="2164"/>
      <c r="E553" s="2164"/>
      <c r="F553" s="2164"/>
      <c r="G553" s="2164"/>
      <c r="H553" s="2523"/>
      <c r="I553" s="2523"/>
      <c r="J553" s="2523"/>
      <c r="K553" s="2163"/>
      <c r="L553" s="2523"/>
      <c r="M553" s="2163"/>
    </row>
    <row r="554" spans="1:15">
      <c r="A554" s="2160" t="s">
        <v>2688</v>
      </c>
      <c r="B554" s="2161"/>
      <c r="C554" s="2160" t="s">
        <v>2689</v>
      </c>
      <c r="D554" s="2161"/>
      <c r="E554" s="2160" t="s">
        <v>2640</v>
      </c>
      <c r="F554" s="2161"/>
    </row>
    <row r="555" spans="1:15">
      <c r="A555" s="2163"/>
      <c r="B555" s="2163"/>
      <c r="C555" s="2163"/>
      <c r="D555" s="2163"/>
      <c r="E555" s="2163"/>
      <c r="F555" s="2163"/>
      <c r="G555" s="2163"/>
      <c r="H555" s="2163"/>
      <c r="I555" s="2163"/>
      <c r="J555" s="2163"/>
      <c r="K555" s="2163"/>
      <c r="L555" s="2163"/>
      <c r="M555" s="2163"/>
    </row>
    <row r="556" spans="1:15">
      <c r="A556" s="2164"/>
      <c r="H556" s="2522" t="s">
        <v>2637</v>
      </c>
      <c r="I556" s="2522"/>
      <c r="J556" s="2163"/>
      <c r="K556" s="2523">
        <v>0</v>
      </c>
      <c r="L556" s="2523"/>
      <c r="M556" s="2163"/>
      <c r="N556" s="2527"/>
      <c r="O556" s="2163"/>
    </row>
    <row r="557" spans="1:15">
      <c r="H557" s="2163"/>
      <c r="I557" s="2163"/>
      <c r="J557" s="2163"/>
      <c r="K557" s="2523"/>
      <c r="L557" s="2523"/>
      <c r="N557" s="2527"/>
    </row>
    <row r="558" spans="1:15">
      <c r="A558" s="2165">
        <v>65402</v>
      </c>
      <c r="B558" s="2163"/>
      <c r="C558" s="2524" t="s">
        <v>2895</v>
      </c>
      <c r="D558" s="2524"/>
      <c r="E558" s="2524"/>
      <c r="F558" s="2524"/>
      <c r="G558" s="2524"/>
      <c r="H558" s="2524"/>
      <c r="I558" s="2524"/>
      <c r="J558" s="2163"/>
      <c r="K558" s="2163"/>
      <c r="L558" s="2163"/>
      <c r="M558" s="2163"/>
    </row>
    <row r="559" spans="1:15">
      <c r="A559" s="2163"/>
      <c r="B559" s="2163"/>
      <c r="C559" s="2163"/>
      <c r="D559" s="2163"/>
      <c r="E559" s="2163"/>
      <c r="F559" s="2163"/>
      <c r="G559" s="2163"/>
      <c r="H559" s="2163"/>
      <c r="I559" s="2163"/>
      <c r="J559" s="2163"/>
      <c r="K559" s="2163"/>
      <c r="L559" s="2163"/>
      <c r="M559" s="2163"/>
    </row>
    <row r="560" spans="1:15">
      <c r="A560" s="2520" t="s">
        <v>2649</v>
      </c>
      <c r="B560" s="2520"/>
      <c r="C560" s="2520"/>
      <c r="D560" s="2166"/>
      <c r="E560" s="2166"/>
      <c r="F560" s="2166"/>
      <c r="G560" s="2166"/>
      <c r="H560" s="2525">
        <v>2.04</v>
      </c>
      <c r="I560" s="2525"/>
      <c r="J560" s="2525"/>
      <c r="K560" s="2166"/>
      <c r="L560" s="2167">
        <v>211</v>
      </c>
      <c r="M560" s="2166"/>
    </row>
    <row r="561" spans="1:15">
      <c r="A561" s="2164"/>
      <c r="B561" s="2164"/>
      <c r="C561" s="2164"/>
      <c r="D561" s="2164"/>
      <c r="E561" s="2522" t="s">
        <v>2639</v>
      </c>
      <c r="F561" s="2522"/>
      <c r="G561" s="2164"/>
      <c r="H561" s="2523">
        <v>2.0394999999999999</v>
      </c>
      <c r="I561" s="2523"/>
      <c r="J561" s="2523"/>
      <c r="K561" s="2163"/>
      <c r="L561" s="2523">
        <v>211.28</v>
      </c>
      <c r="M561" s="2163"/>
    </row>
    <row r="562" spans="1:15">
      <c r="A562" s="2164"/>
      <c r="B562" s="2164"/>
      <c r="C562" s="2164"/>
      <c r="D562" s="2164"/>
      <c r="E562" s="2164"/>
      <c r="F562" s="2164"/>
      <c r="G562" s="2164"/>
      <c r="H562" s="2523"/>
      <c r="I562" s="2523"/>
      <c r="J562" s="2523"/>
      <c r="K562" s="2163"/>
      <c r="L562" s="2523"/>
      <c r="M562" s="2163"/>
    </row>
    <row r="563" spans="1:15">
      <c r="A563" s="2160" t="s">
        <v>2688</v>
      </c>
      <c r="B563" s="2161"/>
      <c r="C563" s="2160" t="s">
        <v>2689</v>
      </c>
      <c r="D563" s="2161"/>
      <c r="E563" s="2160" t="s">
        <v>2640</v>
      </c>
      <c r="F563" s="2161"/>
    </row>
    <row r="564" spans="1:15">
      <c r="A564" s="2163"/>
      <c r="B564" s="2163"/>
      <c r="C564" s="2163"/>
      <c r="D564" s="2163"/>
      <c r="E564" s="2163"/>
      <c r="F564" s="2163"/>
      <c r="G564" s="2163"/>
      <c r="H564" s="2163"/>
      <c r="I564" s="2163"/>
      <c r="J564" s="2163"/>
      <c r="K564" s="2163"/>
      <c r="L564" s="2163"/>
      <c r="M564" s="2163"/>
    </row>
    <row r="565" spans="1:15">
      <c r="A565" s="2164"/>
      <c r="H565" s="2522" t="s">
        <v>2637</v>
      </c>
      <c r="I565" s="2522"/>
      <c r="J565" s="2163"/>
      <c r="K565" s="2528">
        <v>1155.0227</v>
      </c>
      <c r="L565" s="2528"/>
      <c r="M565" s="2163"/>
      <c r="N565" s="2527" t="s">
        <v>3127</v>
      </c>
      <c r="O565" s="2163"/>
    </row>
    <row r="566" spans="1:15">
      <c r="H566" s="2163"/>
      <c r="I566" s="2163"/>
      <c r="J566" s="2163"/>
      <c r="K566" s="2528"/>
      <c r="L566" s="2528"/>
      <c r="N566" s="2527"/>
    </row>
    <row r="567" spans="1:15">
      <c r="A567" s="2165">
        <v>70604</v>
      </c>
      <c r="B567" s="2163"/>
      <c r="C567" s="2524" t="s">
        <v>2896</v>
      </c>
      <c r="D567" s="2524"/>
      <c r="E567" s="2524"/>
      <c r="F567" s="2524"/>
      <c r="G567" s="2524"/>
      <c r="H567" s="2524"/>
      <c r="I567" s="2524"/>
      <c r="J567" s="2163"/>
      <c r="K567" s="2163"/>
      <c r="L567" s="2163"/>
      <c r="M567" s="2163"/>
    </row>
    <row r="568" spans="1:15">
      <c r="A568" s="2163"/>
      <c r="B568" s="2163"/>
      <c r="C568" s="2163"/>
      <c r="D568" s="2163"/>
      <c r="E568" s="2163"/>
      <c r="F568" s="2163"/>
      <c r="G568" s="2163"/>
      <c r="H568" s="2163"/>
      <c r="I568" s="2163"/>
      <c r="J568" s="2163"/>
      <c r="K568" s="2163"/>
      <c r="L568" s="2163"/>
      <c r="M568" s="2163"/>
    </row>
    <row r="569" spans="1:15">
      <c r="A569" s="2520" t="s">
        <v>2679</v>
      </c>
      <c r="B569" s="2520"/>
      <c r="C569" s="2520"/>
      <c r="D569" s="2166"/>
      <c r="E569" s="2166"/>
      <c r="F569" s="2166"/>
      <c r="G569" s="2166"/>
      <c r="H569" s="2526">
        <v>-1155.0229999999999</v>
      </c>
      <c r="I569" s="2526"/>
      <c r="J569" s="2526"/>
      <c r="K569" s="2166"/>
      <c r="L569" s="2168">
        <v>-117914.7</v>
      </c>
      <c r="M569" s="2166"/>
    </row>
    <row r="570" spans="1:15">
      <c r="A570" s="2164"/>
      <c r="B570" s="2164"/>
      <c r="C570" s="2164"/>
      <c r="D570" s="2164"/>
      <c r="E570" s="2522" t="s">
        <v>2639</v>
      </c>
      <c r="F570" s="2522"/>
      <c r="G570" s="2164"/>
      <c r="H570" s="2523">
        <v>0</v>
      </c>
      <c r="I570" s="2523"/>
      <c r="J570" s="2523"/>
      <c r="K570" s="2163"/>
      <c r="L570" s="2523">
        <v>0</v>
      </c>
      <c r="M570" s="2163"/>
    </row>
    <row r="571" spans="1:15">
      <c r="A571" s="2164"/>
      <c r="B571" s="2164"/>
      <c r="C571" s="2164"/>
      <c r="D571" s="2164"/>
      <c r="E571" s="2164"/>
      <c r="F571" s="2164"/>
      <c r="G571" s="2164"/>
      <c r="H571" s="2523"/>
      <c r="I571" s="2523"/>
      <c r="J571" s="2523"/>
      <c r="K571" s="2163"/>
      <c r="L571" s="2523"/>
      <c r="M571" s="2163"/>
    </row>
    <row r="572" spans="1:15">
      <c r="A572" s="2160" t="s">
        <v>2688</v>
      </c>
      <c r="B572" s="2161"/>
      <c r="C572" s="2160" t="s">
        <v>2689</v>
      </c>
      <c r="D572" s="2161"/>
      <c r="E572" s="2160" t="s">
        <v>2640</v>
      </c>
      <c r="F572" s="2161"/>
    </row>
    <row r="573" spans="1:15">
      <c r="A573" s="2163"/>
      <c r="B573" s="2163"/>
      <c r="C573" s="2163"/>
      <c r="D573" s="2163"/>
      <c r="E573" s="2163"/>
      <c r="F573" s="2163"/>
      <c r="G573" s="2163"/>
      <c r="H573" s="2163"/>
      <c r="I573" s="2163"/>
      <c r="J573" s="2163"/>
      <c r="K573" s="2163"/>
      <c r="L573" s="2163"/>
      <c r="M573" s="2163"/>
    </row>
    <row r="574" spans="1:15">
      <c r="A574" s="2164"/>
      <c r="H574" s="2522" t="s">
        <v>2637</v>
      </c>
      <c r="I574" s="2522"/>
      <c r="J574" s="2163"/>
      <c r="K574" s="2523">
        <v>0</v>
      </c>
      <c r="L574" s="2523"/>
      <c r="M574" s="2163"/>
      <c r="N574" s="2527"/>
      <c r="O574" s="2163"/>
    </row>
    <row r="575" spans="1:15">
      <c r="H575" s="2163"/>
      <c r="I575" s="2163"/>
      <c r="J575" s="2163"/>
      <c r="K575" s="2523"/>
      <c r="L575" s="2523"/>
      <c r="N575" s="2527"/>
    </row>
    <row r="576" spans="1:15">
      <c r="A576" s="2165">
        <v>73000</v>
      </c>
      <c r="B576" s="2163"/>
      <c r="C576" s="2524" t="s">
        <v>2880</v>
      </c>
      <c r="D576" s="2524"/>
      <c r="E576" s="2524"/>
      <c r="F576" s="2524"/>
      <c r="G576" s="2524"/>
      <c r="H576" s="2524"/>
      <c r="I576" s="2524"/>
      <c r="J576" s="2163"/>
      <c r="K576" s="2163"/>
      <c r="L576" s="2163"/>
      <c r="M576" s="2163"/>
    </row>
    <row r="577" spans="1:15">
      <c r="A577" s="2163"/>
      <c r="B577" s="2163"/>
      <c r="C577" s="2163"/>
      <c r="D577" s="2163"/>
      <c r="E577" s="2163"/>
      <c r="F577" s="2163"/>
      <c r="G577" s="2163"/>
      <c r="H577" s="2163"/>
      <c r="I577" s="2163"/>
      <c r="J577" s="2163"/>
      <c r="K577" s="2163"/>
      <c r="L577" s="2163"/>
      <c r="M577" s="2163"/>
    </row>
    <row r="578" spans="1:15">
      <c r="A578" s="2529"/>
      <c r="B578" s="2529"/>
      <c r="C578" s="2529"/>
      <c r="D578" s="2166"/>
      <c r="E578" s="2166"/>
      <c r="F578" s="2166"/>
      <c r="G578" s="2166"/>
      <c r="H578" s="2525"/>
      <c r="I578" s="2525"/>
      <c r="J578" s="2525"/>
      <c r="K578" s="2166"/>
      <c r="L578" s="2167"/>
      <c r="M578" s="2166"/>
    </row>
    <row r="579" spans="1:15">
      <c r="A579" s="2164"/>
      <c r="B579" s="2164"/>
      <c r="C579" s="2164"/>
      <c r="D579" s="2164"/>
      <c r="E579" s="2522" t="s">
        <v>2639</v>
      </c>
      <c r="F579" s="2522"/>
      <c r="G579" s="2164"/>
      <c r="H579" s="2523">
        <v>0</v>
      </c>
      <c r="I579" s="2523"/>
      <c r="J579" s="2523"/>
      <c r="K579" s="2163"/>
      <c r="L579" s="2523">
        <v>0</v>
      </c>
      <c r="M579" s="2163"/>
    </row>
    <row r="580" spans="1:15">
      <c r="A580" s="2164"/>
      <c r="B580" s="2164"/>
      <c r="C580" s="2164"/>
      <c r="D580" s="2164"/>
      <c r="E580" s="2164"/>
      <c r="F580" s="2164"/>
      <c r="G580" s="2164"/>
      <c r="H580" s="2523"/>
      <c r="I580" s="2523"/>
      <c r="J580" s="2523"/>
      <c r="K580" s="2163"/>
      <c r="L580" s="2523"/>
      <c r="M580" s="2163"/>
    </row>
    <row r="581" spans="1:15">
      <c r="A581" s="2160" t="s">
        <v>2688</v>
      </c>
      <c r="B581" s="2161"/>
      <c r="C581" s="2160" t="s">
        <v>2689</v>
      </c>
      <c r="D581" s="2161"/>
      <c r="E581" s="2160" t="s">
        <v>2640</v>
      </c>
      <c r="F581" s="2161"/>
    </row>
    <row r="582" spans="1:15">
      <c r="A582" s="2163"/>
      <c r="B582" s="2163"/>
      <c r="C582" s="2163"/>
      <c r="D582" s="2163"/>
      <c r="E582" s="2163"/>
      <c r="F582" s="2163"/>
      <c r="G582" s="2163"/>
      <c r="H582" s="2163"/>
      <c r="I582" s="2163"/>
      <c r="J582" s="2163"/>
      <c r="K582" s="2163"/>
      <c r="L582" s="2163"/>
      <c r="M582" s="2163"/>
    </row>
    <row r="583" spans="1:15">
      <c r="A583" s="2164"/>
      <c r="H583" s="2522" t="s">
        <v>2637</v>
      </c>
      <c r="I583" s="2522"/>
      <c r="J583" s="2163"/>
      <c r="K583" s="2523">
        <v>0</v>
      </c>
      <c r="L583" s="2523"/>
      <c r="M583" s="2163"/>
      <c r="N583" s="2527"/>
      <c r="O583" s="2163"/>
    </row>
    <row r="584" spans="1:15">
      <c r="H584" s="2163"/>
      <c r="I584" s="2163"/>
      <c r="J584" s="2163"/>
      <c r="K584" s="2523"/>
      <c r="L584" s="2523"/>
      <c r="N584" s="2527"/>
    </row>
    <row r="585" spans="1:15">
      <c r="A585" s="2165">
        <v>73898</v>
      </c>
      <c r="B585" s="2163"/>
      <c r="C585" s="2524" t="s">
        <v>2880</v>
      </c>
      <c r="D585" s="2524"/>
      <c r="E585" s="2524"/>
      <c r="F585" s="2524"/>
      <c r="G585" s="2524"/>
      <c r="H585" s="2524"/>
      <c r="I585" s="2524"/>
      <c r="J585" s="2163"/>
      <c r="K585" s="2163"/>
      <c r="L585" s="2163"/>
      <c r="M585" s="2163"/>
    </row>
    <row r="586" spans="1:15">
      <c r="A586" s="2163"/>
      <c r="B586" s="2163"/>
      <c r="C586" s="2163"/>
      <c r="D586" s="2163"/>
      <c r="E586" s="2163"/>
      <c r="F586" s="2163"/>
      <c r="G586" s="2163"/>
      <c r="H586" s="2163"/>
      <c r="I586" s="2163"/>
      <c r="J586" s="2163"/>
      <c r="K586" s="2163"/>
      <c r="L586" s="2163"/>
      <c r="M586" s="2163"/>
    </row>
    <row r="587" spans="1:15">
      <c r="A587" s="2529"/>
      <c r="B587" s="2529"/>
      <c r="C587" s="2529"/>
      <c r="D587" s="2166"/>
      <c r="E587" s="2166"/>
      <c r="F587" s="2166"/>
      <c r="G587" s="2166"/>
      <c r="H587" s="2525"/>
      <c r="I587" s="2525"/>
      <c r="J587" s="2525"/>
      <c r="K587" s="2166"/>
      <c r="L587" s="2167"/>
      <c r="M587" s="2166"/>
    </row>
    <row r="588" spans="1:15">
      <c r="A588" s="2164"/>
      <c r="B588" s="2164"/>
      <c r="C588" s="2164"/>
      <c r="D588" s="2164"/>
      <c r="E588" s="2522" t="s">
        <v>2639</v>
      </c>
      <c r="F588" s="2522"/>
      <c r="G588" s="2164"/>
      <c r="H588" s="2523">
        <v>0</v>
      </c>
      <c r="I588" s="2523"/>
      <c r="J588" s="2523"/>
      <c r="K588" s="2163"/>
      <c r="L588" s="2523">
        <v>0</v>
      </c>
      <c r="M588" s="2163"/>
    </row>
    <row r="589" spans="1:15">
      <c r="A589" s="2164"/>
      <c r="B589" s="2164"/>
      <c r="C589" s="2164"/>
      <c r="D589" s="2164"/>
      <c r="E589" s="2164"/>
      <c r="F589" s="2164"/>
      <c r="G589" s="2164"/>
      <c r="H589" s="2523"/>
      <c r="I589" s="2523"/>
      <c r="J589" s="2523"/>
      <c r="K589" s="2163"/>
      <c r="L589" s="2523"/>
      <c r="M589" s="2163"/>
    </row>
    <row r="590" spans="1:15">
      <c r="A590" s="2160" t="s">
        <v>2688</v>
      </c>
      <c r="B590" s="2161"/>
      <c r="C590" s="2160" t="s">
        <v>2689</v>
      </c>
      <c r="D590" s="2161"/>
      <c r="E590" s="2160" t="s">
        <v>2640</v>
      </c>
      <c r="F590" s="2161"/>
    </row>
    <row r="591" spans="1:15">
      <c r="A591" s="2163"/>
      <c r="B591" s="2163"/>
      <c r="C591" s="2163"/>
      <c r="D591" s="2163"/>
      <c r="E591" s="2163"/>
      <c r="F591" s="2163"/>
      <c r="G591" s="2163"/>
      <c r="H591" s="2163"/>
      <c r="I591" s="2163"/>
      <c r="J591" s="2163"/>
      <c r="K591" s="2163"/>
      <c r="L591" s="2163"/>
      <c r="M591" s="2163"/>
    </row>
    <row r="592" spans="1:15">
      <c r="A592" s="2164"/>
      <c r="H592" s="2522" t="s">
        <v>2637</v>
      </c>
      <c r="I592" s="2522"/>
      <c r="J592" s="2163"/>
      <c r="K592" s="2523">
        <v>889.82659999999998</v>
      </c>
      <c r="L592" s="2523"/>
      <c r="M592" s="2163"/>
      <c r="N592" s="2527" t="s">
        <v>3128</v>
      </c>
      <c r="O592" s="2163"/>
    </row>
    <row r="593" spans="1:15">
      <c r="H593" s="2163"/>
      <c r="I593" s="2163"/>
      <c r="J593" s="2163"/>
      <c r="K593" s="2523"/>
      <c r="L593" s="2523"/>
      <c r="N593" s="2527"/>
    </row>
    <row r="594" spans="1:15">
      <c r="A594" s="2165">
        <v>75343</v>
      </c>
      <c r="B594" s="2163"/>
      <c r="C594" s="2524" t="s">
        <v>2892</v>
      </c>
      <c r="D594" s="2524"/>
      <c r="E594" s="2524"/>
      <c r="F594" s="2524"/>
      <c r="G594" s="2524"/>
      <c r="H594" s="2524"/>
      <c r="I594" s="2524"/>
      <c r="J594" s="2163"/>
      <c r="K594" s="2163"/>
      <c r="L594" s="2163"/>
      <c r="M594" s="2163"/>
    </row>
    <row r="595" spans="1:15">
      <c r="A595" s="2163"/>
      <c r="B595" s="2163"/>
      <c r="C595" s="2163"/>
      <c r="D595" s="2163"/>
      <c r="E595" s="2163"/>
      <c r="F595" s="2163"/>
      <c r="G595" s="2163"/>
      <c r="H595" s="2163"/>
      <c r="I595" s="2163"/>
      <c r="J595" s="2163"/>
      <c r="K595" s="2163"/>
      <c r="L595" s="2163"/>
      <c r="M595" s="2163"/>
    </row>
    <row r="596" spans="1:15">
      <c r="A596" s="2520" t="s">
        <v>2647</v>
      </c>
      <c r="B596" s="2520"/>
      <c r="C596" s="2520"/>
      <c r="D596" s="2166"/>
      <c r="E596" s="2166"/>
      <c r="F596" s="2166"/>
      <c r="G596" s="2166"/>
      <c r="H596" s="2526">
        <v>2731.0079999999998</v>
      </c>
      <c r="I596" s="2526"/>
      <c r="J596" s="2526"/>
      <c r="K596" s="2166"/>
      <c r="L596" s="2168">
        <v>279308.79999999999</v>
      </c>
      <c r="M596" s="2166"/>
    </row>
    <row r="597" spans="1:15">
      <c r="A597" s="2520" t="s">
        <v>2648</v>
      </c>
      <c r="B597" s="2520"/>
      <c r="C597" s="2520"/>
      <c r="D597" s="2166"/>
      <c r="E597" s="2166"/>
      <c r="F597" s="2166"/>
      <c r="G597" s="2166"/>
      <c r="H597" s="2526">
        <v>-2505.37</v>
      </c>
      <c r="I597" s="2526"/>
      <c r="J597" s="2526"/>
      <c r="K597" s="2166"/>
      <c r="L597" s="2168">
        <v>-256095.07</v>
      </c>
      <c r="M597" s="2166"/>
    </row>
    <row r="598" spans="1:15">
      <c r="A598" s="2520" t="s">
        <v>2679</v>
      </c>
      <c r="B598" s="2520"/>
      <c r="C598" s="2520"/>
      <c r="D598" s="2166"/>
      <c r="E598" s="2166"/>
      <c r="F598" s="2166"/>
      <c r="G598" s="2166"/>
      <c r="H598" s="2526">
        <v>-1093.693</v>
      </c>
      <c r="I598" s="2526"/>
      <c r="J598" s="2526"/>
      <c r="K598" s="2166"/>
      <c r="L598" s="2168">
        <v>-112246.29</v>
      </c>
      <c r="M598" s="2166"/>
    </row>
    <row r="599" spans="1:15">
      <c r="A599" s="2164"/>
      <c r="B599" s="2164"/>
      <c r="C599" s="2164"/>
      <c r="D599" s="2164"/>
      <c r="E599" s="2522" t="s">
        <v>2639</v>
      </c>
      <c r="F599" s="2522"/>
      <c r="G599" s="2164"/>
      <c r="H599" s="2523">
        <v>21.771899999999999</v>
      </c>
      <c r="I599" s="2523"/>
      <c r="J599" s="2523"/>
      <c r="K599" s="2163"/>
      <c r="L599" s="2523">
        <v>2255.41</v>
      </c>
      <c r="M599" s="2163"/>
    </row>
    <row r="600" spans="1:15">
      <c r="A600" s="2164"/>
      <c r="B600" s="2164"/>
      <c r="C600" s="2164"/>
      <c r="D600" s="2164"/>
      <c r="E600" s="2164"/>
      <c r="F600" s="2164"/>
      <c r="G600" s="2164"/>
      <c r="H600" s="2523"/>
      <c r="I600" s="2523"/>
      <c r="J600" s="2523"/>
      <c r="K600" s="2163"/>
      <c r="L600" s="2523"/>
      <c r="M600" s="2163"/>
    </row>
    <row r="601" spans="1:15">
      <c r="A601" s="2160" t="s">
        <v>2688</v>
      </c>
      <c r="B601" s="2161"/>
      <c r="C601" s="2160" t="s">
        <v>2689</v>
      </c>
      <c r="D601" s="2161"/>
      <c r="E601" s="2160" t="s">
        <v>2640</v>
      </c>
      <c r="F601" s="2161"/>
    </row>
    <row r="602" spans="1:15">
      <c r="A602" s="2163"/>
      <c r="B602" s="2163"/>
      <c r="C602" s="2163"/>
      <c r="D602" s="2163"/>
      <c r="E602" s="2163"/>
      <c r="F602" s="2163"/>
      <c r="G602" s="2163"/>
      <c r="H602" s="2163"/>
      <c r="I602" s="2163"/>
      <c r="J602" s="2163"/>
      <c r="K602" s="2163"/>
      <c r="L602" s="2163"/>
      <c r="M602" s="2163"/>
    </row>
    <row r="603" spans="1:15">
      <c r="A603" s="2164"/>
      <c r="H603" s="2522" t="s">
        <v>2637</v>
      </c>
      <c r="I603" s="2522"/>
      <c r="J603" s="2163"/>
      <c r="K603" s="2523">
        <v>0.76890000000000003</v>
      </c>
      <c r="L603" s="2523"/>
      <c r="M603" s="2163"/>
      <c r="N603" s="2527">
        <v>78</v>
      </c>
      <c r="O603" s="2163"/>
    </row>
    <row r="604" spans="1:15">
      <c r="H604" s="2163"/>
      <c r="I604" s="2163"/>
      <c r="J604" s="2163"/>
      <c r="K604" s="2523"/>
      <c r="L604" s="2523"/>
      <c r="N604" s="2527"/>
    </row>
    <row r="605" spans="1:15">
      <c r="A605" s="2165">
        <v>75561</v>
      </c>
      <c r="B605" s="2163"/>
      <c r="C605" s="2524" t="s">
        <v>2893</v>
      </c>
      <c r="D605" s="2524"/>
      <c r="E605" s="2524"/>
      <c r="F605" s="2524"/>
      <c r="G605" s="2524"/>
      <c r="H605" s="2524"/>
      <c r="I605" s="2524"/>
      <c r="J605" s="2163"/>
      <c r="K605" s="2163"/>
      <c r="L605" s="2163"/>
      <c r="M605" s="2163"/>
    </row>
    <row r="606" spans="1:15">
      <c r="A606" s="2163"/>
      <c r="B606" s="2163"/>
      <c r="C606" s="2163"/>
      <c r="D606" s="2163"/>
      <c r="E606" s="2163"/>
      <c r="F606" s="2163"/>
      <c r="G606" s="2163"/>
      <c r="H606" s="2163"/>
      <c r="I606" s="2163"/>
      <c r="J606" s="2163"/>
      <c r="K606" s="2163"/>
      <c r="L606" s="2163"/>
      <c r="M606" s="2163"/>
    </row>
    <row r="607" spans="1:15">
      <c r="A607" s="2529"/>
      <c r="B607" s="2529"/>
      <c r="C607" s="2529"/>
      <c r="D607" s="2166"/>
      <c r="E607" s="2166"/>
      <c r="F607" s="2166"/>
      <c r="G607" s="2166"/>
      <c r="H607" s="2525"/>
      <c r="I607" s="2525"/>
      <c r="J607" s="2525"/>
      <c r="K607" s="2166"/>
      <c r="L607" s="2167"/>
      <c r="M607" s="2166"/>
    </row>
    <row r="608" spans="1:15">
      <c r="A608" s="2164"/>
      <c r="B608" s="2164"/>
      <c r="C608" s="2164"/>
      <c r="D608" s="2164"/>
      <c r="E608" s="2522" t="s">
        <v>2639</v>
      </c>
      <c r="F608" s="2522"/>
      <c r="G608" s="2164"/>
      <c r="H608" s="2523">
        <v>0.76890000000000003</v>
      </c>
      <c r="I608" s="2523"/>
      <c r="J608" s="2523"/>
      <c r="K608" s="2163"/>
      <c r="L608" s="2523">
        <v>79.650000000000006</v>
      </c>
      <c r="M608" s="2163"/>
    </row>
    <row r="609" spans="1:15">
      <c r="A609" s="2164"/>
      <c r="B609" s="2164"/>
      <c r="C609" s="2164"/>
      <c r="D609" s="2164"/>
      <c r="E609" s="2164"/>
      <c r="F609" s="2164"/>
      <c r="G609" s="2164"/>
      <c r="H609" s="2523"/>
      <c r="I609" s="2523"/>
      <c r="J609" s="2523"/>
      <c r="K609" s="2163"/>
      <c r="L609" s="2523"/>
      <c r="M609" s="2163"/>
    </row>
    <row r="610" spans="1:15">
      <c r="A610" s="2160" t="s">
        <v>2688</v>
      </c>
      <c r="B610" s="2161"/>
      <c r="C610" s="2160" t="s">
        <v>2689</v>
      </c>
      <c r="D610" s="2161"/>
      <c r="E610" s="2160" t="s">
        <v>2640</v>
      </c>
      <c r="F610" s="2161"/>
    </row>
    <row r="611" spans="1:15">
      <c r="A611" s="2163"/>
      <c r="B611" s="2163"/>
      <c r="C611" s="2163"/>
      <c r="D611" s="2163"/>
      <c r="E611" s="2163"/>
      <c r="F611" s="2163"/>
      <c r="G611" s="2163"/>
      <c r="H611" s="2163"/>
      <c r="I611" s="2163"/>
      <c r="J611" s="2163"/>
      <c r="K611" s="2163"/>
      <c r="L611" s="2163"/>
      <c r="M611" s="2163"/>
    </row>
    <row r="612" spans="1:15">
      <c r="A612" s="2164"/>
      <c r="H612" s="2522" t="s">
        <v>2637</v>
      </c>
      <c r="I612" s="2522"/>
      <c r="J612" s="2163"/>
      <c r="K612" s="2523">
        <v>0</v>
      </c>
      <c r="L612" s="2523"/>
      <c r="M612" s="2163"/>
      <c r="N612" s="2527"/>
      <c r="O612" s="2163"/>
    </row>
    <row r="613" spans="1:15">
      <c r="H613" s="2163"/>
      <c r="I613" s="2163"/>
      <c r="J613" s="2163"/>
      <c r="K613" s="2523"/>
      <c r="L613" s="2523"/>
      <c r="N613" s="2527"/>
    </row>
    <row r="614" spans="1:15">
      <c r="A614" s="2165">
        <v>76847</v>
      </c>
      <c r="B614" s="2163"/>
      <c r="C614" s="2524" t="s">
        <v>2885</v>
      </c>
      <c r="D614" s="2524"/>
      <c r="E614" s="2524"/>
      <c r="F614" s="2524"/>
      <c r="G614" s="2524"/>
      <c r="H614" s="2524"/>
      <c r="I614" s="2524"/>
      <c r="J614" s="2163"/>
      <c r="K614" s="2163"/>
      <c r="L614" s="2163"/>
      <c r="M614" s="2163"/>
    </row>
    <row r="615" spans="1:15">
      <c r="A615" s="2163"/>
      <c r="B615" s="2163"/>
      <c r="C615" s="2163"/>
      <c r="D615" s="2163"/>
      <c r="E615" s="2163"/>
      <c r="F615" s="2163"/>
      <c r="G615" s="2163"/>
      <c r="H615" s="2163"/>
      <c r="I615" s="2163"/>
      <c r="J615" s="2163"/>
      <c r="K615" s="2163"/>
      <c r="L615" s="2163"/>
      <c r="M615" s="2163"/>
    </row>
    <row r="616" spans="1:15">
      <c r="A616" s="2520" t="s">
        <v>2647</v>
      </c>
      <c r="B616" s="2520"/>
      <c r="C616" s="2520"/>
      <c r="D616" s="2166"/>
      <c r="E616" s="2166"/>
      <c r="F616" s="2166"/>
      <c r="G616" s="2166"/>
      <c r="H616" s="2526">
        <v>2531.1660000000002</v>
      </c>
      <c r="I616" s="2526"/>
      <c r="J616" s="2526"/>
      <c r="K616" s="2166"/>
      <c r="L616" s="2168">
        <v>259240.54</v>
      </c>
      <c r="M616" s="2166"/>
    </row>
    <row r="617" spans="1:15">
      <c r="A617" s="2164"/>
      <c r="B617" s="2164"/>
      <c r="C617" s="2164"/>
      <c r="D617" s="2164"/>
      <c r="E617" s="2522" t="s">
        <v>2639</v>
      </c>
      <c r="F617" s="2522"/>
      <c r="G617" s="2164"/>
      <c r="H617" s="2528">
        <v>2531.1664000000001</v>
      </c>
      <c r="I617" s="2528"/>
      <c r="J617" s="2528"/>
      <c r="K617" s="2163"/>
      <c r="L617" s="2528">
        <v>262211.37</v>
      </c>
      <c r="M617" s="2163"/>
    </row>
    <row r="618" spans="1:15">
      <c r="A618" s="2164"/>
      <c r="B618" s="2164"/>
      <c r="C618" s="2164"/>
      <c r="D618" s="2164"/>
      <c r="E618" s="2164"/>
      <c r="F618" s="2164"/>
      <c r="G618" s="2164"/>
      <c r="H618" s="2528"/>
      <c r="I618" s="2528"/>
      <c r="J618" s="2528"/>
      <c r="K618" s="2163"/>
      <c r="L618" s="2528"/>
      <c r="M618" s="2163"/>
    </row>
    <row r="619" spans="1:15">
      <c r="A619" s="2160" t="s">
        <v>2688</v>
      </c>
      <c r="B619" s="2161"/>
      <c r="C619" s="2160" t="s">
        <v>2689</v>
      </c>
      <c r="D619" s="2161"/>
      <c r="E619" s="2160" t="s">
        <v>2640</v>
      </c>
      <c r="F619" s="2161"/>
    </row>
    <row r="620" spans="1:15">
      <c r="A620" s="2163"/>
      <c r="B620" s="2163"/>
      <c r="C620" s="2163"/>
      <c r="D620" s="2163"/>
      <c r="E620" s="2163"/>
      <c r="F620" s="2163"/>
      <c r="G620" s="2163"/>
      <c r="H620" s="2163"/>
      <c r="I620" s="2163"/>
      <c r="J620" s="2163"/>
      <c r="K620" s="2163"/>
      <c r="L620" s="2163"/>
      <c r="M620" s="2163"/>
    </row>
    <row r="621" spans="1:15">
      <c r="A621" s="2164"/>
      <c r="H621" s="2522" t="s">
        <v>2637</v>
      </c>
      <c r="I621" s="2522"/>
      <c r="J621" s="2163"/>
      <c r="K621" s="2523">
        <v>0</v>
      </c>
      <c r="L621" s="2523"/>
      <c r="M621" s="2163"/>
      <c r="N621" s="2527"/>
      <c r="O621" s="2163"/>
    </row>
    <row r="622" spans="1:15">
      <c r="H622" s="2163"/>
      <c r="I622" s="2163"/>
      <c r="J622" s="2163"/>
      <c r="K622" s="2523"/>
      <c r="L622" s="2523"/>
      <c r="N622" s="2527"/>
    </row>
    <row r="623" spans="1:15">
      <c r="A623" s="2165">
        <v>85972</v>
      </c>
      <c r="B623" s="2163"/>
      <c r="C623" s="2524" t="s">
        <v>2884</v>
      </c>
      <c r="D623" s="2524"/>
      <c r="E623" s="2524"/>
      <c r="F623" s="2524"/>
      <c r="G623" s="2524"/>
      <c r="H623" s="2524"/>
      <c r="I623" s="2524"/>
      <c r="J623" s="2163"/>
      <c r="K623" s="2163"/>
      <c r="L623" s="2163"/>
      <c r="M623" s="2163"/>
    </row>
    <row r="624" spans="1:15">
      <c r="A624" s="2163"/>
      <c r="B624" s="2163"/>
      <c r="C624" s="2163"/>
      <c r="D624" s="2163"/>
      <c r="E624" s="2163"/>
      <c r="F624" s="2163"/>
      <c r="G624" s="2163"/>
      <c r="H624" s="2163"/>
      <c r="I624" s="2163"/>
      <c r="J624" s="2163"/>
      <c r="K624" s="2163"/>
      <c r="L624" s="2163"/>
      <c r="M624" s="2163"/>
    </row>
    <row r="625" spans="1:15">
      <c r="A625" s="2529"/>
      <c r="B625" s="2529"/>
      <c r="C625" s="2529"/>
      <c r="D625" s="2166"/>
      <c r="E625" s="2166"/>
      <c r="F625" s="2166"/>
      <c r="G625" s="2166"/>
      <c r="H625" s="2525"/>
      <c r="I625" s="2525"/>
      <c r="J625" s="2525"/>
      <c r="K625" s="2166"/>
      <c r="L625" s="2167"/>
      <c r="M625" s="2166"/>
    </row>
    <row r="626" spans="1:15">
      <c r="A626" s="2164"/>
      <c r="B626" s="2164"/>
      <c r="C626" s="2164"/>
      <c r="D626" s="2164"/>
      <c r="E626" s="2522" t="s">
        <v>2639</v>
      </c>
      <c r="F626" s="2522"/>
      <c r="G626" s="2164"/>
      <c r="H626" s="2523">
        <v>0</v>
      </c>
      <c r="I626" s="2523"/>
      <c r="J626" s="2523"/>
      <c r="K626" s="2163"/>
      <c r="L626" s="2523">
        <v>0</v>
      </c>
      <c r="M626" s="2163"/>
    </row>
    <row r="627" spans="1:15">
      <c r="A627" s="2164"/>
      <c r="B627" s="2164"/>
      <c r="C627" s="2164"/>
      <c r="D627" s="2164"/>
      <c r="E627" s="2164"/>
      <c r="F627" s="2164"/>
      <c r="G627" s="2164"/>
      <c r="H627" s="2523"/>
      <c r="I627" s="2523"/>
      <c r="J627" s="2523"/>
      <c r="K627" s="2163"/>
      <c r="L627" s="2523"/>
      <c r="M627" s="2163"/>
    </row>
    <row r="628" spans="1:15">
      <c r="A628" s="2160" t="s">
        <v>2688</v>
      </c>
      <c r="B628" s="2161"/>
      <c r="C628" s="2160" t="s">
        <v>2689</v>
      </c>
      <c r="D628" s="2161"/>
      <c r="E628" s="2160" t="s">
        <v>2671</v>
      </c>
      <c r="F628" s="2161"/>
    </row>
    <row r="629" spans="1:15">
      <c r="A629" s="2163"/>
      <c r="B629" s="2163"/>
      <c r="C629" s="2163"/>
      <c r="D629" s="2163"/>
      <c r="E629" s="2163"/>
      <c r="F629" s="2163"/>
      <c r="G629" s="2163"/>
      <c r="H629" s="2163"/>
      <c r="I629" s="2163"/>
      <c r="J629" s="2163"/>
      <c r="K629" s="2163"/>
      <c r="L629" s="2163"/>
      <c r="M629" s="2163"/>
    </row>
    <row r="630" spans="1:15">
      <c r="A630" s="2164"/>
      <c r="H630" s="2522" t="s">
        <v>2637</v>
      </c>
      <c r="I630" s="2522"/>
      <c r="J630" s="2163"/>
      <c r="K630" s="2523">
        <v>0</v>
      </c>
      <c r="L630" s="2523"/>
      <c r="M630" s="2163"/>
      <c r="N630" s="2527"/>
      <c r="O630" s="2163"/>
    </row>
    <row r="631" spans="1:15">
      <c r="H631" s="2163"/>
      <c r="I631" s="2163"/>
      <c r="J631" s="2163"/>
      <c r="K631" s="2523"/>
      <c r="L631" s="2523"/>
      <c r="N631" s="2527"/>
    </row>
    <row r="632" spans="1:15">
      <c r="A632" s="2165">
        <v>40568</v>
      </c>
      <c r="B632" s="2163"/>
      <c r="C632" s="2524" t="s">
        <v>2882</v>
      </c>
      <c r="D632" s="2524"/>
      <c r="E632" s="2524"/>
      <c r="F632" s="2524"/>
      <c r="G632" s="2524"/>
      <c r="H632" s="2524"/>
      <c r="I632" s="2524"/>
      <c r="J632" s="2163"/>
      <c r="K632" s="2163"/>
      <c r="L632" s="2163"/>
      <c r="M632" s="2163"/>
    </row>
    <row r="633" spans="1:15">
      <c r="A633" s="2163"/>
      <c r="B633" s="2163"/>
      <c r="C633" s="2163"/>
      <c r="D633" s="2163"/>
      <c r="E633" s="2163"/>
      <c r="F633" s="2163"/>
      <c r="G633" s="2163"/>
      <c r="H633" s="2163"/>
      <c r="I633" s="2163"/>
      <c r="J633" s="2163"/>
      <c r="K633" s="2163"/>
      <c r="L633" s="2163"/>
      <c r="M633" s="2163"/>
    </row>
    <row r="634" spans="1:15">
      <c r="A634" s="2529"/>
      <c r="B634" s="2529"/>
      <c r="C634" s="2529"/>
      <c r="D634" s="2166"/>
      <c r="E634" s="2166"/>
      <c r="F634" s="2166"/>
      <c r="G634" s="2166"/>
      <c r="H634" s="2525"/>
      <c r="I634" s="2525"/>
      <c r="J634" s="2525"/>
      <c r="K634" s="2166"/>
      <c r="L634" s="2167"/>
      <c r="M634" s="2166"/>
    </row>
    <row r="635" spans="1:15">
      <c r="A635" s="2164"/>
      <c r="B635" s="2164"/>
      <c r="C635" s="2164"/>
      <c r="D635" s="2164"/>
      <c r="E635" s="2522" t="s">
        <v>2639</v>
      </c>
      <c r="F635" s="2522"/>
      <c r="G635" s="2164"/>
      <c r="H635" s="2523">
        <v>0</v>
      </c>
      <c r="I635" s="2523"/>
      <c r="J635" s="2523"/>
      <c r="K635" s="2163"/>
      <c r="L635" s="2523">
        <v>0</v>
      </c>
      <c r="M635" s="2163"/>
    </row>
    <row r="636" spans="1:15">
      <c r="A636" s="2164"/>
      <c r="B636" s="2164"/>
      <c r="C636" s="2164"/>
      <c r="D636" s="2164"/>
      <c r="E636" s="2164"/>
      <c r="F636" s="2164"/>
      <c r="G636" s="2164"/>
      <c r="H636" s="2523"/>
      <c r="I636" s="2523"/>
      <c r="J636" s="2523"/>
      <c r="K636" s="2163"/>
      <c r="L636" s="2523"/>
      <c r="M636" s="2163"/>
    </row>
    <row r="637" spans="1:15">
      <c r="A637" s="2160" t="s">
        <v>2688</v>
      </c>
      <c r="B637" s="2161"/>
      <c r="C637" s="2160" t="s">
        <v>2689</v>
      </c>
      <c r="D637" s="2161"/>
      <c r="E637" s="2160" t="s">
        <v>2671</v>
      </c>
      <c r="F637" s="2161"/>
    </row>
    <row r="638" spans="1:15">
      <c r="A638" s="2163"/>
      <c r="B638" s="2163"/>
      <c r="C638" s="2163"/>
      <c r="D638" s="2163"/>
      <c r="E638" s="2163"/>
      <c r="F638" s="2163"/>
      <c r="G638" s="2163"/>
      <c r="H638" s="2163"/>
      <c r="I638" s="2163"/>
      <c r="J638" s="2163"/>
      <c r="K638" s="2163"/>
      <c r="L638" s="2163"/>
      <c r="M638" s="2163"/>
    </row>
    <row r="639" spans="1:15">
      <c r="A639" s="2164"/>
      <c r="H639" s="2522" t="s">
        <v>2637</v>
      </c>
      <c r="I639" s="2522"/>
      <c r="J639" s="2163"/>
      <c r="K639" s="2523">
        <v>0</v>
      </c>
      <c r="L639" s="2523"/>
      <c r="M639" s="2163"/>
      <c r="N639" s="2527"/>
      <c r="O639" s="2163"/>
    </row>
    <row r="640" spans="1:15">
      <c r="H640" s="2163"/>
      <c r="I640" s="2163"/>
      <c r="J640" s="2163"/>
      <c r="K640" s="2523"/>
      <c r="L640" s="2523"/>
      <c r="N640" s="2527"/>
    </row>
    <row r="641" spans="1:15">
      <c r="A641" s="2165">
        <v>32068</v>
      </c>
      <c r="B641" s="2163"/>
      <c r="C641" s="2524" t="s">
        <v>2893</v>
      </c>
      <c r="D641" s="2524"/>
      <c r="E641" s="2524"/>
      <c r="F641" s="2524"/>
      <c r="G641" s="2524"/>
      <c r="H641" s="2524"/>
      <c r="I641" s="2524"/>
      <c r="J641" s="2163"/>
      <c r="K641" s="2163"/>
      <c r="L641" s="2163"/>
      <c r="M641" s="2163"/>
    </row>
    <row r="642" spans="1:15">
      <c r="A642" s="2163"/>
      <c r="B642" s="2163"/>
      <c r="C642" s="2163"/>
      <c r="D642" s="2163"/>
      <c r="E642" s="2163"/>
      <c r="F642" s="2163"/>
      <c r="G642" s="2163"/>
      <c r="H642" s="2163"/>
      <c r="I642" s="2163"/>
      <c r="J642" s="2163"/>
      <c r="K642" s="2163"/>
      <c r="L642" s="2163"/>
      <c r="M642" s="2163"/>
    </row>
    <row r="643" spans="1:15">
      <c r="A643" s="2529"/>
      <c r="B643" s="2529"/>
      <c r="C643" s="2529"/>
      <c r="D643" s="2166"/>
      <c r="E643" s="2166"/>
      <c r="F643" s="2166"/>
      <c r="G643" s="2166"/>
      <c r="H643" s="2525"/>
      <c r="I643" s="2525"/>
      <c r="J643" s="2525"/>
      <c r="K643" s="2166"/>
      <c r="L643" s="2167"/>
      <c r="M643" s="2166"/>
    </row>
    <row r="644" spans="1:15">
      <c r="A644" s="2164"/>
      <c r="B644" s="2164"/>
      <c r="C644" s="2164"/>
      <c r="D644" s="2164"/>
      <c r="E644" s="2522" t="s">
        <v>2639</v>
      </c>
      <c r="F644" s="2522"/>
      <c r="G644" s="2164"/>
      <c r="H644" s="2523">
        <v>0</v>
      </c>
      <c r="I644" s="2523"/>
      <c r="J644" s="2523"/>
      <c r="K644" s="2163"/>
      <c r="L644" s="2523">
        <v>0</v>
      </c>
      <c r="M644" s="2163"/>
    </row>
    <row r="645" spans="1:15">
      <c r="A645" s="2164"/>
      <c r="B645" s="2164"/>
      <c r="C645" s="2164"/>
      <c r="D645" s="2164"/>
      <c r="E645" s="2164"/>
      <c r="F645" s="2164"/>
      <c r="G645" s="2164"/>
      <c r="H645" s="2523"/>
      <c r="I645" s="2523"/>
      <c r="J645" s="2523"/>
      <c r="K645" s="2163"/>
      <c r="L645" s="2523"/>
      <c r="M645" s="2163"/>
    </row>
    <row r="646" spans="1:15" s="2171" customFormat="1">
      <c r="A646" s="2169" t="s">
        <v>2699</v>
      </c>
      <c r="B646" s="2170"/>
      <c r="C646" s="2169" t="s">
        <v>1069</v>
      </c>
      <c r="D646" s="2170"/>
      <c r="E646" s="2169" t="s">
        <v>2640</v>
      </c>
      <c r="F646" s="2170"/>
    </row>
    <row r="647" spans="1:15" s="2171" customFormat="1">
      <c r="A647" s="2172"/>
      <c r="B647" s="2172"/>
      <c r="C647" s="2172"/>
      <c r="D647" s="2172"/>
      <c r="E647" s="2172"/>
      <c r="F647" s="2172"/>
      <c r="G647" s="2172"/>
      <c r="H647" s="2172"/>
      <c r="I647" s="2172"/>
      <c r="J647" s="2172"/>
      <c r="K647" s="2172"/>
      <c r="L647" s="2172"/>
      <c r="M647" s="2172"/>
    </row>
    <row r="648" spans="1:15" s="2171" customFormat="1">
      <c r="A648" s="2170"/>
      <c r="H648" s="2531" t="s">
        <v>2637</v>
      </c>
      <c r="I648" s="2531"/>
      <c r="J648" s="2172"/>
      <c r="K648" s="2537">
        <v>0</v>
      </c>
      <c r="L648" s="2537"/>
      <c r="M648" s="2172"/>
      <c r="N648" s="2533"/>
      <c r="O648" s="2172"/>
    </row>
    <row r="649" spans="1:15" s="2171" customFormat="1">
      <c r="H649" s="2172"/>
      <c r="I649" s="2172"/>
      <c r="J649" s="2172"/>
      <c r="K649" s="2537"/>
      <c r="L649" s="2537"/>
      <c r="N649" s="2533"/>
    </row>
    <row r="650" spans="1:15" s="2171" customFormat="1">
      <c r="A650" s="2169">
        <v>2300</v>
      </c>
      <c r="B650" s="2172"/>
      <c r="C650" s="2534" t="s">
        <v>2880</v>
      </c>
      <c r="D650" s="2534"/>
      <c r="E650" s="2534"/>
      <c r="F650" s="2534"/>
      <c r="G650" s="2534"/>
      <c r="H650" s="2534"/>
      <c r="I650" s="2534"/>
      <c r="J650" s="2172"/>
      <c r="K650" s="2172"/>
      <c r="L650" s="2172"/>
      <c r="M650" s="2172"/>
    </row>
    <row r="651" spans="1:15" s="2171" customFormat="1">
      <c r="A651" s="2172"/>
      <c r="B651" s="2172"/>
      <c r="C651" s="2172"/>
      <c r="D651" s="2172"/>
      <c r="E651" s="2172"/>
      <c r="F651" s="2172"/>
      <c r="G651" s="2172"/>
      <c r="H651" s="2172"/>
      <c r="I651" s="2172"/>
      <c r="J651" s="2172"/>
      <c r="K651" s="2172"/>
      <c r="L651" s="2172"/>
      <c r="M651" s="2172"/>
    </row>
    <row r="652" spans="1:15" s="2171" customFormat="1">
      <c r="A652" s="2538"/>
      <c r="B652" s="2538"/>
      <c r="C652" s="2538"/>
      <c r="D652" s="2173"/>
      <c r="E652" s="2173"/>
      <c r="F652" s="2173"/>
      <c r="G652" s="2173"/>
      <c r="H652" s="2539"/>
      <c r="I652" s="2539"/>
      <c r="J652" s="2539"/>
      <c r="K652" s="2173"/>
      <c r="L652" s="2174"/>
      <c r="M652" s="2173"/>
    </row>
    <row r="653" spans="1:15" s="2171" customFormat="1">
      <c r="A653" s="2170"/>
      <c r="B653" s="2170"/>
      <c r="C653" s="2170"/>
      <c r="D653" s="2170"/>
      <c r="E653" s="2531" t="s">
        <v>2639</v>
      </c>
      <c r="F653" s="2531"/>
      <c r="G653" s="2170"/>
      <c r="H653" s="2537">
        <v>0</v>
      </c>
      <c r="I653" s="2537"/>
      <c r="J653" s="2537"/>
      <c r="K653" s="2172"/>
      <c r="L653" s="2537">
        <v>0</v>
      </c>
      <c r="M653" s="2172"/>
    </row>
    <row r="654" spans="1:15" s="2171" customFormat="1">
      <c r="A654" s="2170"/>
      <c r="B654" s="2170"/>
      <c r="C654" s="2170"/>
      <c r="D654" s="2170"/>
      <c r="E654" s="2170"/>
      <c r="F654" s="2170"/>
      <c r="G654" s="2170"/>
      <c r="H654" s="2537"/>
      <c r="I654" s="2537"/>
      <c r="J654" s="2537"/>
      <c r="K654" s="2172"/>
      <c r="L654" s="2537"/>
      <c r="M654" s="2172"/>
    </row>
    <row r="655" spans="1:15" s="2171" customFormat="1">
      <c r="A655" s="2169" t="s">
        <v>2699</v>
      </c>
      <c r="B655" s="2170"/>
      <c r="C655" s="2169" t="s">
        <v>1069</v>
      </c>
      <c r="D655" s="2170"/>
      <c r="E655" s="2169" t="s">
        <v>2640</v>
      </c>
      <c r="F655" s="2170"/>
    </row>
    <row r="656" spans="1:15" s="2171" customFormat="1">
      <c r="A656" s="2172"/>
      <c r="B656" s="2172"/>
      <c r="C656" s="2172"/>
      <c r="D656" s="2172"/>
      <c r="E656" s="2172"/>
      <c r="F656" s="2172"/>
      <c r="G656" s="2172"/>
      <c r="H656" s="2172"/>
      <c r="I656" s="2172"/>
      <c r="J656" s="2172"/>
      <c r="K656" s="2172"/>
      <c r="L656" s="2172"/>
      <c r="M656" s="2172"/>
    </row>
    <row r="657" spans="1:15" s="2171" customFormat="1">
      <c r="A657" s="2170"/>
      <c r="H657" s="2531" t="s">
        <v>2637</v>
      </c>
      <c r="I657" s="2531"/>
      <c r="J657" s="2172"/>
      <c r="K657" s="2537">
        <v>0</v>
      </c>
      <c r="L657" s="2537"/>
      <c r="M657" s="2172"/>
      <c r="N657" s="2533"/>
      <c r="O657" s="2172"/>
    </row>
    <row r="658" spans="1:15" s="2171" customFormat="1">
      <c r="H658" s="2172"/>
      <c r="I658" s="2172"/>
      <c r="J658" s="2172"/>
      <c r="K658" s="2537"/>
      <c r="L658" s="2537"/>
      <c r="N658" s="2533"/>
    </row>
    <row r="659" spans="1:15" s="2171" customFormat="1">
      <c r="A659" s="2169">
        <v>2300</v>
      </c>
      <c r="B659" s="2172"/>
      <c r="C659" s="2534" t="s">
        <v>2880</v>
      </c>
      <c r="D659" s="2534"/>
      <c r="E659" s="2534"/>
      <c r="F659" s="2534"/>
      <c r="G659" s="2534"/>
      <c r="H659" s="2534"/>
      <c r="I659" s="2534"/>
      <c r="J659" s="2172"/>
      <c r="K659" s="2172"/>
      <c r="L659" s="2172"/>
      <c r="M659" s="2172"/>
    </row>
    <row r="660" spans="1:15" s="2171" customFormat="1">
      <c r="A660" s="2172"/>
      <c r="B660" s="2172"/>
      <c r="C660" s="2172"/>
      <c r="D660" s="2172"/>
      <c r="E660" s="2172"/>
      <c r="F660" s="2172"/>
      <c r="G660" s="2172"/>
      <c r="H660" s="2172"/>
      <c r="I660" s="2172"/>
      <c r="J660" s="2172"/>
      <c r="K660" s="2172"/>
      <c r="L660" s="2172"/>
      <c r="M660" s="2172"/>
    </row>
    <row r="661" spans="1:15" s="2171" customFormat="1">
      <c r="A661" s="2538"/>
      <c r="B661" s="2538"/>
      <c r="C661" s="2538"/>
      <c r="D661" s="2173"/>
      <c r="E661" s="2173"/>
      <c r="F661" s="2173"/>
      <c r="G661" s="2173"/>
      <c r="H661" s="2539"/>
      <c r="I661" s="2539"/>
      <c r="J661" s="2539"/>
      <c r="K661" s="2173"/>
      <c r="L661" s="2174"/>
      <c r="M661" s="2173"/>
    </row>
    <row r="662" spans="1:15" s="2171" customFormat="1">
      <c r="A662" s="2170"/>
      <c r="B662" s="2170"/>
      <c r="C662" s="2170"/>
      <c r="D662" s="2170"/>
      <c r="E662" s="2531" t="s">
        <v>2639</v>
      </c>
      <c r="F662" s="2531"/>
      <c r="G662" s="2170"/>
      <c r="H662" s="2537">
        <v>0</v>
      </c>
      <c r="I662" s="2537"/>
      <c r="J662" s="2537"/>
      <c r="K662" s="2172"/>
      <c r="L662" s="2537">
        <v>0</v>
      </c>
      <c r="M662" s="2172"/>
    </row>
    <row r="663" spans="1:15" s="2171" customFormat="1">
      <c r="A663" s="2170"/>
      <c r="B663" s="2170"/>
      <c r="C663" s="2170"/>
      <c r="D663" s="2170"/>
      <c r="E663" s="2170"/>
      <c r="F663" s="2170"/>
      <c r="G663" s="2170"/>
      <c r="H663" s="2537"/>
      <c r="I663" s="2537"/>
      <c r="J663" s="2537"/>
      <c r="K663" s="2172"/>
      <c r="L663" s="2537"/>
      <c r="M663" s="2172"/>
    </row>
    <row r="664" spans="1:15" s="2171" customFormat="1">
      <c r="A664" s="2169" t="s">
        <v>2699</v>
      </c>
      <c r="B664" s="2170"/>
      <c r="C664" s="2169" t="s">
        <v>1069</v>
      </c>
      <c r="D664" s="2170"/>
      <c r="E664" s="2169" t="s">
        <v>2640</v>
      </c>
      <c r="F664" s="2170"/>
    </row>
    <row r="665" spans="1:15" s="2171" customFormat="1">
      <c r="A665" s="2172"/>
      <c r="B665" s="2172"/>
      <c r="C665" s="2172"/>
      <c r="D665" s="2172"/>
      <c r="E665" s="2172"/>
      <c r="F665" s="2172"/>
      <c r="G665" s="2172"/>
      <c r="H665" s="2172"/>
      <c r="I665" s="2172"/>
      <c r="J665" s="2172"/>
      <c r="K665" s="2172"/>
      <c r="L665" s="2172"/>
      <c r="M665" s="2172"/>
    </row>
    <row r="666" spans="1:15" s="2171" customFormat="1">
      <c r="A666" s="2170"/>
      <c r="H666" s="2531" t="s">
        <v>2637</v>
      </c>
      <c r="I666" s="2531"/>
      <c r="J666" s="2172"/>
      <c r="K666" s="2537">
        <v>0</v>
      </c>
      <c r="L666" s="2537"/>
      <c r="M666" s="2172"/>
      <c r="N666" s="2533"/>
      <c r="O666" s="2172"/>
    </row>
    <row r="667" spans="1:15" s="2171" customFormat="1">
      <c r="H667" s="2172"/>
      <c r="I667" s="2172"/>
      <c r="J667" s="2172"/>
      <c r="K667" s="2537"/>
      <c r="L667" s="2537"/>
      <c r="N667" s="2533"/>
    </row>
    <row r="668" spans="1:15" s="2171" customFormat="1">
      <c r="A668" s="2169">
        <v>2300</v>
      </c>
      <c r="B668" s="2172"/>
      <c r="C668" s="2534" t="s">
        <v>2880</v>
      </c>
      <c r="D668" s="2534"/>
      <c r="E668" s="2534"/>
      <c r="F668" s="2534"/>
      <c r="G668" s="2534"/>
      <c r="H668" s="2534"/>
      <c r="I668" s="2534"/>
      <c r="J668" s="2172"/>
      <c r="K668" s="2172"/>
      <c r="L668" s="2172"/>
      <c r="M668" s="2172"/>
    </row>
    <row r="669" spans="1:15" s="2171" customFormat="1">
      <c r="A669" s="2172"/>
      <c r="B669" s="2172"/>
      <c r="C669" s="2172"/>
      <c r="D669" s="2172"/>
      <c r="E669" s="2172"/>
      <c r="F669" s="2172"/>
      <c r="G669" s="2172"/>
      <c r="H669" s="2172"/>
      <c r="I669" s="2172"/>
      <c r="J669" s="2172"/>
      <c r="K669" s="2172"/>
      <c r="L669" s="2172"/>
      <c r="M669" s="2172"/>
    </row>
    <row r="670" spans="1:15" s="2171" customFormat="1">
      <c r="A670" s="2538"/>
      <c r="B670" s="2538"/>
      <c r="C670" s="2538"/>
      <c r="D670" s="2173"/>
      <c r="E670" s="2173"/>
      <c r="F670" s="2173"/>
      <c r="G670" s="2173"/>
      <c r="H670" s="2539"/>
      <c r="I670" s="2539"/>
      <c r="J670" s="2539"/>
      <c r="K670" s="2173"/>
      <c r="L670" s="2174"/>
      <c r="M670" s="2173"/>
    </row>
    <row r="671" spans="1:15" s="2171" customFormat="1">
      <c r="A671" s="2170"/>
      <c r="B671" s="2170"/>
      <c r="C671" s="2170"/>
      <c r="D671" s="2170"/>
      <c r="E671" s="2531" t="s">
        <v>2639</v>
      </c>
      <c r="F671" s="2531"/>
      <c r="G671" s="2170"/>
      <c r="H671" s="2537">
        <v>0</v>
      </c>
      <c r="I671" s="2537"/>
      <c r="J671" s="2537"/>
      <c r="K671" s="2172"/>
      <c r="L671" s="2537">
        <v>0</v>
      </c>
      <c r="M671" s="2172"/>
    </row>
    <row r="672" spans="1:15" s="2171" customFormat="1">
      <c r="A672" s="2170"/>
      <c r="B672" s="2170"/>
      <c r="C672" s="2170"/>
      <c r="D672" s="2170"/>
      <c r="E672" s="2170"/>
      <c r="F672" s="2170"/>
      <c r="G672" s="2170"/>
      <c r="H672" s="2537"/>
      <c r="I672" s="2537"/>
      <c r="J672" s="2537"/>
      <c r="K672" s="2172"/>
      <c r="L672" s="2537"/>
      <c r="M672" s="2172"/>
    </row>
    <row r="673" spans="1:15" s="2171" customFormat="1">
      <c r="A673" s="2169" t="s">
        <v>2699</v>
      </c>
      <c r="B673" s="2170"/>
      <c r="C673" s="2169" t="s">
        <v>1069</v>
      </c>
      <c r="D673" s="2170"/>
      <c r="E673" s="2169" t="s">
        <v>2640</v>
      </c>
      <c r="F673" s="2170"/>
    </row>
    <row r="674" spans="1:15" s="2171" customFormat="1">
      <c r="A674" s="2172"/>
      <c r="B674" s="2172"/>
      <c r="C674" s="2172"/>
      <c r="D674" s="2172"/>
      <c r="E674" s="2172"/>
      <c r="F674" s="2172"/>
      <c r="G674" s="2172"/>
      <c r="H674" s="2172"/>
      <c r="I674" s="2172"/>
      <c r="J674" s="2172"/>
      <c r="K674" s="2172"/>
      <c r="L674" s="2172"/>
      <c r="M674" s="2172"/>
    </row>
    <row r="675" spans="1:15" s="2171" customFormat="1">
      <c r="A675" s="2170"/>
      <c r="H675" s="2531" t="s">
        <v>2637</v>
      </c>
      <c r="I675" s="2531"/>
      <c r="J675" s="2172"/>
      <c r="K675" s="2537">
        <v>0</v>
      </c>
      <c r="L675" s="2537"/>
      <c r="M675" s="2172"/>
      <c r="N675" s="2533"/>
      <c r="O675" s="2172"/>
    </row>
    <row r="676" spans="1:15" s="2171" customFormat="1">
      <c r="H676" s="2172"/>
      <c r="I676" s="2172"/>
      <c r="J676" s="2172"/>
      <c r="K676" s="2537"/>
      <c r="L676" s="2537"/>
      <c r="N676" s="2533"/>
    </row>
    <row r="677" spans="1:15" s="2171" customFormat="1">
      <c r="A677" s="2169">
        <v>5123</v>
      </c>
      <c r="B677" s="2172"/>
      <c r="C677" s="2534" t="s">
        <v>2887</v>
      </c>
      <c r="D677" s="2534"/>
      <c r="E677" s="2534"/>
      <c r="F677" s="2534"/>
      <c r="G677" s="2534"/>
      <c r="H677" s="2534"/>
      <c r="I677" s="2534"/>
      <c r="J677" s="2172"/>
      <c r="K677" s="2172"/>
      <c r="L677" s="2172"/>
      <c r="M677" s="2172"/>
    </row>
    <row r="678" spans="1:15" s="2171" customFormat="1">
      <c r="A678" s="2172"/>
      <c r="B678" s="2172"/>
      <c r="C678" s="2172"/>
      <c r="D678" s="2172"/>
      <c r="E678" s="2172"/>
      <c r="F678" s="2172"/>
      <c r="G678" s="2172"/>
      <c r="H678" s="2172"/>
      <c r="I678" s="2172"/>
      <c r="J678" s="2172"/>
      <c r="K678" s="2172"/>
      <c r="L678" s="2172"/>
      <c r="M678" s="2172"/>
    </row>
    <row r="679" spans="1:15" s="2171" customFormat="1">
      <c r="A679" s="2538"/>
      <c r="B679" s="2538"/>
      <c r="C679" s="2538"/>
      <c r="D679" s="2173"/>
      <c r="E679" s="2173"/>
      <c r="F679" s="2173"/>
      <c r="G679" s="2173"/>
      <c r="H679" s="2539"/>
      <c r="I679" s="2539"/>
      <c r="J679" s="2539"/>
      <c r="K679" s="2173"/>
      <c r="L679" s="2174"/>
      <c r="M679" s="2173"/>
    </row>
    <row r="680" spans="1:15" s="2171" customFormat="1">
      <c r="A680" s="2170"/>
      <c r="B680" s="2170"/>
      <c r="C680" s="2170"/>
      <c r="D680" s="2170"/>
      <c r="E680" s="2531" t="s">
        <v>2639</v>
      </c>
      <c r="F680" s="2531"/>
      <c r="G680" s="2170"/>
      <c r="H680" s="2537">
        <v>0</v>
      </c>
      <c r="I680" s="2537"/>
      <c r="J680" s="2537"/>
      <c r="K680" s="2172"/>
      <c r="L680" s="2537">
        <v>0</v>
      </c>
      <c r="M680" s="2172"/>
    </row>
    <row r="681" spans="1:15" s="2171" customFormat="1">
      <c r="A681" s="2170"/>
      <c r="B681" s="2170"/>
      <c r="C681" s="2170"/>
      <c r="D681" s="2170"/>
      <c r="E681" s="2170"/>
      <c r="F681" s="2170"/>
      <c r="G681" s="2170"/>
      <c r="H681" s="2537"/>
      <c r="I681" s="2537"/>
      <c r="J681" s="2537"/>
      <c r="K681" s="2172"/>
      <c r="L681" s="2537"/>
      <c r="M681" s="2172"/>
    </row>
    <row r="682" spans="1:15" s="2171" customFormat="1">
      <c r="A682" s="2169" t="s">
        <v>2699</v>
      </c>
      <c r="B682" s="2170"/>
      <c r="C682" s="2169" t="s">
        <v>1069</v>
      </c>
      <c r="D682" s="2170"/>
      <c r="E682" s="2169" t="s">
        <v>2640</v>
      </c>
      <c r="F682" s="2170"/>
    </row>
    <row r="683" spans="1:15" s="2171" customFormat="1">
      <c r="A683" s="2172"/>
      <c r="B683" s="2172"/>
      <c r="C683" s="2172"/>
      <c r="D683" s="2172"/>
      <c r="E683" s="2172"/>
      <c r="F683" s="2172"/>
      <c r="G683" s="2172"/>
      <c r="H683" s="2172"/>
      <c r="I683" s="2172"/>
      <c r="J683" s="2172"/>
      <c r="K683" s="2172"/>
      <c r="L683" s="2172"/>
      <c r="M683" s="2172"/>
    </row>
    <row r="684" spans="1:15" s="2171" customFormat="1">
      <c r="A684" s="2170"/>
      <c r="H684" s="2531" t="s">
        <v>2637</v>
      </c>
      <c r="I684" s="2531"/>
      <c r="J684" s="2172"/>
      <c r="K684" s="2537">
        <v>0</v>
      </c>
      <c r="L684" s="2537"/>
      <c r="M684" s="2172"/>
      <c r="N684" s="2533"/>
      <c r="O684" s="2172"/>
    </row>
    <row r="685" spans="1:15" s="2171" customFormat="1">
      <c r="H685" s="2172"/>
      <c r="I685" s="2172"/>
      <c r="J685" s="2172"/>
      <c r="K685" s="2537"/>
      <c r="L685" s="2537"/>
      <c r="N685" s="2533"/>
    </row>
    <row r="686" spans="1:15" s="2171" customFormat="1">
      <c r="A686" s="2169">
        <v>5123</v>
      </c>
      <c r="B686" s="2172"/>
      <c r="C686" s="2534" t="s">
        <v>2887</v>
      </c>
      <c r="D686" s="2534"/>
      <c r="E686" s="2534"/>
      <c r="F686" s="2534"/>
      <c r="G686" s="2534"/>
      <c r="H686" s="2534"/>
      <c r="I686" s="2534"/>
      <c r="J686" s="2172"/>
      <c r="K686" s="2172"/>
      <c r="L686" s="2172"/>
      <c r="M686" s="2172"/>
    </row>
    <row r="687" spans="1:15" s="2171" customFormat="1">
      <c r="A687" s="2172"/>
      <c r="B687" s="2172"/>
      <c r="C687" s="2172"/>
      <c r="D687" s="2172"/>
      <c r="E687" s="2172"/>
      <c r="F687" s="2172"/>
      <c r="G687" s="2172"/>
      <c r="H687" s="2172"/>
      <c r="I687" s="2172"/>
      <c r="J687" s="2172"/>
      <c r="K687" s="2172"/>
      <c r="L687" s="2172"/>
      <c r="M687" s="2172"/>
    </row>
    <row r="688" spans="1:15" s="2171" customFormat="1">
      <c r="A688" s="2538"/>
      <c r="B688" s="2538"/>
      <c r="C688" s="2538"/>
      <c r="D688" s="2173"/>
      <c r="E688" s="2173"/>
      <c r="F688" s="2173"/>
      <c r="G688" s="2173"/>
      <c r="H688" s="2539"/>
      <c r="I688" s="2539"/>
      <c r="J688" s="2539"/>
      <c r="K688" s="2173"/>
      <c r="L688" s="2174"/>
      <c r="M688" s="2173"/>
    </row>
    <row r="689" spans="1:19" s="2171" customFormat="1">
      <c r="A689" s="2170"/>
      <c r="B689" s="2170"/>
      <c r="C689" s="2170"/>
      <c r="D689" s="2170"/>
      <c r="E689" s="2531" t="s">
        <v>2639</v>
      </c>
      <c r="F689" s="2531"/>
      <c r="G689" s="2170"/>
      <c r="H689" s="2537">
        <v>0</v>
      </c>
      <c r="I689" s="2537"/>
      <c r="J689" s="2537"/>
      <c r="K689" s="2172"/>
      <c r="L689" s="2537">
        <v>0</v>
      </c>
      <c r="M689" s="2172"/>
    </row>
    <row r="690" spans="1:19" s="2171" customFormat="1">
      <c r="A690" s="2170"/>
      <c r="B690" s="2170"/>
      <c r="C690" s="2170"/>
      <c r="D690" s="2170"/>
      <c r="E690" s="2170"/>
      <c r="F690" s="2170"/>
      <c r="G690" s="2170"/>
      <c r="H690" s="2537"/>
      <c r="I690" s="2537"/>
      <c r="J690" s="2537"/>
      <c r="K690" s="2172"/>
      <c r="L690" s="2537"/>
      <c r="M690" s="2172"/>
    </row>
    <row r="691" spans="1:19" s="2171" customFormat="1">
      <c r="A691" s="2169" t="s">
        <v>2699</v>
      </c>
      <c r="B691" s="2170"/>
      <c r="C691" s="2169" t="s">
        <v>1069</v>
      </c>
      <c r="D691" s="2170"/>
      <c r="E691" s="2169" t="s">
        <v>2640</v>
      </c>
      <c r="F691" s="2170"/>
    </row>
    <row r="692" spans="1:19" s="2171" customFormat="1">
      <c r="A692" s="2172"/>
      <c r="B692" s="2172"/>
      <c r="C692" s="2172"/>
      <c r="D692" s="2172"/>
      <c r="E692" s="2172"/>
      <c r="F692" s="2172"/>
      <c r="G692" s="2172"/>
      <c r="H692" s="2172"/>
      <c r="I692" s="2172"/>
      <c r="J692" s="2172"/>
      <c r="K692" s="2172"/>
      <c r="L692" s="2172"/>
      <c r="M692" s="2172"/>
    </row>
    <row r="693" spans="1:19" s="2171" customFormat="1">
      <c r="A693" s="2170"/>
      <c r="H693" s="2531" t="s">
        <v>2637</v>
      </c>
      <c r="I693" s="2531"/>
      <c r="J693" s="2172"/>
      <c r="K693" s="2537">
        <v>0</v>
      </c>
      <c r="L693" s="2537"/>
      <c r="M693" s="2172"/>
      <c r="N693" s="2533"/>
      <c r="O693" s="2172"/>
    </row>
    <row r="694" spans="1:19" s="2171" customFormat="1">
      <c r="H694" s="2172"/>
      <c r="I694" s="2172"/>
      <c r="J694" s="2172"/>
      <c r="K694" s="2537"/>
      <c r="L694" s="2537"/>
      <c r="N694" s="2533"/>
    </row>
    <row r="695" spans="1:19" s="2171" customFormat="1">
      <c r="A695" s="2169">
        <v>5178</v>
      </c>
      <c r="B695" s="2172"/>
      <c r="C695" s="2534" t="s">
        <v>2880</v>
      </c>
      <c r="D695" s="2534"/>
      <c r="E695" s="2534"/>
      <c r="F695" s="2534"/>
      <c r="G695" s="2534"/>
      <c r="H695" s="2534"/>
      <c r="I695" s="2534"/>
      <c r="J695" s="2172"/>
      <c r="K695" s="2172"/>
      <c r="L695" s="2172"/>
      <c r="M695" s="2172"/>
    </row>
    <row r="696" spans="1:19" s="2171" customFormat="1">
      <c r="A696" s="2172"/>
      <c r="B696" s="2172"/>
      <c r="C696" s="2172"/>
      <c r="D696" s="2172"/>
      <c r="E696" s="2172"/>
      <c r="F696" s="2172"/>
      <c r="G696" s="2172"/>
      <c r="H696" s="2172"/>
      <c r="I696" s="2172"/>
      <c r="J696" s="2172"/>
      <c r="K696" s="2172"/>
      <c r="L696" s="2172"/>
      <c r="M696" s="2172"/>
    </row>
    <row r="697" spans="1:19" s="2171" customFormat="1">
      <c r="A697" s="2538"/>
      <c r="B697" s="2538"/>
      <c r="C697" s="2538"/>
      <c r="D697" s="2173"/>
      <c r="E697" s="2173"/>
      <c r="F697" s="2173"/>
      <c r="G697" s="2173"/>
      <c r="H697" s="2539"/>
      <c r="I697" s="2539"/>
      <c r="J697" s="2539"/>
      <c r="K697" s="2173"/>
      <c r="L697" s="2174"/>
      <c r="M697" s="2173"/>
    </row>
    <row r="698" spans="1:19" s="2171" customFormat="1">
      <c r="A698" s="2170"/>
      <c r="B698" s="2170"/>
      <c r="C698" s="2170"/>
      <c r="D698" s="2170"/>
      <c r="E698" s="2531" t="s">
        <v>2639</v>
      </c>
      <c r="F698" s="2531"/>
      <c r="G698" s="2170"/>
      <c r="H698" s="2537">
        <v>0</v>
      </c>
      <c r="I698" s="2537"/>
      <c r="J698" s="2537"/>
      <c r="K698" s="2172"/>
      <c r="L698" s="2537">
        <v>0</v>
      </c>
      <c r="M698" s="2172"/>
    </row>
    <row r="699" spans="1:19" s="2171" customFormat="1">
      <c r="A699" s="2170"/>
      <c r="B699" s="2170"/>
      <c r="C699" s="2170"/>
      <c r="D699" s="2170"/>
      <c r="E699" s="2170"/>
      <c r="F699" s="2170"/>
      <c r="G699" s="2170"/>
      <c r="H699" s="2537"/>
      <c r="I699" s="2537"/>
      <c r="J699" s="2537"/>
      <c r="K699" s="2172"/>
      <c r="L699" s="2537"/>
      <c r="M699" s="2172"/>
    </row>
    <row r="700" spans="1:19" s="2171" customFormat="1">
      <c r="A700" s="2169" t="s">
        <v>2699</v>
      </c>
      <c r="B700" s="2170"/>
      <c r="C700" s="2169" t="s">
        <v>1069</v>
      </c>
      <c r="D700" s="2170"/>
      <c r="E700" s="2169" t="s">
        <v>2640</v>
      </c>
      <c r="F700" s="2170"/>
      <c r="N700" s="2171" t="s">
        <v>3129</v>
      </c>
      <c r="O700" s="2178">
        <f>K767+K812+K851+K860+K887</f>
        <v>72568.247600000002</v>
      </c>
    </row>
    <row r="701" spans="1:19" s="2171" customFormat="1">
      <c r="A701" s="2172"/>
      <c r="B701" s="2172"/>
      <c r="C701" s="2172"/>
      <c r="D701" s="2172"/>
      <c r="E701" s="2172"/>
      <c r="F701" s="2172"/>
      <c r="G701" s="2172"/>
      <c r="H701" s="2172"/>
      <c r="I701" s="2172"/>
      <c r="J701" s="2172"/>
      <c r="K701" s="2172"/>
      <c r="L701" s="2172"/>
      <c r="M701" s="2172"/>
      <c r="N701" s="2171" t="s">
        <v>3130</v>
      </c>
      <c r="O701" s="2181">
        <f>H707+H761+H771+H789+H816+H819+H828+H846+H855+H864+H873+H891+H894+H903</f>
        <v>524438.73499999999</v>
      </c>
      <c r="S701" s="2181">
        <f>L707+L761+L771+L789+L816+L819+L828+L846+L855+L864+L873+L891+L894+L903</f>
        <v>45286224.480000004</v>
      </c>
    </row>
    <row r="702" spans="1:19" s="2171" customFormat="1">
      <c r="A702" s="2170"/>
      <c r="H702" s="2531" t="s">
        <v>2637</v>
      </c>
      <c r="I702" s="2531"/>
      <c r="J702" s="2172"/>
      <c r="K702" s="2537">
        <v>1E-4</v>
      </c>
      <c r="L702" s="2537"/>
      <c r="M702" s="2172"/>
      <c r="N702" s="2533" t="s">
        <v>3131</v>
      </c>
      <c r="O702" s="2172"/>
    </row>
    <row r="703" spans="1:19" s="2171" customFormat="1">
      <c r="H703" s="2172"/>
      <c r="I703" s="2172"/>
      <c r="J703" s="2172"/>
      <c r="K703" s="2537"/>
      <c r="L703" s="2537"/>
      <c r="N703" s="2533"/>
      <c r="O703" s="2181">
        <f>H706+H762+H817+H818+H892+H893</f>
        <v>-473292.75299999997</v>
      </c>
      <c r="S703" s="2181">
        <f>L706+L762+L817+L818+L892+L893</f>
        <v>-40518051.059999995</v>
      </c>
    </row>
    <row r="704" spans="1:19" s="2171" customFormat="1">
      <c r="A704" s="2169">
        <v>19339</v>
      </c>
      <c r="B704" s="2172"/>
      <c r="C704" s="2534" t="s">
        <v>2887</v>
      </c>
      <c r="D704" s="2534"/>
      <c r="E704" s="2534"/>
      <c r="F704" s="2534"/>
      <c r="G704" s="2534"/>
      <c r="H704" s="2534"/>
      <c r="I704" s="2534"/>
      <c r="J704" s="2172"/>
      <c r="K704" s="2172"/>
      <c r="L704" s="2172"/>
      <c r="M704" s="2172"/>
      <c r="N704" s="2171" t="s">
        <v>3132</v>
      </c>
      <c r="O704" s="2178">
        <f>SUM(O700:O703)</f>
        <v>123714.22960000002</v>
      </c>
    </row>
    <row r="705" spans="1:15" s="2171" customFormat="1">
      <c r="A705" s="2172"/>
      <c r="B705" s="2172"/>
      <c r="C705" s="2172"/>
      <c r="D705" s="2172"/>
      <c r="E705" s="2172"/>
      <c r="F705" s="2172"/>
      <c r="G705" s="2172"/>
      <c r="H705" s="2172"/>
      <c r="I705" s="2172"/>
      <c r="J705" s="2172"/>
      <c r="K705" s="2172"/>
      <c r="L705" s="2172"/>
      <c r="M705" s="2172"/>
      <c r="O705" s="2176">
        <f>H708+H772+H820+H847+H856+H865+H874+H904+H790</f>
        <v>123714.08</v>
      </c>
    </row>
    <row r="706" spans="1:15" s="2171" customFormat="1">
      <c r="A706" s="2535" t="s">
        <v>2648</v>
      </c>
      <c r="B706" s="2535"/>
      <c r="C706" s="2535"/>
      <c r="D706" s="2173"/>
      <c r="E706" s="2173"/>
      <c r="F706" s="2173"/>
      <c r="G706" s="2173"/>
      <c r="H706" s="2536">
        <v>-5613.0460000000003</v>
      </c>
      <c r="I706" s="2536"/>
      <c r="J706" s="2536"/>
      <c r="K706" s="2173"/>
      <c r="L706" s="2175">
        <v>-526756.26</v>
      </c>
      <c r="M706" s="2173"/>
    </row>
    <row r="707" spans="1:15" s="2171" customFormat="1">
      <c r="A707" s="2535" t="s">
        <v>2649</v>
      </c>
      <c r="B707" s="2535"/>
      <c r="C707" s="2535"/>
      <c r="D707" s="2173"/>
      <c r="E707" s="2173"/>
      <c r="F707" s="2173"/>
      <c r="G707" s="2173"/>
      <c r="H707" s="2536">
        <v>5616.8159999999998</v>
      </c>
      <c r="I707" s="2536"/>
      <c r="J707" s="2536"/>
      <c r="K707" s="2173"/>
      <c r="L707" s="2175">
        <v>500355.35</v>
      </c>
      <c r="M707" s="2173"/>
    </row>
    <row r="708" spans="1:15" s="2171" customFormat="1">
      <c r="A708" s="2170"/>
      <c r="B708" s="2170"/>
      <c r="C708" s="2170"/>
      <c r="D708" s="2170"/>
      <c r="E708" s="2531" t="s">
        <v>2639</v>
      </c>
      <c r="F708" s="2531"/>
      <c r="G708" s="2170"/>
      <c r="H708" s="2537">
        <v>3.7700999999999998</v>
      </c>
      <c r="I708" s="2537"/>
      <c r="J708" s="2537"/>
      <c r="K708" s="2172"/>
      <c r="L708" s="2537">
        <v>342.82</v>
      </c>
      <c r="M708" s="2172"/>
    </row>
    <row r="709" spans="1:15" s="2171" customFormat="1">
      <c r="A709" s="2170"/>
      <c r="B709" s="2170"/>
      <c r="C709" s="2170"/>
      <c r="D709" s="2170"/>
      <c r="E709" s="2170"/>
      <c r="F709" s="2170"/>
      <c r="G709" s="2170"/>
      <c r="H709" s="2537"/>
      <c r="I709" s="2537"/>
      <c r="J709" s="2537"/>
      <c r="K709" s="2172"/>
      <c r="L709" s="2537"/>
      <c r="M709" s="2172"/>
    </row>
    <row r="710" spans="1:15" s="2171" customFormat="1">
      <c r="A710" s="2169" t="s">
        <v>2699</v>
      </c>
      <c r="B710" s="2170"/>
      <c r="C710" s="2169" t="s">
        <v>1069</v>
      </c>
      <c r="D710" s="2170"/>
      <c r="E710" s="2169" t="s">
        <v>2640</v>
      </c>
      <c r="F710" s="2170"/>
    </row>
    <row r="711" spans="1:15" s="2171" customFormat="1">
      <c r="A711" s="2172"/>
      <c r="B711" s="2172"/>
      <c r="C711" s="2172"/>
      <c r="D711" s="2172"/>
      <c r="E711" s="2172"/>
      <c r="F711" s="2172"/>
      <c r="G711" s="2172"/>
      <c r="H711" s="2172"/>
      <c r="I711" s="2172"/>
      <c r="J711" s="2172"/>
      <c r="K711" s="2172"/>
      <c r="L711" s="2172"/>
      <c r="M711" s="2172"/>
    </row>
    <row r="712" spans="1:15" s="2171" customFormat="1">
      <c r="A712" s="2170"/>
      <c r="H712" s="2531" t="s">
        <v>2637</v>
      </c>
      <c r="I712" s="2531"/>
      <c r="J712" s="2172"/>
      <c r="K712" s="2537">
        <v>0</v>
      </c>
      <c r="L712" s="2537"/>
      <c r="M712" s="2172"/>
      <c r="N712" s="2533"/>
      <c r="O712" s="2172"/>
    </row>
    <row r="713" spans="1:15" s="2171" customFormat="1">
      <c r="H713" s="2172"/>
      <c r="I713" s="2172"/>
      <c r="J713" s="2172"/>
      <c r="K713" s="2537"/>
      <c r="L713" s="2537"/>
      <c r="N713" s="2533"/>
    </row>
    <row r="714" spans="1:15" s="2171" customFormat="1">
      <c r="A714" s="2169">
        <v>19339</v>
      </c>
      <c r="B714" s="2172"/>
      <c r="C714" s="2534" t="s">
        <v>2887</v>
      </c>
      <c r="D714" s="2534"/>
      <c r="E714" s="2534"/>
      <c r="F714" s="2534"/>
      <c r="G714" s="2534"/>
      <c r="H714" s="2534"/>
      <c r="I714" s="2534"/>
      <c r="J714" s="2172"/>
      <c r="K714" s="2172"/>
      <c r="L714" s="2172"/>
      <c r="M714" s="2172"/>
    </row>
    <row r="715" spans="1:15" s="2171" customFormat="1">
      <c r="A715" s="2172"/>
      <c r="B715" s="2172"/>
      <c r="C715" s="2172"/>
      <c r="D715" s="2172"/>
      <c r="E715" s="2172"/>
      <c r="F715" s="2172"/>
      <c r="G715" s="2172"/>
      <c r="H715" s="2172"/>
      <c r="I715" s="2172"/>
      <c r="J715" s="2172"/>
      <c r="K715" s="2172"/>
      <c r="L715" s="2172"/>
      <c r="M715" s="2172"/>
    </row>
    <row r="716" spans="1:15" s="2171" customFormat="1">
      <c r="A716" s="2538"/>
      <c r="B716" s="2538"/>
      <c r="C716" s="2538"/>
      <c r="D716" s="2173"/>
      <c r="E716" s="2173"/>
      <c r="F716" s="2173"/>
      <c r="G716" s="2173"/>
      <c r="H716" s="2539"/>
      <c r="I716" s="2539"/>
      <c r="J716" s="2539"/>
      <c r="K716" s="2173"/>
      <c r="L716" s="2174"/>
      <c r="M716" s="2173"/>
    </row>
    <row r="717" spans="1:15" s="2171" customFormat="1">
      <c r="A717" s="2170"/>
      <c r="B717" s="2170"/>
      <c r="C717" s="2170"/>
      <c r="D717" s="2170"/>
      <c r="E717" s="2531" t="s">
        <v>2639</v>
      </c>
      <c r="F717" s="2531"/>
      <c r="G717" s="2170"/>
      <c r="H717" s="2537">
        <v>0</v>
      </c>
      <c r="I717" s="2537"/>
      <c r="J717" s="2537"/>
      <c r="K717" s="2172"/>
      <c r="L717" s="2537">
        <v>0</v>
      </c>
      <c r="M717" s="2172"/>
    </row>
    <row r="718" spans="1:15" s="2171" customFormat="1">
      <c r="A718" s="2170"/>
      <c r="B718" s="2170"/>
      <c r="C718" s="2170"/>
      <c r="D718" s="2170"/>
      <c r="E718" s="2170"/>
      <c r="F718" s="2170"/>
      <c r="G718" s="2170"/>
      <c r="H718" s="2537"/>
      <c r="I718" s="2537"/>
      <c r="J718" s="2537"/>
      <c r="K718" s="2172"/>
      <c r="L718" s="2537"/>
      <c r="M718" s="2172"/>
    </row>
    <row r="719" spans="1:15" s="2171" customFormat="1">
      <c r="A719" s="2169" t="s">
        <v>2699</v>
      </c>
      <c r="B719" s="2170"/>
      <c r="C719" s="2169" t="s">
        <v>1069</v>
      </c>
      <c r="D719" s="2170"/>
      <c r="E719" s="2169" t="s">
        <v>2640</v>
      </c>
      <c r="F719" s="2170"/>
    </row>
    <row r="720" spans="1:15" s="2171" customFormat="1">
      <c r="A720" s="2172"/>
      <c r="B720" s="2172"/>
      <c r="C720" s="2172"/>
      <c r="D720" s="2172"/>
      <c r="E720" s="2172"/>
      <c r="F720" s="2172"/>
      <c r="G720" s="2172"/>
      <c r="H720" s="2172"/>
      <c r="I720" s="2172"/>
      <c r="J720" s="2172"/>
      <c r="K720" s="2172"/>
      <c r="L720" s="2172"/>
      <c r="M720" s="2172"/>
    </row>
    <row r="721" spans="1:15" s="2171" customFormat="1">
      <c r="A721" s="2170"/>
      <c r="H721" s="2531" t="s">
        <v>2637</v>
      </c>
      <c r="I721" s="2531"/>
      <c r="J721" s="2172"/>
      <c r="K721" s="2537">
        <v>0</v>
      </c>
      <c r="L721" s="2537"/>
      <c r="M721" s="2172"/>
      <c r="N721" s="2533"/>
      <c r="O721" s="2172"/>
    </row>
    <row r="722" spans="1:15" s="2171" customFormat="1">
      <c r="H722" s="2172"/>
      <c r="I722" s="2172"/>
      <c r="J722" s="2172"/>
      <c r="K722" s="2537"/>
      <c r="L722" s="2537"/>
      <c r="N722" s="2533"/>
    </row>
    <row r="723" spans="1:15" s="2171" customFormat="1">
      <c r="A723" s="2169">
        <v>19339</v>
      </c>
      <c r="B723" s="2172"/>
      <c r="C723" s="2534" t="s">
        <v>2887</v>
      </c>
      <c r="D723" s="2534"/>
      <c r="E723" s="2534"/>
      <c r="F723" s="2534"/>
      <c r="G723" s="2534"/>
      <c r="H723" s="2534"/>
      <c r="I723" s="2534"/>
      <c r="J723" s="2172"/>
      <c r="K723" s="2172"/>
      <c r="L723" s="2172"/>
      <c r="M723" s="2172"/>
    </row>
    <row r="724" spans="1:15" s="2171" customFormat="1">
      <c r="A724" s="2172"/>
      <c r="B724" s="2172"/>
      <c r="C724" s="2172"/>
      <c r="D724" s="2172"/>
      <c r="E724" s="2172"/>
      <c r="F724" s="2172"/>
      <c r="G724" s="2172"/>
      <c r="H724" s="2172"/>
      <c r="I724" s="2172"/>
      <c r="J724" s="2172"/>
      <c r="K724" s="2172"/>
      <c r="L724" s="2172"/>
      <c r="M724" s="2172"/>
    </row>
    <row r="725" spans="1:15" s="2171" customFormat="1">
      <c r="A725" s="2538"/>
      <c r="B725" s="2538"/>
      <c r="C725" s="2538"/>
      <c r="D725" s="2173"/>
      <c r="E725" s="2173"/>
      <c r="F725" s="2173"/>
      <c r="G725" s="2173"/>
      <c r="H725" s="2539"/>
      <c r="I725" s="2539"/>
      <c r="J725" s="2539"/>
      <c r="K725" s="2173"/>
      <c r="L725" s="2174"/>
      <c r="M725" s="2173"/>
    </row>
    <row r="726" spans="1:15" s="2171" customFormat="1">
      <c r="A726" s="2170"/>
      <c r="B726" s="2170"/>
      <c r="C726" s="2170"/>
      <c r="D726" s="2170"/>
      <c r="E726" s="2531" t="s">
        <v>2639</v>
      </c>
      <c r="F726" s="2531"/>
      <c r="G726" s="2170"/>
      <c r="H726" s="2537">
        <v>0</v>
      </c>
      <c r="I726" s="2537"/>
      <c r="J726" s="2537"/>
      <c r="K726" s="2172"/>
      <c r="L726" s="2537">
        <v>0</v>
      </c>
      <c r="M726" s="2172"/>
    </row>
    <row r="727" spans="1:15" s="2171" customFormat="1">
      <c r="A727" s="2170"/>
      <c r="B727" s="2170"/>
      <c r="C727" s="2170"/>
      <c r="D727" s="2170"/>
      <c r="E727" s="2170"/>
      <c r="F727" s="2170"/>
      <c r="G727" s="2170"/>
      <c r="H727" s="2537"/>
      <c r="I727" s="2537"/>
      <c r="J727" s="2537"/>
      <c r="K727" s="2172"/>
      <c r="L727" s="2537"/>
      <c r="M727" s="2172"/>
    </row>
    <row r="728" spans="1:15" s="2171" customFormat="1">
      <c r="A728" s="2169" t="s">
        <v>2699</v>
      </c>
      <c r="B728" s="2170"/>
      <c r="C728" s="2169" t="s">
        <v>1069</v>
      </c>
      <c r="D728" s="2170"/>
      <c r="E728" s="2169" t="s">
        <v>2640</v>
      </c>
      <c r="F728" s="2170"/>
    </row>
    <row r="729" spans="1:15" s="2171" customFormat="1">
      <c r="A729" s="2172"/>
      <c r="B729" s="2172"/>
      <c r="C729" s="2172"/>
      <c r="D729" s="2172"/>
      <c r="E729" s="2172"/>
      <c r="F729" s="2172"/>
      <c r="G729" s="2172"/>
      <c r="H729" s="2172"/>
      <c r="I729" s="2172"/>
      <c r="J729" s="2172"/>
      <c r="K729" s="2172"/>
      <c r="L729" s="2172"/>
      <c r="M729" s="2172"/>
    </row>
    <row r="730" spans="1:15" s="2171" customFormat="1">
      <c r="A730" s="2170"/>
      <c r="H730" s="2531" t="s">
        <v>2637</v>
      </c>
      <c r="I730" s="2531"/>
      <c r="J730" s="2172"/>
      <c r="K730" s="2537">
        <v>0</v>
      </c>
      <c r="L730" s="2537"/>
      <c r="M730" s="2172"/>
      <c r="N730" s="2533"/>
      <c r="O730" s="2172"/>
    </row>
    <row r="731" spans="1:15" s="2171" customFormat="1">
      <c r="H731" s="2172"/>
      <c r="I731" s="2172"/>
      <c r="J731" s="2172"/>
      <c r="K731" s="2537"/>
      <c r="L731" s="2537"/>
      <c r="N731" s="2533"/>
    </row>
    <row r="732" spans="1:15" s="2171" customFormat="1">
      <c r="A732" s="2169">
        <v>19339</v>
      </c>
      <c r="B732" s="2172"/>
      <c r="C732" s="2534" t="s">
        <v>2887</v>
      </c>
      <c r="D732" s="2534"/>
      <c r="E732" s="2534"/>
      <c r="F732" s="2534"/>
      <c r="G732" s="2534"/>
      <c r="H732" s="2534"/>
      <c r="I732" s="2534"/>
      <c r="J732" s="2172"/>
      <c r="K732" s="2172"/>
      <c r="L732" s="2172"/>
      <c r="M732" s="2172"/>
    </row>
    <row r="733" spans="1:15" s="2171" customFormat="1">
      <c r="A733" s="2172"/>
      <c r="B733" s="2172"/>
      <c r="C733" s="2172"/>
      <c r="D733" s="2172"/>
      <c r="E733" s="2172"/>
      <c r="F733" s="2172"/>
      <c r="G733" s="2172"/>
      <c r="H733" s="2172"/>
      <c r="I733" s="2172"/>
      <c r="J733" s="2172"/>
      <c r="K733" s="2172"/>
      <c r="L733" s="2172"/>
      <c r="M733" s="2172"/>
    </row>
    <row r="734" spans="1:15" s="2171" customFormat="1">
      <c r="A734" s="2538"/>
      <c r="B734" s="2538"/>
      <c r="C734" s="2538"/>
      <c r="D734" s="2173"/>
      <c r="E734" s="2173"/>
      <c r="F734" s="2173"/>
      <c r="G734" s="2173"/>
      <c r="H734" s="2539"/>
      <c r="I734" s="2539"/>
      <c r="J734" s="2539"/>
      <c r="K734" s="2173"/>
      <c r="L734" s="2174"/>
      <c r="M734" s="2173"/>
    </row>
    <row r="735" spans="1:15" s="2171" customFormat="1">
      <c r="A735" s="2170"/>
      <c r="B735" s="2170"/>
      <c r="C735" s="2170"/>
      <c r="D735" s="2170"/>
      <c r="E735" s="2531" t="s">
        <v>2639</v>
      </c>
      <c r="F735" s="2531"/>
      <c r="G735" s="2170"/>
      <c r="H735" s="2537">
        <v>0</v>
      </c>
      <c r="I735" s="2537"/>
      <c r="J735" s="2537"/>
      <c r="K735" s="2172"/>
      <c r="L735" s="2537">
        <v>0</v>
      </c>
      <c r="M735" s="2172"/>
    </row>
    <row r="736" spans="1:15" s="2171" customFormat="1">
      <c r="A736" s="2170"/>
      <c r="B736" s="2170"/>
      <c r="C736" s="2170"/>
      <c r="D736" s="2170"/>
      <c r="E736" s="2170"/>
      <c r="F736" s="2170"/>
      <c r="G736" s="2170"/>
      <c r="H736" s="2537"/>
      <c r="I736" s="2537"/>
      <c r="J736" s="2537"/>
      <c r="K736" s="2172"/>
      <c r="L736" s="2537"/>
      <c r="M736" s="2172"/>
    </row>
    <row r="737" spans="1:15" s="2171" customFormat="1">
      <c r="A737" s="2169" t="s">
        <v>2699</v>
      </c>
      <c r="B737" s="2170"/>
      <c r="C737" s="2169" t="s">
        <v>1069</v>
      </c>
      <c r="D737" s="2170"/>
      <c r="E737" s="2169" t="s">
        <v>2640</v>
      </c>
      <c r="F737" s="2170"/>
    </row>
    <row r="738" spans="1:15" s="2171" customFormat="1">
      <c r="A738" s="2172"/>
      <c r="B738" s="2172"/>
      <c r="C738" s="2172"/>
      <c r="D738" s="2172"/>
      <c r="E738" s="2172"/>
      <c r="F738" s="2172"/>
      <c r="G738" s="2172"/>
      <c r="H738" s="2172"/>
      <c r="I738" s="2172"/>
      <c r="J738" s="2172"/>
      <c r="K738" s="2172"/>
      <c r="L738" s="2172"/>
      <c r="M738" s="2172"/>
    </row>
    <row r="739" spans="1:15" s="2171" customFormat="1">
      <c r="A739" s="2170"/>
      <c r="H739" s="2531" t="s">
        <v>2637</v>
      </c>
      <c r="I739" s="2531"/>
      <c r="J739" s="2172"/>
      <c r="K739" s="2537">
        <v>0</v>
      </c>
      <c r="L739" s="2537"/>
      <c r="M739" s="2172"/>
      <c r="N739" s="2533"/>
      <c r="O739" s="2172"/>
    </row>
    <row r="740" spans="1:15" s="2171" customFormat="1">
      <c r="H740" s="2172"/>
      <c r="I740" s="2172"/>
      <c r="J740" s="2172"/>
      <c r="K740" s="2537"/>
      <c r="L740" s="2537"/>
      <c r="N740" s="2533"/>
    </row>
    <row r="741" spans="1:15" s="2171" customFormat="1">
      <c r="A741" s="2169">
        <v>19339</v>
      </c>
      <c r="B741" s="2172"/>
      <c r="C741" s="2534" t="s">
        <v>2887</v>
      </c>
      <c r="D741" s="2534"/>
      <c r="E741" s="2534"/>
      <c r="F741" s="2534"/>
      <c r="G741" s="2534"/>
      <c r="H741" s="2534"/>
      <c r="I741" s="2534"/>
      <c r="J741" s="2172"/>
      <c r="K741" s="2172"/>
      <c r="L741" s="2172"/>
      <c r="M741" s="2172"/>
    </row>
    <row r="742" spans="1:15" s="2171" customFormat="1">
      <c r="A742" s="2172"/>
      <c r="B742" s="2172"/>
      <c r="C742" s="2172"/>
      <c r="D742" s="2172"/>
      <c r="E742" s="2172"/>
      <c r="F742" s="2172"/>
      <c r="G742" s="2172"/>
      <c r="H742" s="2172"/>
      <c r="I742" s="2172"/>
      <c r="J742" s="2172"/>
      <c r="K742" s="2172"/>
      <c r="L742" s="2172"/>
      <c r="M742" s="2172"/>
    </row>
    <row r="743" spans="1:15" s="2171" customFormat="1">
      <c r="A743" s="2538"/>
      <c r="B743" s="2538"/>
      <c r="C743" s="2538"/>
      <c r="D743" s="2173"/>
      <c r="E743" s="2173"/>
      <c r="F743" s="2173"/>
      <c r="G743" s="2173"/>
      <c r="H743" s="2539"/>
      <c r="I743" s="2539"/>
      <c r="J743" s="2539"/>
      <c r="K743" s="2173"/>
      <c r="L743" s="2174"/>
      <c r="M743" s="2173"/>
    </row>
    <row r="744" spans="1:15" s="2171" customFormat="1">
      <c r="A744" s="2170"/>
      <c r="B744" s="2170"/>
      <c r="C744" s="2170"/>
      <c r="D744" s="2170"/>
      <c r="E744" s="2531" t="s">
        <v>2639</v>
      </c>
      <c r="F744" s="2531"/>
      <c r="G744" s="2170"/>
      <c r="H744" s="2537">
        <v>0</v>
      </c>
      <c r="I744" s="2537"/>
      <c r="J744" s="2537"/>
      <c r="K744" s="2172"/>
      <c r="L744" s="2537">
        <v>0</v>
      </c>
      <c r="M744" s="2172"/>
    </row>
    <row r="745" spans="1:15" s="2171" customFormat="1">
      <c r="A745" s="2170"/>
      <c r="B745" s="2170"/>
      <c r="C745" s="2170"/>
      <c r="D745" s="2170"/>
      <c r="E745" s="2170"/>
      <c r="F745" s="2170"/>
      <c r="G745" s="2170"/>
      <c r="H745" s="2537"/>
      <c r="I745" s="2537"/>
      <c r="J745" s="2537"/>
      <c r="K745" s="2172"/>
      <c r="L745" s="2537"/>
      <c r="M745" s="2172"/>
    </row>
    <row r="746" spans="1:15" s="2171" customFormat="1">
      <c r="A746" s="2169" t="s">
        <v>2699</v>
      </c>
      <c r="B746" s="2170"/>
      <c r="C746" s="2169" t="s">
        <v>1069</v>
      </c>
      <c r="D746" s="2170"/>
      <c r="E746" s="2169" t="s">
        <v>2640</v>
      </c>
      <c r="F746" s="2170"/>
    </row>
    <row r="747" spans="1:15" s="2171" customFormat="1">
      <c r="A747" s="2172"/>
      <c r="B747" s="2172"/>
      <c r="C747" s="2172"/>
      <c r="D747" s="2172"/>
      <c r="E747" s="2172"/>
      <c r="F747" s="2172"/>
      <c r="G747" s="2172"/>
      <c r="H747" s="2172"/>
      <c r="I747" s="2172"/>
      <c r="J747" s="2172"/>
      <c r="K747" s="2172"/>
      <c r="L747" s="2172"/>
      <c r="M747" s="2172"/>
    </row>
    <row r="748" spans="1:15" s="2171" customFormat="1">
      <c r="A748" s="2170"/>
      <c r="H748" s="2531" t="s">
        <v>2637</v>
      </c>
      <c r="I748" s="2531"/>
      <c r="J748" s="2172"/>
      <c r="K748" s="2537">
        <v>0</v>
      </c>
      <c r="L748" s="2537"/>
      <c r="M748" s="2172"/>
      <c r="N748" s="2533"/>
      <c r="O748" s="2172"/>
    </row>
    <row r="749" spans="1:15" s="2171" customFormat="1">
      <c r="H749" s="2172"/>
      <c r="I749" s="2172"/>
      <c r="J749" s="2172"/>
      <c r="K749" s="2537"/>
      <c r="L749" s="2537"/>
      <c r="N749" s="2533"/>
    </row>
    <row r="750" spans="1:15" s="2171" customFormat="1">
      <c r="A750" s="2169">
        <v>31791</v>
      </c>
      <c r="B750" s="2172"/>
      <c r="C750" s="2534" t="s">
        <v>2881</v>
      </c>
      <c r="D750" s="2534"/>
      <c r="E750" s="2534"/>
      <c r="F750" s="2534"/>
      <c r="G750" s="2534"/>
      <c r="H750" s="2534"/>
      <c r="I750" s="2534"/>
      <c r="J750" s="2172"/>
      <c r="K750" s="2172"/>
      <c r="L750" s="2172"/>
      <c r="M750" s="2172"/>
    </row>
    <row r="751" spans="1:15" s="2171" customFormat="1">
      <c r="A751" s="2172"/>
      <c r="B751" s="2172"/>
      <c r="C751" s="2172"/>
      <c r="D751" s="2172"/>
      <c r="E751" s="2172"/>
      <c r="F751" s="2172"/>
      <c r="G751" s="2172"/>
      <c r="H751" s="2172"/>
      <c r="I751" s="2172"/>
      <c r="J751" s="2172"/>
      <c r="K751" s="2172"/>
      <c r="L751" s="2172"/>
      <c r="M751" s="2172"/>
    </row>
    <row r="752" spans="1:15" s="2171" customFormat="1">
      <c r="A752" s="2538"/>
      <c r="B752" s="2538"/>
      <c r="C752" s="2538"/>
      <c r="D752" s="2173"/>
      <c r="E752" s="2173"/>
      <c r="F752" s="2173"/>
      <c r="G752" s="2173"/>
      <c r="H752" s="2539"/>
      <c r="I752" s="2539"/>
      <c r="J752" s="2539"/>
      <c r="K752" s="2173"/>
      <c r="L752" s="2174"/>
      <c r="M752" s="2173"/>
    </row>
    <row r="753" spans="1:15" s="2171" customFormat="1">
      <c r="A753" s="2170"/>
      <c r="B753" s="2170"/>
      <c r="C753" s="2170"/>
      <c r="D753" s="2170"/>
      <c r="E753" s="2531" t="s">
        <v>2639</v>
      </c>
      <c r="F753" s="2531"/>
      <c r="G753" s="2170"/>
      <c r="H753" s="2537">
        <v>0</v>
      </c>
      <c r="I753" s="2537"/>
      <c r="J753" s="2537"/>
      <c r="K753" s="2172"/>
      <c r="L753" s="2537">
        <v>0</v>
      </c>
      <c r="M753" s="2172"/>
    </row>
    <row r="754" spans="1:15" s="2171" customFormat="1">
      <c r="A754" s="2170"/>
      <c r="B754" s="2170"/>
      <c r="C754" s="2170"/>
      <c r="D754" s="2170"/>
      <c r="E754" s="2170"/>
      <c r="F754" s="2170"/>
      <c r="G754" s="2170"/>
      <c r="H754" s="2537"/>
      <c r="I754" s="2537"/>
      <c r="J754" s="2537"/>
      <c r="K754" s="2172"/>
      <c r="L754" s="2537"/>
      <c r="M754" s="2172"/>
    </row>
    <row r="755" spans="1:15" s="2171" customFormat="1">
      <c r="A755" s="2169" t="s">
        <v>2699</v>
      </c>
      <c r="B755" s="2170"/>
      <c r="C755" s="2169" t="s">
        <v>1069</v>
      </c>
      <c r="D755" s="2170"/>
      <c r="E755" s="2169" t="s">
        <v>2640</v>
      </c>
      <c r="F755" s="2170"/>
    </row>
    <row r="756" spans="1:15" s="2171" customFormat="1">
      <c r="A756" s="2172"/>
      <c r="B756" s="2172"/>
      <c r="C756" s="2172"/>
      <c r="D756" s="2172"/>
      <c r="E756" s="2172"/>
      <c r="F756" s="2172"/>
      <c r="G756" s="2172"/>
      <c r="H756" s="2172"/>
      <c r="I756" s="2172"/>
      <c r="J756" s="2172"/>
      <c r="K756" s="2172"/>
      <c r="L756" s="2172"/>
      <c r="M756" s="2172"/>
    </row>
    <row r="757" spans="1:15" s="2171" customFormat="1">
      <c r="A757" s="2170"/>
      <c r="H757" s="2531" t="s">
        <v>2637</v>
      </c>
      <c r="I757" s="2531"/>
      <c r="J757" s="2172"/>
      <c r="K757" s="2537">
        <v>1E-4</v>
      </c>
      <c r="L757" s="2537"/>
      <c r="M757" s="2172"/>
      <c r="N757" s="2533"/>
      <c r="O757" s="2172"/>
    </row>
    <row r="758" spans="1:15" s="2171" customFormat="1">
      <c r="H758" s="2172"/>
      <c r="I758" s="2172"/>
      <c r="J758" s="2172"/>
      <c r="K758" s="2537"/>
      <c r="L758" s="2537"/>
      <c r="N758" s="2533"/>
    </row>
    <row r="759" spans="1:15" s="2171" customFormat="1">
      <c r="A759" s="2169">
        <v>41512</v>
      </c>
      <c r="B759" s="2172"/>
      <c r="C759" s="2534" t="s">
        <v>3119</v>
      </c>
      <c r="D759" s="2534"/>
      <c r="E759" s="2534"/>
      <c r="F759" s="2534"/>
      <c r="G759" s="2534"/>
      <c r="H759" s="2534"/>
      <c r="I759" s="2534"/>
      <c r="J759" s="2172"/>
      <c r="K759" s="2172"/>
      <c r="L759" s="2172"/>
      <c r="M759" s="2172"/>
    </row>
    <row r="760" spans="1:15" s="2171" customFormat="1">
      <c r="A760" s="2172"/>
      <c r="B760" s="2172"/>
      <c r="C760" s="2172"/>
      <c r="D760" s="2172"/>
      <c r="E760" s="2172"/>
      <c r="F760" s="2172"/>
      <c r="G760" s="2172"/>
      <c r="H760" s="2172"/>
      <c r="I760" s="2172"/>
      <c r="J760" s="2172"/>
      <c r="K760" s="2172"/>
      <c r="L760" s="2172"/>
      <c r="M760" s="2172"/>
    </row>
    <row r="761" spans="1:15" s="2171" customFormat="1">
      <c r="A761" s="2535" t="s">
        <v>2647</v>
      </c>
      <c r="B761" s="2535"/>
      <c r="C761" s="2535"/>
      <c r="D761" s="2173"/>
      <c r="E761" s="2173"/>
      <c r="F761" s="2173"/>
      <c r="G761" s="2173"/>
      <c r="H761" s="2536">
        <v>17231.151000000002</v>
      </c>
      <c r="I761" s="2536"/>
      <c r="J761" s="2536"/>
      <c r="K761" s="2173"/>
      <c r="L761" s="2175">
        <v>1463998.22</v>
      </c>
      <c r="M761" s="2173"/>
    </row>
    <row r="762" spans="1:15" s="2171" customFormat="1">
      <c r="A762" s="2535" t="s">
        <v>2648</v>
      </c>
      <c r="B762" s="2535"/>
      <c r="C762" s="2535"/>
      <c r="D762" s="2173"/>
      <c r="E762" s="2173"/>
      <c r="F762" s="2173"/>
      <c r="G762" s="2173"/>
      <c r="H762" s="2536">
        <v>-17231.151000000002</v>
      </c>
      <c r="I762" s="2536"/>
      <c r="J762" s="2536"/>
      <c r="K762" s="2173"/>
      <c r="L762" s="2175">
        <v>-1516341.29</v>
      </c>
      <c r="M762" s="2173"/>
    </row>
    <row r="763" spans="1:15" s="2171" customFormat="1">
      <c r="A763" s="2170"/>
      <c r="B763" s="2170"/>
      <c r="C763" s="2170"/>
      <c r="D763" s="2170"/>
      <c r="E763" s="2531" t="s">
        <v>2639</v>
      </c>
      <c r="F763" s="2531"/>
      <c r="G763" s="2170"/>
      <c r="H763" s="2537">
        <v>1E-4</v>
      </c>
      <c r="I763" s="2537"/>
      <c r="J763" s="2537"/>
      <c r="K763" s="2172"/>
      <c r="L763" s="2537">
        <v>0.01</v>
      </c>
      <c r="M763" s="2172"/>
    </row>
    <row r="764" spans="1:15" s="2171" customFormat="1">
      <c r="A764" s="2170"/>
      <c r="B764" s="2170"/>
      <c r="C764" s="2170"/>
      <c r="D764" s="2170"/>
      <c r="E764" s="2170"/>
      <c r="F764" s="2170"/>
      <c r="G764" s="2170"/>
      <c r="H764" s="2537"/>
      <c r="I764" s="2537"/>
      <c r="J764" s="2537"/>
      <c r="K764" s="2172"/>
      <c r="L764" s="2537"/>
      <c r="M764" s="2172"/>
    </row>
    <row r="765" spans="1:15" s="2171" customFormat="1">
      <c r="A765" s="2169" t="s">
        <v>2699</v>
      </c>
      <c r="B765" s="2170"/>
      <c r="C765" s="2169" t="s">
        <v>1069</v>
      </c>
      <c r="D765" s="2170"/>
      <c r="E765" s="2169" t="s">
        <v>2640</v>
      </c>
      <c r="F765" s="2170"/>
    </row>
    <row r="766" spans="1:15" s="2171" customFormat="1">
      <c r="A766" s="2172"/>
      <c r="B766" s="2172"/>
      <c r="C766" s="2172"/>
      <c r="D766" s="2172"/>
      <c r="E766" s="2172"/>
      <c r="F766" s="2172"/>
      <c r="G766" s="2172"/>
      <c r="H766" s="2172"/>
      <c r="I766" s="2172"/>
      <c r="J766" s="2172"/>
      <c r="K766" s="2172"/>
      <c r="L766" s="2172"/>
      <c r="M766" s="2172"/>
    </row>
    <row r="767" spans="1:15" s="2171" customFormat="1">
      <c r="A767" s="2170"/>
      <c r="H767" s="2531" t="s">
        <v>2637</v>
      </c>
      <c r="I767" s="2531"/>
      <c r="J767" s="2172"/>
      <c r="K767" s="2532">
        <v>7210.9597000000003</v>
      </c>
      <c r="L767" s="2532"/>
      <c r="M767" s="2172"/>
      <c r="N767" s="2533" t="s">
        <v>3133</v>
      </c>
      <c r="O767" s="2172"/>
    </row>
    <row r="768" spans="1:15" s="2171" customFormat="1">
      <c r="H768" s="2172"/>
      <c r="I768" s="2172"/>
      <c r="J768" s="2172"/>
      <c r="K768" s="2532"/>
      <c r="L768" s="2532"/>
      <c r="N768" s="2533"/>
    </row>
    <row r="769" spans="1:15" s="2171" customFormat="1">
      <c r="A769" s="2169">
        <v>40568</v>
      </c>
      <c r="B769" s="2172"/>
      <c r="C769" s="2534" t="s">
        <v>2882</v>
      </c>
      <c r="D769" s="2534"/>
      <c r="E769" s="2534"/>
      <c r="F769" s="2534"/>
      <c r="G769" s="2534"/>
      <c r="H769" s="2534"/>
      <c r="I769" s="2534"/>
      <c r="J769" s="2172"/>
      <c r="K769" s="2172"/>
      <c r="L769" s="2172"/>
      <c r="M769" s="2172"/>
    </row>
    <row r="770" spans="1:15" s="2171" customFormat="1">
      <c r="A770" s="2172"/>
      <c r="B770" s="2172"/>
      <c r="C770" s="2172"/>
      <c r="D770" s="2172"/>
      <c r="E770" s="2172"/>
      <c r="F770" s="2172"/>
      <c r="G770" s="2172"/>
      <c r="H770" s="2172"/>
      <c r="I770" s="2172"/>
      <c r="J770" s="2172"/>
      <c r="K770" s="2172"/>
      <c r="L770" s="2172"/>
      <c r="M770" s="2172"/>
    </row>
    <row r="771" spans="1:15" s="2171" customFormat="1">
      <c r="A771" s="2535" t="s">
        <v>2649</v>
      </c>
      <c r="B771" s="2535"/>
      <c r="C771" s="2535"/>
      <c r="D771" s="2173"/>
      <c r="E771" s="2173"/>
      <c r="F771" s="2173"/>
      <c r="G771" s="2173"/>
      <c r="H771" s="2539">
        <v>8.4390000000000001</v>
      </c>
      <c r="I771" s="2539"/>
      <c r="J771" s="2539"/>
      <c r="K771" s="2173"/>
      <c r="L771" s="2174">
        <v>795.42</v>
      </c>
      <c r="M771" s="2173"/>
    </row>
    <row r="772" spans="1:15" s="2171" customFormat="1">
      <c r="A772" s="2170"/>
      <c r="B772" s="2170"/>
      <c r="C772" s="2170"/>
      <c r="D772" s="2170"/>
      <c r="E772" s="2531" t="s">
        <v>2639</v>
      </c>
      <c r="F772" s="2531"/>
      <c r="G772" s="2170"/>
      <c r="H772" s="2532">
        <v>7219.3986000000004</v>
      </c>
      <c r="I772" s="2532"/>
      <c r="J772" s="2532"/>
      <c r="K772" s="2172"/>
      <c r="L772" s="2532">
        <v>656459.91</v>
      </c>
      <c r="M772" s="2172"/>
    </row>
    <row r="773" spans="1:15" s="2171" customFormat="1">
      <c r="A773" s="2170"/>
      <c r="B773" s="2170"/>
      <c r="C773" s="2170"/>
      <c r="D773" s="2170"/>
      <c r="E773" s="2170"/>
      <c r="F773" s="2170"/>
      <c r="G773" s="2170"/>
      <c r="H773" s="2532"/>
      <c r="I773" s="2532"/>
      <c r="J773" s="2532"/>
      <c r="K773" s="2172"/>
      <c r="L773" s="2532"/>
      <c r="M773" s="2172"/>
    </row>
    <row r="774" spans="1:15" s="2171" customFormat="1">
      <c r="A774" s="2169" t="s">
        <v>2699</v>
      </c>
      <c r="B774" s="2170"/>
      <c r="C774" s="2169" t="s">
        <v>1069</v>
      </c>
      <c r="D774" s="2170"/>
      <c r="E774" s="2169" t="s">
        <v>2640</v>
      </c>
      <c r="F774" s="2170"/>
    </row>
    <row r="775" spans="1:15" s="2171" customFormat="1">
      <c r="A775" s="2172"/>
      <c r="B775" s="2172"/>
      <c r="C775" s="2172"/>
      <c r="D775" s="2172"/>
      <c r="E775" s="2172"/>
      <c r="F775" s="2172"/>
      <c r="G775" s="2172"/>
      <c r="H775" s="2172"/>
      <c r="I775" s="2172"/>
      <c r="J775" s="2172"/>
      <c r="K775" s="2172"/>
      <c r="L775" s="2172"/>
      <c r="M775" s="2172"/>
    </row>
    <row r="776" spans="1:15" s="2171" customFormat="1">
      <c r="A776" s="2170"/>
      <c r="H776" s="2531" t="s">
        <v>2637</v>
      </c>
      <c r="I776" s="2531"/>
      <c r="J776" s="2172"/>
      <c r="K776" s="2537">
        <v>0</v>
      </c>
      <c r="L776" s="2537"/>
      <c r="M776" s="2172"/>
      <c r="N776" s="2533"/>
      <c r="O776" s="2172"/>
    </row>
    <row r="777" spans="1:15" s="2171" customFormat="1">
      <c r="H777" s="2172"/>
      <c r="I777" s="2172"/>
      <c r="J777" s="2172"/>
      <c r="K777" s="2537"/>
      <c r="L777" s="2537"/>
      <c r="N777" s="2533"/>
    </row>
    <row r="778" spans="1:15" s="2171" customFormat="1">
      <c r="A778" s="2169">
        <v>32068</v>
      </c>
      <c r="B778" s="2172"/>
      <c r="C778" s="2534" t="s">
        <v>2893</v>
      </c>
      <c r="D778" s="2534"/>
      <c r="E778" s="2534"/>
      <c r="F778" s="2534"/>
      <c r="G778" s="2534"/>
      <c r="H778" s="2534"/>
      <c r="I778" s="2534"/>
      <c r="J778" s="2172"/>
      <c r="K778" s="2172"/>
      <c r="L778" s="2172"/>
      <c r="M778" s="2172"/>
    </row>
    <row r="779" spans="1:15" s="2171" customFormat="1">
      <c r="A779" s="2172"/>
      <c r="B779" s="2172"/>
      <c r="C779" s="2172"/>
      <c r="D779" s="2172"/>
      <c r="E779" s="2172"/>
      <c r="F779" s="2172"/>
      <c r="G779" s="2172"/>
      <c r="H779" s="2172"/>
      <c r="I779" s="2172"/>
      <c r="J779" s="2172"/>
      <c r="K779" s="2172"/>
      <c r="L779" s="2172"/>
      <c r="M779" s="2172"/>
    </row>
    <row r="780" spans="1:15" s="2171" customFormat="1">
      <c r="A780" s="2538"/>
      <c r="B780" s="2538"/>
      <c r="C780" s="2538"/>
      <c r="D780" s="2173"/>
      <c r="E780" s="2173"/>
      <c r="F780" s="2173"/>
      <c r="G780" s="2173"/>
      <c r="H780" s="2539"/>
      <c r="I780" s="2539"/>
      <c r="J780" s="2539"/>
      <c r="K780" s="2173"/>
      <c r="L780" s="2174"/>
      <c r="M780" s="2173"/>
    </row>
    <row r="781" spans="1:15" s="2171" customFormat="1">
      <c r="A781" s="2170"/>
      <c r="B781" s="2170"/>
      <c r="C781" s="2170"/>
      <c r="D781" s="2170"/>
      <c r="E781" s="2531" t="s">
        <v>2639</v>
      </c>
      <c r="F781" s="2531"/>
      <c r="G781" s="2170"/>
      <c r="H781" s="2537">
        <v>0</v>
      </c>
      <c r="I781" s="2537"/>
      <c r="J781" s="2537"/>
      <c r="K781" s="2172"/>
      <c r="L781" s="2537">
        <v>0</v>
      </c>
      <c r="M781" s="2172"/>
    </row>
    <row r="782" spans="1:15" s="2171" customFormat="1">
      <c r="A782" s="2170"/>
      <c r="B782" s="2170"/>
      <c r="C782" s="2170"/>
      <c r="D782" s="2170"/>
      <c r="E782" s="2170"/>
      <c r="F782" s="2170"/>
      <c r="G782" s="2170"/>
      <c r="H782" s="2537"/>
      <c r="I782" s="2537"/>
      <c r="J782" s="2537"/>
      <c r="K782" s="2172"/>
      <c r="L782" s="2537"/>
      <c r="M782" s="2172"/>
    </row>
    <row r="783" spans="1:15" s="2171" customFormat="1">
      <c r="A783" s="2169" t="s">
        <v>2699</v>
      </c>
      <c r="B783" s="2170"/>
      <c r="C783" s="2169" t="s">
        <v>1069</v>
      </c>
      <c r="D783" s="2170"/>
      <c r="E783" s="2169" t="s">
        <v>2640</v>
      </c>
      <c r="F783" s="2170"/>
    </row>
    <row r="784" spans="1:15" s="2171" customFormat="1">
      <c r="A784" s="2172"/>
      <c r="B784" s="2172"/>
      <c r="C784" s="2172"/>
      <c r="D784" s="2172"/>
      <c r="E784" s="2172"/>
      <c r="F784" s="2172"/>
      <c r="G784" s="2172"/>
      <c r="H784" s="2172"/>
      <c r="I784" s="2172"/>
      <c r="J784" s="2172"/>
      <c r="K784" s="2172"/>
      <c r="L784" s="2172"/>
      <c r="M784" s="2172"/>
    </row>
    <row r="785" spans="1:15" s="2171" customFormat="1">
      <c r="A785" s="2170"/>
      <c r="H785" s="2531" t="s">
        <v>2637</v>
      </c>
      <c r="I785" s="2531"/>
      <c r="J785" s="2172"/>
      <c r="K785" s="2537">
        <v>1E-4</v>
      </c>
      <c r="L785" s="2537"/>
      <c r="M785" s="2172"/>
      <c r="N785" s="2533"/>
      <c r="O785" s="2172"/>
    </row>
    <row r="786" spans="1:15" s="2171" customFormat="1">
      <c r="H786" s="2172"/>
      <c r="I786" s="2172"/>
      <c r="J786" s="2172"/>
      <c r="K786" s="2537"/>
      <c r="L786" s="2537"/>
      <c r="N786" s="2533"/>
    </row>
    <row r="787" spans="1:15" s="2171" customFormat="1">
      <c r="A787" s="2169">
        <v>33762</v>
      </c>
      <c r="B787" s="2172"/>
      <c r="C787" s="2534" t="s">
        <v>2884</v>
      </c>
      <c r="D787" s="2534"/>
      <c r="E787" s="2534"/>
      <c r="F787" s="2534"/>
      <c r="G787" s="2534"/>
      <c r="H787" s="2534"/>
      <c r="I787" s="2534"/>
      <c r="J787" s="2172"/>
      <c r="K787" s="2172"/>
      <c r="L787" s="2172"/>
      <c r="M787" s="2172"/>
    </row>
    <row r="788" spans="1:15" s="2171" customFormat="1">
      <c r="A788" s="2172"/>
      <c r="B788" s="2172"/>
      <c r="C788" s="2172"/>
      <c r="D788" s="2172"/>
      <c r="E788" s="2172"/>
      <c r="F788" s="2172"/>
      <c r="G788" s="2172"/>
      <c r="H788" s="2172"/>
      <c r="I788" s="2172"/>
      <c r="J788" s="2172"/>
      <c r="K788" s="2172"/>
      <c r="L788" s="2172"/>
      <c r="M788" s="2172"/>
    </row>
    <row r="789" spans="1:15" s="2171" customFormat="1">
      <c r="A789" s="2535" t="s">
        <v>2649</v>
      </c>
      <c r="B789" s="2535"/>
      <c r="C789" s="2535"/>
      <c r="D789" s="2173"/>
      <c r="E789" s="2173"/>
      <c r="F789" s="2173"/>
      <c r="G789" s="2173"/>
      <c r="H789" s="2536">
        <v>1958.732</v>
      </c>
      <c r="I789" s="2536"/>
      <c r="J789" s="2536"/>
      <c r="K789" s="2173"/>
      <c r="L789" s="2175">
        <v>184623</v>
      </c>
      <c r="M789" s="2173"/>
    </row>
    <row r="790" spans="1:15" s="2171" customFormat="1">
      <c r="A790" s="2170"/>
      <c r="B790" s="2170"/>
      <c r="C790" s="2170"/>
      <c r="D790" s="2170"/>
      <c r="E790" s="2531" t="s">
        <v>2639</v>
      </c>
      <c r="F790" s="2531"/>
      <c r="G790" s="2170"/>
      <c r="H790" s="2532">
        <v>1958.7318</v>
      </c>
      <c r="I790" s="2532"/>
      <c r="J790" s="2532"/>
      <c r="K790" s="2172"/>
      <c r="L790" s="2532">
        <v>178107.48</v>
      </c>
      <c r="M790" s="2172"/>
    </row>
    <row r="791" spans="1:15" s="2171" customFormat="1">
      <c r="A791" s="2170"/>
      <c r="B791" s="2170"/>
      <c r="C791" s="2170"/>
      <c r="D791" s="2170"/>
      <c r="E791" s="2170"/>
      <c r="F791" s="2170"/>
      <c r="G791" s="2170"/>
      <c r="H791" s="2532"/>
      <c r="I791" s="2532"/>
      <c r="J791" s="2532"/>
      <c r="K791" s="2172"/>
      <c r="L791" s="2532"/>
      <c r="M791" s="2172"/>
    </row>
    <row r="792" spans="1:15" s="2171" customFormat="1">
      <c r="A792" s="2169" t="s">
        <v>2699</v>
      </c>
      <c r="B792" s="2170"/>
      <c r="C792" s="2169" t="s">
        <v>1069</v>
      </c>
      <c r="D792" s="2170"/>
      <c r="E792" s="2169" t="s">
        <v>2640</v>
      </c>
      <c r="F792" s="2170"/>
    </row>
    <row r="793" spans="1:15" s="2171" customFormat="1">
      <c r="A793" s="2172"/>
      <c r="B793" s="2172"/>
      <c r="C793" s="2172"/>
      <c r="D793" s="2172"/>
      <c r="E793" s="2172"/>
      <c r="F793" s="2172"/>
      <c r="G793" s="2172"/>
      <c r="H793" s="2172"/>
      <c r="I793" s="2172"/>
      <c r="J793" s="2172"/>
      <c r="K793" s="2172"/>
      <c r="L793" s="2172"/>
      <c r="M793" s="2172"/>
    </row>
    <row r="794" spans="1:15" s="2171" customFormat="1">
      <c r="A794" s="2170"/>
      <c r="H794" s="2531" t="s">
        <v>2637</v>
      </c>
      <c r="I794" s="2531"/>
      <c r="J794" s="2172"/>
      <c r="K794" s="2537">
        <v>0</v>
      </c>
      <c r="L794" s="2537"/>
      <c r="M794" s="2172"/>
      <c r="N794" s="2533"/>
      <c r="O794" s="2172"/>
    </row>
    <row r="795" spans="1:15" s="2171" customFormat="1">
      <c r="H795" s="2172"/>
      <c r="I795" s="2172"/>
      <c r="J795" s="2172"/>
      <c r="K795" s="2537"/>
      <c r="L795" s="2537"/>
      <c r="N795" s="2533"/>
    </row>
    <row r="796" spans="1:15" s="2171" customFormat="1">
      <c r="A796" s="2169">
        <v>35647</v>
      </c>
      <c r="B796" s="2172"/>
      <c r="C796" s="2534" t="s">
        <v>2885</v>
      </c>
      <c r="D796" s="2534"/>
      <c r="E796" s="2534"/>
      <c r="F796" s="2534"/>
      <c r="G796" s="2534"/>
      <c r="H796" s="2534"/>
      <c r="I796" s="2534"/>
      <c r="J796" s="2172"/>
      <c r="K796" s="2172"/>
      <c r="L796" s="2172"/>
      <c r="M796" s="2172"/>
    </row>
    <row r="797" spans="1:15" s="2171" customFormat="1">
      <c r="A797" s="2172"/>
      <c r="B797" s="2172"/>
      <c r="C797" s="2172"/>
      <c r="D797" s="2172"/>
      <c r="E797" s="2172"/>
      <c r="F797" s="2172"/>
      <c r="G797" s="2172"/>
      <c r="H797" s="2172"/>
      <c r="I797" s="2172"/>
      <c r="J797" s="2172"/>
      <c r="K797" s="2172"/>
      <c r="L797" s="2172"/>
      <c r="M797" s="2172"/>
    </row>
    <row r="798" spans="1:15" s="2171" customFormat="1">
      <c r="A798" s="2538"/>
      <c r="B798" s="2538"/>
      <c r="C798" s="2538"/>
      <c r="D798" s="2173"/>
      <c r="E798" s="2173"/>
      <c r="F798" s="2173"/>
      <c r="G798" s="2173"/>
      <c r="H798" s="2539"/>
      <c r="I798" s="2539"/>
      <c r="J798" s="2539"/>
      <c r="K798" s="2173"/>
      <c r="L798" s="2174"/>
      <c r="M798" s="2173"/>
    </row>
    <row r="799" spans="1:15" s="2171" customFormat="1">
      <c r="A799" s="2170"/>
      <c r="B799" s="2170"/>
      <c r="C799" s="2170"/>
      <c r="D799" s="2170"/>
      <c r="E799" s="2531" t="s">
        <v>2639</v>
      </c>
      <c r="F799" s="2531"/>
      <c r="G799" s="2170"/>
      <c r="H799" s="2537">
        <v>0</v>
      </c>
      <c r="I799" s="2537"/>
      <c r="J799" s="2537"/>
      <c r="K799" s="2172"/>
      <c r="L799" s="2537">
        <v>0</v>
      </c>
      <c r="M799" s="2172"/>
    </row>
    <row r="800" spans="1:15" s="2171" customFormat="1">
      <c r="A800" s="2170"/>
      <c r="B800" s="2170"/>
      <c r="C800" s="2170"/>
      <c r="D800" s="2170"/>
      <c r="E800" s="2170"/>
      <c r="F800" s="2170"/>
      <c r="G800" s="2170"/>
      <c r="H800" s="2537"/>
      <c r="I800" s="2537"/>
      <c r="J800" s="2537"/>
      <c r="K800" s="2172"/>
      <c r="L800" s="2537"/>
      <c r="M800" s="2172"/>
    </row>
    <row r="801" spans="1:15" s="2171" customFormat="1">
      <c r="A801" s="2169" t="s">
        <v>2699</v>
      </c>
      <c r="B801" s="2170"/>
      <c r="C801" s="2169" t="s">
        <v>1069</v>
      </c>
      <c r="D801" s="2170"/>
      <c r="E801" s="2169" t="s">
        <v>2640</v>
      </c>
      <c r="F801" s="2170"/>
    </row>
    <row r="802" spans="1:15" s="2171" customFormat="1">
      <c r="A802" s="2172"/>
      <c r="B802" s="2172"/>
      <c r="C802" s="2172"/>
      <c r="D802" s="2172"/>
      <c r="E802" s="2172"/>
      <c r="F802" s="2172"/>
      <c r="G802" s="2172"/>
      <c r="H802" s="2172"/>
      <c r="I802" s="2172"/>
      <c r="J802" s="2172"/>
      <c r="K802" s="2172"/>
      <c r="L802" s="2172"/>
      <c r="M802" s="2172"/>
    </row>
    <row r="803" spans="1:15" s="2171" customFormat="1">
      <c r="A803" s="2170"/>
      <c r="H803" s="2531" t="s">
        <v>2637</v>
      </c>
      <c r="I803" s="2531"/>
      <c r="J803" s="2172"/>
      <c r="K803" s="2537">
        <v>0</v>
      </c>
      <c r="L803" s="2537"/>
      <c r="M803" s="2172"/>
      <c r="N803" s="2533"/>
      <c r="O803" s="2172"/>
    </row>
    <row r="804" spans="1:15" s="2171" customFormat="1">
      <c r="H804" s="2172"/>
      <c r="I804" s="2172"/>
      <c r="J804" s="2172"/>
      <c r="K804" s="2537"/>
      <c r="L804" s="2537"/>
      <c r="N804" s="2533"/>
    </row>
    <row r="805" spans="1:15" s="2171" customFormat="1">
      <c r="A805" s="2169">
        <v>50602</v>
      </c>
      <c r="B805" s="2172"/>
      <c r="C805" s="2534" t="s">
        <v>2880</v>
      </c>
      <c r="D805" s="2534"/>
      <c r="E805" s="2534"/>
      <c r="F805" s="2534"/>
      <c r="G805" s="2534"/>
      <c r="H805" s="2534"/>
      <c r="I805" s="2534"/>
      <c r="J805" s="2172"/>
      <c r="K805" s="2172"/>
      <c r="L805" s="2172"/>
      <c r="M805" s="2172"/>
    </row>
    <row r="806" spans="1:15" s="2171" customFormat="1">
      <c r="A806" s="2172"/>
      <c r="B806" s="2172"/>
      <c r="C806" s="2172"/>
      <c r="D806" s="2172"/>
      <c r="E806" s="2172"/>
      <c r="F806" s="2172"/>
      <c r="G806" s="2172"/>
      <c r="H806" s="2172"/>
      <c r="I806" s="2172"/>
      <c r="J806" s="2172"/>
      <c r="K806" s="2172"/>
      <c r="L806" s="2172"/>
      <c r="M806" s="2172"/>
    </row>
    <row r="807" spans="1:15" s="2171" customFormat="1">
      <c r="A807" s="2538"/>
      <c r="B807" s="2538"/>
      <c r="C807" s="2538"/>
      <c r="D807" s="2173"/>
      <c r="E807" s="2173"/>
      <c r="F807" s="2173"/>
      <c r="G807" s="2173"/>
      <c r="H807" s="2539"/>
      <c r="I807" s="2539"/>
      <c r="J807" s="2539"/>
      <c r="K807" s="2173"/>
      <c r="L807" s="2174"/>
      <c r="M807" s="2173"/>
    </row>
    <row r="808" spans="1:15" s="2171" customFormat="1">
      <c r="A808" s="2170"/>
      <c r="B808" s="2170"/>
      <c r="C808" s="2170"/>
      <c r="D808" s="2170"/>
      <c r="E808" s="2531" t="s">
        <v>2639</v>
      </c>
      <c r="F808" s="2531"/>
      <c r="G808" s="2170"/>
      <c r="H808" s="2537">
        <v>0</v>
      </c>
      <c r="I808" s="2537"/>
      <c r="J808" s="2537"/>
      <c r="K808" s="2172"/>
      <c r="L808" s="2537">
        <v>0</v>
      </c>
      <c r="M808" s="2172"/>
    </row>
    <row r="809" spans="1:15" s="2171" customFormat="1">
      <c r="A809" s="2170"/>
      <c r="B809" s="2170"/>
      <c r="C809" s="2170"/>
      <c r="D809" s="2170"/>
      <c r="E809" s="2170"/>
      <c r="F809" s="2170"/>
      <c r="G809" s="2170"/>
      <c r="H809" s="2537"/>
      <c r="I809" s="2537"/>
      <c r="J809" s="2537"/>
      <c r="K809" s="2172"/>
      <c r="L809" s="2537"/>
      <c r="M809" s="2172"/>
    </row>
    <row r="810" spans="1:15" s="2171" customFormat="1">
      <c r="A810" s="2169" t="s">
        <v>2699</v>
      </c>
      <c r="B810" s="2170"/>
      <c r="C810" s="2169" t="s">
        <v>1069</v>
      </c>
      <c r="D810" s="2170"/>
      <c r="E810" s="2169" t="s">
        <v>2640</v>
      </c>
      <c r="F810" s="2170"/>
    </row>
    <row r="811" spans="1:15" s="2171" customFormat="1">
      <c r="A811" s="2172"/>
      <c r="B811" s="2172"/>
      <c r="C811" s="2172"/>
      <c r="D811" s="2172"/>
      <c r="E811" s="2172"/>
      <c r="F811" s="2172"/>
      <c r="G811" s="2172"/>
      <c r="H811" s="2172"/>
      <c r="I811" s="2172"/>
      <c r="J811" s="2172"/>
      <c r="K811" s="2172"/>
      <c r="L811" s="2172"/>
      <c r="M811" s="2172"/>
    </row>
    <row r="812" spans="1:15" s="2171" customFormat="1">
      <c r="A812" s="2170"/>
      <c r="H812" s="2531" t="s">
        <v>2637</v>
      </c>
      <c r="I812" s="2531"/>
      <c r="J812" s="2172"/>
      <c r="K812" s="2532">
        <v>20148.2752</v>
      </c>
      <c r="L812" s="2532"/>
      <c r="M812" s="2172"/>
      <c r="N812" s="2533" t="s">
        <v>3134</v>
      </c>
      <c r="O812" s="2172"/>
    </row>
    <row r="813" spans="1:15" s="2171" customFormat="1">
      <c r="H813" s="2172"/>
      <c r="I813" s="2172"/>
      <c r="J813" s="2172"/>
      <c r="K813" s="2532"/>
      <c r="L813" s="2532"/>
      <c r="N813" s="2533"/>
    </row>
    <row r="814" spans="1:15" s="2171" customFormat="1">
      <c r="A814" s="2169">
        <v>75627</v>
      </c>
      <c r="B814" s="2172"/>
      <c r="C814" s="2534" t="s">
        <v>2889</v>
      </c>
      <c r="D814" s="2534"/>
      <c r="E814" s="2534"/>
      <c r="F814" s="2534"/>
      <c r="G814" s="2534"/>
      <c r="H814" s="2534"/>
      <c r="I814" s="2534"/>
      <c r="J814" s="2172"/>
      <c r="K814" s="2172"/>
      <c r="L814" s="2172"/>
      <c r="M814" s="2172"/>
    </row>
    <row r="815" spans="1:15" s="2171" customFormat="1">
      <c r="A815" s="2172"/>
      <c r="B815" s="2172"/>
      <c r="C815" s="2172"/>
      <c r="D815" s="2172"/>
      <c r="E815" s="2172"/>
      <c r="F815" s="2172"/>
      <c r="G815" s="2172"/>
      <c r="H815" s="2172"/>
      <c r="I815" s="2172"/>
      <c r="J815" s="2172"/>
      <c r="K815" s="2172"/>
      <c r="L815" s="2172"/>
      <c r="M815" s="2172"/>
    </row>
    <row r="816" spans="1:15" s="2171" customFormat="1">
      <c r="A816" s="2535" t="s">
        <v>2647</v>
      </c>
      <c r="B816" s="2535"/>
      <c r="C816" s="2535"/>
      <c r="D816" s="2173"/>
      <c r="E816" s="2173"/>
      <c r="F816" s="2173"/>
      <c r="G816" s="2173"/>
      <c r="H816" s="2536">
        <v>469511.40700000001</v>
      </c>
      <c r="I816" s="2536"/>
      <c r="J816" s="2536"/>
      <c r="K816" s="2173"/>
      <c r="L816" s="2175">
        <v>40384431.18</v>
      </c>
      <c r="M816" s="2173"/>
    </row>
    <row r="817" spans="1:15" s="2171" customFormat="1">
      <c r="A817" s="2535" t="s">
        <v>2648</v>
      </c>
      <c r="B817" s="2535"/>
      <c r="C817" s="2535"/>
      <c r="D817" s="2173"/>
      <c r="E817" s="2173"/>
      <c r="F817" s="2173"/>
      <c r="G817" s="2173"/>
      <c r="H817" s="2536">
        <v>-435096.95199999999</v>
      </c>
      <c r="I817" s="2536"/>
      <c r="J817" s="2536"/>
      <c r="K817" s="2173"/>
      <c r="L817" s="2175">
        <v>-37158167.729999997</v>
      </c>
      <c r="M817" s="2173"/>
    </row>
    <row r="818" spans="1:15" s="2171" customFormat="1">
      <c r="A818" s="2535" t="s">
        <v>2679</v>
      </c>
      <c r="B818" s="2535"/>
      <c r="C818" s="2535"/>
      <c r="D818" s="2173"/>
      <c r="E818" s="2173"/>
      <c r="F818" s="2173"/>
      <c r="G818" s="2173"/>
      <c r="H818" s="2536">
        <v>-11644.602000000001</v>
      </c>
      <c r="I818" s="2536"/>
      <c r="J818" s="2536"/>
      <c r="K818" s="2173"/>
      <c r="L818" s="2180">
        <v>-1000000</v>
      </c>
      <c r="M818" s="2173"/>
    </row>
    <row r="819" spans="1:15" s="2171" customFormat="1">
      <c r="A819" s="2535" t="s">
        <v>2649</v>
      </c>
      <c r="B819" s="2535"/>
      <c r="C819" s="2535"/>
      <c r="D819" s="2173"/>
      <c r="E819" s="2173"/>
      <c r="F819" s="2173"/>
      <c r="G819" s="2173"/>
      <c r="H819" s="2536">
        <v>10161.485000000001</v>
      </c>
      <c r="I819" s="2536"/>
      <c r="J819" s="2536"/>
      <c r="K819" s="2173"/>
      <c r="L819" s="2175">
        <v>913899.22</v>
      </c>
      <c r="M819" s="2173"/>
    </row>
    <row r="820" spans="1:15" s="2171" customFormat="1">
      <c r="A820" s="2170"/>
      <c r="B820" s="2170"/>
      <c r="C820" s="2170"/>
      <c r="D820" s="2170"/>
      <c r="E820" s="2531" t="s">
        <v>2639</v>
      </c>
      <c r="F820" s="2531"/>
      <c r="G820" s="2170"/>
      <c r="H820" s="2532">
        <v>53079.613599999997</v>
      </c>
      <c r="I820" s="2532"/>
      <c r="J820" s="2532"/>
      <c r="K820" s="2172"/>
      <c r="L820" s="2532">
        <v>4826529.2699999996</v>
      </c>
      <c r="M820" s="2172"/>
    </row>
    <row r="821" spans="1:15" s="2171" customFormat="1">
      <c r="A821" s="2170"/>
      <c r="B821" s="2170"/>
      <c r="C821" s="2170"/>
      <c r="D821" s="2170"/>
      <c r="E821" s="2170"/>
      <c r="F821" s="2170"/>
      <c r="G821" s="2170"/>
      <c r="H821" s="2532"/>
      <c r="I821" s="2532"/>
      <c r="J821" s="2532"/>
      <c r="K821" s="2172"/>
      <c r="L821" s="2532"/>
      <c r="M821" s="2172"/>
    </row>
    <row r="822" spans="1:15" s="2171" customFormat="1">
      <c r="A822" s="2169" t="s">
        <v>2699</v>
      </c>
      <c r="B822" s="2170"/>
      <c r="C822" s="2169" t="s">
        <v>1069</v>
      </c>
      <c r="D822" s="2170"/>
      <c r="E822" s="2169" t="s">
        <v>2640</v>
      </c>
      <c r="F822" s="2170"/>
    </row>
    <row r="823" spans="1:15" s="2171" customFormat="1">
      <c r="A823" s="2172"/>
      <c r="B823" s="2172"/>
      <c r="C823" s="2172"/>
      <c r="D823" s="2172"/>
      <c r="E823" s="2172"/>
      <c r="F823" s="2172"/>
      <c r="G823" s="2172"/>
      <c r="H823" s="2172"/>
      <c r="I823" s="2172"/>
      <c r="J823" s="2172"/>
      <c r="K823" s="2172"/>
      <c r="L823" s="2172"/>
      <c r="M823" s="2172"/>
    </row>
    <row r="824" spans="1:15" s="2171" customFormat="1">
      <c r="A824" s="2170"/>
      <c r="H824" s="2531" t="s">
        <v>2637</v>
      </c>
      <c r="I824" s="2531"/>
      <c r="J824" s="2172"/>
      <c r="K824" s="2537">
        <v>0</v>
      </c>
      <c r="L824" s="2537"/>
      <c r="M824" s="2172"/>
      <c r="N824" s="2533"/>
      <c r="O824" s="2172"/>
    </row>
    <row r="825" spans="1:15" s="2171" customFormat="1">
      <c r="H825" s="2172"/>
      <c r="I825" s="2172"/>
      <c r="J825" s="2172"/>
      <c r="K825" s="2537"/>
      <c r="L825" s="2537"/>
      <c r="N825" s="2533"/>
    </row>
    <row r="826" spans="1:15" s="2171" customFormat="1">
      <c r="A826" s="2169">
        <v>75677</v>
      </c>
      <c r="B826" s="2172"/>
      <c r="C826" s="2534" t="s">
        <v>2890</v>
      </c>
      <c r="D826" s="2534"/>
      <c r="E826" s="2534"/>
      <c r="F826" s="2534"/>
      <c r="G826" s="2534"/>
      <c r="H826" s="2534"/>
      <c r="I826" s="2534"/>
      <c r="J826" s="2172"/>
      <c r="K826" s="2172"/>
      <c r="L826" s="2172"/>
      <c r="M826" s="2172"/>
    </row>
    <row r="827" spans="1:15" s="2171" customFormat="1">
      <c r="A827" s="2172"/>
      <c r="B827" s="2172"/>
      <c r="C827" s="2172"/>
      <c r="D827" s="2172"/>
      <c r="E827" s="2172"/>
      <c r="F827" s="2172"/>
      <c r="G827" s="2172"/>
      <c r="H827" s="2172"/>
      <c r="I827" s="2172"/>
      <c r="J827" s="2172"/>
      <c r="K827" s="2172"/>
      <c r="L827" s="2172"/>
      <c r="M827" s="2172"/>
    </row>
    <row r="828" spans="1:15" s="2171" customFormat="1">
      <c r="A828" s="2535" t="s">
        <v>2649</v>
      </c>
      <c r="B828" s="2535"/>
      <c r="C828" s="2535"/>
      <c r="D828" s="2173"/>
      <c r="E828" s="2173"/>
      <c r="F828" s="2173"/>
      <c r="G828" s="2173"/>
      <c r="H828" s="2539">
        <v>0.14899999999999999</v>
      </c>
      <c r="I828" s="2539"/>
      <c r="J828" s="2539"/>
      <c r="K828" s="2173"/>
      <c r="L828" s="2174">
        <v>14</v>
      </c>
      <c r="M828" s="2173"/>
    </row>
    <row r="829" spans="1:15" s="2171" customFormat="1">
      <c r="A829" s="2170"/>
      <c r="B829" s="2170"/>
      <c r="C829" s="2170"/>
      <c r="D829" s="2170"/>
      <c r="E829" s="2531" t="s">
        <v>2639</v>
      </c>
      <c r="F829" s="2531"/>
      <c r="G829" s="2170"/>
      <c r="H829" s="2537">
        <v>0.14849999999999999</v>
      </c>
      <c r="I829" s="2537"/>
      <c r="J829" s="2537"/>
      <c r="K829" s="2172"/>
      <c r="L829" s="2537">
        <v>13.5</v>
      </c>
      <c r="M829" s="2172"/>
    </row>
    <row r="830" spans="1:15" s="2171" customFormat="1">
      <c r="A830" s="2170"/>
      <c r="B830" s="2170"/>
      <c r="C830" s="2170"/>
      <c r="D830" s="2170"/>
      <c r="E830" s="2170"/>
      <c r="F830" s="2170"/>
      <c r="G830" s="2170"/>
      <c r="H830" s="2537"/>
      <c r="I830" s="2537"/>
      <c r="J830" s="2537"/>
      <c r="K830" s="2172"/>
      <c r="L830" s="2537"/>
      <c r="M830" s="2172"/>
    </row>
    <row r="831" spans="1:15" s="2171" customFormat="1">
      <c r="A831" s="2169" t="s">
        <v>2699</v>
      </c>
      <c r="B831" s="2170"/>
      <c r="C831" s="2169" t="s">
        <v>1069</v>
      </c>
      <c r="D831" s="2170"/>
      <c r="E831" s="2169" t="s">
        <v>2640</v>
      </c>
      <c r="F831" s="2170"/>
    </row>
    <row r="832" spans="1:15" s="2171" customFormat="1">
      <c r="A832" s="2172"/>
      <c r="B832" s="2172"/>
      <c r="C832" s="2172"/>
      <c r="D832" s="2172"/>
      <c r="E832" s="2172"/>
      <c r="F832" s="2172"/>
      <c r="G832" s="2172"/>
      <c r="H832" s="2172"/>
      <c r="I832" s="2172"/>
      <c r="J832" s="2172"/>
      <c r="K832" s="2172"/>
      <c r="L832" s="2172"/>
      <c r="M832" s="2172"/>
    </row>
    <row r="833" spans="1:15" s="2171" customFormat="1">
      <c r="A833" s="2170"/>
      <c r="H833" s="2531" t="s">
        <v>2637</v>
      </c>
      <c r="I833" s="2531"/>
      <c r="J833" s="2172"/>
      <c r="K833" s="2537">
        <v>0</v>
      </c>
      <c r="L833" s="2537"/>
      <c r="M833" s="2172"/>
      <c r="N833" s="2533"/>
      <c r="O833" s="2172"/>
    </row>
    <row r="834" spans="1:15" s="2171" customFormat="1">
      <c r="H834" s="2172"/>
      <c r="I834" s="2172"/>
      <c r="J834" s="2172"/>
      <c r="K834" s="2537"/>
      <c r="L834" s="2537"/>
      <c r="N834" s="2533"/>
    </row>
    <row r="835" spans="1:15" s="2171" customFormat="1">
      <c r="A835" s="2169">
        <v>54545</v>
      </c>
      <c r="B835" s="2172"/>
      <c r="C835" s="2534" t="s">
        <v>2884</v>
      </c>
      <c r="D835" s="2534"/>
      <c r="E835" s="2534"/>
      <c r="F835" s="2534"/>
      <c r="G835" s="2534"/>
      <c r="H835" s="2534"/>
      <c r="I835" s="2534"/>
      <c r="J835" s="2172"/>
      <c r="K835" s="2172"/>
      <c r="L835" s="2172"/>
      <c r="M835" s="2172"/>
    </row>
    <row r="836" spans="1:15" s="2171" customFormat="1">
      <c r="A836" s="2172"/>
      <c r="B836" s="2172"/>
      <c r="C836" s="2172"/>
      <c r="D836" s="2172"/>
      <c r="E836" s="2172"/>
      <c r="F836" s="2172"/>
      <c r="G836" s="2172"/>
      <c r="H836" s="2172"/>
      <c r="I836" s="2172"/>
      <c r="J836" s="2172"/>
      <c r="K836" s="2172"/>
      <c r="L836" s="2172"/>
      <c r="M836" s="2172"/>
    </row>
    <row r="837" spans="1:15" s="2171" customFormat="1">
      <c r="A837" s="2538"/>
      <c r="B837" s="2538"/>
      <c r="C837" s="2538"/>
      <c r="D837" s="2173"/>
      <c r="E837" s="2173"/>
      <c r="F837" s="2173"/>
      <c r="G837" s="2173"/>
      <c r="H837" s="2539"/>
      <c r="I837" s="2539"/>
      <c r="J837" s="2539"/>
      <c r="K837" s="2173"/>
      <c r="L837" s="2174"/>
      <c r="M837" s="2173"/>
    </row>
    <row r="838" spans="1:15" s="2171" customFormat="1">
      <c r="A838" s="2170"/>
      <c r="B838" s="2170"/>
      <c r="C838" s="2170"/>
      <c r="D838" s="2170"/>
      <c r="E838" s="2531" t="s">
        <v>2639</v>
      </c>
      <c r="F838" s="2531"/>
      <c r="G838" s="2170"/>
      <c r="H838" s="2537">
        <v>0</v>
      </c>
      <c r="I838" s="2537"/>
      <c r="J838" s="2537"/>
      <c r="K838" s="2172"/>
      <c r="L838" s="2537">
        <v>0</v>
      </c>
      <c r="M838" s="2172"/>
    </row>
    <row r="839" spans="1:15" s="2171" customFormat="1">
      <c r="A839" s="2170"/>
      <c r="B839" s="2170"/>
      <c r="C839" s="2170"/>
      <c r="D839" s="2170"/>
      <c r="E839" s="2170"/>
      <c r="F839" s="2170"/>
      <c r="G839" s="2170"/>
      <c r="H839" s="2537"/>
      <c r="I839" s="2537"/>
      <c r="J839" s="2537"/>
      <c r="K839" s="2172"/>
      <c r="L839" s="2537"/>
      <c r="M839" s="2172"/>
    </row>
    <row r="840" spans="1:15" s="2171" customFormat="1">
      <c r="A840" s="2169" t="s">
        <v>2699</v>
      </c>
      <c r="B840" s="2170"/>
      <c r="C840" s="2169" t="s">
        <v>1069</v>
      </c>
      <c r="D840" s="2170"/>
      <c r="E840" s="2169" t="s">
        <v>2640</v>
      </c>
      <c r="F840" s="2170"/>
    </row>
    <row r="841" spans="1:15" s="2171" customFormat="1">
      <c r="A841" s="2172"/>
      <c r="B841" s="2172"/>
      <c r="C841" s="2172"/>
      <c r="D841" s="2172"/>
      <c r="E841" s="2172"/>
      <c r="F841" s="2172"/>
      <c r="G841" s="2172"/>
      <c r="H841" s="2172"/>
      <c r="I841" s="2172"/>
      <c r="J841" s="2172"/>
      <c r="K841" s="2172"/>
      <c r="L841" s="2172"/>
      <c r="M841" s="2172"/>
    </row>
    <row r="842" spans="1:15" s="2171" customFormat="1">
      <c r="A842" s="2170"/>
      <c r="H842" s="2531" t="s">
        <v>2637</v>
      </c>
      <c r="I842" s="2531"/>
      <c r="J842" s="2172"/>
      <c r="K842" s="2537">
        <v>0</v>
      </c>
      <c r="L842" s="2537"/>
      <c r="M842" s="2172"/>
      <c r="N842" s="2533"/>
      <c r="O842" s="2172"/>
    </row>
    <row r="843" spans="1:15" s="2171" customFormat="1">
      <c r="H843" s="2172"/>
      <c r="I843" s="2172"/>
      <c r="J843" s="2172"/>
      <c r="K843" s="2537"/>
      <c r="L843" s="2537"/>
      <c r="N843" s="2533"/>
    </row>
    <row r="844" spans="1:15" s="2171" customFormat="1">
      <c r="A844" s="2169">
        <v>64050</v>
      </c>
      <c r="B844" s="2172"/>
      <c r="C844" s="2534" t="s">
        <v>2886</v>
      </c>
      <c r="D844" s="2534"/>
      <c r="E844" s="2534"/>
      <c r="F844" s="2534"/>
      <c r="G844" s="2534"/>
      <c r="H844" s="2534"/>
      <c r="I844" s="2534"/>
      <c r="J844" s="2172"/>
      <c r="K844" s="2172"/>
      <c r="L844" s="2172"/>
      <c r="M844" s="2172"/>
    </row>
    <row r="845" spans="1:15" s="2171" customFormat="1">
      <c r="A845" s="2172"/>
      <c r="B845" s="2172"/>
      <c r="C845" s="2172"/>
      <c r="D845" s="2172"/>
      <c r="E845" s="2172"/>
      <c r="F845" s="2172"/>
      <c r="G845" s="2172"/>
      <c r="H845" s="2172"/>
      <c r="I845" s="2172"/>
      <c r="J845" s="2172"/>
      <c r="K845" s="2172"/>
      <c r="L845" s="2172"/>
      <c r="M845" s="2172"/>
    </row>
    <row r="846" spans="1:15" s="2171" customFormat="1">
      <c r="A846" s="2535" t="s">
        <v>2649</v>
      </c>
      <c r="B846" s="2535"/>
      <c r="C846" s="2535"/>
      <c r="D846" s="2173"/>
      <c r="E846" s="2173"/>
      <c r="F846" s="2173"/>
      <c r="G846" s="2173"/>
      <c r="H846" s="2539">
        <v>143.184</v>
      </c>
      <c r="I846" s="2539"/>
      <c r="J846" s="2539"/>
      <c r="K846" s="2173"/>
      <c r="L846" s="2175">
        <v>13496</v>
      </c>
      <c r="M846" s="2173"/>
    </row>
    <row r="847" spans="1:15" s="2171" customFormat="1">
      <c r="A847" s="2170"/>
      <c r="B847" s="2170"/>
      <c r="C847" s="2170"/>
      <c r="D847" s="2170"/>
      <c r="E847" s="2531" t="s">
        <v>2639</v>
      </c>
      <c r="F847" s="2531"/>
      <c r="G847" s="2170"/>
      <c r="H847" s="2537">
        <v>143.18389999999999</v>
      </c>
      <c r="I847" s="2537"/>
      <c r="J847" s="2537"/>
      <c r="K847" s="2172"/>
      <c r="L847" s="2532">
        <v>13019.71</v>
      </c>
      <c r="M847" s="2172"/>
    </row>
    <row r="848" spans="1:15" s="2171" customFormat="1">
      <c r="A848" s="2170"/>
      <c r="B848" s="2170"/>
      <c r="C848" s="2170"/>
      <c r="D848" s="2170"/>
      <c r="E848" s="2170"/>
      <c r="F848" s="2170"/>
      <c r="G848" s="2170"/>
      <c r="H848" s="2537"/>
      <c r="I848" s="2537"/>
      <c r="J848" s="2537"/>
      <c r="K848" s="2172"/>
      <c r="L848" s="2532"/>
      <c r="M848" s="2172"/>
    </row>
    <row r="849" spans="1:15" s="2171" customFormat="1">
      <c r="A849" s="2169" t="s">
        <v>2699</v>
      </c>
      <c r="B849" s="2170"/>
      <c r="C849" s="2169" t="s">
        <v>1069</v>
      </c>
      <c r="D849" s="2170"/>
      <c r="E849" s="2169" t="s">
        <v>2640</v>
      </c>
      <c r="F849" s="2170"/>
    </row>
    <row r="850" spans="1:15" s="2171" customFormat="1">
      <c r="A850" s="2172"/>
      <c r="B850" s="2172"/>
      <c r="C850" s="2172"/>
      <c r="D850" s="2172"/>
      <c r="E850" s="2172"/>
      <c r="F850" s="2172"/>
      <c r="G850" s="2172"/>
      <c r="H850" s="2172"/>
      <c r="I850" s="2172"/>
      <c r="J850" s="2172"/>
      <c r="K850" s="2172"/>
      <c r="L850" s="2172"/>
      <c r="M850" s="2172"/>
    </row>
    <row r="851" spans="1:15" s="2171" customFormat="1">
      <c r="A851" s="2170"/>
      <c r="H851" s="2531" t="s">
        <v>2637</v>
      </c>
      <c r="I851" s="2531"/>
      <c r="J851" s="2172"/>
      <c r="K851" s="2532">
        <v>2872.2193000000002</v>
      </c>
      <c r="L851" s="2532"/>
      <c r="M851" s="2172"/>
      <c r="N851" s="2533" t="s">
        <v>3135</v>
      </c>
      <c r="O851" s="2172"/>
    </row>
    <row r="852" spans="1:15" s="2171" customFormat="1">
      <c r="H852" s="2172"/>
      <c r="I852" s="2172"/>
      <c r="J852" s="2172"/>
      <c r="K852" s="2532"/>
      <c r="L852" s="2532"/>
      <c r="N852" s="2533"/>
    </row>
    <row r="853" spans="1:15" s="2171" customFormat="1">
      <c r="A853" s="2169">
        <v>65402</v>
      </c>
      <c r="B853" s="2172"/>
      <c r="C853" s="2534" t="s">
        <v>2895</v>
      </c>
      <c r="D853" s="2534"/>
      <c r="E853" s="2534"/>
      <c r="F853" s="2534"/>
      <c r="G853" s="2534"/>
      <c r="H853" s="2534"/>
      <c r="I853" s="2534"/>
      <c r="J853" s="2172"/>
      <c r="K853" s="2172"/>
      <c r="L853" s="2172"/>
      <c r="M853" s="2172"/>
    </row>
    <row r="854" spans="1:15" s="2171" customFormat="1">
      <c r="A854" s="2172"/>
      <c r="B854" s="2172"/>
      <c r="C854" s="2172"/>
      <c r="D854" s="2172"/>
      <c r="E854" s="2172"/>
      <c r="F854" s="2172"/>
      <c r="G854" s="2172"/>
      <c r="H854" s="2172"/>
      <c r="I854" s="2172"/>
      <c r="J854" s="2172"/>
      <c r="K854" s="2172"/>
      <c r="L854" s="2172"/>
      <c r="M854" s="2172"/>
    </row>
    <row r="855" spans="1:15" s="2171" customFormat="1">
      <c r="A855" s="2535" t="s">
        <v>2649</v>
      </c>
      <c r="B855" s="2535"/>
      <c r="C855" s="2535"/>
      <c r="D855" s="2173"/>
      <c r="E855" s="2173"/>
      <c r="F855" s="2173"/>
      <c r="G855" s="2173"/>
      <c r="H855" s="2536">
        <v>1062.03</v>
      </c>
      <c r="I855" s="2536"/>
      <c r="J855" s="2536"/>
      <c r="K855" s="2173"/>
      <c r="L855" s="2175">
        <v>100000</v>
      </c>
      <c r="M855" s="2173"/>
    </row>
    <row r="856" spans="1:15" s="2171" customFormat="1">
      <c r="A856" s="2170"/>
      <c r="B856" s="2170"/>
      <c r="C856" s="2170"/>
      <c r="D856" s="2170"/>
      <c r="E856" s="2531" t="s">
        <v>2639</v>
      </c>
      <c r="F856" s="2531"/>
      <c r="G856" s="2170"/>
      <c r="H856" s="2532">
        <v>3934.2492999999999</v>
      </c>
      <c r="I856" s="2532"/>
      <c r="J856" s="2532"/>
      <c r="K856" s="2172"/>
      <c r="L856" s="2532">
        <v>357741.29</v>
      </c>
      <c r="M856" s="2172"/>
    </row>
    <row r="857" spans="1:15" s="2171" customFormat="1">
      <c r="A857" s="2170"/>
      <c r="B857" s="2170"/>
      <c r="C857" s="2170"/>
      <c r="D857" s="2170"/>
      <c r="E857" s="2170"/>
      <c r="F857" s="2170"/>
      <c r="G857" s="2170"/>
      <c r="H857" s="2532"/>
      <c r="I857" s="2532"/>
      <c r="J857" s="2532"/>
      <c r="K857" s="2172"/>
      <c r="L857" s="2532"/>
      <c r="M857" s="2172"/>
    </row>
    <row r="858" spans="1:15" s="2171" customFormat="1">
      <c r="A858" s="2169" t="s">
        <v>2699</v>
      </c>
      <c r="B858" s="2170"/>
      <c r="C858" s="2169" t="s">
        <v>1069</v>
      </c>
      <c r="D858" s="2170"/>
      <c r="E858" s="2169" t="s">
        <v>2640</v>
      </c>
      <c r="F858" s="2170"/>
    </row>
    <row r="859" spans="1:15" s="2171" customFormat="1">
      <c r="A859" s="2172"/>
      <c r="B859" s="2172"/>
      <c r="C859" s="2172"/>
      <c r="D859" s="2172"/>
      <c r="E859" s="2172"/>
      <c r="F859" s="2172"/>
      <c r="G859" s="2172"/>
      <c r="H859" s="2172"/>
      <c r="I859" s="2172"/>
      <c r="J859" s="2172"/>
      <c r="K859" s="2172"/>
      <c r="L859" s="2172"/>
      <c r="M859" s="2172"/>
    </row>
    <row r="860" spans="1:15" s="2171" customFormat="1">
      <c r="A860" s="2170"/>
      <c r="H860" s="2531" t="s">
        <v>2637</v>
      </c>
      <c r="I860" s="2531"/>
      <c r="J860" s="2172"/>
      <c r="K860" s="2532">
        <v>41671.222600000001</v>
      </c>
      <c r="L860" s="2532"/>
      <c r="M860" s="2172"/>
      <c r="N860" s="2533" t="s">
        <v>3136</v>
      </c>
      <c r="O860" s="2172"/>
    </row>
    <row r="861" spans="1:15" s="2171" customFormat="1">
      <c r="H861" s="2172"/>
      <c r="I861" s="2172"/>
      <c r="J861" s="2172"/>
      <c r="K861" s="2532"/>
      <c r="L861" s="2532"/>
      <c r="N861" s="2533"/>
    </row>
    <row r="862" spans="1:15" s="2171" customFormat="1">
      <c r="A862" s="2169">
        <v>67110</v>
      </c>
      <c r="B862" s="2172"/>
      <c r="C862" s="2534" t="s">
        <v>2891</v>
      </c>
      <c r="D862" s="2534"/>
      <c r="E862" s="2534"/>
      <c r="F862" s="2534"/>
      <c r="G862" s="2534"/>
      <c r="H862" s="2534"/>
      <c r="I862" s="2534"/>
      <c r="J862" s="2172"/>
      <c r="K862" s="2172"/>
      <c r="L862" s="2172"/>
      <c r="M862" s="2172"/>
    </row>
    <row r="863" spans="1:15" s="2171" customFormat="1">
      <c r="A863" s="2172"/>
      <c r="B863" s="2172"/>
      <c r="C863" s="2172"/>
      <c r="D863" s="2172"/>
      <c r="E863" s="2172"/>
      <c r="F863" s="2172"/>
      <c r="G863" s="2172"/>
      <c r="H863" s="2172"/>
      <c r="I863" s="2172"/>
      <c r="J863" s="2172"/>
      <c r="K863" s="2172"/>
      <c r="L863" s="2172"/>
      <c r="M863" s="2172"/>
    </row>
    <row r="864" spans="1:15" s="2171" customFormat="1">
      <c r="A864" s="2535" t="s">
        <v>2649</v>
      </c>
      <c r="B864" s="2535"/>
      <c r="C864" s="2535"/>
      <c r="D864" s="2173"/>
      <c r="E864" s="2173"/>
      <c r="F864" s="2173"/>
      <c r="G864" s="2173"/>
      <c r="H864" s="2539">
        <v>182.19499999999999</v>
      </c>
      <c r="I864" s="2539"/>
      <c r="J864" s="2539"/>
      <c r="K864" s="2173"/>
      <c r="L864" s="2175">
        <v>17173</v>
      </c>
      <c r="M864" s="2173"/>
    </row>
    <row r="865" spans="1:15" s="2171" customFormat="1">
      <c r="A865" s="2170"/>
      <c r="B865" s="2170"/>
      <c r="C865" s="2170"/>
      <c r="D865" s="2170"/>
      <c r="E865" s="2531" t="s">
        <v>2639</v>
      </c>
      <c r="F865" s="2531"/>
      <c r="G865" s="2170"/>
      <c r="H865" s="2532">
        <v>41853.417099999999</v>
      </c>
      <c r="I865" s="2532"/>
      <c r="J865" s="2532"/>
      <c r="K865" s="2172"/>
      <c r="L865" s="2532">
        <v>3805731.22</v>
      </c>
      <c r="M865" s="2172"/>
    </row>
    <row r="866" spans="1:15" s="2171" customFormat="1">
      <c r="A866" s="2170"/>
      <c r="B866" s="2170"/>
      <c r="C866" s="2170"/>
      <c r="D866" s="2170"/>
      <c r="E866" s="2170"/>
      <c r="F866" s="2170"/>
      <c r="G866" s="2170"/>
      <c r="H866" s="2532"/>
      <c r="I866" s="2532"/>
      <c r="J866" s="2532"/>
      <c r="K866" s="2172"/>
      <c r="L866" s="2532"/>
      <c r="M866" s="2172"/>
    </row>
    <row r="867" spans="1:15" s="2171" customFormat="1">
      <c r="A867" s="2169" t="s">
        <v>2699</v>
      </c>
      <c r="B867" s="2170"/>
      <c r="C867" s="2169" t="s">
        <v>1069</v>
      </c>
      <c r="D867" s="2170"/>
      <c r="E867" s="2169" t="s">
        <v>2640</v>
      </c>
      <c r="F867" s="2170"/>
    </row>
    <row r="868" spans="1:15" s="2171" customFormat="1">
      <c r="A868" s="2172"/>
      <c r="B868" s="2172"/>
      <c r="C868" s="2172"/>
      <c r="D868" s="2172"/>
      <c r="E868" s="2172"/>
      <c r="F868" s="2172"/>
      <c r="G868" s="2172"/>
      <c r="H868" s="2172"/>
      <c r="I868" s="2172"/>
      <c r="J868" s="2172"/>
      <c r="K868" s="2172"/>
      <c r="L868" s="2172"/>
      <c r="M868" s="2172"/>
    </row>
    <row r="869" spans="1:15" s="2171" customFormat="1">
      <c r="A869" s="2170"/>
      <c r="H869" s="2531" t="s">
        <v>2637</v>
      </c>
      <c r="I869" s="2531"/>
      <c r="J869" s="2172"/>
      <c r="K869" s="2537">
        <v>0</v>
      </c>
      <c r="L869" s="2537"/>
      <c r="M869" s="2172"/>
      <c r="N869" s="2533"/>
      <c r="O869" s="2172"/>
    </row>
    <row r="870" spans="1:15" s="2171" customFormat="1">
      <c r="H870" s="2172"/>
      <c r="I870" s="2172"/>
      <c r="J870" s="2172"/>
      <c r="K870" s="2537"/>
      <c r="L870" s="2537"/>
      <c r="N870" s="2533"/>
    </row>
    <row r="871" spans="1:15" s="2171" customFormat="1">
      <c r="A871" s="2169">
        <v>71255</v>
      </c>
      <c r="B871" s="2172"/>
      <c r="C871" s="2534" t="s">
        <v>3137</v>
      </c>
      <c r="D871" s="2534"/>
      <c r="E871" s="2534"/>
      <c r="F871" s="2534"/>
      <c r="G871" s="2534"/>
      <c r="H871" s="2534"/>
      <c r="I871" s="2534"/>
      <c r="J871" s="2172"/>
      <c r="K871" s="2172"/>
      <c r="L871" s="2172"/>
      <c r="M871" s="2172"/>
    </row>
    <row r="872" spans="1:15" s="2171" customFormat="1">
      <c r="A872" s="2172"/>
      <c r="B872" s="2172"/>
      <c r="C872" s="2172"/>
      <c r="D872" s="2172"/>
      <c r="E872" s="2172"/>
      <c r="F872" s="2172"/>
      <c r="G872" s="2172"/>
      <c r="H872" s="2172"/>
      <c r="I872" s="2172"/>
      <c r="J872" s="2172"/>
      <c r="K872" s="2172"/>
      <c r="L872" s="2172"/>
      <c r="M872" s="2172"/>
    </row>
    <row r="873" spans="1:15" s="2171" customFormat="1">
      <c r="A873" s="2535" t="s">
        <v>2647</v>
      </c>
      <c r="B873" s="2535"/>
      <c r="C873" s="2535"/>
      <c r="D873" s="2173"/>
      <c r="E873" s="2173"/>
      <c r="F873" s="2173"/>
      <c r="G873" s="2173"/>
      <c r="H873" s="2536">
        <v>1715.326</v>
      </c>
      <c r="I873" s="2536"/>
      <c r="J873" s="2536"/>
      <c r="K873" s="2173"/>
      <c r="L873" s="2175">
        <v>147306.51999999999</v>
      </c>
      <c r="M873" s="2173"/>
    </row>
    <row r="874" spans="1:15" s="2171" customFormat="1">
      <c r="A874" s="2170"/>
      <c r="B874" s="2170"/>
      <c r="C874" s="2170"/>
      <c r="D874" s="2170"/>
      <c r="E874" s="2531" t="s">
        <v>2639</v>
      </c>
      <c r="F874" s="2531"/>
      <c r="G874" s="2170"/>
      <c r="H874" s="2532">
        <v>1715.3258000000001</v>
      </c>
      <c r="I874" s="2532"/>
      <c r="J874" s="2532"/>
      <c r="K874" s="2172"/>
      <c r="L874" s="2532">
        <v>155974.57</v>
      </c>
      <c r="M874" s="2172"/>
    </row>
    <row r="875" spans="1:15" s="2171" customFormat="1">
      <c r="A875" s="2170"/>
      <c r="B875" s="2170"/>
      <c r="C875" s="2170"/>
      <c r="D875" s="2170"/>
      <c r="E875" s="2170"/>
      <c r="F875" s="2170"/>
      <c r="G875" s="2170"/>
      <c r="H875" s="2532"/>
      <c r="I875" s="2532"/>
      <c r="J875" s="2532"/>
      <c r="K875" s="2172"/>
      <c r="L875" s="2532"/>
      <c r="M875" s="2172"/>
    </row>
    <row r="876" spans="1:15" s="2171" customFormat="1">
      <c r="A876" s="2169" t="s">
        <v>2699</v>
      </c>
      <c r="B876" s="2170"/>
      <c r="C876" s="2169" t="s">
        <v>1069</v>
      </c>
      <c r="D876" s="2170"/>
      <c r="E876" s="2169" t="s">
        <v>2640</v>
      </c>
      <c r="F876" s="2170"/>
    </row>
    <row r="877" spans="1:15" s="2171" customFormat="1">
      <c r="A877" s="2172"/>
      <c r="B877" s="2172"/>
      <c r="C877" s="2172"/>
      <c r="D877" s="2172"/>
      <c r="E877" s="2172"/>
      <c r="F877" s="2172"/>
      <c r="G877" s="2172"/>
      <c r="H877" s="2172"/>
      <c r="I877" s="2172"/>
      <c r="J877" s="2172"/>
      <c r="K877" s="2172"/>
      <c r="L877" s="2172"/>
      <c r="M877" s="2172"/>
    </row>
    <row r="878" spans="1:15" s="2171" customFormat="1">
      <c r="A878" s="2170"/>
      <c r="H878" s="2531" t="s">
        <v>2637</v>
      </c>
      <c r="I878" s="2531"/>
      <c r="J878" s="2172"/>
      <c r="K878" s="2537">
        <v>0</v>
      </c>
      <c r="L878" s="2537"/>
      <c r="M878" s="2172"/>
      <c r="N878" s="2533"/>
      <c r="O878" s="2172"/>
    </row>
    <row r="879" spans="1:15" s="2171" customFormat="1">
      <c r="H879" s="2172"/>
      <c r="I879" s="2172"/>
      <c r="J879" s="2172"/>
      <c r="K879" s="2537"/>
      <c r="L879" s="2537"/>
      <c r="N879" s="2533"/>
    </row>
    <row r="880" spans="1:15" s="2171" customFormat="1">
      <c r="A880" s="2169">
        <v>73898</v>
      </c>
      <c r="B880" s="2172"/>
      <c r="C880" s="2534" t="s">
        <v>2880</v>
      </c>
      <c r="D880" s="2534"/>
      <c r="E880" s="2534"/>
      <c r="F880" s="2534"/>
      <c r="G880" s="2534"/>
      <c r="H880" s="2534"/>
      <c r="I880" s="2534"/>
      <c r="J880" s="2172"/>
      <c r="K880" s="2172"/>
      <c r="L880" s="2172"/>
      <c r="M880" s="2172"/>
    </row>
    <row r="881" spans="1:15" s="2171" customFormat="1">
      <c r="A881" s="2172"/>
      <c r="B881" s="2172"/>
      <c r="C881" s="2172"/>
      <c r="D881" s="2172"/>
      <c r="E881" s="2172"/>
      <c r="F881" s="2172"/>
      <c r="G881" s="2172"/>
      <c r="H881" s="2172"/>
      <c r="I881" s="2172"/>
      <c r="J881" s="2172"/>
      <c r="K881" s="2172"/>
      <c r="L881" s="2172"/>
      <c r="M881" s="2172"/>
    </row>
    <row r="882" spans="1:15" s="2171" customFormat="1">
      <c r="A882" s="2538"/>
      <c r="B882" s="2538"/>
      <c r="C882" s="2538"/>
      <c r="D882" s="2173"/>
      <c r="E882" s="2173"/>
      <c r="F882" s="2173"/>
      <c r="G882" s="2173"/>
      <c r="H882" s="2539"/>
      <c r="I882" s="2539"/>
      <c r="J882" s="2539"/>
      <c r="K882" s="2173"/>
      <c r="L882" s="2174"/>
      <c r="M882" s="2173"/>
    </row>
    <row r="883" spans="1:15" s="2171" customFormat="1">
      <c r="A883" s="2170"/>
      <c r="B883" s="2170"/>
      <c r="C883" s="2170"/>
      <c r="D883" s="2170"/>
      <c r="E883" s="2531" t="s">
        <v>2639</v>
      </c>
      <c r="F883" s="2531"/>
      <c r="G883" s="2170"/>
      <c r="H883" s="2537">
        <v>0</v>
      </c>
      <c r="I883" s="2537"/>
      <c r="J883" s="2537"/>
      <c r="K883" s="2172"/>
      <c r="L883" s="2537">
        <v>0</v>
      </c>
      <c r="M883" s="2172"/>
    </row>
    <row r="884" spans="1:15" s="2171" customFormat="1">
      <c r="A884" s="2170"/>
      <c r="B884" s="2170"/>
      <c r="C884" s="2170"/>
      <c r="D884" s="2170"/>
      <c r="E884" s="2170"/>
      <c r="F884" s="2170"/>
      <c r="G884" s="2170"/>
      <c r="H884" s="2537"/>
      <c r="I884" s="2537"/>
      <c r="J884" s="2537"/>
      <c r="K884" s="2172"/>
      <c r="L884" s="2537"/>
      <c r="M884" s="2172"/>
    </row>
    <row r="885" spans="1:15" s="2171" customFormat="1">
      <c r="A885" s="2169" t="s">
        <v>2699</v>
      </c>
      <c r="B885" s="2170"/>
      <c r="C885" s="2169" t="s">
        <v>1069</v>
      </c>
      <c r="D885" s="2170"/>
      <c r="E885" s="2169" t="s">
        <v>2640</v>
      </c>
      <c r="F885" s="2170"/>
    </row>
    <row r="886" spans="1:15" s="2171" customFormat="1">
      <c r="A886" s="2172"/>
      <c r="B886" s="2172"/>
      <c r="C886" s="2172"/>
      <c r="D886" s="2172"/>
      <c r="E886" s="2172"/>
      <c r="F886" s="2172"/>
      <c r="G886" s="2172"/>
      <c r="H886" s="2172"/>
      <c r="I886" s="2172"/>
      <c r="J886" s="2172"/>
      <c r="K886" s="2172"/>
      <c r="L886" s="2172"/>
      <c r="M886" s="2172"/>
    </row>
    <row r="887" spans="1:15" s="2171" customFormat="1">
      <c r="A887" s="2170"/>
      <c r="H887" s="2531" t="s">
        <v>2637</v>
      </c>
      <c r="I887" s="2531"/>
      <c r="J887" s="2172"/>
      <c r="K887" s="2537">
        <v>665.57079999999996</v>
      </c>
      <c r="L887" s="2537"/>
      <c r="M887" s="2172"/>
      <c r="N887" s="2533" t="s">
        <v>3138</v>
      </c>
      <c r="O887" s="2172"/>
    </row>
    <row r="888" spans="1:15" s="2171" customFormat="1">
      <c r="H888" s="2172"/>
      <c r="I888" s="2172"/>
      <c r="J888" s="2172"/>
      <c r="K888" s="2537"/>
      <c r="L888" s="2537"/>
      <c r="N888" s="2533"/>
    </row>
    <row r="889" spans="1:15" s="2171" customFormat="1">
      <c r="A889" s="2169">
        <v>75343</v>
      </c>
      <c r="B889" s="2172"/>
      <c r="C889" s="2534" t="s">
        <v>2892</v>
      </c>
      <c r="D889" s="2534"/>
      <c r="E889" s="2534"/>
      <c r="F889" s="2534"/>
      <c r="G889" s="2534"/>
      <c r="H889" s="2534"/>
      <c r="I889" s="2534"/>
      <c r="J889" s="2172"/>
      <c r="K889" s="2172"/>
      <c r="L889" s="2172"/>
      <c r="M889" s="2172"/>
    </row>
    <row r="890" spans="1:15" s="2171" customFormat="1">
      <c r="A890" s="2172"/>
      <c r="B890" s="2172"/>
      <c r="C890" s="2172"/>
      <c r="D890" s="2172"/>
      <c r="E890" s="2172"/>
      <c r="F890" s="2172"/>
      <c r="G890" s="2172"/>
      <c r="H890" s="2172"/>
      <c r="I890" s="2172"/>
      <c r="J890" s="2172"/>
      <c r="K890" s="2172"/>
      <c r="L890" s="2172"/>
      <c r="M890" s="2172"/>
    </row>
    <row r="891" spans="1:15" s="2171" customFormat="1">
      <c r="A891" s="2535" t="s">
        <v>2647</v>
      </c>
      <c r="B891" s="2535"/>
      <c r="C891" s="2535"/>
      <c r="D891" s="2173"/>
      <c r="E891" s="2173"/>
      <c r="F891" s="2173"/>
      <c r="G891" s="2173"/>
      <c r="H891" s="2536">
        <v>2459.201</v>
      </c>
      <c r="I891" s="2536"/>
      <c r="J891" s="2536"/>
      <c r="K891" s="2173"/>
      <c r="L891" s="2175">
        <v>210132.57</v>
      </c>
      <c r="M891" s="2173"/>
    </row>
    <row r="892" spans="1:15" s="2171" customFormat="1">
      <c r="A892" s="2535" t="s">
        <v>2648</v>
      </c>
      <c r="B892" s="2535"/>
      <c r="C892" s="2535"/>
      <c r="D892" s="2173"/>
      <c r="E892" s="2173"/>
      <c r="F892" s="2173"/>
      <c r="G892" s="2173"/>
      <c r="H892" s="2536">
        <v>-3684.2570000000001</v>
      </c>
      <c r="I892" s="2536"/>
      <c r="J892" s="2536"/>
      <c r="K892" s="2173"/>
      <c r="L892" s="2175">
        <v>-314867.18</v>
      </c>
      <c r="M892" s="2173"/>
    </row>
    <row r="893" spans="1:15" s="2171" customFormat="1">
      <c r="A893" s="2535" t="s">
        <v>2679</v>
      </c>
      <c r="B893" s="2535"/>
      <c r="C893" s="2535"/>
      <c r="D893" s="2173"/>
      <c r="E893" s="2173"/>
      <c r="F893" s="2173"/>
      <c r="G893" s="2173"/>
      <c r="H893" s="2539">
        <v>-22.745000000000001</v>
      </c>
      <c r="I893" s="2539"/>
      <c r="J893" s="2539"/>
      <c r="K893" s="2173"/>
      <c r="L893" s="2175">
        <v>-1918.6</v>
      </c>
      <c r="M893" s="2173"/>
    </row>
    <row r="894" spans="1:15" s="2171" customFormat="1">
      <c r="A894" s="2535" t="s">
        <v>2649</v>
      </c>
      <c r="B894" s="2535"/>
      <c r="C894" s="2535"/>
      <c r="D894" s="2173"/>
      <c r="E894" s="2173"/>
      <c r="F894" s="2173"/>
      <c r="G894" s="2173"/>
      <c r="H894" s="2539">
        <v>582.23</v>
      </c>
      <c r="I894" s="2539"/>
      <c r="J894" s="2539"/>
      <c r="K894" s="2173"/>
      <c r="L894" s="2175">
        <v>50000</v>
      </c>
      <c r="M894" s="2173"/>
    </row>
    <row r="895" spans="1:15" s="2171" customFormat="1">
      <c r="A895" s="2170"/>
      <c r="B895" s="2170"/>
      <c r="C895" s="2170"/>
      <c r="D895" s="2170"/>
      <c r="E895" s="2531" t="s">
        <v>2639</v>
      </c>
      <c r="F895" s="2531"/>
      <c r="G895" s="2170"/>
      <c r="H895" s="2537">
        <v>0</v>
      </c>
      <c r="I895" s="2537"/>
      <c r="J895" s="2537"/>
      <c r="K895" s="2172"/>
      <c r="L895" s="2537">
        <v>0</v>
      </c>
      <c r="M895" s="2172"/>
    </row>
    <row r="896" spans="1:15" s="2171" customFormat="1">
      <c r="A896" s="2170"/>
      <c r="B896" s="2170"/>
      <c r="C896" s="2170"/>
      <c r="D896" s="2170"/>
      <c r="E896" s="2170"/>
      <c r="F896" s="2170"/>
      <c r="G896" s="2170"/>
      <c r="H896" s="2537"/>
      <c r="I896" s="2537"/>
      <c r="J896" s="2537"/>
      <c r="K896" s="2172"/>
      <c r="L896" s="2537"/>
      <c r="M896" s="2172"/>
    </row>
    <row r="897" spans="1:15" s="2171" customFormat="1">
      <c r="A897" s="2169" t="s">
        <v>2699</v>
      </c>
      <c r="B897" s="2170"/>
      <c r="C897" s="2169" t="s">
        <v>1069</v>
      </c>
      <c r="D897" s="2170"/>
      <c r="E897" s="2169" t="s">
        <v>2640</v>
      </c>
      <c r="F897" s="2170"/>
    </row>
    <row r="898" spans="1:15" s="2171" customFormat="1">
      <c r="A898" s="2172"/>
      <c r="B898" s="2172"/>
      <c r="C898" s="2172"/>
      <c r="D898" s="2172"/>
      <c r="E898" s="2172"/>
      <c r="F898" s="2172"/>
      <c r="G898" s="2172"/>
      <c r="H898" s="2172"/>
      <c r="I898" s="2172"/>
      <c r="J898" s="2172"/>
      <c r="K898" s="2172"/>
      <c r="L898" s="2172"/>
      <c r="M898" s="2172"/>
    </row>
    <row r="899" spans="1:15" s="2171" customFormat="1">
      <c r="A899" s="2170"/>
      <c r="H899" s="2531" t="s">
        <v>2637</v>
      </c>
      <c r="I899" s="2531"/>
      <c r="J899" s="2172"/>
      <c r="K899" s="2537">
        <v>0</v>
      </c>
      <c r="L899" s="2537"/>
      <c r="M899" s="2172"/>
      <c r="N899" s="2533"/>
      <c r="O899" s="2172"/>
    </row>
    <row r="900" spans="1:15" s="2171" customFormat="1">
      <c r="H900" s="2172"/>
      <c r="I900" s="2172"/>
      <c r="J900" s="2172"/>
      <c r="K900" s="2537"/>
      <c r="L900" s="2537"/>
      <c r="N900" s="2533"/>
    </row>
    <row r="901" spans="1:15" s="2171" customFormat="1">
      <c r="A901" s="2169">
        <v>76847</v>
      </c>
      <c r="B901" s="2172"/>
      <c r="C901" s="2534" t="s">
        <v>2885</v>
      </c>
      <c r="D901" s="2534"/>
      <c r="E901" s="2534"/>
      <c r="F901" s="2534"/>
      <c r="G901" s="2534"/>
      <c r="H901" s="2534"/>
      <c r="I901" s="2534"/>
      <c r="J901" s="2172"/>
      <c r="K901" s="2172"/>
      <c r="L901" s="2172"/>
      <c r="M901" s="2172"/>
    </row>
    <row r="902" spans="1:15" s="2171" customFormat="1">
      <c r="A902" s="2172"/>
      <c r="B902" s="2172"/>
      <c r="C902" s="2172"/>
      <c r="D902" s="2172"/>
      <c r="E902" s="2172"/>
      <c r="F902" s="2172"/>
      <c r="G902" s="2172"/>
      <c r="H902" s="2172"/>
      <c r="I902" s="2172"/>
      <c r="J902" s="2172"/>
      <c r="K902" s="2172"/>
      <c r="L902" s="2172"/>
      <c r="M902" s="2172"/>
    </row>
    <row r="903" spans="1:15" s="2171" customFormat="1">
      <c r="A903" s="2535" t="s">
        <v>2649</v>
      </c>
      <c r="B903" s="2535"/>
      <c r="C903" s="2535"/>
      <c r="D903" s="2173"/>
      <c r="E903" s="2173"/>
      <c r="F903" s="2173"/>
      <c r="G903" s="2173"/>
      <c r="H903" s="2536">
        <v>13806.39</v>
      </c>
      <c r="I903" s="2536"/>
      <c r="J903" s="2536"/>
      <c r="K903" s="2173"/>
      <c r="L903" s="2175">
        <v>1300000</v>
      </c>
      <c r="M903" s="2173"/>
    </row>
    <row r="904" spans="1:15" s="2171" customFormat="1">
      <c r="A904" s="2170"/>
      <c r="B904" s="2170"/>
      <c r="C904" s="2170"/>
      <c r="D904" s="2170"/>
      <c r="E904" s="2531" t="s">
        <v>2639</v>
      </c>
      <c r="F904" s="2531"/>
      <c r="G904" s="2170"/>
      <c r="H904" s="2532">
        <v>13806.389800000001</v>
      </c>
      <c r="I904" s="2532"/>
      <c r="J904" s="2532"/>
      <c r="K904" s="2172"/>
      <c r="L904" s="2532">
        <v>1255415.02</v>
      </c>
      <c r="M904" s="2172"/>
    </row>
    <row r="905" spans="1:15" s="2171" customFormat="1">
      <c r="A905" s="2170"/>
      <c r="B905" s="2170"/>
      <c r="C905" s="2170"/>
      <c r="D905" s="2170"/>
      <c r="E905" s="2170"/>
      <c r="F905" s="2170"/>
      <c r="G905" s="2170"/>
      <c r="H905" s="2532"/>
      <c r="I905" s="2532"/>
      <c r="J905" s="2532"/>
      <c r="K905" s="2172"/>
      <c r="L905" s="2532"/>
      <c r="M905" s="2172"/>
    </row>
    <row r="906" spans="1:15" s="2171" customFormat="1">
      <c r="A906" s="2169" t="s">
        <v>2699</v>
      </c>
      <c r="B906" s="2170"/>
      <c r="C906" s="2169" t="s">
        <v>1069</v>
      </c>
      <c r="D906" s="2170"/>
      <c r="E906" s="2169" t="s">
        <v>2640</v>
      </c>
      <c r="F906" s="2170"/>
    </row>
    <row r="907" spans="1:15" s="2171" customFormat="1">
      <c r="A907" s="2172"/>
      <c r="B907" s="2172"/>
      <c r="C907" s="2172"/>
      <c r="D907" s="2172"/>
      <c r="E907" s="2172"/>
      <c r="F907" s="2172"/>
      <c r="G907" s="2172"/>
      <c r="H907" s="2172"/>
      <c r="I907" s="2172"/>
      <c r="J907" s="2172"/>
      <c r="K907" s="2172"/>
      <c r="L907" s="2172"/>
      <c r="M907" s="2172"/>
    </row>
    <row r="908" spans="1:15" s="2171" customFormat="1">
      <c r="A908" s="2170"/>
      <c r="H908" s="2531" t="s">
        <v>2637</v>
      </c>
      <c r="I908" s="2531"/>
      <c r="J908" s="2172"/>
      <c r="K908" s="2537">
        <v>1E-4</v>
      </c>
      <c r="L908" s="2537"/>
      <c r="M908" s="2172"/>
      <c r="N908" s="2533"/>
      <c r="O908" s="2172"/>
    </row>
    <row r="909" spans="1:15" s="2171" customFormat="1">
      <c r="H909" s="2172"/>
      <c r="I909" s="2172"/>
      <c r="J909" s="2172"/>
      <c r="K909" s="2537"/>
      <c r="L909" s="2537"/>
      <c r="N909" s="2533"/>
    </row>
    <row r="910" spans="1:15" s="2171" customFormat="1">
      <c r="A910" s="2169">
        <v>85972</v>
      </c>
      <c r="B910" s="2172"/>
      <c r="C910" s="2534" t="s">
        <v>2884</v>
      </c>
      <c r="D910" s="2534"/>
      <c r="E910" s="2534"/>
      <c r="F910" s="2534"/>
      <c r="G910" s="2534"/>
      <c r="H910" s="2534"/>
      <c r="I910" s="2534"/>
      <c r="J910" s="2172"/>
      <c r="K910" s="2172"/>
      <c r="L910" s="2172"/>
      <c r="M910" s="2172"/>
    </row>
    <row r="911" spans="1:15" s="2171" customFormat="1">
      <c r="A911" s="2172"/>
      <c r="B911" s="2172"/>
      <c r="C911" s="2172"/>
      <c r="D911" s="2172"/>
      <c r="E911" s="2172"/>
      <c r="F911" s="2172"/>
      <c r="G911" s="2172"/>
      <c r="H911" s="2172"/>
      <c r="I911" s="2172"/>
      <c r="J911" s="2172"/>
      <c r="K911" s="2172"/>
      <c r="L911" s="2172"/>
      <c r="M911" s="2172"/>
    </row>
    <row r="912" spans="1:15" s="2171" customFormat="1">
      <c r="A912" s="2538"/>
      <c r="B912" s="2538"/>
      <c r="C912" s="2538"/>
      <c r="D912" s="2173"/>
      <c r="E912" s="2173"/>
      <c r="F912" s="2173"/>
      <c r="G912" s="2173"/>
      <c r="H912" s="2539"/>
      <c r="I912" s="2539"/>
      <c r="J912" s="2539"/>
      <c r="K912" s="2173"/>
      <c r="L912" s="2174"/>
      <c r="M912" s="2173"/>
    </row>
    <row r="913" spans="1:15" s="2171" customFormat="1">
      <c r="A913" s="2170"/>
      <c r="B913" s="2170"/>
      <c r="C913" s="2170"/>
      <c r="D913" s="2170"/>
      <c r="E913" s="2531" t="s">
        <v>2639</v>
      </c>
      <c r="F913" s="2531"/>
      <c r="G913" s="2170"/>
      <c r="H913" s="2537">
        <v>1E-4</v>
      </c>
      <c r="I913" s="2537"/>
      <c r="J913" s="2537"/>
      <c r="K913" s="2172"/>
      <c r="L913" s="2537">
        <v>0.01</v>
      </c>
      <c r="M913" s="2172"/>
    </row>
    <row r="914" spans="1:15" s="2171" customFormat="1">
      <c r="A914" s="2170"/>
      <c r="B914" s="2170"/>
      <c r="C914" s="2170"/>
      <c r="D914" s="2170"/>
      <c r="E914" s="2170"/>
      <c r="F914" s="2170"/>
      <c r="G914" s="2170"/>
      <c r="H914" s="2537"/>
      <c r="I914" s="2537"/>
      <c r="J914" s="2537"/>
      <c r="K914" s="2172"/>
      <c r="L914" s="2537"/>
      <c r="M914" s="2172"/>
    </row>
    <row r="915" spans="1:15">
      <c r="A915" s="2160" t="s">
        <v>1195</v>
      </c>
      <c r="B915" s="2161"/>
      <c r="C915" s="2160" t="s">
        <v>2706</v>
      </c>
      <c r="D915" s="2161"/>
      <c r="E915" s="2160" t="s">
        <v>2640</v>
      </c>
      <c r="F915" s="2161"/>
    </row>
    <row r="916" spans="1:15">
      <c r="A916" s="2163"/>
      <c r="B916" s="2163"/>
      <c r="C916" s="2163"/>
      <c r="D916" s="2163"/>
      <c r="E916" s="2163"/>
      <c r="F916" s="2163"/>
      <c r="G916" s="2163"/>
      <c r="H916" s="2163"/>
      <c r="I916" s="2163"/>
      <c r="J916" s="2163"/>
      <c r="K916" s="2163"/>
      <c r="L916" s="2163"/>
      <c r="M916" s="2163"/>
    </row>
    <row r="917" spans="1:15">
      <c r="A917" s="2164"/>
      <c r="H917" s="2522" t="s">
        <v>2637</v>
      </c>
      <c r="I917" s="2522"/>
      <c r="J917" s="2163"/>
      <c r="K917" s="2523">
        <v>-2.0000000000000001E-4</v>
      </c>
      <c r="L917" s="2523"/>
      <c r="M917" s="2163"/>
      <c r="N917" s="2527"/>
      <c r="O917" s="2163"/>
    </row>
    <row r="918" spans="1:15">
      <c r="H918" s="2163"/>
      <c r="I918" s="2163"/>
      <c r="J918" s="2163"/>
      <c r="K918" s="2523"/>
      <c r="L918" s="2523"/>
      <c r="N918" s="2527"/>
    </row>
    <row r="919" spans="1:15">
      <c r="A919" s="2165">
        <v>2300</v>
      </c>
      <c r="B919" s="2163"/>
      <c r="C919" s="2524" t="s">
        <v>2880</v>
      </c>
      <c r="D919" s="2524"/>
      <c r="E919" s="2524"/>
      <c r="F919" s="2524"/>
      <c r="G919" s="2524"/>
      <c r="H919" s="2524"/>
      <c r="I919" s="2524"/>
      <c r="J919" s="2163"/>
      <c r="K919" s="2163"/>
      <c r="L919" s="2163"/>
      <c r="M919" s="2163"/>
    </row>
    <row r="920" spans="1:15">
      <c r="A920" s="2163"/>
      <c r="B920" s="2163"/>
      <c r="C920" s="2163"/>
      <c r="D920" s="2163"/>
      <c r="E920" s="2163"/>
      <c r="F920" s="2163"/>
      <c r="G920" s="2163"/>
      <c r="H920" s="2163"/>
      <c r="I920" s="2163"/>
      <c r="J920" s="2163"/>
      <c r="K920" s="2163"/>
      <c r="L920" s="2163"/>
      <c r="M920" s="2163"/>
    </row>
    <row r="921" spans="1:15">
      <c r="A921" s="2529"/>
      <c r="B921" s="2529"/>
      <c r="C921" s="2529"/>
      <c r="D921" s="2166"/>
      <c r="E921" s="2166"/>
      <c r="F921" s="2166"/>
      <c r="G921" s="2166"/>
      <c r="H921" s="2525"/>
      <c r="I921" s="2525"/>
      <c r="J921" s="2525"/>
      <c r="K921" s="2166"/>
      <c r="L921" s="2167"/>
      <c r="M921" s="2166"/>
    </row>
    <row r="922" spans="1:15">
      <c r="A922" s="2164"/>
      <c r="B922" s="2164"/>
      <c r="C922" s="2164"/>
      <c r="D922" s="2164"/>
      <c r="E922" s="2522" t="s">
        <v>2639</v>
      </c>
      <c r="F922" s="2522"/>
      <c r="G922" s="2164"/>
      <c r="H922" s="2523">
        <v>-2.0000000000000001E-4</v>
      </c>
      <c r="I922" s="2523"/>
      <c r="J922" s="2523"/>
      <c r="K922" s="2163"/>
      <c r="L922" s="2523">
        <v>-0.01</v>
      </c>
      <c r="M922" s="2163"/>
    </row>
    <row r="923" spans="1:15">
      <c r="A923" s="2164"/>
      <c r="B923" s="2164"/>
      <c r="C923" s="2164"/>
      <c r="D923" s="2164"/>
      <c r="E923" s="2164"/>
      <c r="F923" s="2164"/>
      <c r="G923" s="2164"/>
      <c r="H923" s="2523"/>
      <c r="I923" s="2523"/>
      <c r="J923" s="2523"/>
      <c r="K923" s="2163"/>
      <c r="L923" s="2523"/>
      <c r="M923" s="2163"/>
    </row>
    <row r="924" spans="1:15">
      <c r="A924" s="2160" t="s">
        <v>1195</v>
      </c>
      <c r="B924" s="2161"/>
      <c r="C924" s="2160" t="s">
        <v>2706</v>
      </c>
      <c r="D924" s="2161"/>
      <c r="E924" s="2160" t="s">
        <v>2640</v>
      </c>
      <c r="F924" s="2161"/>
    </row>
    <row r="925" spans="1:15">
      <c r="A925" s="2163"/>
      <c r="B925" s="2163"/>
      <c r="C925" s="2163"/>
      <c r="D925" s="2163"/>
      <c r="E925" s="2163"/>
      <c r="F925" s="2163"/>
      <c r="G925" s="2163"/>
      <c r="H925" s="2163"/>
      <c r="I925" s="2163"/>
      <c r="J925" s="2163"/>
      <c r="K925" s="2163"/>
      <c r="L925" s="2163"/>
      <c r="M925" s="2163"/>
    </row>
    <row r="926" spans="1:15">
      <c r="A926" s="2164"/>
      <c r="H926" s="2522" t="s">
        <v>2637</v>
      </c>
      <c r="I926" s="2522"/>
      <c r="J926" s="2163"/>
      <c r="K926" s="2523">
        <v>0</v>
      </c>
      <c r="L926" s="2523"/>
      <c r="M926" s="2163"/>
      <c r="N926" s="2527"/>
      <c r="O926" s="2163"/>
    </row>
    <row r="927" spans="1:15">
      <c r="H927" s="2163"/>
      <c r="I927" s="2163"/>
      <c r="J927" s="2163"/>
      <c r="K927" s="2523"/>
      <c r="L927" s="2523"/>
      <c r="N927" s="2527"/>
    </row>
    <row r="928" spans="1:15">
      <c r="A928" s="2165">
        <v>2300</v>
      </c>
      <c r="B928" s="2163"/>
      <c r="C928" s="2524" t="s">
        <v>2880</v>
      </c>
      <c r="D928" s="2524"/>
      <c r="E928" s="2524"/>
      <c r="F928" s="2524"/>
      <c r="G928" s="2524"/>
      <c r="H928" s="2524"/>
      <c r="I928" s="2524"/>
      <c r="J928" s="2163"/>
      <c r="K928" s="2163"/>
      <c r="L928" s="2163"/>
      <c r="M928" s="2163"/>
    </row>
    <row r="929" spans="1:15">
      <c r="A929" s="2163"/>
      <c r="B929" s="2163"/>
      <c r="C929" s="2163"/>
      <c r="D929" s="2163"/>
      <c r="E929" s="2163"/>
      <c r="F929" s="2163"/>
      <c r="G929" s="2163"/>
      <c r="H929" s="2163"/>
      <c r="I929" s="2163"/>
      <c r="J929" s="2163"/>
      <c r="K929" s="2163"/>
      <c r="L929" s="2163"/>
      <c r="M929" s="2163"/>
    </row>
    <row r="930" spans="1:15">
      <c r="A930" s="2529"/>
      <c r="B930" s="2529"/>
      <c r="C930" s="2529"/>
      <c r="D930" s="2166"/>
      <c r="E930" s="2166"/>
      <c r="F930" s="2166"/>
      <c r="G930" s="2166"/>
      <c r="H930" s="2525"/>
      <c r="I930" s="2525"/>
      <c r="J930" s="2525"/>
      <c r="K930" s="2166"/>
      <c r="L930" s="2167"/>
      <c r="M930" s="2166"/>
    </row>
    <row r="931" spans="1:15">
      <c r="A931" s="2164"/>
      <c r="B931" s="2164"/>
      <c r="C931" s="2164"/>
      <c r="D931" s="2164"/>
      <c r="E931" s="2522" t="s">
        <v>2639</v>
      </c>
      <c r="F931" s="2522"/>
      <c r="G931" s="2164"/>
      <c r="H931" s="2523">
        <v>0</v>
      </c>
      <c r="I931" s="2523"/>
      <c r="J931" s="2523"/>
      <c r="K931" s="2163"/>
      <c r="L931" s="2523">
        <v>0</v>
      </c>
      <c r="M931" s="2163"/>
    </row>
    <row r="932" spans="1:15">
      <c r="A932" s="2164"/>
      <c r="B932" s="2164"/>
      <c r="C932" s="2164"/>
      <c r="D932" s="2164"/>
      <c r="E932" s="2164"/>
      <c r="F932" s="2164"/>
      <c r="G932" s="2164"/>
      <c r="H932" s="2523"/>
      <c r="I932" s="2523"/>
      <c r="J932" s="2523"/>
      <c r="K932" s="2163"/>
      <c r="L932" s="2523"/>
      <c r="M932" s="2163"/>
    </row>
    <row r="933" spans="1:15">
      <c r="A933" s="2160" t="s">
        <v>1195</v>
      </c>
      <c r="B933" s="2161"/>
      <c r="C933" s="2160" t="s">
        <v>2706</v>
      </c>
      <c r="D933" s="2161"/>
      <c r="E933" s="2160" t="s">
        <v>2640</v>
      </c>
      <c r="F933" s="2161"/>
    </row>
    <row r="934" spans="1:15">
      <c r="A934" s="2163"/>
      <c r="B934" s="2163"/>
      <c r="C934" s="2163"/>
      <c r="D934" s="2163"/>
      <c r="E934" s="2163"/>
      <c r="F934" s="2163"/>
      <c r="G934" s="2163"/>
      <c r="H934" s="2163"/>
      <c r="I934" s="2163"/>
      <c r="J934" s="2163"/>
      <c r="K934" s="2163"/>
      <c r="L934" s="2163"/>
      <c r="M934" s="2163"/>
    </row>
    <row r="935" spans="1:15">
      <c r="A935" s="2164"/>
      <c r="H935" s="2522" t="s">
        <v>2637</v>
      </c>
      <c r="I935" s="2522"/>
      <c r="J935" s="2163"/>
      <c r="K935" s="2523">
        <v>0</v>
      </c>
      <c r="L935" s="2523"/>
      <c r="M935" s="2163"/>
      <c r="N935" s="2527"/>
      <c r="O935" s="2163"/>
    </row>
    <row r="936" spans="1:15">
      <c r="H936" s="2163"/>
      <c r="I936" s="2163"/>
      <c r="J936" s="2163"/>
      <c r="K936" s="2523"/>
      <c r="L936" s="2523"/>
      <c r="N936" s="2527"/>
    </row>
    <row r="937" spans="1:15">
      <c r="A937" s="2165">
        <v>2300</v>
      </c>
      <c r="B937" s="2163"/>
      <c r="C937" s="2524" t="s">
        <v>2880</v>
      </c>
      <c r="D937" s="2524"/>
      <c r="E937" s="2524"/>
      <c r="F937" s="2524"/>
      <c r="G937" s="2524"/>
      <c r="H937" s="2524"/>
      <c r="I937" s="2524"/>
      <c r="J937" s="2163"/>
      <c r="K937" s="2163"/>
      <c r="L937" s="2163"/>
      <c r="M937" s="2163"/>
    </row>
    <row r="938" spans="1:15">
      <c r="A938" s="2163"/>
      <c r="B938" s="2163"/>
      <c r="C938" s="2163"/>
      <c r="D938" s="2163"/>
      <c r="E938" s="2163"/>
      <c r="F938" s="2163"/>
      <c r="G938" s="2163"/>
      <c r="H938" s="2163"/>
      <c r="I938" s="2163"/>
      <c r="J938" s="2163"/>
      <c r="K938" s="2163"/>
      <c r="L938" s="2163"/>
      <c r="M938" s="2163"/>
    </row>
    <row r="939" spans="1:15">
      <c r="A939" s="2529"/>
      <c r="B939" s="2529"/>
      <c r="C939" s="2529"/>
      <c r="D939" s="2166"/>
      <c r="E939" s="2166"/>
      <c r="F939" s="2166"/>
      <c r="G939" s="2166"/>
      <c r="H939" s="2525"/>
      <c r="I939" s="2525"/>
      <c r="J939" s="2525"/>
      <c r="K939" s="2166"/>
      <c r="L939" s="2167"/>
      <c r="M939" s="2166"/>
    </row>
    <row r="940" spans="1:15">
      <c r="A940" s="2164"/>
      <c r="B940" s="2164"/>
      <c r="C940" s="2164"/>
      <c r="D940" s="2164"/>
      <c r="E940" s="2522" t="s">
        <v>2639</v>
      </c>
      <c r="F940" s="2522"/>
      <c r="G940" s="2164"/>
      <c r="H940" s="2523">
        <v>0</v>
      </c>
      <c r="I940" s="2523"/>
      <c r="J940" s="2523"/>
      <c r="K940" s="2163"/>
      <c r="L940" s="2523">
        <v>0</v>
      </c>
      <c r="M940" s="2163"/>
    </row>
    <row r="941" spans="1:15">
      <c r="A941" s="2164"/>
      <c r="B941" s="2164"/>
      <c r="C941" s="2164"/>
      <c r="D941" s="2164"/>
      <c r="E941" s="2164"/>
      <c r="F941" s="2164"/>
      <c r="G941" s="2164"/>
      <c r="H941" s="2523"/>
      <c r="I941" s="2523"/>
      <c r="J941" s="2523"/>
      <c r="K941" s="2163"/>
      <c r="L941" s="2523"/>
      <c r="M941" s="2163"/>
    </row>
    <row r="942" spans="1:15">
      <c r="A942" s="2160" t="s">
        <v>1195</v>
      </c>
      <c r="B942" s="2161"/>
      <c r="C942" s="2160" t="s">
        <v>2706</v>
      </c>
      <c r="D942" s="2161"/>
      <c r="E942" s="2160" t="s">
        <v>2640</v>
      </c>
      <c r="F942" s="2161"/>
    </row>
    <row r="943" spans="1:15">
      <c r="A943" s="2163"/>
      <c r="B943" s="2163"/>
      <c r="C943" s="2163"/>
      <c r="D943" s="2163"/>
      <c r="E943" s="2163"/>
      <c r="F943" s="2163"/>
      <c r="G943" s="2163"/>
      <c r="H943" s="2163"/>
      <c r="I943" s="2163"/>
      <c r="J943" s="2163"/>
      <c r="K943" s="2163"/>
      <c r="L943" s="2163"/>
      <c r="M943" s="2163"/>
    </row>
    <row r="944" spans="1:15">
      <c r="A944" s="2164"/>
      <c r="H944" s="2522" t="s">
        <v>2637</v>
      </c>
      <c r="I944" s="2522"/>
      <c r="J944" s="2163"/>
      <c r="K944" s="2523">
        <v>0</v>
      </c>
      <c r="L944" s="2523"/>
      <c r="M944" s="2163"/>
      <c r="N944" s="2527"/>
      <c r="O944" s="2163"/>
    </row>
    <row r="945" spans="1:15">
      <c r="H945" s="2163"/>
      <c r="I945" s="2163"/>
      <c r="J945" s="2163"/>
      <c r="K945" s="2523"/>
      <c r="L945" s="2523"/>
      <c r="N945" s="2527"/>
    </row>
    <row r="946" spans="1:15">
      <c r="A946" s="2165">
        <v>5123</v>
      </c>
      <c r="B946" s="2163"/>
      <c r="C946" s="2524" t="s">
        <v>2887</v>
      </c>
      <c r="D946" s="2524"/>
      <c r="E946" s="2524"/>
      <c r="F946" s="2524"/>
      <c r="G946" s="2524"/>
      <c r="H946" s="2524"/>
      <c r="I946" s="2524"/>
      <c r="J946" s="2163"/>
      <c r="K946" s="2163"/>
      <c r="L946" s="2163"/>
      <c r="M946" s="2163"/>
    </row>
    <row r="947" spans="1:15">
      <c r="A947" s="2163"/>
      <c r="B947" s="2163"/>
      <c r="C947" s="2163"/>
      <c r="D947" s="2163"/>
      <c r="E947" s="2163"/>
      <c r="F947" s="2163"/>
      <c r="G947" s="2163"/>
      <c r="H947" s="2163"/>
      <c r="I947" s="2163"/>
      <c r="J947" s="2163"/>
      <c r="K947" s="2163"/>
      <c r="L947" s="2163"/>
      <c r="M947" s="2163"/>
    </row>
    <row r="948" spans="1:15">
      <c r="A948" s="2529"/>
      <c r="B948" s="2529"/>
      <c r="C948" s="2529"/>
      <c r="D948" s="2166"/>
      <c r="E948" s="2166"/>
      <c r="F948" s="2166"/>
      <c r="G948" s="2166"/>
      <c r="H948" s="2525"/>
      <c r="I948" s="2525"/>
      <c r="J948" s="2525"/>
      <c r="K948" s="2166"/>
      <c r="L948" s="2167"/>
      <c r="M948" s="2166"/>
    </row>
    <row r="949" spans="1:15">
      <c r="A949" s="2164"/>
      <c r="B949" s="2164"/>
      <c r="C949" s="2164"/>
      <c r="D949" s="2164"/>
      <c r="E949" s="2522" t="s">
        <v>2639</v>
      </c>
      <c r="F949" s="2522"/>
      <c r="G949" s="2164"/>
      <c r="H949" s="2523">
        <v>0</v>
      </c>
      <c r="I949" s="2523"/>
      <c r="J949" s="2523"/>
      <c r="K949" s="2163"/>
      <c r="L949" s="2523">
        <v>0</v>
      </c>
      <c r="M949" s="2163"/>
    </row>
    <row r="950" spans="1:15">
      <c r="A950" s="2164"/>
      <c r="B950" s="2164"/>
      <c r="C950" s="2164"/>
      <c r="D950" s="2164"/>
      <c r="E950" s="2164"/>
      <c r="F950" s="2164"/>
      <c r="G950" s="2164"/>
      <c r="H950" s="2523"/>
      <c r="I950" s="2523"/>
      <c r="J950" s="2523"/>
      <c r="K950" s="2163"/>
      <c r="L950" s="2523"/>
      <c r="M950" s="2163"/>
    </row>
    <row r="951" spans="1:15">
      <c r="A951" s="2160" t="s">
        <v>1195</v>
      </c>
      <c r="B951" s="2161"/>
      <c r="C951" s="2160" t="s">
        <v>2706</v>
      </c>
      <c r="D951" s="2161"/>
      <c r="E951" s="2160" t="s">
        <v>2640</v>
      </c>
      <c r="F951" s="2161"/>
    </row>
    <row r="952" spans="1:15">
      <c r="A952" s="2163"/>
      <c r="B952" s="2163"/>
      <c r="C952" s="2163"/>
      <c r="D952" s="2163"/>
      <c r="E952" s="2163"/>
      <c r="F952" s="2163"/>
      <c r="G952" s="2163"/>
      <c r="H952" s="2163"/>
      <c r="I952" s="2163"/>
      <c r="J952" s="2163"/>
      <c r="K952" s="2163"/>
      <c r="L952" s="2163"/>
      <c r="M952" s="2163"/>
    </row>
    <row r="953" spans="1:15">
      <c r="A953" s="2164"/>
      <c r="H953" s="2522" t="s">
        <v>2637</v>
      </c>
      <c r="I953" s="2522"/>
      <c r="J953" s="2163"/>
      <c r="K953" s="2523">
        <v>0</v>
      </c>
      <c r="L953" s="2523"/>
      <c r="M953" s="2163"/>
      <c r="N953" s="2527"/>
      <c r="O953" s="2163"/>
    </row>
    <row r="954" spans="1:15">
      <c r="H954" s="2163"/>
      <c r="I954" s="2163"/>
      <c r="J954" s="2163"/>
      <c r="K954" s="2523"/>
      <c r="L954" s="2523"/>
      <c r="N954" s="2527"/>
    </row>
    <row r="955" spans="1:15">
      <c r="A955" s="2165">
        <v>5123</v>
      </c>
      <c r="B955" s="2163"/>
      <c r="C955" s="2524" t="s">
        <v>2887</v>
      </c>
      <c r="D955" s="2524"/>
      <c r="E955" s="2524"/>
      <c r="F955" s="2524"/>
      <c r="G955" s="2524"/>
      <c r="H955" s="2524"/>
      <c r="I955" s="2524"/>
      <c r="J955" s="2163"/>
      <c r="K955" s="2163"/>
      <c r="L955" s="2163"/>
      <c r="M955" s="2163"/>
    </row>
    <row r="956" spans="1:15">
      <c r="A956" s="2163"/>
      <c r="B956" s="2163"/>
      <c r="C956" s="2163"/>
      <c r="D956" s="2163"/>
      <c r="E956" s="2163"/>
      <c r="F956" s="2163"/>
      <c r="G956" s="2163"/>
      <c r="H956" s="2163"/>
      <c r="I956" s="2163"/>
      <c r="J956" s="2163"/>
      <c r="K956" s="2163"/>
      <c r="L956" s="2163"/>
      <c r="M956" s="2163"/>
    </row>
    <row r="957" spans="1:15">
      <c r="A957" s="2529"/>
      <c r="B957" s="2529"/>
      <c r="C957" s="2529"/>
      <c r="D957" s="2166"/>
      <c r="E957" s="2166"/>
      <c r="F957" s="2166"/>
      <c r="G957" s="2166"/>
      <c r="H957" s="2525"/>
      <c r="I957" s="2525"/>
      <c r="J957" s="2525"/>
      <c r="K957" s="2166"/>
      <c r="L957" s="2167"/>
      <c r="M957" s="2166"/>
    </row>
    <row r="958" spans="1:15">
      <c r="A958" s="2164"/>
      <c r="B958" s="2164"/>
      <c r="C958" s="2164"/>
      <c r="D958" s="2164"/>
      <c r="E958" s="2522" t="s">
        <v>2639</v>
      </c>
      <c r="F958" s="2522"/>
      <c r="G958" s="2164"/>
      <c r="H958" s="2523">
        <v>0</v>
      </c>
      <c r="I958" s="2523"/>
      <c r="J958" s="2523"/>
      <c r="K958" s="2163"/>
      <c r="L958" s="2523">
        <v>0</v>
      </c>
      <c r="M958" s="2163"/>
    </row>
    <row r="959" spans="1:15">
      <c r="A959" s="2164"/>
      <c r="B959" s="2164"/>
      <c r="C959" s="2164"/>
      <c r="D959" s="2164"/>
      <c r="E959" s="2164"/>
      <c r="F959" s="2164"/>
      <c r="G959" s="2164"/>
      <c r="H959" s="2523"/>
      <c r="I959" s="2523"/>
      <c r="J959" s="2523"/>
      <c r="K959" s="2163"/>
      <c r="L959" s="2523"/>
      <c r="M959" s="2163"/>
    </row>
    <row r="960" spans="1:15">
      <c r="A960" s="2160" t="s">
        <v>1195</v>
      </c>
      <c r="B960" s="2161"/>
      <c r="C960" s="2160" t="s">
        <v>2706</v>
      </c>
      <c r="D960" s="2161"/>
      <c r="E960" s="2160" t="s">
        <v>2640</v>
      </c>
      <c r="F960" s="2161"/>
    </row>
    <row r="961" spans="1:15">
      <c r="A961" s="2163"/>
      <c r="B961" s="2163"/>
      <c r="C961" s="2163"/>
      <c r="D961" s="2163"/>
      <c r="E961" s="2163"/>
      <c r="F961" s="2163"/>
      <c r="G961" s="2163"/>
      <c r="H961" s="2163"/>
      <c r="I961" s="2163"/>
      <c r="J961" s="2163"/>
      <c r="K961" s="2163"/>
      <c r="L961" s="2163"/>
      <c r="M961" s="2163"/>
    </row>
    <row r="962" spans="1:15">
      <c r="A962" s="2164"/>
      <c r="H962" s="2522" t="s">
        <v>2637</v>
      </c>
      <c r="I962" s="2522"/>
      <c r="J962" s="2163"/>
      <c r="K962" s="2523">
        <v>0</v>
      </c>
      <c r="L962" s="2523"/>
      <c r="M962" s="2163"/>
      <c r="N962" s="2527"/>
      <c r="O962" s="2163"/>
    </row>
    <row r="963" spans="1:15">
      <c r="H963" s="2163"/>
      <c r="I963" s="2163"/>
      <c r="J963" s="2163"/>
      <c r="K963" s="2523"/>
      <c r="L963" s="2523"/>
      <c r="N963" s="2527"/>
    </row>
    <row r="964" spans="1:15">
      <c r="A964" s="2165">
        <v>5178</v>
      </c>
      <c r="B964" s="2163"/>
      <c r="C964" s="2524" t="s">
        <v>2880</v>
      </c>
      <c r="D964" s="2524"/>
      <c r="E964" s="2524"/>
      <c r="F964" s="2524"/>
      <c r="G964" s="2524"/>
      <c r="H964" s="2524"/>
      <c r="I964" s="2524"/>
      <c r="J964" s="2163"/>
      <c r="K964" s="2163"/>
      <c r="L964" s="2163"/>
      <c r="M964" s="2163"/>
    </row>
    <row r="965" spans="1:15">
      <c r="A965" s="2163"/>
      <c r="B965" s="2163"/>
      <c r="C965" s="2163"/>
      <c r="D965" s="2163"/>
      <c r="E965" s="2163"/>
      <c r="F965" s="2163"/>
      <c r="G965" s="2163"/>
      <c r="H965" s="2163"/>
      <c r="I965" s="2163"/>
      <c r="J965" s="2163"/>
      <c r="K965" s="2163"/>
      <c r="L965" s="2163"/>
      <c r="M965" s="2163"/>
    </row>
    <row r="966" spans="1:15">
      <c r="A966" s="2529"/>
      <c r="B966" s="2529"/>
      <c r="C966" s="2529"/>
      <c r="D966" s="2166"/>
      <c r="E966" s="2166"/>
      <c r="F966" s="2166"/>
      <c r="G966" s="2166"/>
      <c r="H966" s="2525"/>
      <c r="I966" s="2525"/>
      <c r="J966" s="2525"/>
      <c r="K966" s="2166"/>
      <c r="L966" s="2167"/>
      <c r="M966" s="2166"/>
    </row>
    <row r="967" spans="1:15">
      <c r="A967" s="2164"/>
      <c r="B967" s="2164"/>
      <c r="C967" s="2164"/>
      <c r="D967" s="2164"/>
      <c r="E967" s="2522" t="s">
        <v>2639</v>
      </c>
      <c r="F967" s="2522"/>
      <c r="G967" s="2164"/>
      <c r="H967" s="2523">
        <v>0</v>
      </c>
      <c r="I967" s="2523"/>
      <c r="J967" s="2523"/>
      <c r="K967" s="2163"/>
      <c r="L967" s="2523">
        <v>0</v>
      </c>
      <c r="M967" s="2163"/>
    </row>
    <row r="968" spans="1:15">
      <c r="A968" s="2164"/>
      <c r="B968" s="2164"/>
      <c r="C968" s="2164"/>
      <c r="D968" s="2164"/>
      <c r="E968" s="2164"/>
      <c r="F968" s="2164"/>
      <c r="G968" s="2164"/>
      <c r="H968" s="2523"/>
      <c r="I968" s="2523"/>
      <c r="J968" s="2523"/>
      <c r="K968" s="2163"/>
      <c r="L968" s="2523"/>
      <c r="M968" s="2163"/>
    </row>
    <row r="969" spans="1:15">
      <c r="A969" s="2160" t="s">
        <v>1195</v>
      </c>
      <c r="B969" s="2161"/>
      <c r="C969" s="2160" t="s">
        <v>2706</v>
      </c>
      <c r="D969" s="2161"/>
      <c r="E969" s="2160" t="s">
        <v>2640</v>
      </c>
      <c r="F969" s="2161"/>
    </row>
    <row r="970" spans="1:15">
      <c r="A970" s="2163"/>
      <c r="B970" s="2163"/>
      <c r="C970" s="2163"/>
      <c r="D970" s="2163"/>
      <c r="E970" s="2163"/>
      <c r="F970" s="2163"/>
      <c r="G970" s="2163"/>
      <c r="H970" s="2163"/>
      <c r="I970" s="2163"/>
      <c r="J970" s="2163"/>
      <c r="K970" s="2163"/>
      <c r="L970" s="2163"/>
      <c r="M970" s="2163"/>
    </row>
    <row r="971" spans="1:15">
      <c r="A971" s="2164"/>
      <c r="H971" s="2522" t="s">
        <v>2637</v>
      </c>
      <c r="I971" s="2522"/>
      <c r="J971" s="2163"/>
      <c r="K971" s="2523">
        <v>0</v>
      </c>
      <c r="L971" s="2523"/>
      <c r="M971" s="2163"/>
      <c r="N971" s="2527"/>
      <c r="O971" s="2163"/>
    </row>
    <row r="972" spans="1:15">
      <c r="H972" s="2163"/>
      <c r="I972" s="2163"/>
      <c r="J972" s="2163"/>
      <c r="K972" s="2523"/>
      <c r="L972" s="2523"/>
      <c r="N972" s="2527"/>
    </row>
    <row r="973" spans="1:15">
      <c r="A973" s="2165">
        <v>19339</v>
      </c>
      <c r="B973" s="2163"/>
      <c r="C973" s="2524" t="s">
        <v>2887</v>
      </c>
      <c r="D973" s="2524"/>
      <c r="E973" s="2524"/>
      <c r="F973" s="2524"/>
      <c r="G973" s="2524"/>
      <c r="H973" s="2524"/>
      <c r="I973" s="2524"/>
      <c r="J973" s="2163"/>
      <c r="K973" s="2163"/>
      <c r="L973" s="2163"/>
      <c r="M973" s="2163"/>
    </row>
    <row r="974" spans="1:15">
      <c r="A974" s="2163"/>
      <c r="B974" s="2163"/>
      <c r="C974" s="2163"/>
      <c r="D974" s="2163"/>
      <c r="E974" s="2163"/>
      <c r="F974" s="2163"/>
      <c r="G974" s="2163"/>
      <c r="H974" s="2163"/>
      <c r="I974" s="2163"/>
      <c r="J974" s="2163"/>
      <c r="K974" s="2163"/>
      <c r="L974" s="2163"/>
      <c r="M974" s="2163"/>
    </row>
    <row r="975" spans="1:15">
      <c r="A975" s="2529"/>
      <c r="B975" s="2529"/>
      <c r="C975" s="2529"/>
      <c r="D975" s="2166"/>
      <c r="E975" s="2166"/>
      <c r="F975" s="2166"/>
      <c r="G975" s="2166"/>
      <c r="H975" s="2525"/>
      <c r="I975" s="2525"/>
      <c r="J975" s="2525"/>
      <c r="K975" s="2166"/>
      <c r="L975" s="2167"/>
      <c r="M975" s="2166"/>
    </row>
    <row r="976" spans="1:15">
      <c r="A976" s="2164"/>
      <c r="B976" s="2164"/>
      <c r="C976" s="2164"/>
      <c r="D976" s="2164"/>
      <c r="E976" s="2522" t="s">
        <v>2639</v>
      </c>
      <c r="F976" s="2522"/>
      <c r="G976" s="2164"/>
      <c r="H976" s="2523">
        <v>0</v>
      </c>
      <c r="I976" s="2523"/>
      <c r="J976" s="2523"/>
      <c r="K976" s="2163"/>
      <c r="L976" s="2523">
        <v>0</v>
      </c>
      <c r="M976" s="2163"/>
    </row>
    <row r="977" spans="1:15">
      <c r="A977" s="2164"/>
      <c r="B977" s="2164"/>
      <c r="C977" s="2164"/>
      <c r="D977" s="2164"/>
      <c r="E977" s="2164"/>
      <c r="F977" s="2164"/>
      <c r="G977" s="2164"/>
      <c r="H977" s="2523"/>
      <c r="I977" s="2523"/>
      <c r="J977" s="2523"/>
      <c r="K977" s="2163"/>
      <c r="L977" s="2523"/>
      <c r="M977" s="2163"/>
    </row>
    <row r="978" spans="1:15">
      <c r="A978" s="2160" t="s">
        <v>1195</v>
      </c>
      <c r="B978" s="2161"/>
      <c r="C978" s="2160" t="s">
        <v>2706</v>
      </c>
      <c r="D978" s="2161"/>
      <c r="E978" s="2160" t="s">
        <v>2640</v>
      </c>
      <c r="F978" s="2161"/>
    </row>
    <row r="979" spans="1:15">
      <c r="A979" s="2163"/>
      <c r="B979" s="2163"/>
      <c r="C979" s="2163"/>
      <c r="D979" s="2163"/>
      <c r="E979" s="2163"/>
      <c r="F979" s="2163"/>
      <c r="G979" s="2163"/>
      <c r="H979" s="2163"/>
      <c r="I979" s="2163"/>
      <c r="J979" s="2163"/>
      <c r="K979" s="2163"/>
      <c r="L979" s="2163"/>
      <c r="M979" s="2163"/>
    </row>
    <row r="980" spans="1:15">
      <c r="A980" s="2164"/>
      <c r="H980" s="2522" t="s">
        <v>2637</v>
      </c>
      <c r="I980" s="2522"/>
      <c r="J980" s="2163"/>
      <c r="K980" s="2523">
        <v>0</v>
      </c>
      <c r="L980" s="2523"/>
      <c r="M980" s="2163"/>
      <c r="N980" s="2527"/>
      <c r="O980" s="2163"/>
    </row>
    <row r="981" spans="1:15">
      <c r="H981" s="2163"/>
      <c r="I981" s="2163"/>
      <c r="J981" s="2163"/>
      <c r="K981" s="2523"/>
      <c r="L981" s="2523"/>
      <c r="N981" s="2527"/>
    </row>
    <row r="982" spans="1:15">
      <c r="A982" s="2165">
        <v>19339</v>
      </c>
      <c r="B982" s="2163"/>
      <c r="C982" s="2524" t="s">
        <v>2887</v>
      </c>
      <c r="D982" s="2524"/>
      <c r="E982" s="2524"/>
      <c r="F982" s="2524"/>
      <c r="G982" s="2524"/>
      <c r="H982" s="2524"/>
      <c r="I982" s="2524"/>
      <c r="J982" s="2163"/>
      <c r="K982" s="2163"/>
      <c r="L982" s="2163"/>
      <c r="M982" s="2163"/>
    </row>
    <row r="983" spans="1:15">
      <c r="A983" s="2163"/>
      <c r="B983" s="2163"/>
      <c r="C983" s="2163"/>
      <c r="D983" s="2163"/>
      <c r="E983" s="2163"/>
      <c r="F983" s="2163"/>
      <c r="G983" s="2163"/>
      <c r="H983" s="2163"/>
      <c r="I983" s="2163"/>
      <c r="J983" s="2163"/>
      <c r="K983" s="2163"/>
      <c r="L983" s="2163"/>
      <c r="M983" s="2163"/>
    </row>
    <row r="984" spans="1:15">
      <c r="A984" s="2529"/>
      <c r="B984" s="2529"/>
      <c r="C984" s="2529"/>
      <c r="D984" s="2166"/>
      <c r="E984" s="2166"/>
      <c r="F984" s="2166"/>
      <c r="G984" s="2166"/>
      <c r="H984" s="2525"/>
      <c r="I984" s="2525"/>
      <c r="J984" s="2525"/>
      <c r="K984" s="2166"/>
      <c r="L984" s="2167"/>
      <c r="M984" s="2166"/>
    </row>
    <row r="985" spans="1:15">
      <c r="A985" s="2164"/>
      <c r="B985" s="2164"/>
      <c r="C985" s="2164"/>
      <c r="D985" s="2164"/>
      <c r="E985" s="2522" t="s">
        <v>2639</v>
      </c>
      <c r="F985" s="2522"/>
      <c r="G985" s="2164"/>
      <c r="H985" s="2523">
        <v>0</v>
      </c>
      <c r="I985" s="2523"/>
      <c r="J985" s="2523"/>
      <c r="K985" s="2163"/>
      <c r="L985" s="2523">
        <v>0</v>
      </c>
      <c r="M985" s="2163"/>
    </row>
    <row r="986" spans="1:15">
      <c r="A986" s="2164"/>
      <c r="B986" s="2164"/>
      <c r="C986" s="2164"/>
      <c r="D986" s="2164"/>
      <c r="E986" s="2164"/>
      <c r="F986" s="2164"/>
      <c r="G986" s="2164"/>
      <c r="H986" s="2523"/>
      <c r="I986" s="2523"/>
      <c r="J986" s="2523"/>
      <c r="K986" s="2163"/>
      <c r="L986" s="2523"/>
      <c r="M986" s="2163"/>
    </row>
    <row r="987" spans="1:15">
      <c r="A987" s="2160" t="s">
        <v>1195</v>
      </c>
      <c r="B987" s="2161"/>
      <c r="C987" s="2160" t="s">
        <v>2706</v>
      </c>
      <c r="D987" s="2161"/>
      <c r="E987" s="2160" t="s">
        <v>2640</v>
      </c>
      <c r="F987" s="2161"/>
    </row>
    <row r="988" spans="1:15">
      <c r="A988" s="2163"/>
      <c r="B988" s="2163"/>
      <c r="C988" s="2163"/>
      <c r="D988" s="2163"/>
      <c r="E988" s="2163"/>
      <c r="F988" s="2163"/>
      <c r="G988" s="2163"/>
      <c r="H988" s="2163"/>
      <c r="I988" s="2163"/>
      <c r="J988" s="2163"/>
      <c r="K988" s="2163"/>
      <c r="L988" s="2163"/>
      <c r="M988" s="2163"/>
    </row>
    <row r="989" spans="1:15">
      <c r="A989" s="2164"/>
      <c r="H989" s="2522" t="s">
        <v>2637</v>
      </c>
      <c r="I989" s="2522"/>
      <c r="J989" s="2163"/>
      <c r="K989" s="2523">
        <v>0</v>
      </c>
      <c r="L989" s="2523"/>
      <c r="M989" s="2163"/>
      <c r="N989" s="2527"/>
      <c r="O989" s="2163"/>
    </row>
    <row r="990" spans="1:15">
      <c r="H990" s="2163"/>
      <c r="I990" s="2163"/>
      <c r="J990" s="2163"/>
      <c r="K990" s="2523"/>
      <c r="L990" s="2523"/>
      <c r="N990" s="2527"/>
    </row>
    <row r="991" spans="1:15">
      <c r="A991" s="2165">
        <v>19339</v>
      </c>
      <c r="B991" s="2163"/>
      <c r="C991" s="2524" t="s">
        <v>2887</v>
      </c>
      <c r="D991" s="2524"/>
      <c r="E991" s="2524"/>
      <c r="F991" s="2524"/>
      <c r="G991" s="2524"/>
      <c r="H991" s="2524"/>
      <c r="I991" s="2524"/>
      <c r="J991" s="2163"/>
      <c r="K991" s="2163"/>
      <c r="L991" s="2163"/>
      <c r="M991" s="2163"/>
    </row>
    <row r="992" spans="1:15">
      <c r="A992" s="2163"/>
      <c r="B992" s="2163"/>
      <c r="C992" s="2163"/>
      <c r="D992" s="2163"/>
      <c r="E992" s="2163"/>
      <c r="F992" s="2163"/>
      <c r="G992" s="2163"/>
      <c r="H992" s="2163"/>
      <c r="I992" s="2163"/>
      <c r="J992" s="2163"/>
      <c r="K992" s="2163"/>
      <c r="L992" s="2163"/>
      <c r="M992" s="2163"/>
    </row>
    <row r="993" spans="1:15">
      <c r="A993" s="2529"/>
      <c r="B993" s="2529"/>
      <c r="C993" s="2529"/>
      <c r="D993" s="2166"/>
      <c r="E993" s="2166"/>
      <c r="F993" s="2166"/>
      <c r="G993" s="2166"/>
      <c r="H993" s="2525"/>
      <c r="I993" s="2525"/>
      <c r="J993" s="2525"/>
      <c r="K993" s="2166"/>
      <c r="L993" s="2167"/>
      <c r="M993" s="2166"/>
    </row>
    <row r="994" spans="1:15">
      <c r="A994" s="2164"/>
      <c r="B994" s="2164"/>
      <c r="C994" s="2164"/>
      <c r="D994" s="2164"/>
      <c r="E994" s="2522" t="s">
        <v>2639</v>
      </c>
      <c r="F994" s="2522"/>
      <c r="G994" s="2164"/>
      <c r="H994" s="2523">
        <v>0</v>
      </c>
      <c r="I994" s="2523"/>
      <c r="J994" s="2523"/>
      <c r="K994" s="2163"/>
      <c r="L994" s="2523">
        <v>0</v>
      </c>
      <c r="M994" s="2163"/>
    </row>
    <row r="995" spans="1:15">
      <c r="A995" s="2164"/>
      <c r="B995" s="2164"/>
      <c r="C995" s="2164"/>
      <c r="D995" s="2164"/>
      <c r="E995" s="2164"/>
      <c r="F995" s="2164"/>
      <c r="G995" s="2164"/>
      <c r="H995" s="2523"/>
      <c r="I995" s="2523"/>
      <c r="J995" s="2523"/>
      <c r="K995" s="2163"/>
      <c r="L995" s="2523"/>
      <c r="M995" s="2163"/>
    </row>
    <row r="996" spans="1:15">
      <c r="A996" s="2160" t="s">
        <v>1195</v>
      </c>
      <c r="B996" s="2161"/>
      <c r="C996" s="2160" t="s">
        <v>2706</v>
      </c>
      <c r="D996" s="2161"/>
      <c r="E996" s="2160" t="s">
        <v>2640</v>
      </c>
      <c r="F996" s="2161"/>
    </row>
    <row r="997" spans="1:15">
      <c r="A997" s="2163"/>
      <c r="B997" s="2163"/>
      <c r="C997" s="2163"/>
      <c r="D997" s="2163"/>
      <c r="E997" s="2163"/>
      <c r="F997" s="2163"/>
      <c r="G997" s="2163"/>
      <c r="H997" s="2163"/>
      <c r="I997" s="2163"/>
      <c r="J997" s="2163"/>
      <c r="K997" s="2163"/>
      <c r="L997" s="2163"/>
      <c r="M997" s="2163"/>
    </row>
    <row r="998" spans="1:15">
      <c r="A998" s="2164"/>
      <c r="H998" s="2522" t="s">
        <v>2637</v>
      </c>
      <c r="I998" s="2522"/>
      <c r="J998" s="2163"/>
      <c r="K998" s="2523">
        <v>0</v>
      </c>
      <c r="L998" s="2523"/>
      <c r="M998" s="2163"/>
      <c r="N998" s="2527"/>
      <c r="O998" s="2163"/>
    </row>
    <row r="999" spans="1:15">
      <c r="H999" s="2163"/>
      <c r="I999" s="2163"/>
      <c r="J999" s="2163"/>
      <c r="K999" s="2523"/>
      <c r="L999" s="2523"/>
      <c r="N999" s="2527"/>
    </row>
    <row r="1000" spans="1:15">
      <c r="A1000" s="2165">
        <v>19339</v>
      </c>
      <c r="B1000" s="2163"/>
      <c r="C1000" s="2524" t="s">
        <v>2887</v>
      </c>
      <c r="D1000" s="2524"/>
      <c r="E1000" s="2524"/>
      <c r="F1000" s="2524"/>
      <c r="G1000" s="2524"/>
      <c r="H1000" s="2524"/>
      <c r="I1000" s="2524"/>
      <c r="J1000" s="2163"/>
      <c r="K1000" s="2163"/>
      <c r="L1000" s="2163"/>
      <c r="M1000" s="2163"/>
    </row>
    <row r="1001" spans="1:15">
      <c r="A1001" s="2163"/>
      <c r="B1001" s="2163"/>
      <c r="C1001" s="2163"/>
      <c r="D1001" s="2163"/>
      <c r="E1001" s="2163"/>
      <c r="F1001" s="2163"/>
      <c r="G1001" s="2163"/>
      <c r="H1001" s="2163"/>
      <c r="I1001" s="2163"/>
      <c r="J1001" s="2163"/>
      <c r="K1001" s="2163"/>
      <c r="L1001" s="2163"/>
      <c r="M1001" s="2163"/>
    </row>
    <row r="1002" spans="1:15">
      <c r="A1002" s="2529"/>
      <c r="B1002" s="2529"/>
      <c r="C1002" s="2529"/>
      <c r="D1002" s="2166"/>
      <c r="E1002" s="2166"/>
      <c r="F1002" s="2166"/>
      <c r="G1002" s="2166"/>
      <c r="H1002" s="2525"/>
      <c r="I1002" s="2525"/>
      <c r="J1002" s="2525"/>
      <c r="K1002" s="2166"/>
      <c r="L1002" s="2167"/>
      <c r="M1002" s="2166"/>
    </row>
    <row r="1003" spans="1:15">
      <c r="A1003" s="2164"/>
      <c r="B1003" s="2164"/>
      <c r="C1003" s="2164"/>
      <c r="D1003" s="2164"/>
      <c r="E1003" s="2522" t="s">
        <v>2639</v>
      </c>
      <c r="F1003" s="2522"/>
      <c r="G1003" s="2164"/>
      <c r="H1003" s="2523">
        <v>0</v>
      </c>
      <c r="I1003" s="2523"/>
      <c r="J1003" s="2523"/>
      <c r="K1003" s="2163"/>
      <c r="L1003" s="2523">
        <v>0</v>
      </c>
      <c r="M1003" s="2163"/>
    </row>
    <row r="1004" spans="1:15">
      <c r="A1004" s="2164"/>
      <c r="B1004" s="2164"/>
      <c r="C1004" s="2164"/>
      <c r="D1004" s="2164"/>
      <c r="E1004" s="2164"/>
      <c r="F1004" s="2164"/>
      <c r="G1004" s="2164"/>
      <c r="H1004" s="2523"/>
      <c r="I1004" s="2523"/>
      <c r="J1004" s="2523"/>
      <c r="K1004" s="2163"/>
      <c r="L1004" s="2523"/>
      <c r="M1004" s="2163"/>
    </row>
    <row r="1005" spans="1:15">
      <c r="A1005" s="2160" t="s">
        <v>1195</v>
      </c>
      <c r="B1005" s="2161"/>
      <c r="C1005" s="2160" t="s">
        <v>2706</v>
      </c>
      <c r="D1005" s="2161"/>
      <c r="E1005" s="2160" t="s">
        <v>2640</v>
      </c>
      <c r="F1005" s="2161"/>
    </row>
    <row r="1006" spans="1:15">
      <c r="A1006" s="2163"/>
      <c r="B1006" s="2163"/>
      <c r="C1006" s="2163"/>
      <c r="D1006" s="2163"/>
      <c r="E1006" s="2163"/>
      <c r="F1006" s="2163"/>
      <c r="G1006" s="2163"/>
      <c r="H1006" s="2163"/>
      <c r="I1006" s="2163"/>
      <c r="J1006" s="2163"/>
      <c r="K1006" s="2163"/>
      <c r="L1006" s="2163"/>
      <c r="M1006" s="2163"/>
    </row>
    <row r="1007" spans="1:15">
      <c r="A1007" s="2164"/>
      <c r="H1007" s="2522" t="s">
        <v>2637</v>
      </c>
      <c r="I1007" s="2522"/>
      <c r="J1007" s="2163"/>
      <c r="K1007" s="2523">
        <v>0</v>
      </c>
      <c r="L1007" s="2523"/>
      <c r="M1007" s="2163"/>
      <c r="N1007" s="2527"/>
      <c r="O1007" s="2163"/>
    </row>
    <row r="1008" spans="1:15">
      <c r="H1008" s="2163"/>
      <c r="I1008" s="2163"/>
      <c r="J1008" s="2163"/>
      <c r="K1008" s="2523"/>
      <c r="L1008" s="2523"/>
      <c r="N1008" s="2527"/>
    </row>
    <row r="1009" spans="1:15">
      <c r="A1009" s="2165">
        <v>31791</v>
      </c>
      <c r="B1009" s="2163"/>
      <c r="C1009" s="2524" t="s">
        <v>2881</v>
      </c>
      <c r="D1009" s="2524"/>
      <c r="E1009" s="2524"/>
      <c r="F1009" s="2524"/>
      <c r="G1009" s="2524"/>
      <c r="H1009" s="2524"/>
      <c r="I1009" s="2524"/>
      <c r="J1009" s="2163"/>
      <c r="K1009" s="2163"/>
      <c r="L1009" s="2163"/>
      <c r="M1009" s="2163"/>
    </row>
    <row r="1010" spans="1:15">
      <c r="A1010" s="2163"/>
      <c r="B1010" s="2163"/>
      <c r="C1010" s="2163"/>
      <c r="D1010" s="2163"/>
      <c r="E1010" s="2163"/>
      <c r="F1010" s="2163"/>
      <c r="G1010" s="2163"/>
      <c r="H1010" s="2163"/>
      <c r="I1010" s="2163"/>
      <c r="J1010" s="2163"/>
      <c r="K1010" s="2163"/>
      <c r="L1010" s="2163"/>
      <c r="M1010" s="2163"/>
    </row>
    <row r="1011" spans="1:15">
      <c r="A1011" s="2529"/>
      <c r="B1011" s="2529"/>
      <c r="C1011" s="2529"/>
      <c r="D1011" s="2166"/>
      <c r="E1011" s="2166"/>
      <c r="F1011" s="2166"/>
      <c r="G1011" s="2166"/>
      <c r="H1011" s="2525"/>
      <c r="I1011" s="2525"/>
      <c r="J1011" s="2525"/>
      <c r="K1011" s="2166"/>
      <c r="L1011" s="2167"/>
      <c r="M1011" s="2166"/>
    </row>
    <row r="1012" spans="1:15">
      <c r="A1012" s="2164"/>
      <c r="B1012" s="2164"/>
      <c r="C1012" s="2164"/>
      <c r="D1012" s="2164"/>
      <c r="E1012" s="2522" t="s">
        <v>2639</v>
      </c>
      <c r="F1012" s="2522"/>
      <c r="G1012" s="2164"/>
      <c r="H1012" s="2523">
        <v>0</v>
      </c>
      <c r="I1012" s="2523"/>
      <c r="J1012" s="2523"/>
      <c r="K1012" s="2163"/>
      <c r="L1012" s="2523">
        <v>0</v>
      </c>
      <c r="M1012" s="2163"/>
    </row>
    <row r="1013" spans="1:15">
      <c r="A1013" s="2164"/>
      <c r="B1013" s="2164"/>
      <c r="C1013" s="2164"/>
      <c r="D1013" s="2164"/>
      <c r="E1013" s="2164"/>
      <c r="F1013" s="2164"/>
      <c r="G1013" s="2164"/>
      <c r="H1013" s="2523"/>
      <c r="I1013" s="2523"/>
      <c r="J1013" s="2523"/>
      <c r="K1013" s="2163"/>
      <c r="L1013" s="2523"/>
      <c r="M1013" s="2163"/>
    </row>
    <row r="1014" spans="1:15">
      <c r="A1014" s="2160" t="s">
        <v>1195</v>
      </c>
      <c r="B1014" s="2161"/>
      <c r="C1014" s="2160" t="s">
        <v>2706</v>
      </c>
      <c r="D1014" s="2161"/>
      <c r="E1014" s="2160" t="s">
        <v>2640</v>
      </c>
      <c r="F1014" s="2161"/>
    </row>
    <row r="1015" spans="1:15">
      <c r="A1015" s="2163"/>
      <c r="B1015" s="2163"/>
      <c r="C1015" s="2163"/>
      <c r="D1015" s="2163"/>
      <c r="E1015" s="2163"/>
      <c r="F1015" s="2163"/>
      <c r="G1015" s="2163"/>
      <c r="H1015" s="2163"/>
      <c r="I1015" s="2163"/>
      <c r="J1015" s="2163"/>
      <c r="K1015" s="2163"/>
      <c r="L1015" s="2163"/>
      <c r="M1015" s="2163"/>
    </row>
    <row r="1016" spans="1:15">
      <c r="A1016" s="2164"/>
      <c r="H1016" s="2522" t="s">
        <v>2637</v>
      </c>
      <c r="I1016" s="2522"/>
      <c r="J1016" s="2163"/>
      <c r="K1016" s="2523">
        <v>0</v>
      </c>
      <c r="L1016" s="2523"/>
      <c r="M1016" s="2163"/>
      <c r="N1016" s="2527"/>
      <c r="O1016" s="2163"/>
    </row>
    <row r="1017" spans="1:15">
      <c r="H1017" s="2163"/>
      <c r="I1017" s="2163"/>
      <c r="J1017" s="2163"/>
      <c r="K1017" s="2523"/>
      <c r="L1017" s="2523"/>
      <c r="N1017" s="2527"/>
    </row>
    <row r="1018" spans="1:15">
      <c r="A1018" s="2165">
        <v>40568</v>
      </c>
      <c r="B1018" s="2163"/>
      <c r="C1018" s="2524" t="s">
        <v>2882</v>
      </c>
      <c r="D1018" s="2524"/>
      <c r="E1018" s="2524"/>
      <c r="F1018" s="2524"/>
      <c r="G1018" s="2524"/>
      <c r="H1018" s="2524"/>
      <c r="I1018" s="2524"/>
      <c r="J1018" s="2163"/>
      <c r="K1018" s="2163"/>
      <c r="L1018" s="2163"/>
      <c r="M1018" s="2163"/>
    </row>
    <row r="1019" spans="1:15">
      <c r="A1019" s="2163"/>
      <c r="B1019" s="2163"/>
      <c r="C1019" s="2163"/>
      <c r="D1019" s="2163"/>
      <c r="E1019" s="2163"/>
      <c r="F1019" s="2163"/>
      <c r="G1019" s="2163"/>
      <c r="H1019" s="2163"/>
      <c r="I1019" s="2163"/>
      <c r="J1019" s="2163"/>
      <c r="K1019" s="2163"/>
      <c r="L1019" s="2163"/>
      <c r="M1019" s="2163"/>
    </row>
    <row r="1020" spans="1:15">
      <c r="A1020" s="2529"/>
      <c r="B1020" s="2529"/>
      <c r="C1020" s="2529"/>
      <c r="D1020" s="2166"/>
      <c r="E1020" s="2166"/>
      <c r="F1020" s="2166"/>
      <c r="G1020" s="2166"/>
      <c r="H1020" s="2525"/>
      <c r="I1020" s="2525"/>
      <c r="J1020" s="2525"/>
      <c r="K1020" s="2166"/>
      <c r="L1020" s="2167"/>
      <c r="M1020" s="2166"/>
    </row>
    <row r="1021" spans="1:15">
      <c r="A1021" s="2164"/>
      <c r="B1021" s="2164"/>
      <c r="C1021" s="2164"/>
      <c r="D1021" s="2164"/>
      <c r="E1021" s="2522" t="s">
        <v>2639</v>
      </c>
      <c r="F1021" s="2522"/>
      <c r="G1021" s="2164"/>
      <c r="H1021" s="2523">
        <v>0</v>
      </c>
      <c r="I1021" s="2523"/>
      <c r="J1021" s="2523"/>
      <c r="K1021" s="2163"/>
      <c r="L1021" s="2523">
        <v>0</v>
      </c>
      <c r="M1021" s="2163"/>
    </row>
    <row r="1022" spans="1:15">
      <c r="A1022" s="2164"/>
      <c r="B1022" s="2164"/>
      <c r="C1022" s="2164"/>
      <c r="D1022" s="2164"/>
      <c r="E1022" s="2164"/>
      <c r="F1022" s="2164"/>
      <c r="G1022" s="2164"/>
      <c r="H1022" s="2523"/>
      <c r="I1022" s="2523"/>
      <c r="J1022" s="2523"/>
      <c r="K1022" s="2163"/>
      <c r="L1022" s="2523"/>
      <c r="M1022" s="2163"/>
    </row>
    <row r="1023" spans="1:15">
      <c r="A1023" s="2160" t="s">
        <v>1195</v>
      </c>
      <c r="B1023" s="2161"/>
      <c r="C1023" s="2160" t="s">
        <v>2706</v>
      </c>
      <c r="D1023" s="2161"/>
      <c r="E1023" s="2160" t="s">
        <v>2640</v>
      </c>
      <c r="F1023" s="2161"/>
    </row>
    <row r="1024" spans="1:15">
      <c r="A1024" s="2163"/>
      <c r="B1024" s="2163"/>
      <c r="C1024" s="2163"/>
      <c r="D1024" s="2163"/>
      <c r="E1024" s="2163"/>
      <c r="F1024" s="2163"/>
      <c r="G1024" s="2163"/>
      <c r="H1024" s="2163"/>
      <c r="I1024" s="2163"/>
      <c r="J1024" s="2163"/>
      <c r="K1024" s="2163"/>
      <c r="L1024" s="2163"/>
      <c r="M1024" s="2163"/>
    </row>
    <row r="1025" spans="1:15">
      <c r="A1025" s="2164"/>
      <c r="H1025" s="2522" t="s">
        <v>2637</v>
      </c>
      <c r="I1025" s="2522"/>
      <c r="J1025" s="2163"/>
      <c r="K1025" s="2523">
        <v>0</v>
      </c>
      <c r="L1025" s="2523"/>
      <c r="M1025" s="2163"/>
      <c r="N1025" s="2527"/>
      <c r="O1025" s="2163"/>
    </row>
    <row r="1026" spans="1:15">
      <c r="H1026" s="2163"/>
      <c r="I1026" s="2163"/>
      <c r="J1026" s="2163"/>
      <c r="K1026" s="2523"/>
      <c r="L1026" s="2523"/>
      <c r="N1026" s="2527"/>
    </row>
    <row r="1027" spans="1:15">
      <c r="A1027" s="2165">
        <v>33762</v>
      </c>
      <c r="B1027" s="2163"/>
      <c r="C1027" s="2524" t="s">
        <v>2884</v>
      </c>
      <c r="D1027" s="2524"/>
      <c r="E1027" s="2524"/>
      <c r="F1027" s="2524"/>
      <c r="G1027" s="2524"/>
      <c r="H1027" s="2524"/>
      <c r="I1027" s="2524"/>
      <c r="J1027" s="2163"/>
      <c r="K1027" s="2163"/>
      <c r="L1027" s="2163"/>
      <c r="M1027" s="2163"/>
    </row>
    <row r="1028" spans="1:15">
      <c r="A1028" s="2163"/>
      <c r="B1028" s="2163"/>
      <c r="C1028" s="2163"/>
      <c r="D1028" s="2163"/>
      <c r="E1028" s="2163"/>
      <c r="F1028" s="2163"/>
      <c r="G1028" s="2163"/>
      <c r="H1028" s="2163"/>
      <c r="I1028" s="2163"/>
      <c r="J1028" s="2163"/>
      <c r="K1028" s="2163"/>
      <c r="L1028" s="2163"/>
      <c r="M1028" s="2163"/>
    </row>
    <row r="1029" spans="1:15">
      <c r="A1029" s="2529"/>
      <c r="B1029" s="2529"/>
      <c r="C1029" s="2529"/>
      <c r="D1029" s="2166"/>
      <c r="E1029" s="2166"/>
      <c r="F1029" s="2166"/>
      <c r="G1029" s="2166"/>
      <c r="H1029" s="2525"/>
      <c r="I1029" s="2525"/>
      <c r="J1029" s="2525"/>
      <c r="K1029" s="2166"/>
      <c r="L1029" s="2167"/>
      <c r="M1029" s="2166"/>
    </row>
    <row r="1030" spans="1:15">
      <c r="A1030" s="2164"/>
      <c r="B1030" s="2164"/>
      <c r="C1030" s="2164"/>
      <c r="D1030" s="2164"/>
      <c r="E1030" s="2522" t="s">
        <v>2639</v>
      </c>
      <c r="F1030" s="2522"/>
      <c r="G1030" s="2164"/>
      <c r="H1030" s="2523">
        <v>0</v>
      </c>
      <c r="I1030" s="2523"/>
      <c r="J1030" s="2523"/>
      <c r="K1030" s="2163"/>
      <c r="L1030" s="2523">
        <v>0</v>
      </c>
      <c r="M1030" s="2163"/>
    </row>
    <row r="1031" spans="1:15">
      <c r="A1031" s="2164"/>
      <c r="B1031" s="2164"/>
      <c r="C1031" s="2164"/>
      <c r="D1031" s="2164"/>
      <c r="E1031" s="2164"/>
      <c r="F1031" s="2164"/>
      <c r="G1031" s="2164"/>
      <c r="H1031" s="2523"/>
      <c r="I1031" s="2523"/>
      <c r="J1031" s="2523"/>
      <c r="K1031" s="2163"/>
      <c r="L1031" s="2523"/>
      <c r="M1031" s="2163"/>
    </row>
    <row r="1032" spans="1:15">
      <c r="A1032" s="2160" t="s">
        <v>1195</v>
      </c>
      <c r="B1032" s="2161"/>
      <c r="C1032" s="2160" t="s">
        <v>2706</v>
      </c>
      <c r="D1032" s="2161"/>
      <c r="E1032" s="2160" t="s">
        <v>2640</v>
      </c>
      <c r="F1032" s="2161"/>
    </row>
    <row r="1033" spans="1:15">
      <c r="A1033" s="2163"/>
      <c r="B1033" s="2163"/>
      <c r="C1033" s="2163"/>
      <c r="D1033" s="2163"/>
      <c r="E1033" s="2163"/>
      <c r="F1033" s="2163"/>
      <c r="G1033" s="2163"/>
      <c r="H1033" s="2163"/>
      <c r="I1033" s="2163"/>
      <c r="J1033" s="2163"/>
      <c r="K1033" s="2163"/>
      <c r="L1033" s="2163"/>
      <c r="M1033" s="2163"/>
    </row>
    <row r="1034" spans="1:15">
      <c r="A1034" s="2164"/>
      <c r="H1034" s="2522" t="s">
        <v>2637</v>
      </c>
      <c r="I1034" s="2522"/>
      <c r="J1034" s="2163"/>
      <c r="K1034" s="2523">
        <v>0.75229999999999997</v>
      </c>
      <c r="L1034" s="2523"/>
      <c r="M1034" s="2163"/>
      <c r="N1034" s="2527">
        <v>41</v>
      </c>
      <c r="O1034" s="2163"/>
    </row>
    <row r="1035" spans="1:15">
      <c r="H1035" s="2163"/>
      <c r="I1035" s="2163"/>
      <c r="J1035" s="2163"/>
      <c r="K1035" s="2523"/>
      <c r="L1035" s="2523"/>
      <c r="N1035" s="2527"/>
    </row>
    <row r="1036" spans="1:15">
      <c r="A1036" s="2165">
        <v>35647</v>
      </c>
      <c r="B1036" s="2163"/>
      <c r="C1036" s="2524" t="s">
        <v>2885</v>
      </c>
      <c r="D1036" s="2524"/>
      <c r="E1036" s="2524"/>
      <c r="F1036" s="2524"/>
      <c r="G1036" s="2524"/>
      <c r="H1036" s="2524"/>
      <c r="I1036" s="2524"/>
      <c r="J1036" s="2163"/>
      <c r="K1036" s="2163"/>
      <c r="L1036" s="2163"/>
      <c r="M1036" s="2163"/>
    </row>
    <row r="1037" spans="1:15">
      <c r="A1037" s="2163"/>
      <c r="B1037" s="2163"/>
      <c r="C1037" s="2163"/>
      <c r="D1037" s="2163"/>
      <c r="E1037" s="2163"/>
      <c r="F1037" s="2163"/>
      <c r="G1037" s="2163"/>
      <c r="H1037" s="2163"/>
      <c r="I1037" s="2163"/>
      <c r="J1037" s="2163"/>
      <c r="K1037" s="2163"/>
      <c r="L1037" s="2163"/>
      <c r="M1037" s="2163"/>
    </row>
    <row r="1038" spans="1:15">
      <c r="A1038" s="2529"/>
      <c r="B1038" s="2529"/>
      <c r="C1038" s="2529"/>
      <c r="D1038" s="2166"/>
      <c r="E1038" s="2166"/>
      <c r="F1038" s="2166"/>
      <c r="G1038" s="2166"/>
      <c r="H1038" s="2525"/>
      <c r="I1038" s="2525"/>
      <c r="J1038" s="2525"/>
      <c r="K1038" s="2166"/>
      <c r="L1038" s="2167"/>
      <c r="M1038" s="2166"/>
    </row>
    <row r="1039" spans="1:15">
      <c r="A1039" s="2164"/>
      <c r="B1039" s="2164"/>
      <c r="C1039" s="2164"/>
      <c r="D1039" s="2164"/>
      <c r="E1039" s="2522" t="s">
        <v>2639</v>
      </c>
      <c r="F1039" s="2522"/>
      <c r="G1039" s="2164"/>
      <c r="H1039" s="2523">
        <v>0.75229999999999997</v>
      </c>
      <c r="I1039" s="2523"/>
      <c r="J1039" s="2523"/>
      <c r="K1039" s="2163"/>
      <c r="L1039" s="2523">
        <v>41.61</v>
      </c>
      <c r="M1039" s="2163"/>
    </row>
    <row r="1040" spans="1:15">
      <c r="A1040" s="2164"/>
      <c r="B1040" s="2164"/>
      <c r="C1040" s="2164"/>
      <c r="D1040" s="2164"/>
      <c r="E1040" s="2164"/>
      <c r="F1040" s="2164"/>
      <c r="G1040" s="2164"/>
      <c r="H1040" s="2523"/>
      <c r="I1040" s="2523"/>
      <c r="J1040" s="2523"/>
      <c r="K1040" s="2163"/>
      <c r="L1040" s="2523"/>
      <c r="M1040" s="2163"/>
    </row>
    <row r="1041" spans="1:15">
      <c r="A1041" s="2160" t="s">
        <v>1195</v>
      </c>
      <c r="B1041" s="2161"/>
      <c r="C1041" s="2160" t="s">
        <v>2706</v>
      </c>
      <c r="D1041" s="2161"/>
      <c r="E1041" s="2160" t="s">
        <v>2640</v>
      </c>
      <c r="F1041" s="2161"/>
    </row>
    <row r="1042" spans="1:15">
      <c r="A1042" s="2163"/>
      <c r="B1042" s="2163"/>
      <c r="C1042" s="2163"/>
      <c r="D1042" s="2163"/>
      <c r="E1042" s="2163"/>
      <c r="F1042" s="2163"/>
      <c r="G1042" s="2163"/>
      <c r="H1042" s="2163"/>
      <c r="I1042" s="2163"/>
      <c r="J1042" s="2163"/>
      <c r="K1042" s="2163"/>
      <c r="L1042" s="2163"/>
      <c r="M1042" s="2163"/>
    </row>
    <row r="1043" spans="1:15">
      <c r="A1043" s="2164"/>
      <c r="H1043" s="2522" t="s">
        <v>2637</v>
      </c>
      <c r="I1043" s="2522"/>
      <c r="J1043" s="2163"/>
      <c r="K1043" s="2523">
        <v>0</v>
      </c>
      <c r="L1043" s="2523"/>
      <c r="M1043" s="2163"/>
      <c r="N1043" s="2527"/>
      <c r="O1043" s="2163"/>
    </row>
    <row r="1044" spans="1:15">
      <c r="H1044" s="2163"/>
      <c r="I1044" s="2163"/>
      <c r="J1044" s="2163"/>
      <c r="K1044" s="2523"/>
      <c r="L1044" s="2523"/>
      <c r="N1044" s="2527"/>
    </row>
    <row r="1045" spans="1:15">
      <c r="A1045" s="2165">
        <v>75627</v>
      </c>
      <c r="B1045" s="2163"/>
      <c r="C1045" s="2524" t="s">
        <v>2889</v>
      </c>
      <c r="D1045" s="2524"/>
      <c r="E1045" s="2524"/>
      <c r="F1045" s="2524"/>
      <c r="G1045" s="2524"/>
      <c r="H1045" s="2524"/>
      <c r="I1045" s="2524"/>
      <c r="J1045" s="2163"/>
      <c r="K1045" s="2163"/>
      <c r="L1045" s="2163"/>
      <c r="M1045" s="2163"/>
    </row>
    <row r="1046" spans="1:15">
      <c r="A1046" s="2163"/>
      <c r="B1046" s="2163"/>
      <c r="C1046" s="2163"/>
      <c r="D1046" s="2163"/>
      <c r="E1046" s="2163"/>
      <c r="F1046" s="2163"/>
      <c r="G1046" s="2163"/>
      <c r="H1046" s="2163"/>
      <c r="I1046" s="2163"/>
      <c r="J1046" s="2163"/>
      <c r="K1046" s="2163"/>
      <c r="L1046" s="2163"/>
      <c r="M1046" s="2163"/>
    </row>
    <row r="1047" spans="1:15">
      <c r="A1047" s="2520" t="s">
        <v>2649</v>
      </c>
      <c r="B1047" s="2520"/>
      <c r="C1047" s="2520"/>
      <c r="D1047" s="2166"/>
      <c r="E1047" s="2166"/>
      <c r="F1047" s="2166"/>
      <c r="G1047" s="2166"/>
      <c r="H1047" s="2525">
        <v>0.253</v>
      </c>
      <c r="I1047" s="2525"/>
      <c r="J1047" s="2525"/>
      <c r="K1047" s="2166"/>
      <c r="L1047" s="2167">
        <v>14</v>
      </c>
      <c r="M1047" s="2166"/>
    </row>
    <row r="1048" spans="1:15">
      <c r="A1048" s="2164"/>
      <c r="B1048" s="2164"/>
      <c r="C1048" s="2164"/>
      <c r="D1048" s="2164"/>
      <c r="E1048" s="2522" t="s">
        <v>2639</v>
      </c>
      <c r="F1048" s="2522"/>
      <c r="G1048" s="2164"/>
      <c r="H1048" s="2523">
        <v>0.25330000000000003</v>
      </c>
      <c r="I1048" s="2523"/>
      <c r="J1048" s="2523"/>
      <c r="K1048" s="2163"/>
      <c r="L1048" s="2523">
        <v>14.01</v>
      </c>
      <c r="M1048" s="2163"/>
    </row>
    <row r="1049" spans="1:15">
      <c r="A1049" s="2164"/>
      <c r="B1049" s="2164"/>
      <c r="C1049" s="2164"/>
      <c r="D1049" s="2164"/>
      <c r="E1049" s="2164"/>
      <c r="F1049" s="2164"/>
      <c r="G1049" s="2164"/>
      <c r="H1049" s="2523"/>
      <c r="I1049" s="2523"/>
      <c r="J1049" s="2523"/>
      <c r="K1049" s="2163"/>
      <c r="L1049" s="2523"/>
      <c r="M1049" s="2163"/>
    </row>
    <row r="1050" spans="1:15">
      <c r="A1050" s="2160" t="s">
        <v>1195</v>
      </c>
      <c r="B1050" s="2161"/>
      <c r="C1050" s="2160" t="s">
        <v>2706</v>
      </c>
      <c r="D1050" s="2161"/>
      <c r="E1050" s="2160" t="s">
        <v>2640</v>
      </c>
      <c r="F1050" s="2161"/>
    </row>
    <row r="1051" spans="1:15">
      <c r="A1051" s="2163"/>
      <c r="B1051" s="2163"/>
      <c r="C1051" s="2163"/>
      <c r="D1051" s="2163"/>
      <c r="E1051" s="2163"/>
      <c r="F1051" s="2163"/>
      <c r="G1051" s="2163"/>
      <c r="H1051" s="2163"/>
      <c r="I1051" s="2163"/>
      <c r="J1051" s="2163"/>
      <c r="K1051" s="2163"/>
      <c r="L1051" s="2163"/>
      <c r="M1051" s="2163"/>
    </row>
    <row r="1052" spans="1:15">
      <c r="A1052" s="2164"/>
      <c r="H1052" s="2522" t="s">
        <v>2637</v>
      </c>
      <c r="I1052" s="2522"/>
      <c r="J1052" s="2163"/>
      <c r="K1052" s="2523">
        <v>0</v>
      </c>
      <c r="L1052" s="2523"/>
      <c r="M1052" s="2163"/>
      <c r="N1052" s="2527"/>
      <c r="O1052" s="2163"/>
    </row>
    <row r="1053" spans="1:15">
      <c r="H1053" s="2163"/>
      <c r="I1053" s="2163"/>
      <c r="J1053" s="2163"/>
      <c r="K1053" s="2523"/>
      <c r="L1053" s="2523"/>
      <c r="N1053" s="2527"/>
    </row>
    <row r="1054" spans="1:15">
      <c r="A1054" s="2165">
        <v>75677</v>
      </c>
      <c r="B1054" s="2163"/>
      <c r="C1054" s="2524" t="s">
        <v>2890</v>
      </c>
      <c r="D1054" s="2524"/>
      <c r="E1054" s="2524"/>
      <c r="F1054" s="2524"/>
      <c r="G1054" s="2524"/>
      <c r="H1054" s="2524"/>
      <c r="I1054" s="2524"/>
      <c r="J1054" s="2163"/>
      <c r="K1054" s="2163"/>
      <c r="L1054" s="2163"/>
      <c r="M1054" s="2163"/>
    </row>
    <row r="1055" spans="1:15">
      <c r="A1055" s="2163"/>
      <c r="B1055" s="2163"/>
      <c r="C1055" s="2163"/>
      <c r="D1055" s="2163"/>
      <c r="E1055" s="2163"/>
      <c r="F1055" s="2163"/>
      <c r="G1055" s="2163"/>
      <c r="H1055" s="2163"/>
      <c r="I1055" s="2163"/>
      <c r="J1055" s="2163"/>
      <c r="K1055" s="2163"/>
      <c r="L1055" s="2163"/>
      <c r="M1055" s="2163"/>
    </row>
    <row r="1056" spans="1:15">
      <c r="A1056" s="2520" t="s">
        <v>2649</v>
      </c>
      <c r="B1056" s="2520"/>
      <c r="C1056" s="2520"/>
      <c r="D1056" s="2166"/>
      <c r="E1056" s="2166"/>
      <c r="F1056" s="2166"/>
      <c r="G1056" s="2166"/>
      <c r="H1056" s="2525">
        <v>4.6319999999999997</v>
      </c>
      <c r="I1056" s="2525"/>
      <c r="J1056" s="2525"/>
      <c r="K1056" s="2166"/>
      <c r="L1056" s="2167">
        <v>256</v>
      </c>
      <c r="M1056" s="2166"/>
    </row>
    <row r="1057" spans="1:15">
      <c r="A1057" s="2164"/>
      <c r="B1057" s="2164"/>
      <c r="C1057" s="2164"/>
      <c r="D1057" s="2164"/>
      <c r="E1057" s="2522" t="s">
        <v>2639</v>
      </c>
      <c r="F1057" s="2522"/>
      <c r="G1057" s="2164"/>
      <c r="H1057" s="2523">
        <v>4.6317000000000004</v>
      </c>
      <c r="I1057" s="2523"/>
      <c r="J1057" s="2523"/>
      <c r="K1057" s="2163"/>
      <c r="L1057" s="2523">
        <v>256.19</v>
      </c>
      <c r="M1057" s="2163"/>
    </row>
    <row r="1058" spans="1:15">
      <c r="A1058" s="2164"/>
      <c r="B1058" s="2164"/>
      <c r="C1058" s="2164"/>
      <c r="D1058" s="2164"/>
      <c r="E1058" s="2164"/>
      <c r="F1058" s="2164"/>
      <c r="G1058" s="2164"/>
      <c r="H1058" s="2523"/>
      <c r="I1058" s="2523"/>
      <c r="J1058" s="2523"/>
      <c r="K1058" s="2163"/>
      <c r="L1058" s="2523"/>
      <c r="M1058" s="2163"/>
    </row>
    <row r="1059" spans="1:15">
      <c r="A1059" s="2160" t="s">
        <v>1195</v>
      </c>
      <c r="B1059" s="2161"/>
      <c r="C1059" s="2160" t="s">
        <v>2706</v>
      </c>
      <c r="D1059" s="2161"/>
      <c r="E1059" s="2160" t="s">
        <v>2640</v>
      </c>
      <c r="F1059" s="2161"/>
    </row>
    <row r="1060" spans="1:15">
      <c r="A1060" s="2163"/>
      <c r="B1060" s="2163"/>
      <c r="C1060" s="2163"/>
      <c r="D1060" s="2163"/>
      <c r="E1060" s="2163"/>
      <c r="F1060" s="2163"/>
      <c r="G1060" s="2163"/>
      <c r="H1060" s="2163"/>
      <c r="I1060" s="2163"/>
      <c r="J1060" s="2163"/>
      <c r="K1060" s="2163"/>
      <c r="L1060" s="2163"/>
      <c r="M1060" s="2163"/>
    </row>
    <row r="1061" spans="1:15">
      <c r="A1061" s="2164"/>
      <c r="H1061" s="2522" t="s">
        <v>2637</v>
      </c>
      <c r="I1061" s="2522"/>
      <c r="J1061" s="2163"/>
      <c r="K1061" s="2523">
        <v>1.7399999999999999E-2</v>
      </c>
      <c r="L1061" s="2523"/>
      <c r="M1061" s="2163"/>
      <c r="N1061" s="2527">
        <v>1</v>
      </c>
      <c r="O1061" s="2163"/>
    </row>
    <row r="1062" spans="1:15">
      <c r="H1062" s="2163"/>
      <c r="I1062" s="2163"/>
      <c r="J1062" s="2163"/>
      <c r="K1062" s="2523"/>
      <c r="L1062" s="2523"/>
      <c r="N1062" s="2527"/>
    </row>
    <row r="1063" spans="1:15">
      <c r="A1063" s="2165">
        <v>73898</v>
      </c>
      <c r="B1063" s="2163"/>
      <c r="C1063" s="2524" t="s">
        <v>2880</v>
      </c>
      <c r="D1063" s="2524"/>
      <c r="E1063" s="2524"/>
      <c r="F1063" s="2524"/>
      <c r="G1063" s="2524"/>
      <c r="H1063" s="2524"/>
      <c r="I1063" s="2524"/>
      <c r="J1063" s="2163"/>
      <c r="K1063" s="2163"/>
      <c r="L1063" s="2163"/>
      <c r="M1063" s="2163"/>
    </row>
    <row r="1064" spans="1:15">
      <c r="A1064" s="2163"/>
      <c r="B1064" s="2163"/>
      <c r="C1064" s="2163"/>
      <c r="D1064" s="2163"/>
      <c r="E1064" s="2163"/>
      <c r="F1064" s="2163"/>
      <c r="G1064" s="2163"/>
      <c r="H1064" s="2163"/>
      <c r="I1064" s="2163"/>
      <c r="J1064" s="2163"/>
      <c r="K1064" s="2163"/>
      <c r="L1064" s="2163"/>
      <c r="M1064" s="2163"/>
    </row>
    <row r="1065" spans="1:15">
      <c r="A1065" s="2529"/>
      <c r="B1065" s="2529"/>
      <c r="C1065" s="2529"/>
      <c r="D1065" s="2166"/>
      <c r="E1065" s="2166"/>
      <c r="F1065" s="2166"/>
      <c r="G1065" s="2166"/>
      <c r="H1065" s="2525"/>
      <c r="I1065" s="2525"/>
      <c r="J1065" s="2525"/>
      <c r="K1065" s="2166"/>
      <c r="L1065" s="2167"/>
      <c r="M1065" s="2166"/>
    </row>
    <row r="1066" spans="1:15">
      <c r="A1066" s="2164"/>
      <c r="B1066" s="2164"/>
      <c r="C1066" s="2164"/>
      <c r="D1066" s="2164"/>
      <c r="E1066" s="2522" t="s">
        <v>2639</v>
      </c>
      <c r="F1066" s="2522"/>
      <c r="G1066" s="2164"/>
      <c r="H1066" s="2523">
        <v>1.7399999999999999E-2</v>
      </c>
      <c r="I1066" s="2523"/>
      <c r="J1066" s="2523"/>
      <c r="K1066" s="2163"/>
      <c r="L1066" s="2523">
        <v>0.96</v>
      </c>
      <c r="M1066" s="2163"/>
    </row>
    <row r="1067" spans="1:15">
      <c r="A1067" s="2164"/>
      <c r="B1067" s="2164"/>
      <c r="C1067" s="2164"/>
      <c r="D1067" s="2164"/>
      <c r="E1067" s="2164"/>
      <c r="F1067" s="2164"/>
      <c r="G1067" s="2164"/>
      <c r="H1067" s="2523"/>
      <c r="I1067" s="2523"/>
      <c r="J1067" s="2523"/>
      <c r="K1067" s="2163"/>
      <c r="L1067" s="2523"/>
      <c r="M1067" s="2163"/>
    </row>
    <row r="1068" spans="1:15">
      <c r="A1068" s="2160" t="s">
        <v>2712</v>
      </c>
      <c r="B1068" s="2161"/>
      <c r="C1068" s="2160" t="s">
        <v>2713</v>
      </c>
      <c r="D1068" s="2161"/>
      <c r="E1068" s="2160" t="s">
        <v>2640</v>
      </c>
      <c r="F1068" s="2161"/>
    </row>
    <row r="1069" spans="1:15">
      <c r="A1069" s="2163"/>
      <c r="B1069" s="2163"/>
      <c r="C1069" s="2163"/>
      <c r="D1069" s="2163"/>
      <c r="E1069" s="2163"/>
      <c r="F1069" s="2163"/>
      <c r="G1069" s="2163"/>
      <c r="H1069" s="2163"/>
      <c r="I1069" s="2163"/>
      <c r="J1069" s="2163"/>
      <c r="K1069" s="2163"/>
      <c r="L1069" s="2163"/>
      <c r="M1069" s="2163"/>
    </row>
    <row r="1070" spans="1:15">
      <c r="A1070" s="2164"/>
      <c r="H1070" s="2522" t="s">
        <v>2637</v>
      </c>
      <c r="I1070" s="2522"/>
      <c r="J1070" s="2163"/>
      <c r="K1070" s="2523">
        <v>-2.9999999999999997E-4</v>
      </c>
      <c r="L1070" s="2523"/>
      <c r="M1070" s="2163"/>
      <c r="N1070" s="2527"/>
      <c r="O1070" s="2163"/>
    </row>
    <row r="1071" spans="1:15">
      <c r="H1071" s="2163"/>
      <c r="I1071" s="2163"/>
      <c r="J1071" s="2163"/>
      <c r="K1071" s="2523"/>
      <c r="L1071" s="2523"/>
      <c r="N1071" s="2527"/>
    </row>
    <row r="1072" spans="1:15">
      <c r="A1072" s="2165">
        <v>2300</v>
      </c>
      <c r="B1072" s="2163"/>
      <c r="C1072" s="2524" t="s">
        <v>2880</v>
      </c>
      <c r="D1072" s="2524"/>
      <c r="E1072" s="2524"/>
      <c r="F1072" s="2524"/>
      <c r="G1072" s="2524"/>
      <c r="H1072" s="2524"/>
      <c r="I1072" s="2524"/>
      <c r="J1072" s="2163"/>
      <c r="K1072" s="2163"/>
      <c r="L1072" s="2163"/>
      <c r="M1072" s="2163"/>
    </row>
    <row r="1073" spans="1:15">
      <c r="A1073" s="2163"/>
      <c r="B1073" s="2163"/>
      <c r="C1073" s="2163"/>
      <c r="D1073" s="2163"/>
      <c r="E1073" s="2163"/>
      <c r="F1073" s="2163"/>
      <c r="G1073" s="2163"/>
      <c r="H1073" s="2163"/>
      <c r="I1073" s="2163"/>
      <c r="J1073" s="2163"/>
      <c r="K1073" s="2163"/>
      <c r="L1073" s="2163"/>
      <c r="M1073" s="2163"/>
    </row>
    <row r="1074" spans="1:15">
      <c r="A1074" s="2529"/>
      <c r="B1074" s="2529"/>
      <c r="C1074" s="2529"/>
      <c r="D1074" s="2166"/>
      <c r="E1074" s="2166"/>
      <c r="F1074" s="2166"/>
      <c r="G1074" s="2166"/>
      <c r="H1074" s="2525"/>
      <c r="I1074" s="2525"/>
      <c r="J1074" s="2525"/>
      <c r="K1074" s="2166"/>
      <c r="L1074" s="2167"/>
      <c r="M1074" s="2166"/>
    </row>
    <row r="1075" spans="1:15">
      <c r="A1075" s="2164"/>
      <c r="B1075" s="2164"/>
      <c r="C1075" s="2164"/>
      <c r="D1075" s="2164"/>
      <c r="E1075" s="2522" t="s">
        <v>2639</v>
      </c>
      <c r="F1075" s="2522"/>
      <c r="G1075" s="2164"/>
      <c r="H1075" s="2523">
        <v>-2.9999999999999997E-4</v>
      </c>
      <c r="I1075" s="2523"/>
      <c r="J1075" s="2523"/>
      <c r="K1075" s="2163"/>
      <c r="L1075" s="2523">
        <v>0</v>
      </c>
      <c r="M1075" s="2163"/>
    </row>
    <row r="1076" spans="1:15">
      <c r="A1076" s="2164"/>
      <c r="B1076" s="2164"/>
      <c r="C1076" s="2164"/>
      <c r="D1076" s="2164"/>
      <c r="E1076" s="2164"/>
      <c r="F1076" s="2164"/>
      <c r="G1076" s="2164"/>
      <c r="H1076" s="2523"/>
      <c r="I1076" s="2523"/>
      <c r="J1076" s="2523"/>
      <c r="K1076" s="2163"/>
      <c r="L1076" s="2523"/>
      <c r="M1076" s="2163"/>
    </row>
    <row r="1077" spans="1:15">
      <c r="A1077" s="2160" t="s">
        <v>2712</v>
      </c>
      <c r="B1077" s="2161"/>
      <c r="C1077" s="2160" t="s">
        <v>2713</v>
      </c>
      <c r="D1077" s="2161"/>
      <c r="E1077" s="2160" t="s">
        <v>2640</v>
      </c>
      <c r="F1077" s="2161"/>
    </row>
    <row r="1078" spans="1:15">
      <c r="A1078" s="2163"/>
      <c r="B1078" s="2163"/>
      <c r="C1078" s="2163"/>
      <c r="D1078" s="2163"/>
      <c r="E1078" s="2163"/>
      <c r="F1078" s="2163"/>
      <c r="G1078" s="2163"/>
      <c r="H1078" s="2163"/>
      <c r="I1078" s="2163"/>
      <c r="J1078" s="2163"/>
      <c r="K1078" s="2163"/>
      <c r="L1078" s="2163"/>
      <c r="M1078" s="2163"/>
    </row>
    <row r="1079" spans="1:15">
      <c r="A1079" s="2164"/>
      <c r="H1079" s="2522" t="s">
        <v>2637</v>
      </c>
      <c r="I1079" s="2522"/>
      <c r="J1079" s="2163"/>
      <c r="K1079" s="2523">
        <v>0</v>
      </c>
      <c r="L1079" s="2523"/>
      <c r="M1079" s="2163"/>
      <c r="N1079" s="2527"/>
      <c r="O1079" s="2163"/>
    </row>
    <row r="1080" spans="1:15">
      <c r="H1080" s="2163"/>
      <c r="I1080" s="2163"/>
      <c r="J1080" s="2163"/>
      <c r="K1080" s="2523"/>
      <c r="L1080" s="2523"/>
      <c r="N1080" s="2527"/>
    </row>
    <row r="1081" spans="1:15">
      <c r="A1081" s="2165">
        <v>5178</v>
      </c>
      <c r="B1081" s="2163"/>
      <c r="C1081" s="2524" t="s">
        <v>2880</v>
      </c>
      <c r="D1081" s="2524"/>
      <c r="E1081" s="2524"/>
      <c r="F1081" s="2524"/>
      <c r="G1081" s="2524"/>
      <c r="H1081" s="2524"/>
      <c r="I1081" s="2524"/>
      <c r="J1081" s="2163"/>
      <c r="K1081" s="2163"/>
      <c r="L1081" s="2163"/>
      <c r="M1081" s="2163"/>
    </row>
    <row r="1082" spans="1:15">
      <c r="A1082" s="2163"/>
      <c r="B1082" s="2163"/>
      <c r="C1082" s="2163"/>
      <c r="D1082" s="2163"/>
      <c r="E1082" s="2163"/>
      <c r="F1082" s="2163"/>
      <c r="G1082" s="2163"/>
      <c r="H1082" s="2163"/>
      <c r="I1082" s="2163"/>
      <c r="J1082" s="2163"/>
      <c r="K1082" s="2163"/>
      <c r="L1082" s="2163"/>
      <c r="M1082" s="2163"/>
    </row>
    <row r="1083" spans="1:15">
      <c r="A1083" s="2529"/>
      <c r="B1083" s="2529"/>
      <c r="C1083" s="2529"/>
      <c r="D1083" s="2166"/>
      <c r="E1083" s="2166"/>
      <c r="F1083" s="2166"/>
      <c r="G1083" s="2166"/>
      <c r="H1083" s="2525"/>
      <c r="I1083" s="2525"/>
      <c r="J1083" s="2525"/>
      <c r="K1083" s="2166"/>
      <c r="L1083" s="2167"/>
      <c r="M1083" s="2166"/>
    </row>
    <row r="1084" spans="1:15">
      <c r="A1084" s="2164"/>
      <c r="B1084" s="2164"/>
      <c r="C1084" s="2164"/>
      <c r="D1084" s="2164"/>
      <c r="E1084" s="2522" t="s">
        <v>2639</v>
      </c>
      <c r="F1084" s="2522"/>
      <c r="G1084" s="2164"/>
      <c r="H1084" s="2523">
        <v>0</v>
      </c>
      <c r="I1084" s="2523"/>
      <c r="J1084" s="2523"/>
      <c r="K1084" s="2163"/>
      <c r="L1084" s="2523">
        <v>0</v>
      </c>
      <c r="M1084" s="2163"/>
    </row>
    <row r="1085" spans="1:15">
      <c r="A1085" s="2164"/>
      <c r="B1085" s="2164"/>
      <c r="C1085" s="2164"/>
      <c r="D1085" s="2164"/>
      <c r="E1085" s="2164"/>
      <c r="F1085" s="2164"/>
      <c r="G1085" s="2164"/>
      <c r="H1085" s="2523"/>
      <c r="I1085" s="2523"/>
      <c r="J1085" s="2523"/>
      <c r="K1085" s="2163"/>
      <c r="L1085" s="2523"/>
      <c r="M1085" s="2163"/>
    </row>
    <row r="1086" spans="1:15">
      <c r="A1086" s="2160" t="s">
        <v>2712</v>
      </c>
      <c r="B1086" s="2161"/>
      <c r="C1086" s="2160" t="s">
        <v>2713</v>
      </c>
      <c r="D1086" s="2161"/>
      <c r="E1086" s="2160" t="s">
        <v>2640</v>
      </c>
      <c r="F1086" s="2161"/>
    </row>
    <row r="1087" spans="1:15">
      <c r="A1087" s="2163"/>
      <c r="B1087" s="2163"/>
      <c r="C1087" s="2163"/>
      <c r="D1087" s="2163"/>
      <c r="E1087" s="2163"/>
      <c r="F1087" s="2163"/>
      <c r="G1087" s="2163"/>
      <c r="H1087" s="2163"/>
      <c r="I1087" s="2163"/>
      <c r="J1087" s="2163"/>
      <c r="K1087" s="2163"/>
      <c r="L1087" s="2163"/>
      <c r="M1087" s="2163"/>
    </row>
    <row r="1088" spans="1:15">
      <c r="A1088" s="2164"/>
      <c r="H1088" s="2522" t="s">
        <v>2637</v>
      </c>
      <c r="I1088" s="2522"/>
      <c r="J1088" s="2163"/>
      <c r="K1088" s="2523">
        <v>87.802199999999999</v>
      </c>
      <c r="L1088" s="2523"/>
      <c r="M1088" s="2163"/>
      <c r="N1088" s="2527" t="s">
        <v>3139</v>
      </c>
      <c r="O1088" s="2163"/>
    </row>
    <row r="1089" spans="1:15">
      <c r="H1089" s="2163"/>
      <c r="I1089" s="2163"/>
      <c r="J1089" s="2163"/>
      <c r="K1089" s="2523"/>
      <c r="L1089" s="2523"/>
      <c r="N1089" s="2527"/>
    </row>
    <row r="1090" spans="1:15">
      <c r="A1090" s="2165">
        <v>40568</v>
      </c>
      <c r="B1090" s="2163"/>
      <c r="C1090" s="2524" t="s">
        <v>2882</v>
      </c>
      <c r="D1090" s="2524"/>
      <c r="E1090" s="2524"/>
      <c r="F1090" s="2524"/>
      <c r="G1090" s="2524"/>
      <c r="H1090" s="2524"/>
      <c r="I1090" s="2524"/>
      <c r="J1090" s="2163"/>
      <c r="K1090" s="2163"/>
      <c r="L1090" s="2163"/>
      <c r="M1090" s="2163"/>
    </row>
    <row r="1091" spans="1:15">
      <c r="A1091" s="2163"/>
      <c r="B1091" s="2163"/>
      <c r="C1091" s="2163"/>
      <c r="D1091" s="2163"/>
      <c r="E1091" s="2163"/>
      <c r="F1091" s="2163"/>
      <c r="G1091" s="2163"/>
      <c r="H1091" s="2163"/>
      <c r="I1091" s="2163"/>
      <c r="J1091" s="2163"/>
      <c r="K1091" s="2163"/>
      <c r="L1091" s="2163"/>
      <c r="M1091" s="2163"/>
    </row>
    <row r="1092" spans="1:15">
      <c r="A1092" s="2520" t="s">
        <v>2679</v>
      </c>
      <c r="B1092" s="2520"/>
      <c r="C1092" s="2520"/>
      <c r="D1092" s="2166"/>
      <c r="E1092" s="2166"/>
      <c r="F1092" s="2166"/>
      <c r="G1092" s="2166"/>
      <c r="H1092" s="2525">
        <v>-55.16</v>
      </c>
      <c r="I1092" s="2525"/>
      <c r="J1092" s="2525"/>
      <c r="K1092" s="2166"/>
      <c r="L1092" s="2167">
        <v>-620</v>
      </c>
      <c r="M1092" s="2166"/>
    </row>
    <row r="1093" spans="1:15">
      <c r="A1093" s="2164"/>
      <c r="B1093" s="2164"/>
      <c r="C1093" s="2164"/>
      <c r="D1093" s="2164"/>
      <c r="E1093" s="2522" t="s">
        <v>2639</v>
      </c>
      <c r="F1093" s="2522"/>
      <c r="G1093" s="2164"/>
      <c r="H1093" s="2523">
        <v>32.642099999999999</v>
      </c>
      <c r="I1093" s="2523"/>
      <c r="J1093" s="2523"/>
      <c r="K1093" s="2163"/>
      <c r="L1093" s="2523">
        <v>369.83</v>
      </c>
      <c r="M1093" s="2163"/>
    </row>
    <row r="1094" spans="1:15">
      <c r="A1094" s="2164"/>
      <c r="B1094" s="2164"/>
      <c r="C1094" s="2164"/>
      <c r="D1094" s="2164"/>
      <c r="E1094" s="2164"/>
      <c r="F1094" s="2164"/>
      <c r="G1094" s="2164"/>
      <c r="H1094" s="2523"/>
      <c r="I1094" s="2523"/>
      <c r="J1094" s="2523"/>
      <c r="K1094" s="2163"/>
      <c r="L1094" s="2523"/>
      <c r="M1094" s="2163"/>
    </row>
    <row r="1095" spans="1:15">
      <c r="A1095" s="2160" t="s">
        <v>2712</v>
      </c>
      <c r="B1095" s="2161"/>
      <c r="C1095" s="2160" t="s">
        <v>2713</v>
      </c>
      <c r="D1095" s="2161"/>
      <c r="E1095" s="2160" t="s">
        <v>2640</v>
      </c>
      <c r="F1095" s="2161"/>
    </row>
    <row r="1096" spans="1:15">
      <c r="A1096" s="2163"/>
      <c r="B1096" s="2163"/>
      <c r="C1096" s="2163"/>
      <c r="D1096" s="2163"/>
      <c r="E1096" s="2163"/>
      <c r="F1096" s="2163"/>
      <c r="G1096" s="2163"/>
      <c r="H1096" s="2163"/>
      <c r="I1096" s="2163"/>
      <c r="J1096" s="2163"/>
      <c r="K1096" s="2163"/>
      <c r="L1096" s="2163"/>
      <c r="M1096" s="2163"/>
    </row>
    <row r="1097" spans="1:15">
      <c r="A1097" s="2164"/>
      <c r="H1097" s="2522" t="s">
        <v>2637</v>
      </c>
      <c r="I1097" s="2522"/>
      <c r="J1097" s="2163"/>
      <c r="K1097" s="2523">
        <v>0</v>
      </c>
      <c r="L1097" s="2523"/>
      <c r="M1097" s="2163"/>
      <c r="N1097" s="2527"/>
      <c r="O1097" s="2163"/>
    </row>
    <row r="1098" spans="1:15">
      <c r="H1098" s="2163"/>
      <c r="I1098" s="2163"/>
      <c r="J1098" s="2163"/>
      <c r="K1098" s="2523"/>
      <c r="L1098" s="2523"/>
      <c r="N1098" s="2527"/>
    </row>
    <row r="1099" spans="1:15">
      <c r="A1099" s="2165">
        <v>73898</v>
      </c>
      <c r="B1099" s="2163"/>
      <c r="C1099" s="2524" t="s">
        <v>2880</v>
      </c>
      <c r="D1099" s="2524"/>
      <c r="E1099" s="2524"/>
      <c r="F1099" s="2524"/>
      <c r="G1099" s="2524"/>
      <c r="H1099" s="2524"/>
      <c r="I1099" s="2524"/>
      <c r="J1099" s="2163"/>
      <c r="K1099" s="2163"/>
      <c r="L1099" s="2163"/>
      <c r="M1099" s="2163"/>
    </row>
    <row r="1100" spans="1:15">
      <c r="A1100" s="2163"/>
      <c r="B1100" s="2163"/>
      <c r="C1100" s="2163"/>
      <c r="D1100" s="2163"/>
      <c r="E1100" s="2163"/>
      <c r="F1100" s="2163"/>
      <c r="G1100" s="2163"/>
      <c r="H1100" s="2163"/>
      <c r="I1100" s="2163"/>
      <c r="J1100" s="2163"/>
      <c r="K1100" s="2163"/>
      <c r="L1100" s="2163"/>
      <c r="M1100" s="2163"/>
    </row>
    <row r="1101" spans="1:15">
      <c r="A1101" s="2529"/>
      <c r="B1101" s="2529"/>
      <c r="C1101" s="2529"/>
      <c r="D1101" s="2166"/>
      <c r="E1101" s="2166"/>
      <c r="F1101" s="2166"/>
      <c r="G1101" s="2166"/>
      <c r="H1101" s="2525"/>
      <c r="I1101" s="2525"/>
      <c r="J1101" s="2525"/>
      <c r="K1101" s="2166"/>
      <c r="L1101" s="2167"/>
      <c r="M1101" s="2166"/>
    </row>
    <row r="1102" spans="1:15">
      <c r="A1102" s="2164"/>
      <c r="B1102" s="2164"/>
      <c r="C1102" s="2164"/>
      <c r="D1102" s="2164"/>
      <c r="E1102" s="2522" t="s">
        <v>2639</v>
      </c>
      <c r="F1102" s="2522"/>
      <c r="G1102" s="2164"/>
      <c r="H1102" s="2523">
        <v>0</v>
      </c>
      <c r="I1102" s="2523"/>
      <c r="J1102" s="2523"/>
      <c r="K1102" s="2163"/>
      <c r="L1102" s="2523">
        <v>0</v>
      </c>
      <c r="M1102" s="2163"/>
    </row>
    <row r="1103" spans="1:15">
      <c r="A1103" s="2164"/>
      <c r="B1103" s="2164"/>
      <c r="C1103" s="2164"/>
      <c r="D1103" s="2164"/>
      <c r="E1103" s="2164"/>
      <c r="F1103" s="2164"/>
      <c r="G1103" s="2164"/>
      <c r="H1103" s="2523"/>
      <c r="I1103" s="2523"/>
      <c r="J1103" s="2523"/>
      <c r="K1103" s="2163"/>
      <c r="L1103" s="2523"/>
      <c r="M1103" s="2163"/>
    </row>
    <row r="1104" spans="1:15">
      <c r="A1104" s="2160" t="s">
        <v>2723</v>
      </c>
      <c r="B1104" s="2161"/>
      <c r="C1104" s="2160" t="s">
        <v>2724</v>
      </c>
      <c r="D1104" s="2161"/>
      <c r="E1104" s="2160" t="s">
        <v>2722</v>
      </c>
      <c r="F1104" s="2161"/>
    </row>
    <row r="1105" spans="1:15">
      <c r="A1105" s="2163"/>
      <c r="B1105" s="2163"/>
      <c r="C1105" s="2163"/>
      <c r="D1105" s="2163"/>
      <c r="E1105" s="2163"/>
      <c r="F1105" s="2163"/>
      <c r="G1105" s="2163"/>
      <c r="H1105" s="2163"/>
      <c r="I1105" s="2163"/>
      <c r="J1105" s="2163"/>
      <c r="K1105" s="2163"/>
      <c r="L1105" s="2163"/>
      <c r="M1105" s="2163"/>
    </row>
    <row r="1106" spans="1:15">
      <c r="A1106" s="2164"/>
      <c r="H1106" s="2522" t="s">
        <v>2637</v>
      </c>
      <c r="I1106" s="2522"/>
      <c r="J1106" s="2163"/>
      <c r="K1106" s="2523">
        <v>0</v>
      </c>
      <c r="L1106" s="2523"/>
      <c r="M1106" s="2163"/>
      <c r="N1106" s="2527"/>
      <c r="O1106" s="2163"/>
    </row>
    <row r="1107" spans="1:15">
      <c r="H1107" s="2163"/>
      <c r="I1107" s="2163"/>
      <c r="J1107" s="2163"/>
      <c r="K1107" s="2523"/>
      <c r="L1107" s="2523"/>
      <c r="N1107" s="2527"/>
    </row>
    <row r="1108" spans="1:15">
      <c r="A1108" s="2165">
        <v>2300</v>
      </c>
      <c r="B1108" s="2163"/>
      <c r="C1108" s="2524" t="s">
        <v>2880</v>
      </c>
      <c r="D1108" s="2524"/>
      <c r="E1108" s="2524"/>
      <c r="F1108" s="2524"/>
      <c r="G1108" s="2524"/>
      <c r="H1108" s="2524"/>
      <c r="I1108" s="2524"/>
      <c r="J1108" s="2163"/>
      <c r="K1108" s="2163"/>
      <c r="L1108" s="2163"/>
      <c r="M1108" s="2163"/>
    </row>
    <row r="1109" spans="1:15">
      <c r="A1109" s="2163"/>
      <c r="B1109" s="2163"/>
      <c r="C1109" s="2163"/>
      <c r="D1109" s="2163"/>
      <c r="E1109" s="2163"/>
      <c r="F1109" s="2163"/>
      <c r="G1109" s="2163"/>
      <c r="H1109" s="2163"/>
      <c r="I1109" s="2163"/>
      <c r="J1109" s="2163"/>
      <c r="K1109" s="2163"/>
      <c r="L1109" s="2163"/>
      <c r="M1109" s="2163"/>
    </row>
    <row r="1110" spans="1:15">
      <c r="A1110" s="2529"/>
      <c r="B1110" s="2529"/>
      <c r="C1110" s="2529"/>
      <c r="D1110" s="2166"/>
      <c r="E1110" s="2166"/>
      <c r="F1110" s="2166"/>
      <c r="G1110" s="2166"/>
      <c r="H1110" s="2525"/>
      <c r="I1110" s="2525"/>
      <c r="J1110" s="2525"/>
      <c r="K1110" s="2166"/>
      <c r="L1110" s="2167"/>
      <c r="M1110" s="2166"/>
    </row>
    <row r="1111" spans="1:15">
      <c r="A1111" s="2164"/>
      <c r="B1111" s="2164"/>
      <c r="C1111" s="2164"/>
      <c r="D1111" s="2164"/>
      <c r="E1111" s="2522" t="s">
        <v>2639</v>
      </c>
      <c r="F1111" s="2522"/>
      <c r="G1111" s="2164"/>
      <c r="H1111" s="2523">
        <v>0</v>
      </c>
      <c r="I1111" s="2523"/>
      <c r="J1111" s="2523"/>
      <c r="K1111" s="2163"/>
      <c r="L1111" s="2523">
        <v>0</v>
      </c>
      <c r="M1111" s="2163"/>
    </row>
    <row r="1112" spans="1:15">
      <c r="A1112" s="2164"/>
      <c r="B1112" s="2164"/>
      <c r="C1112" s="2164"/>
      <c r="D1112" s="2164"/>
      <c r="E1112" s="2164"/>
      <c r="F1112" s="2164"/>
      <c r="G1112" s="2164"/>
      <c r="H1112" s="2523"/>
      <c r="I1112" s="2523"/>
      <c r="J1112" s="2523"/>
      <c r="K1112" s="2163"/>
      <c r="L1112" s="2523"/>
      <c r="M1112" s="2163"/>
    </row>
    <row r="1113" spans="1:15">
      <c r="A1113" s="2160" t="s">
        <v>2723</v>
      </c>
      <c r="B1113" s="2161"/>
      <c r="C1113" s="2160" t="s">
        <v>2724</v>
      </c>
      <c r="D1113" s="2161"/>
      <c r="E1113" s="2160" t="s">
        <v>2722</v>
      </c>
      <c r="F1113" s="2161"/>
    </row>
    <row r="1114" spans="1:15">
      <c r="A1114" s="2163"/>
      <c r="B1114" s="2163"/>
      <c r="C1114" s="2163"/>
      <c r="D1114" s="2163"/>
      <c r="E1114" s="2163"/>
      <c r="F1114" s="2163"/>
      <c r="G1114" s="2163"/>
      <c r="H1114" s="2163"/>
      <c r="I1114" s="2163"/>
      <c r="J1114" s="2163"/>
      <c r="K1114" s="2163"/>
      <c r="L1114" s="2163"/>
      <c r="M1114" s="2163"/>
    </row>
    <row r="1115" spans="1:15">
      <c r="A1115" s="2164"/>
      <c r="H1115" s="2522" t="s">
        <v>2637</v>
      </c>
      <c r="I1115" s="2522"/>
      <c r="J1115" s="2163"/>
      <c r="K1115" s="2528">
        <v>726141.56700000004</v>
      </c>
      <c r="L1115" s="2528"/>
      <c r="M1115" s="2163"/>
      <c r="N1115" s="2527" t="s">
        <v>3140</v>
      </c>
      <c r="O1115" s="2163"/>
    </row>
    <row r="1116" spans="1:15">
      <c r="H1116" s="2163"/>
      <c r="I1116" s="2163"/>
      <c r="J1116" s="2163"/>
      <c r="K1116" s="2528"/>
      <c r="L1116" s="2528"/>
      <c r="N1116" s="2527"/>
    </row>
    <row r="1117" spans="1:15">
      <c r="A1117" s="2165">
        <v>5178</v>
      </c>
      <c r="B1117" s="2163"/>
      <c r="C1117" s="2524" t="s">
        <v>2880</v>
      </c>
      <c r="D1117" s="2524"/>
      <c r="E1117" s="2524"/>
      <c r="F1117" s="2524"/>
      <c r="G1117" s="2524"/>
      <c r="H1117" s="2524"/>
      <c r="I1117" s="2524"/>
      <c r="J1117" s="2163"/>
      <c r="K1117" s="2163"/>
      <c r="L1117" s="2163"/>
      <c r="M1117" s="2163"/>
    </row>
    <row r="1118" spans="1:15">
      <c r="A1118" s="2163"/>
      <c r="B1118" s="2163"/>
      <c r="C1118" s="2163"/>
      <c r="D1118" s="2163"/>
      <c r="E1118" s="2163"/>
      <c r="F1118" s="2163"/>
      <c r="G1118" s="2163"/>
      <c r="H1118" s="2163"/>
      <c r="I1118" s="2163"/>
      <c r="J1118" s="2163"/>
      <c r="K1118" s="2163"/>
      <c r="L1118" s="2163"/>
      <c r="M1118" s="2163"/>
    </row>
    <row r="1119" spans="1:15">
      <c r="A1119" s="2520" t="s">
        <v>2647</v>
      </c>
      <c r="B1119" s="2520"/>
      <c r="C1119" s="2520"/>
      <c r="D1119" s="2166"/>
      <c r="E1119" s="2166"/>
      <c r="F1119" s="2166"/>
      <c r="G1119" s="2166"/>
      <c r="H1119" s="2526">
        <v>95693.78</v>
      </c>
      <c r="I1119" s="2526"/>
      <c r="J1119" s="2526"/>
      <c r="K1119" s="2166"/>
      <c r="L1119" s="2177">
        <v>1000000</v>
      </c>
      <c r="M1119" s="2166"/>
    </row>
    <row r="1120" spans="1:15">
      <c r="A1120" s="2520" t="s">
        <v>2648</v>
      </c>
      <c r="B1120" s="2520"/>
      <c r="C1120" s="2520"/>
      <c r="D1120" s="2166"/>
      <c r="E1120" s="2166"/>
      <c r="F1120" s="2166"/>
      <c r="G1120" s="2166"/>
      <c r="H1120" s="2526">
        <v>-272094.73200000002</v>
      </c>
      <c r="I1120" s="2526"/>
      <c r="J1120" s="2526"/>
      <c r="K1120" s="2166"/>
      <c r="L1120" s="2168">
        <v>-2500000</v>
      </c>
      <c r="M1120" s="2166"/>
    </row>
    <row r="1121" spans="1:15">
      <c r="A1121" s="2520" t="s">
        <v>2679</v>
      </c>
      <c r="B1121" s="2520"/>
      <c r="C1121" s="2520"/>
      <c r="D1121" s="2166"/>
      <c r="E1121" s="2166"/>
      <c r="F1121" s="2166"/>
      <c r="G1121" s="2166"/>
      <c r="H1121" s="2526">
        <v>-27654.866999999998</v>
      </c>
      <c r="I1121" s="2526"/>
      <c r="J1121" s="2526"/>
      <c r="K1121" s="2166"/>
      <c r="L1121" s="2168">
        <v>-250000</v>
      </c>
      <c r="M1121" s="2166"/>
    </row>
    <row r="1122" spans="1:15">
      <c r="A1122" s="2520" t="s">
        <v>2649</v>
      </c>
      <c r="B1122" s="2520"/>
      <c r="C1122" s="2520"/>
      <c r="D1122" s="2166"/>
      <c r="E1122" s="2166"/>
      <c r="F1122" s="2166"/>
      <c r="G1122" s="2166"/>
      <c r="H1122" s="2526">
        <v>9541.9850000000006</v>
      </c>
      <c r="I1122" s="2526"/>
      <c r="J1122" s="2526"/>
      <c r="K1122" s="2166"/>
      <c r="L1122" s="2177">
        <v>100000</v>
      </c>
      <c r="M1122" s="2166"/>
    </row>
    <row r="1123" spans="1:15">
      <c r="A1123" s="2164"/>
      <c r="B1123" s="2164"/>
      <c r="C1123" s="2164"/>
      <c r="D1123" s="2164"/>
      <c r="E1123" s="2522" t="s">
        <v>2639</v>
      </c>
      <c r="F1123" s="2522"/>
      <c r="G1123" s="2164"/>
      <c r="H1123" s="2528">
        <v>531627.73199999996</v>
      </c>
      <c r="I1123" s="2528"/>
      <c r="J1123" s="2528"/>
      <c r="K1123" s="2163"/>
      <c r="L1123" s="2528">
        <v>5342858.71</v>
      </c>
      <c r="M1123" s="2163"/>
    </row>
    <row r="1124" spans="1:15">
      <c r="A1124" s="2164"/>
      <c r="B1124" s="2164"/>
      <c r="C1124" s="2164"/>
      <c r="D1124" s="2164"/>
      <c r="E1124" s="2164"/>
      <c r="F1124" s="2164"/>
      <c r="G1124" s="2164"/>
      <c r="H1124" s="2528"/>
      <c r="I1124" s="2528"/>
      <c r="J1124" s="2528"/>
      <c r="K1124" s="2163"/>
      <c r="L1124" s="2528"/>
      <c r="M1124" s="2163"/>
    </row>
    <row r="1125" spans="1:15">
      <c r="A1125" s="2160" t="s">
        <v>2723</v>
      </c>
      <c r="B1125" s="2161"/>
      <c r="C1125" s="2160" t="s">
        <v>2724</v>
      </c>
      <c r="D1125" s="2161"/>
      <c r="E1125" s="2160" t="s">
        <v>2722</v>
      </c>
      <c r="F1125" s="2161"/>
    </row>
    <row r="1126" spans="1:15">
      <c r="A1126" s="2163"/>
      <c r="B1126" s="2163"/>
      <c r="C1126" s="2163"/>
      <c r="D1126" s="2163"/>
      <c r="E1126" s="2163"/>
      <c r="F1126" s="2163"/>
      <c r="G1126" s="2163"/>
      <c r="H1126" s="2163"/>
      <c r="I1126" s="2163"/>
      <c r="J1126" s="2163"/>
      <c r="K1126" s="2163"/>
      <c r="L1126" s="2163"/>
      <c r="M1126" s="2163"/>
    </row>
    <row r="1127" spans="1:15">
      <c r="A1127" s="2164"/>
      <c r="H1127" s="2522" t="s">
        <v>2637</v>
      </c>
      <c r="I1127" s="2522"/>
      <c r="J1127" s="2163"/>
      <c r="K1127" s="2523">
        <v>0</v>
      </c>
      <c r="L1127" s="2523"/>
      <c r="M1127" s="2163"/>
      <c r="N1127" s="2527"/>
      <c r="O1127" s="2163"/>
    </row>
    <row r="1128" spans="1:15">
      <c r="H1128" s="2163"/>
      <c r="I1128" s="2163"/>
      <c r="J1128" s="2163"/>
      <c r="K1128" s="2523"/>
      <c r="L1128" s="2523"/>
      <c r="N1128" s="2527"/>
    </row>
    <row r="1129" spans="1:15">
      <c r="A1129" s="2165">
        <v>19339</v>
      </c>
      <c r="B1129" s="2163"/>
      <c r="C1129" s="2524" t="s">
        <v>2887</v>
      </c>
      <c r="D1129" s="2524"/>
      <c r="E1129" s="2524"/>
      <c r="F1129" s="2524"/>
      <c r="G1129" s="2524"/>
      <c r="H1129" s="2524"/>
      <c r="I1129" s="2524"/>
      <c r="J1129" s="2163"/>
      <c r="K1129" s="2163"/>
      <c r="L1129" s="2163"/>
      <c r="M1129" s="2163"/>
    </row>
    <row r="1130" spans="1:15">
      <c r="A1130" s="2163"/>
      <c r="B1130" s="2163"/>
      <c r="C1130" s="2163"/>
      <c r="D1130" s="2163"/>
      <c r="E1130" s="2163"/>
      <c r="F1130" s="2163"/>
      <c r="G1130" s="2163"/>
      <c r="H1130" s="2163"/>
      <c r="I1130" s="2163"/>
      <c r="J1130" s="2163"/>
      <c r="K1130" s="2163"/>
      <c r="L1130" s="2163"/>
      <c r="M1130" s="2163"/>
    </row>
    <row r="1131" spans="1:15">
      <c r="A1131" s="2529"/>
      <c r="B1131" s="2529"/>
      <c r="C1131" s="2529"/>
      <c r="D1131" s="2166"/>
      <c r="E1131" s="2166"/>
      <c r="F1131" s="2166"/>
      <c r="G1131" s="2166"/>
      <c r="H1131" s="2525"/>
      <c r="I1131" s="2525"/>
      <c r="J1131" s="2525"/>
      <c r="K1131" s="2166"/>
      <c r="L1131" s="2167"/>
      <c r="M1131" s="2166"/>
    </row>
    <row r="1132" spans="1:15">
      <c r="A1132" s="2164"/>
      <c r="B1132" s="2164"/>
      <c r="C1132" s="2164"/>
      <c r="D1132" s="2164"/>
      <c r="E1132" s="2522" t="s">
        <v>2639</v>
      </c>
      <c r="F1132" s="2522"/>
      <c r="G1132" s="2164"/>
      <c r="H1132" s="2523">
        <v>0</v>
      </c>
      <c r="I1132" s="2523"/>
      <c r="J1132" s="2523"/>
      <c r="K1132" s="2163"/>
      <c r="L1132" s="2523">
        <v>0</v>
      </c>
      <c r="M1132" s="2163"/>
    </row>
    <row r="1133" spans="1:15">
      <c r="A1133" s="2164"/>
      <c r="B1133" s="2164"/>
      <c r="C1133" s="2164"/>
      <c r="D1133" s="2164"/>
      <c r="E1133" s="2164"/>
      <c r="F1133" s="2164"/>
      <c r="G1133" s="2164"/>
      <c r="H1133" s="2523"/>
      <c r="I1133" s="2523"/>
      <c r="J1133" s="2523"/>
      <c r="K1133" s="2163"/>
      <c r="L1133" s="2523"/>
      <c r="M1133" s="2163"/>
    </row>
    <row r="1134" spans="1:15">
      <c r="A1134" s="2160" t="s">
        <v>2723</v>
      </c>
      <c r="B1134" s="2161"/>
      <c r="C1134" s="2160" t="s">
        <v>2724</v>
      </c>
      <c r="D1134" s="2161"/>
      <c r="E1134" s="2160" t="s">
        <v>2722</v>
      </c>
      <c r="F1134" s="2161"/>
    </row>
    <row r="1135" spans="1:15">
      <c r="A1135" s="2163"/>
      <c r="B1135" s="2163"/>
      <c r="C1135" s="2163"/>
      <c r="D1135" s="2163"/>
      <c r="E1135" s="2163"/>
      <c r="F1135" s="2163"/>
      <c r="G1135" s="2163"/>
      <c r="H1135" s="2163"/>
      <c r="I1135" s="2163"/>
      <c r="J1135" s="2163"/>
      <c r="K1135" s="2163"/>
      <c r="L1135" s="2163"/>
      <c r="M1135" s="2163"/>
    </row>
    <row r="1136" spans="1:15">
      <c r="A1136" s="2164"/>
      <c r="H1136" s="2522" t="s">
        <v>2637</v>
      </c>
      <c r="I1136" s="2522"/>
      <c r="J1136" s="2163"/>
      <c r="K1136" s="2523">
        <v>0</v>
      </c>
      <c r="L1136" s="2523"/>
      <c r="M1136" s="2163"/>
      <c r="N1136" s="2527"/>
      <c r="O1136" s="2163"/>
    </row>
    <row r="1137" spans="1:15">
      <c r="H1137" s="2163"/>
      <c r="I1137" s="2163"/>
      <c r="J1137" s="2163"/>
      <c r="K1137" s="2523"/>
      <c r="L1137" s="2523"/>
      <c r="N1137" s="2527"/>
    </row>
    <row r="1138" spans="1:15">
      <c r="A1138" s="2165">
        <v>31791</v>
      </c>
      <c r="B1138" s="2163"/>
      <c r="C1138" s="2524" t="s">
        <v>2881</v>
      </c>
      <c r="D1138" s="2524"/>
      <c r="E1138" s="2524"/>
      <c r="F1138" s="2524"/>
      <c r="G1138" s="2524"/>
      <c r="H1138" s="2524"/>
      <c r="I1138" s="2524"/>
      <c r="J1138" s="2163"/>
      <c r="K1138" s="2163"/>
      <c r="L1138" s="2163"/>
      <c r="M1138" s="2163"/>
    </row>
    <row r="1139" spans="1:15">
      <c r="A1139" s="2163"/>
      <c r="B1139" s="2163"/>
      <c r="C1139" s="2163"/>
      <c r="D1139" s="2163"/>
      <c r="E1139" s="2163"/>
      <c r="F1139" s="2163"/>
      <c r="G1139" s="2163"/>
      <c r="H1139" s="2163"/>
      <c r="I1139" s="2163"/>
      <c r="J1139" s="2163"/>
      <c r="K1139" s="2163"/>
      <c r="L1139" s="2163"/>
      <c r="M1139" s="2163"/>
    </row>
    <row r="1140" spans="1:15">
      <c r="A1140" s="2529"/>
      <c r="B1140" s="2529"/>
      <c r="C1140" s="2529"/>
      <c r="D1140" s="2166"/>
      <c r="E1140" s="2166"/>
      <c r="F1140" s="2166"/>
      <c r="G1140" s="2166"/>
      <c r="H1140" s="2525"/>
      <c r="I1140" s="2525"/>
      <c r="J1140" s="2525"/>
      <c r="K1140" s="2166"/>
      <c r="L1140" s="2167"/>
      <c r="M1140" s="2166"/>
    </row>
    <row r="1141" spans="1:15">
      <c r="A1141" s="2164"/>
      <c r="B1141" s="2164"/>
      <c r="C1141" s="2164"/>
      <c r="D1141" s="2164"/>
      <c r="E1141" s="2522" t="s">
        <v>2639</v>
      </c>
      <c r="F1141" s="2522"/>
      <c r="G1141" s="2164"/>
      <c r="H1141" s="2523">
        <v>0</v>
      </c>
      <c r="I1141" s="2523"/>
      <c r="J1141" s="2523"/>
      <c r="K1141" s="2163"/>
      <c r="L1141" s="2523">
        <v>0</v>
      </c>
      <c r="M1141" s="2163"/>
    </row>
    <row r="1142" spans="1:15">
      <c r="A1142" s="2164"/>
      <c r="B1142" s="2164"/>
      <c r="C1142" s="2164"/>
      <c r="D1142" s="2164"/>
      <c r="E1142" s="2164"/>
      <c r="F1142" s="2164"/>
      <c r="G1142" s="2164"/>
      <c r="H1142" s="2523"/>
      <c r="I1142" s="2523"/>
      <c r="J1142" s="2523"/>
      <c r="K1142" s="2163"/>
      <c r="L1142" s="2523"/>
      <c r="M1142" s="2163"/>
    </row>
    <row r="1143" spans="1:15">
      <c r="A1143" s="2160" t="s">
        <v>2723</v>
      </c>
      <c r="B1143" s="2161"/>
      <c r="C1143" s="2160" t="s">
        <v>2724</v>
      </c>
      <c r="D1143" s="2161"/>
      <c r="E1143" s="2160" t="s">
        <v>2722</v>
      </c>
      <c r="F1143" s="2161"/>
    </row>
    <row r="1144" spans="1:15">
      <c r="A1144" s="2163"/>
      <c r="B1144" s="2163"/>
      <c r="C1144" s="2163"/>
      <c r="D1144" s="2163"/>
      <c r="E1144" s="2163"/>
      <c r="F1144" s="2163"/>
      <c r="G1144" s="2163"/>
      <c r="H1144" s="2163"/>
      <c r="I1144" s="2163"/>
      <c r="J1144" s="2163"/>
      <c r="K1144" s="2163"/>
      <c r="L1144" s="2163"/>
      <c r="M1144" s="2163"/>
    </row>
    <row r="1145" spans="1:15">
      <c r="A1145" s="2164"/>
      <c r="H1145" s="2522" t="s">
        <v>2637</v>
      </c>
      <c r="I1145" s="2522"/>
      <c r="J1145" s="2163"/>
      <c r="K1145" s="2523">
        <v>0</v>
      </c>
      <c r="L1145" s="2523"/>
      <c r="M1145" s="2163"/>
      <c r="N1145" s="2527"/>
      <c r="O1145" s="2163"/>
    </row>
    <row r="1146" spans="1:15">
      <c r="H1146" s="2163"/>
      <c r="I1146" s="2163"/>
      <c r="J1146" s="2163"/>
      <c r="K1146" s="2523"/>
      <c r="L1146" s="2523"/>
      <c r="N1146" s="2527"/>
    </row>
    <row r="1147" spans="1:15">
      <c r="A1147" s="2165">
        <v>41512</v>
      </c>
      <c r="B1147" s="2163"/>
      <c r="C1147" s="2524" t="s">
        <v>3119</v>
      </c>
      <c r="D1147" s="2524"/>
      <c r="E1147" s="2524"/>
      <c r="F1147" s="2524"/>
      <c r="G1147" s="2524"/>
      <c r="H1147" s="2524"/>
      <c r="I1147" s="2524"/>
      <c r="J1147" s="2163"/>
      <c r="K1147" s="2163"/>
      <c r="L1147" s="2163"/>
      <c r="M1147" s="2163"/>
    </row>
    <row r="1148" spans="1:15">
      <c r="A1148" s="2163"/>
      <c r="B1148" s="2163"/>
      <c r="C1148" s="2163"/>
      <c r="D1148" s="2163"/>
      <c r="E1148" s="2163"/>
      <c r="F1148" s="2163"/>
      <c r="G1148" s="2163"/>
      <c r="H1148" s="2163"/>
      <c r="I1148" s="2163"/>
      <c r="J1148" s="2163"/>
      <c r="K1148" s="2163"/>
      <c r="L1148" s="2163"/>
      <c r="M1148" s="2163"/>
    </row>
    <row r="1149" spans="1:15">
      <c r="A1149" s="2520" t="s">
        <v>2647</v>
      </c>
      <c r="B1149" s="2520"/>
      <c r="C1149" s="2520"/>
      <c r="D1149" s="2166"/>
      <c r="E1149" s="2166"/>
      <c r="F1149" s="2166"/>
      <c r="G1149" s="2166"/>
      <c r="H1149" s="2526">
        <v>312203.95400000003</v>
      </c>
      <c r="I1149" s="2526"/>
      <c r="J1149" s="2526"/>
      <c r="K1149" s="2166"/>
      <c r="L1149" s="2168">
        <v>2916218.97</v>
      </c>
      <c r="M1149" s="2166"/>
    </row>
    <row r="1150" spans="1:15">
      <c r="A1150" s="2520" t="s">
        <v>2648</v>
      </c>
      <c r="B1150" s="2520"/>
      <c r="C1150" s="2520"/>
      <c r="D1150" s="2166"/>
      <c r="E1150" s="2166"/>
      <c r="F1150" s="2166"/>
      <c r="G1150" s="2166"/>
      <c r="H1150" s="2526">
        <v>-313725.88500000001</v>
      </c>
      <c r="I1150" s="2526"/>
      <c r="J1150" s="2526"/>
      <c r="K1150" s="2166"/>
      <c r="L1150" s="2168">
        <v>-3000855.01</v>
      </c>
      <c r="M1150" s="2166"/>
    </row>
    <row r="1151" spans="1:15">
      <c r="A1151" s="2520" t="s">
        <v>2649</v>
      </c>
      <c r="B1151" s="2520"/>
      <c r="C1151" s="2520"/>
      <c r="D1151" s="2166"/>
      <c r="E1151" s="2166"/>
      <c r="F1151" s="2166"/>
      <c r="G1151" s="2166"/>
      <c r="H1151" s="2526">
        <v>1521.931</v>
      </c>
      <c r="I1151" s="2526"/>
      <c r="J1151" s="2526"/>
      <c r="K1151" s="2166"/>
      <c r="L1151" s="2168">
        <v>15873.74</v>
      </c>
      <c r="M1151" s="2166"/>
    </row>
    <row r="1152" spans="1:15">
      <c r="A1152" s="2164"/>
      <c r="B1152" s="2164"/>
      <c r="C1152" s="2164"/>
      <c r="D1152" s="2164"/>
      <c r="E1152" s="2522" t="s">
        <v>2639</v>
      </c>
      <c r="F1152" s="2522"/>
      <c r="G1152" s="2164"/>
      <c r="H1152" s="2523">
        <v>0</v>
      </c>
      <c r="I1152" s="2523"/>
      <c r="J1152" s="2523"/>
      <c r="K1152" s="2163"/>
      <c r="L1152" s="2523">
        <v>0</v>
      </c>
      <c r="M1152" s="2163"/>
    </row>
    <row r="1153" spans="1:15">
      <c r="A1153" s="2164"/>
      <c r="B1153" s="2164"/>
      <c r="C1153" s="2164"/>
      <c r="D1153" s="2164"/>
      <c r="E1153" s="2164"/>
      <c r="F1153" s="2164"/>
      <c r="G1153" s="2164"/>
      <c r="H1153" s="2523"/>
      <c r="I1153" s="2523"/>
      <c r="J1153" s="2523"/>
      <c r="K1153" s="2163"/>
      <c r="L1153" s="2523"/>
      <c r="M1153" s="2163"/>
    </row>
    <row r="1154" spans="1:15">
      <c r="A1154" s="2160" t="s">
        <v>2723</v>
      </c>
      <c r="B1154" s="2161"/>
      <c r="C1154" s="2160" t="s">
        <v>2724</v>
      </c>
      <c r="D1154" s="2161"/>
      <c r="E1154" s="2160" t="s">
        <v>2722</v>
      </c>
      <c r="F1154" s="2161"/>
    </row>
    <row r="1155" spans="1:15">
      <c r="A1155" s="2163"/>
      <c r="B1155" s="2163"/>
      <c r="C1155" s="2163"/>
      <c r="D1155" s="2163"/>
      <c r="E1155" s="2163"/>
      <c r="F1155" s="2163"/>
      <c r="G1155" s="2163"/>
      <c r="H1155" s="2163"/>
      <c r="I1155" s="2163"/>
      <c r="J1155" s="2163"/>
      <c r="K1155" s="2163"/>
      <c r="L1155" s="2163"/>
      <c r="M1155" s="2163"/>
    </row>
    <row r="1156" spans="1:15">
      <c r="A1156" s="2164"/>
      <c r="H1156" s="2522" t="s">
        <v>2637</v>
      </c>
      <c r="I1156" s="2522"/>
      <c r="J1156" s="2163"/>
      <c r="K1156" s="2528">
        <v>35476.735800000002</v>
      </c>
      <c r="L1156" s="2528"/>
      <c r="M1156" s="2163"/>
      <c r="N1156" s="2527" t="s">
        <v>3141</v>
      </c>
      <c r="O1156" s="2163"/>
    </row>
    <row r="1157" spans="1:15">
      <c r="H1157" s="2163"/>
      <c r="I1157" s="2163"/>
      <c r="J1157" s="2163"/>
      <c r="K1157" s="2528"/>
      <c r="L1157" s="2528"/>
      <c r="N1157" s="2527"/>
    </row>
    <row r="1158" spans="1:15">
      <c r="A1158" s="2165">
        <v>40568</v>
      </c>
      <c r="B1158" s="2163"/>
      <c r="C1158" s="2524" t="s">
        <v>2882</v>
      </c>
      <c r="D1158" s="2524"/>
      <c r="E1158" s="2524"/>
      <c r="F1158" s="2524"/>
      <c r="G1158" s="2524"/>
      <c r="H1158" s="2524"/>
      <c r="I1158" s="2524"/>
      <c r="J1158" s="2163"/>
      <c r="K1158" s="2163"/>
      <c r="L1158" s="2163"/>
      <c r="M1158" s="2163"/>
    </row>
    <row r="1159" spans="1:15">
      <c r="A1159" s="2163"/>
      <c r="B1159" s="2163"/>
      <c r="C1159" s="2163"/>
      <c r="D1159" s="2163"/>
      <c r="E1159" s="2163"/>
      <c r="F1159" s="2163"/>
      <c r="G1159" s="2163"/>
      <c r="H1159" s="2163"/>
      <c r="I1159" s="2163"/>
      <c r="J1159" s="2163"/>
      <c r="K1159" s="2163"/>
      <c r="L1159" s="2163"/>
      <c r="M1159" s="2163"/>
    </row>
    <row r="1160" spans="1:15">
      <c r="A1160" s="2520" t="s">
        <v>2649</v>
      </c>
      <c r="B1160" s="2520"/>
      <c r="C1160" s="2520"/>
      <c r="D1160" s="2166"/>
      <c r="E1160" s="2166"/>
      <c r="F1160" s="2166"/>
      <c r="G1160" s="2166"/>
      <c r="H1160" s="2525">
        <v>109.477</v>
      </c>
      <c r="I1160" s="2525"/>
      <c r="J1160" s="2525"/>
      <c r="K1160" s="2166"/>
      <c r="L1160" s="2168">
        <v>1141.8399999999999</v>
      </c>
      <c r="M1160" s="2166"/>
    </row>
    <row r="1161" spans="1:15">
      <c r="A1161" s="2164"/>
      <c r="B1161" s="2164"/>
      <c r="C1161" s="2164"/>
      <c r="D1161" s="2164"/>
      <c r="E1161" s="2522" t="s">
        <v>2639</v>
      </c>
      <c r="F1161" s="2522"/>
      <c r="G1161" s="2164"/>
      <c r="H1161" s="2528">
        <v>35586.212299999999</v>
      </c>
      <c r="I1161" s="2528"/>
      <c r="J1161" s="2528"/>
      <c r="K1161" s="2163"/>
      <c r="L1161" s="2528">
        <v>357641.43</v>
      </c>
      <c r="M1161" s="2163"/>
    </row>
    <row r="1162" spans="1:15">
      <c r="A1162" s="2164"/>
      <c r="B1162" s="2164"/>
      <c r="C1162" s="2164"/>
      <c r="D1162" s="2164"/>
      <c r="E1162" s="2164"/>
      <c r="F1162" s="2164"/>
      <c r="G1162" s="2164"/>
      <c r="H1162" s="2528"/>
      <c r="I1162" s="2528"/>
      <c r="J1162" s="2528"/>
      <c r="K1162" s="2163"/>
      <c r="L1162" s="2528"/>
      <c r="M1162" s="2163"/>
    </row>
    <row r="1163" spans="1:15">
      <c r="A1163" s="2160" t="s">
        <v>2723</v>
      </c>
      <c r="B1163" s="2161"/>
      <c r="C1163" s="2160" t="s">
        <v>2724</v>
      </c>
      <c r="D1163" s="2161"/>
      <c r="E1163" s="2160" t="s">
        <v>2722</v>
      </c>
      <c r="F1163" s="2161"/>
    </row>
    <row r="1164" spans="1:15">
      <c r="A1164" s="2163"/>
      <c r="B1164" s="2163"/>
      <c r="C1164" s="2163"/>
      <c r="D1164" s="2163"/>
      <c r="E1164" s="2163"/>
      <c r="F1164" s="2163"/>
      <c r="G1164" s="2163"/>
      <c r="H1164" s="2163"/>
      <c r="I1164" s="2163"/>
      <c r="J1164" s="2163"/>
      <c r="K1164" s="2163"/>
      <c r="L1164" s="2163"/>
      <c r="M1164" s="2163"/>
    </row>
    <row r="1165" spans="1:15">
      <c r="A1165" s="2164"/>
      <c r="H1165" s="2522" t="s">
        <v>2637</v>
      </c>
      <c r="I1165" s="2522"/>
      <c r="J1165" s="2163"/>
      <c r="K1165" s="2528">
        <v>468689.98670000001</v>
      </c>
      <c r="L1165" s="2528"/>
      <c r="M1165" s="2163"/>
      <c r="N1165" s="2527" t="s">
        <v>3142</v>
      </c>
      <c r="O1165" s="2163"/>
    </row>
    <row r="1166" spans="1:15">
      <c r="H1166" s="2163"/>
      <c r="I1166" s="2163"/>
      <c r="J1166" s="2163"/>
      <c r="K1166" s="2528"/>
      <c r="L1166" s="2528"/>
      <c r="N1166" s="2527"/>
    </row>
    <row r="1167" spans="1:15">
      <c r="A1167" s="2165">
        <v>32068</v>
      </c>
      <c r="B1167" s="2163"/>
      <c r="C1167" s="2524" t="s">
        <v>2893</v>
      </c>
      <c r="D1167" s="2524"/>
      <c r="E1167" s="2524"/>
      <c r="F1167" s="2524"/>
      <c r="G1167" s="2524"/>
      <c r="H1167" s="2524"/>
      <c r="I1167" s="2524"/>
      <c r="J1167" s="2163"/>
      <c r="K1167" s="2163"/>
      <c r="L1167" s="2163"/>
      <c r="M1167" s="2163"/>
    </row>
    <row r="1168" spans="1:15">
      <c r="A1168" s="2163"/>
      <c r="B1168" s="2163"/>
      <c r="C1168" s="2163"/>
      <c r="D1168" s="2163"/>
      <c r="E1168" s="2163"/>
      <c r="F1168" s="2163"/>
      <c r="G1168" s="2163"/>
      <c r="H1168" s="2163"/>
      <c r="I1168" s="2163"/>
      <c r="J1168" s="2163"/>
      <c r="K1168" s="2163"/>
      <c r="L1168" s="2163"/>
      <c r="M1168" s="2163"/>
    </row>
    <row r="1169" spans="1:15">
      <c r="A1169" s="2529"/>
      <c r="B1169" s="2529"/>
      <c r="C1169" s="2529"/>
      <c r="D1169" s="2166"/>
      <c r="E1169" s="2166"/>
      <c r="F1169" s="2166"/>
      <c r="G1169" s="2166"/>
      <c r="H1169" s="2525"/>
      <c r="I1169" s="2525"/>
      <c r="J1169" s="2525"/>
      <c r="K1169" s="2166"/>
      <c r="L1169" s="2167"/>
      <c r="M1169" s="2166"/>
    </row>
    <row r="1170" spans="1:15">
      <c r="A1170" s="2164"/>
      <c r="B1170" s="2164"/>
      <c r="C1170" s="2164"/>
      <c r="D1170" s="2164"/>
      <c r="E1170" s="2522" t="s">
        <v>2639</v>
      </c>
      <c r="F1170" s="2522"/>
      <c r="G1170" s="2164"/>
      <c r="H1170" s="2528">
        <v>468689.98670000001</v>
      </c>
      <c r="I1170" s="2528"/>
      <c r="J1170" s="2528"/>
      <c r="K1170" s="2163"/>
      <c r="L1170" s="2528">
        <v>4710334.37</v>
      </c>
      <c r="M1170" s="2163"/>
    </row>
    <row r="1171" spans="1:15">
      <c r="A1171" s="2164"/>
      <c r="B1171" s="2164"/>
      <c r="C1171" s="2164"/>
      <c r="D1171" s="2164"/>
      <c r="E1171" s="2164"/>
      <c r="F1171" s="2164"/>
      <c r="G1171" s="2164"/>
      <c r="H1171" s="2528"/>
      <c r="I1171" s="2528"/>
      <c r="J1171" s="2528"/>
      <c r="K1171" s="2163"/>
      <c r="L1171" s="2528"/>
      <c r="M1171" s="2163"/>
    </row>
    <row r="1172" spans="1:15">
      <c r="A1172" s="2160" t="s">
        <v>2723</v>
      </c>
      <c r="B1172" s="2161"/>
      <c r="C1172" s="2160" t="s">
        <v>2724</v>
      </c>
      <c r="D1172" s="2161"/>
      <c r="E1172" s="2160" t="s">
        <v>2722</v>
      </c>
      <c r="F1172" s="2161"/>
    </row>
    <row r="1173" spans="1:15">
      <c r="A1173" s="2163"/>
      <c r="B1173" s="2163"/>
      <c r="C1173" s="2163"/>
      <c r="D1173" s="2163"/>
      <c r="E1173" s="2163"/>
      <c r="F1173" s="2163"/>
      <c r="G1173" s="2163"/>
      <c r="H1173" s="2163"/>
      <c r="I1173" s="2163"/>
      <c r="J1173" s="2163"/>
      <c r="K1173" s="2163"/>
      <c r="L1173" s="2163"/>
      <c r="M1173" s="2163"/>
    </row>
    <row r="1174" spans="1:15">
      <c r="A1174" s="2164"/>
      <c r="H1174" s="2522" t="s">
        <v>2637</v>
      </c>
      <c r="I1174" s="2522"/>
      <c r="J1174" s="2163"/>
      <c r="K1174" s="2528">
        <v>19368.758000000002</v>
      </c>
      <c r="L1174" s="2528"/>
      <c r="M1174" s="2163"/>
      <c r="N1174" s="2527" t="s">
        <v>3143</v>
      </c>
      <c r="O1174" s="2163"/>
    </row>
    <row r="1175" spans="1:15">
      <c r="H1175" s="2163"/>
      <c r="I1175" s="2163"/>
      <c r="J1175" s="2163"/>
      <c r="K1175" s="2528"/>
      <c r="L1175" s="2528"/>
      <c r="N1175" s="2527"/>
    </row>
    <row r="1176" spans="1:15">
      <c r="A1176" s="2165">
        <v>33411</v>
      </c>
      <c r="B1176" s="2163"/>
      <c r="C1176" s="2524" t="s">
        <v>2883</v>
      </c>
      <c r="D1176" s="2524"/>
      <c r="E1176" s="2524"/>
      <c r="F1176" s="2524"/>
      <c r="G1176" s="2524"/>
      <c r="H1176" s="2524"/>
      <c r="I1176" s="2524"/>
      <c r="J1176" s="2163"/>
      <c r="K1176" s="2163"/>
      <c r="L1176" s="2163"/>
      <c r="M1176" s="2163"/>
    </row>
    <row r="1177" spans="1:15">
      <c r="A1177" s="2163"/>
      <c r="B1177" s="2163"/>
      <c r="C1177" s="2163"/>
      <c r="D1177" s="2163"/>
      <c r="E1177" s="2163"/>
      <c r="F1177" s="2163"/>
      <c r="G1177" s="2163"/>
      <c r="H1177" s="2163"/>
      <c r="I1177" s="2163"/>
      <c r="J1177" s="2163"/>
      <c r="K1177" s="2163"/>
      <c r="L1177" s="2163"/>
      <c r="M1177" s="2163"/>
    </row>
    <row r="1178" spans="1:15">
      <c r="A1178" s="2520" t="s">
        <v>2647</v>
      </c>
      <c r="B1178" s="2520"/>
      <c r="C1178" s="2520"/>
      <c r="D1178" s="2166"/>
      <c r="E1178" s="2166"/>
      <c r="F1178" s="2166"/>
      <c r="G1178" s="2166"/>
      <c r="H1178" s="2526">
        <v>6825.0410000000002</v>
      </c>
      <c r="I1178" s="2526"/>
      <c r="J1178" s="2526"/>
      <c r="K1178" s="2166"/>
      <c r="L1178" s="2168">
        <v>70000</v>
      </c>
      <c r="M1178" s="2166"/>
    </row>
    <row r="1179" spans="1:15">
      <c r="A1179" s="2164"/>
      <c r="B1179" s="2164"/>
      <c r="C1179" s="2164"/>
      <c r="D1179" s="2164"/>
      <c r="E1179" s="2522" t="s">
        <v>2639</v>
      </c>
      <c r="F1179" s="2522"/>
      <c r="G1179" s="2164"/>
      <c r="H1179" s="2528">
        <v>26193.798999999999</v>
      </c>
      <c r="I1179" s="2528"/>
      <c r="J1179" s="2528"/>
      <c r="K1179" s="2163"/>
      <c r="L1179" s="2528">
        <v>263247.68</v>
      </c>
      <c r="M1179" s="2163"/>
    </row>
    <row r="1180" spans="1:15">
      <c r="A1180" s="2164"/>
      <c r="B1180" s="2164"/>
      <c r="C1180" s="2164"/>
      <c r="D1180" s="2164"/>
      <c r="E1180" s="2164"/>
      <c r="F1180" s="2164"/>
      <c r="G1180" s="2164"/>
      <c r="H1180" s="2528"/>
      <c r="I1180" s="2528"/>
      <c r="J1180" s="2528"/>
      <c r="K1180" s="2163"/>
      <c r="L1180" s="2528"/>
      <c r="M1180" s="2163"/>
    </row>
    <row r="1181" spans="1:15">
      <c r="A1181" s="2160" t="s">
        <v>2723</v>
      </c>
      <c r="B1181" s="2161"/>
      <c r="C1181" s="2160" t="s">
        <v>2724</v>
      </c>
      <c r="D1181" s="2161"/>
      <c r="E1181" s="2160" t="s">
        <v>2722</v>
      </c>
      <c r="F1181" s="2161"/>
    </row>
    <row r="1182" spans="1:15">
      <c r="A1182" s="2163"/>
      <c r="B1182" s="2163"/>
      <c r="C1182" s="2163"/>
      <c r="D1182" s="2163"/>
      <c r="E1182" s="2163"/>
      <c r="F1182" s="2163"/>
      <c r="G1182" s="2163"/>
      <c r="H1182" s="2163"/>
      <c r="I1182" s="2163"/>
      <c r="J1182" s="2163"/>
      <c r="K1182" s="2163"/>
      <c r="L1182" s="2163"/>
      <c r="M1182" s="2163"/>
    </row>
    <row r="1183" spans="1:15">
      <c r="A1183" s="2164"/>
      <c r="H1183" s="2522" t="s">
        <v>2637</v>
      </c>
      <c r="I1183" s="2522"/>
      <c r="J1183" s="2163"/>
      <c r="K1183" s="2523">
        <v>0</v>
      </c>
      <c r="L1183" s="2523"/>
      <c r="M1183" s="2163"/>
      <c r="N1183" s="2527"/>
      <c r="O1183" s="2163"/>
    </row>
    <row r="1184" spans="1:15">
      <c r="H1184" s="2163"/>
      <c r="I1184" s="2163"/>
      <c r="J1184" s="2163"/>
      <c r="K1184" s="2523"/>
      <c r="L1184" s="2523"/>
      <c r="N1184" s="2527"/>
    </row>
    <row r="1185" spans="1:15">
      <c r="A1185" s="2165">
        <v>33762</v>
      </c>
      <c r="B1185" s="2163"/>
      <c r="C1185" s="2524" t="s">
        <v>2884</v>
      </c>
      <c r="D1185" s="2524"/>
      <c r="E1185" s="2524"/>
      <c r="F1185" s="2524"/>
      <c r="G1185" s="2524"/>
      <c r="H1185" s="2524"/>
      <c r="I1185" s="2524"/>
      <c r="J1185" s="2163"/>
      <c r="K1185" s="2163"/>
      <c r="L1185" s="2163"/>
      <c r="M1185" s="2163"/>
    </row>
    <row r="1186" spans="1:15">
      <c r="A1186" s="2163"/>
      <c r="B1186" s="2163"/>
      <c r="C1186" s="2163"/>
      <c r="D1186" s="2163"/>
      <c r="E1186" s="2163"/>
      <c r="F1186" s="2163"/>
      <c r="G1186" s="2163"/>
      <c r="H1186" s="2163"/>
      <c r="I1186" s="2163"/>
      <c r="J1186" s="2163"/>
      <c r="K1186" s="2163"/>
      <c r="L1186" s="2163"/>
      <c r="M1186" s="2163"/>
    </row>
    <row r="1187" spans="1:15">
      <c r="A1187" s="2529"/>
      <c r="B1187" s="2529"/>
      <c r="C1187" s="2529"/>
      <c r="D1187" s="2166"/>
      <c r="E1187" s="2166"/>
      <c r="F1187" s="2166"/>
      <c r="G1187" s="2166"/>
      <c r="H1187" s="2525"/>
      <c r="I1187" s="2525"/>
      <c r="J1187" s="2525"/>
      <c r="K1187" s="2166"/>
      <c r="L1187" s="2167"/>
      <c r="M1187" s="2166"/>
    </row>
    <row r="1188" spans="1:15">
      <c r="A1188" s="2164"/>
      <c r="B1188" s="2164"/>
      <c r="C1188" s="2164"/>
      <c r="D1188" s="2164"/>
      <c r="E1188" s="2522" t="s">
        <v>2639</v>
      </c>
      <c r="F1188" s="2522"/>
      <c r="G1188" s="2164"/>
      <c r="H1188" s="2523">
        <v>0</v>
      </c>
      <c r="I1188" s="2523"/>
      <c r="J1188" s="2523"/>
      <c r="K1188" s="2163"/>
      <c r="L1188" s="2523">
        <v>0</v>
      </c>
      <c r="M1188" s="2163"/>
    </row>
    <row r="1189" spans="1:15">
      <c r="A1189" s="2164"/>
      <c r="B1189" s="2164"/>
      <c r="C1189" s="2164"/>
      <c r="D1189" s="2164"/>
      <c r="E1189" s="2164"/>
      <c r="F1189" s="2164"/>
      <c r="G1189" s="2164"/>
      <c r="H1189" s="2523"/>
      <c r="I1189" s="2523"/>
      <c r="J1189" s="2523"/>
      <c r="K1189" s="2163"/>
      <c r="L1189" s="2523"/>
      <c r="M1189" s="2163"/>
    </row>
    <row r="1190" spans="1:15">
      <c r="A1190" s="2160" t="s">
        <v>2723</v>
      </c>
      <c r="B1190" s="2161"/>
      <c r="C1190" s="2160" t="s">
        <v>2724</v>
      </c>
      <c r="D1190" s="2161"/>
      <c r="E1190" s="2160" t="s">
        <v>2722</v>
      </c>
      <c r="F1190" s="2161"/>
    </row>
    <row r="1191" spans="1:15">
      <c r="A1191" s="2163"/>
      <c r="B1191" s="2163"/>
      <c r="C1191" s="2163"/>
      <c r="D1191" s="2163"/>
      <c r="E1191" s="2163"/>
      <c r="F1191" s="2163"/>
      <c r="G1191" s="2163"/>
      <c r="H1191" s="2163"/>
      <c r="I1191" s="2163"/>
      <c r="J1191" s="2163"/>
      <c r="K1191" s="2163"/>
      <c r="L1191" s="2163"/>
      <c r="M1191" s="2163"/>
    </row>
    <row r="1192" spans="1:15">
      <c r="A1192" s="2164"/>
      <c r="H1192" s="2522" t="s">
        <v>2637</v>
      </c>
      <c r="I1192" s="2522"/>
      <c r="J1192" s="2163"/>
      <c r="K1192" s="2523">
        <v>0</v>
      </c>
      <c r="L1192" s="2523"/>
      <c r="M1192" s="2163"/>
      <c r="N1192" s="2527"/>
      <c r="O1192" s="2163"/>
    </row>
    <row r="1193" spans="1:15">
      <c r="H1193" s="2163"/>
      <c r="I1193" s="2163"/>
      <c r="J1193" s="2163"/>
      <c r="K1193" s="2523"/>
      <c r="L1193" s="2523"/>
      <c r="N1193" s="2527"/>
    </row>
    <row r="1194" spans="1:15">
      <c r="A1194" s="2165">
        <v>35647</v>
      </c>
      <c r="B1194" s="2163"/>
      <c r="C1194" s="2524" t="s">
        <v>2885</v>
      </c>
      <c r="D1194" s="2524"/>
      <c r="E1194" s="2524"/>
      <c r="F1194" s="2524"/>
      <c r="G1194" s="2524"/>
      <c r="H1194" s="2524"/>
      <c r="I1194" s="2524"/>
      <c r="J1194" s="2163"/>
      <c r="K1194" s="2163"/>
      <c r="L1194" s="2163"/>
      <c r="M1194" s="2163"/>
    </row>
    <row r="1195" spans="1:15">
      <c r="A1195" s="2163"/>
      <c r="B1195" s="2163"/>
      <c r="C1195" s="2163"/>
      <c r="D1195" s="2163"/>
      <c r="E1195" s="2163"/>
      <c r="F1195" s="2163"/>
      <c r="G1195" s="2163"/>
      <c r="H1195" s="2163"/>
      <c r="I1195" s="2163"/>
      <c r="J1195" s="2163"/>
      <c r="K1195" s="2163"/>
      <c r="L1195" s="2163"/>
      <c r="M1195" s="2163"/>
    </row>
    <row r="1196" spans="1:15">
      <c r="A1196" s="2529"/>
      <c r="B1196" s="2529"/>
      <c r="C1196" s="2529"/>
      <c r="D1196" s="2166"/>
      <c r="E1196" s="2166"/>
      <c r="F1196" s="2166"/>
      <c r="G1196" s="2166"/>
      <c r="H1196" s="2525"/>
      <c r="I1196" s="2525"/>
      <c r="J1196" s="2525"/>
      <c r="K1196" s="2166"/>
      <c r="L1196" s="2167"/>
      <c r="M1196" s="2166"/>
    </row>
    <row r="1197" spans="1:15">
      <c r="A1197" s="2164"/>
      <c r="B1197" s="2164"/>
      <c r="C1197" s="2164"/>
      <c r="D1197" s="2164"/>
      <c r="E1197" s="2522" t="s">
        <v>2639</v>
      </c>
      <c r="F1197" s="2522"/>
      <c r="G1197" s="2164"/>
      <c r="H1197" s="2523">
        <v>0</v>
      </c>
      <c r="I1197" s="2523"/>
      <c r="J1197" s="2523"/>
      <c r="K1197" s="2163"/>
      <c r="L1197" s="2523">
        <v>0</v>
      </c>
      <c r="M1197" s="2163"/>
    </row>
    <row r="1198" spans="1:15">
      <c r="A1198" s="2164"/>
      <c r="B1198" s="2164"/>
      <c r="C1198" s="2164"/>
      <c r="D1198" s="2164"/>
      <c r="E1198" s="2164"/>
      <c r="F1198" s="2164"/>
      <c r="G1198" s="2164"/>
      <c r="H1198" s="2523"/>
      <c r="I1198" s="2523"/>
      <c r="J1198" s="2523"/>
      <c r="K1198" s="2163"/>
      <c r="L1198" s="2523"/>
      <c r="M1198" s="2163"/>
    </row>
    <row r="1199" spans="1:15">
      <c r="A1199" s="2160" t="s">
        <v>2723</v>
      </c>
      <c r="B1199" s="2161"/>
      <c r="C1199" s="2160" t="s">
        <v>2724</v>
      </c>
      <c r="D1199" s="2161"/>
      <c r="E1199" s="2160" t="s">
        <v>2722</v>
      </c>
      <c r="F1199" s="2161"/>
    </row>
    <row r="1200" spans="1:15">
      <c r="A1200" s="2163"/>
      <c r="B1200" s="2163"/>
      <c r="C1200" s="2163"/>
      <c r="D1200" s="2163"/>
      <c r="E1200" s="2163"/>
      <c r="F1200" s="2163"/>
      <c r="G1200" s="2163"/>
      <c r="H1200" s="2163"/>
      <c r="I1200" s="2163"/>
      <c r="J1200" s="2163"/>
      <c r="K1200" s="2163"/>
      <c r="L1200" s="2163"/>
      <c r="M1200" s="2163"/>
    </row>
    <row r="1201" spans="1:15">
      <c r="A1201" s="2164"/>
      <c r="H1201" s="2522" t="s">
        <v>2637</v>
      </c>
      <c r="I1201" s="2522"/>
      <c r="J1201" s="2163"/>
      <c r="K1201" s="2528">
        <v>5764.9130999999998</v>
      </c>
      <c r="L1201" s="2528"/>
      <c r="M1201" s="2163"/>
      <c r="N1201" s="2527" t="s">
        <v>3144</v>
      </c>
      <c r="O1201" s="2163"/>
    </row>
    <row r="1202" spans="1:15">
      <c r="H1202" s="2163"/>
      <c r="I1202" s="2163"/>
      <c r="J1202" s="2163"/>
      <c r="K1202" s="2528"/>
      <c r="L1202" s="2528"/>
      <c r="N1202" s="2527"/>
    </row>
    <row r="1203" spans="1:15">
      <c r="A1203" s="2165">
        <v>35608</v>
      </c>
      <c r="B1203" s="2163"/>
      <c r="C1203" s="2524" t="s">
        <v>2888</v>
      </c>
      <c r="D1203" s="2524"/>
      <c r="E1203" s="2524"/>
      <c r="F1203" s="2524"/>
      <c r="G1203" s="2524"/>
      <c r="H1203" s="2524"/>
      <c r="I1203" s="2524"/>
      <c r="J1203" s="2163"/>
      <c r="K1203" s="2163"/>
      <c r="L1203" s="2163"/>
      <c r="M1203" s="2163"/>
    </row>
    <row r="1204" spans="1:15">
      <c r="A1204" s="2163"/>
      <c r="B1204" s="2163"/>
      <c r="C1204" s="2163"/>
      <c r="D1204" s="2163"/>
      <c r="E1204" s="2163"/>
      <c r="F1204" s="2163"/>
      <c r="G1204" s="2163"/>
      <c r="H1204" s="2163"/>
      <c r="I1204" s="2163"/>
      <c r="J1204" s="2163"/>
      <c r="K1204" s="2163"/>
      <c r="L1204" s="2163"/>
      <c r="M1204" s="2163"/>
    </row>
    <row r="1205" spans="1:15">
      <c r="A1205" s="2520" t="s">
        <v>2679</v>
      </c>
      <c r="B1205" s="2520"/>
      <c r="C1205" s="2520"/>
      <c r="D1205" s="2166"/>
      <c r="E1205" s="2166"/>
      <c r="F1205" s="2166"/>
      <c r="G1205" s="2166"/>
      <c r="H1205" s="2526">
        <v>-5764.9129999999996</v>
      </c>
      <c r="I1205" s="2526"/>
      <c r="J1205" s="2526"/>
      <c r="K1205" s="2166"/>
      <c r="L1205" s="2168">
        <v>-52114.81</v>
      </c>
      <c r="M1205" s="2166"/>
    </row>
    <row r="1206" spans="1:15">
      <c r="A1206" s="2520" t="s">
        <v>2649</v>
      </c>
      <c r="B1206" s="2520"/>
      <c r="C1206" s="2520"/>
      <c r="D1206" s="2166"/>
      <c r="E1206" s="2166"/>
      <c r="F1206" s="2166"/>
      <c r="G1206" s="2166"/>
      <c r="H1206" s="2526">
        <v>10012.088</v>
      </c>
      <c r="I1206" s="2526"/>
      <c r="J1206" s="2526"/>
      <c r="K1206" s="2166"/>
      <c r="L1206" s="2168">
        <v>101259.99</v>
      </c>
      <c r="M1206" s="2166"/>
    </row>
    <row r="1207" spans="1:15">
      <c r="A1207" s="2164"/>
      <c r="B1207" s="2164"/>
      <c r="C1207" s="2164"/>
      <c r="D1207" s="2164"/>
      <c r="E1207" s="2522" t="s">
        <v>2639</v>
      </c>
      <c r="F1207" s="2522"/>
      <c r="G1207" s="2164"/>
      <c r="H1207" s="2528">
        <v>10012.0885</v>
      </c>
      <c r="I1207" s="2528"/>
      <c r="J1207" s="2528"/>
      <c r="K1207" s="2163"/>
      <c r="L1207" s="2528">
        <v>100621.49</v>
      </c>
      <c r="M1207" s="2163"/>
    </row>
    <row r="1208" spans="1:15">
      <c r="A1208" s="2164"/>
      <c r="B1208" s="2164"/>
      <c r="C1208" s="2164"/>
      <c r="D1208" s="2164"/>
      <c r="E1208" s="2164"/>
      <c r="F1208" s="2164"/>
      <c r="G1208" s="2164"/>
      <c r="H1208" s="2528"/>
      <c r="I1208" s="2528"/>
      <c r="J1208" s="2528"/>
      <c r="K1208" s="2163"/>
      <c r="L1208" s="2528"/>
      <c r="M1208" s="2163"/>
    </row>
    <row r="1209" spans="1:15">
      <c r="A1209" s="2160" t="s">
        <v>2723</v>
      </c>
      <c r="B1209" s="2161"/>
      <c r="C1209" s="2160" t="s">
        <v>2724</v>
      </c>
      <c r="D1209" s="2161"/>
      <c r="E1209" s="2160" t="s">
        <v>2722</v>
      </c>
      <c r="F1209" s="2161"/>
    </row>
    <row r="1210" spans="1:15">
      <c r="A1210" s="2163"/>
      <c r="B1210" s="2163"/>
      <c r="C1210" s="2163"/>
      <c r="D1210" s="2163"/>
      <c r="E1210" s="2163"/>
      <c r="F1210" s="2163"/>
      <c r="G1210" s="2163"/>
      <c r="H1210" s="2163"/>
      <c r="I1210" s="2163"/>
      <c r="J1210" s="2163"/>
      <c r="K1210" s="2163"/>
      <c r="L1210" s="2163"/>
      <c r="M1210" s="2163"/>
    </row>
    <row r="1211" spans="1:15">
      <c r="A1211" s="2164"/>
      <c r="H1211" s="2522" t="s">
        <v>2637</v>
      </c>
      <c r="I1211" s="2522"/>
      <c r="J1211" s="2163"/>
      <c r="K1211" s="2528">
        <v>220745.08869999999</v>
      </c>
      <c r="L1211" s="2528"/>
      <c r="M1211" s="2163"/>
      <c r="N1211" s="2527" t="s">
        <v>3145</v>
      </c>
      <c r="O1211" s="2163"/>
    </row>
    <row r="1212" spans="1:15">
      <c r="H1212" s="2163"/>
      <c r="I1212" s="2163"/>
      <c r="J1212" s="2163"/>
      <c r="K1212" s="2528"/>
      <c r="L1212" s="2528"/>
      <c r="N1212" s="2527"/>
    </row>
    <row r="1213" spans="1:15">
      <c r="A1213" s="2165">
        <v>50602</v>
      </c>
      <c r="B1213" s="2163"/>
      <c r="C1213" s="2524" t="s">
        <v>2880</v>
      </c>
      <c r="D1213" s="2524"/>
      <c r="E1213" s="2524"/>
      <c r="F1213" s="2524"/>
      <c r="G1213" s="2524"/>
      <c r="H1213" s="2524"/>
      <c r="I1213" s="2524"/>
      <c r="J1213" s="2163"/>
      <c r="K1213" s="2163"/>
      <c r="L1213" s="2163"/>
      <c r="M1213" s="2163"/>
    </row>
    <row r="1214" spans="1:15">
      <c r="A1214" s="2163"/>
      <c r="B1214" s="2163"/>
      <c r="C1214" s="2163"/>
      <c r="D1214" s="2163"/>
      <c r="E1214" s="2163"/>
      <c r="F1214" s="2163"/>
      <c r="G1214" s="2163"/>
      <c r="H1214" s="2163"/>
      <c r="I1214" s="2163"/>
      <c r="J1214" s="2163"/>
      <c r="K1214" s="2163"/>
      <c r="L1214" s="2163"/>
      <c r="M1214" s="2163"/>
    </row>
    <row r="1215" spans="1:15">
      <c r="A1215" s="2520" t="s">
        <v>2647</v>
      </c>
      <c r="B1215" s="2520"/>
      <c r="C1215" s="2520"/>
      <c r="D1215" s="2166"/>
      <c r="E1215" s="2166"/>
      <c r="F1215" s="2166"/>
      <c r="G1215" s="2166"/>
      <c r="H1215" s="2526">
        <v>20031.417000000001</v>
      </c>
      <c r="I1215" s="2526"/>
      <c r="J1215" s="2526"/>
      <c r="K1215" s="2166"/>
      <c r="L1215" s="2168">
        <v>193921.64</v>
      </c>
      <c r="M1215" s="2166"/>
    </row>
    <row r="1216" spans="1:15">
      <c r="A1216" s="2520" t="s">
        <v>2648</v>
      </c>
      <c r="B1216" s="2520"/>
      <c r="C1216" s="2520"/>
      <c r="D1216" s="2166"/>
      <c r="E1216" s="2166"/>
      <c r="F1216" s="2166"/>
      <c r="G1216" s="2166"/>
      <c r="H1216" s="2526">
        <v>-13586.957</v>
      </c>
      <c r="I1216" s="2526"/>
      <c r="J1216" s="2526"/>
      <c r="K1216" s="2166"/>
      <c r="L1216" s="2168">
        <v>-125000</v>
      </c>
      <c r="M1216" s="2166"/>
    </row>
    <row r="1217" spans="1:15">
      <c r="A1217" s="2520" t="s">
        <v>2649</v>
      </c>
      <c r="B1217" s="2520"/>
      <c r="C1217" s="2520"/>
      <c r="D1217" s="2166"/>
      <c r="E1217" s="2166"/>
      <c r="F1217" s="2166"/>
      <c r="G1217" s="2166"/>
      <c r="H1217" s="2526">
        <v>8383.1450000000004</v>
      </c>
      <c r="I1217" s="2526"/>
      <c r="J1217" s="2526"/>
      <c r="K1217" s="2166"/>
      <c r="L1217" s="2168">
        <v>86000</v>
      </c>
      <c r="M1217" s="2166"/>
    </row>
    <row r="1218" spans="1:15">
      <c r="A1218" s="2164"/>
      <c r="B1218" s="2164"/>
      <c r="C1218" s="2164"/>
      <c r="D1218" s="2164"/>
      <c r="E1218" s="2522" t="s">
        <v>2639</v>
      </c>
      <c r="F1218" s="2522"/>
      <c r="G1218" s="2164"/>
      <c r="H1218" s="2528">
        <v>235572.69500000001</v>
      </c>
      <c r="I1218" s="2528"/>
      <c r="J1218" s="2528"/>
      <c r="K1218" s="2163"/>
      <c r="L1218" s="2528">
        <v>2367505.58</v>
      </c>
      <c r="M1218" s="2163"/>
    </row>
    <row r="1219" spans="1:15">
      <c r="A1219" s="2164"/>
      <c r="B1219" s="2164"/>
      <c r="C1219" s="2164"/>
      <c r="D1219" s="2164"/>
      <c r="E1219" s="2164"/>
      <c r="F1219" s="2164"/>
      <c r="G1219" s="2164"/>
      <c r="H1219" s="2528"/>
      <c r="I1219" s="2528"/>
      <c r="J1219" s="2528"/>
      <c r="K1219" s="2163"/>
      <c r="L1219" s="2528"/>
      <c r="M1219" s="2163"/>
    </row>
    <row r="1220" spans="1:15">
      <c r="A1220" s="2160" t="s">
        <v>2723</v>
      </c>
      <c r="B1220" s="2161"/>
      <c r="C1220" s="2160" t="s">
        <v>2724</v>
      </c>
      <c r="D1220" s="2161"/>
      <c r="E1220" s="2160" t="s">
        <v>2722</v>
      </c>
      <c r="F1220" s="2161"/>
    </row>
    <row r="1221" spans="1:15">
      <c r="A1221" s="2163"/>
      <c r="B1221" s="2163"/>
      <c r="C1221" s="2163"/>
      <c r="D1221" s="2163"/>
      <c r="E1221" s="2163"/>
      <c r="F1221" s="2163"/>
      <c r="G1221" s="2163"/>
      <c r="H1221" s="2163"/>
      <c r="I1221" s="2163"/>
      <c r="J1221" s="2163"/>
      <c r="K1221" s="2163"/>
      <c r="L1221" s="2163"/>
      <c r="M1221" s="2163"/>
    </row>
    <row r="1222" spans="1:15">
      <c r="A1222" s="2164"/>
      <c r="H1222" s="2522" t="s">
        <v>2637</v>
      </c>
      <c r="I1222" s="2522"/>
      <c r="J1222" s="2163"/>
      <c r="K1222" s="2528">
        <v>511301.45250000001</v>
      </c>
      <c r="L1222" s="2528"/>
      <c r="M1222" s="2163"/>
      <c r="N1222" s="2527" t="s">
        <v>3146</v>
      </c>
      <c r="O1222" s="2163"/>
    </row>
    <row r="1223" spans="1:15">
      <c r="H1223" s="2163"/>
      <c r="I1223" s="2163"/>
      <c r="J1223" s="2163"/>
      <c r="K1223" s="2528"/>
      <c r="L1223" s="2528"/>
      <c r="N1223" s="2527"/>
    </row>
    <row r="1224" spans="1:15">
      <c r="A1224" s="2165">
        <v>75627</v>
      </c>
      <c r="B1224" s="2163"/>
      <c r="C1224" s="2524" t="s">
        <v>2889</v>
      </c>
      <c r="D1224" s="2524"/>
      <c r="E1224" s="2524"/>
      <c r="F1224" s="2524"/>
      <c r="G1224" s="2524"/>
      <c r="H1224" s="2524"/>
      <c r="I1224" s="2524"/>
      <c r="J1224" s="2163"/>
      <c r="K1224" s="2163"/>
      <c r="L1224" s="2163"/>
      <c r="M1224" s="2163"/>
    </row>
    <row r="1225" spans="1:15">
      <c r="A1225" s="2163"/>
      <c r="B1225" s="2163"/>
      <c r="C1225" s="2163"/>
      <c r="D1225" s="2163"/>
      <c r="E1225" s="2163"/>
      <c r="F1225" s="2163"/>
      <c r="G1225" s="2163"/>
      <c r="H1225" s="2163"/>
      <c r="I1225" s="2163"/>
      <c r="J1225" s="2163"/>
      <c r="K1225" s="2163"/>
      <c r="L1225" s="2163"/>
      <c r="M1225" s="2163"/>
    </row>
    <row r="1226" spans="1:15">
      <c r="A1226" s="2520" t="s">
        <v>2647</v>
      </c>
      <c r="B1226" s="2520"/>
      <c r="C1226" s="2520"/>
      <c r="D1226" s="2166"/>
      <c r="E1226" s="2166"/>
      <c r="F1226" s="2166"/>
      <c r="G1226" s="2166"/>
      <c r="H1226" s="2526">
        <v>3738803.8489999999</v>
      </c>
      <c r="I1226" s="2526"/>
      <c r="J1226" s="2526"/>
      <c r="K1226" s="2166"/>
      <c r="L1226" s="2168">
        <v>35689238.18</v>
      </c>
      <c r="M1226" s="2166"/>
    </row>
    <row r="1227" spans="1:15">
      <c r="A1227" s="2520" t="s">
        <v>2648</v>
      </c>
      <c r="B1227" s="2520"/>
      <c r="C1227" s="2520"/>
      <c r="D1227" s="2166"/>
      <c r="E1227" s="2166"/>
      <c r="F1227" s="2166"/>
      <c r="G1227" s="2166"/>
      <c r="H1227" s="2526">
        <v>-4296889.5760000004</v>
      </c>
      <c r="I1227" s="2526"/>
      <c r="J1227" s="2526"/>
      <c r="K1227" s="2166"/>
      <c r="L1227" s="2168">
        <v>-41213787</v>
      </c>
      <c r="M1227" s="2166"/>
    </row>
    <row r="1228" spans="1:15">
      <c r="A1228" s="2520" t="s">
        <v>2679</v>
      </c>
      <c r="B1228" s="2520"/>
      <c r="C1228" s="2520"/>
      <c r="D1228" s="2166"/>
      <c r="E1228" s="2166"/>
      <c r="F1228" s="2166"/>
      <c r="G1228" s="2166"/>
      <c r="H1228" s="2526">
        <v>-7021.0630000000001</v>
      </c>
      <c r="I1228" s="2526"/>
      <c r="J1228" s="2526"/>
      <c r="K1228" s="2166"/>
      <c r="L1228" s="2168">
        <v>-70000</v>
      </c>
      <c r="M1228" s="2166"/>
    </row>
    <row r="1229" spans="1:15">
      <c r="A1229" s="2520" t="s">
        <v>2649</v>
      </c>
      <c r="B1229" s="2520"/>
      <c r="C1229" s="2520"/>
      <c r="D1229" s="2166"/>
      <c r="E1229" s="2166"/>
      <c r="F1229" s="2166"/>
      <c r="G1229" s="2166"/>
      <c r="H1229" s="2526">
        <v>60883.737000000001</v>
      </c>
      <c r="I1229" s="2526"/>
      <c r="J1229" s="2526"/>
      <c r="K1229" s="2166"/>
      <c r="L1229" s="2168">
        <v>603770.97</v>
      </c>
      <c r="M1229" s="2166"/>
    </row>
    <row r="1230" spans="1:15">
      <c r="A1230" s="2164"/>
      <c r="B1230" s="2164"/>
      <c r="C1230" s="2164"/>
      <c r="D1230" s="2164"/>
      <c r="E1230" s="2522" t="s">
        <v>2639</v>
      </c>
      <c r="F1230" s="2522"/>
      <c r="G1230" s="2164"/>
      <c r="H1230" s="2528">
        <v>7078.3989000000001</v>
      </c>
      <c r="I1230" s="2528"/>
      <c r="J1230" s="2528"/>
      <c r="K1230" s="2163"/>
      <c r="L1230" s="2528">
        <v>71137.91</v>
      </c>
      <c r="M1230" s="2163"/>
    </row>
    <row r="1231" spans="1:15">
      <c r="A1231" s="2164"/>
      <c r="B1231" s="2164"/>
      <c r="C1231" s="2164"/>
      <c r="D1231" s="2164"/>
      <c r="E1231" s="2164"/>
      <c r="F1231" s="2164"/>
      <c r="G1231" s="2164"/>
      <c r="H1231" s="2528"/>
      <c r="I1231" s="2528"/>
      <c r="J1231" s="2528"/>
      <c r="K1231" s="2163"/>
      <c r="L1231" s="2528"/>
      <c r="M1231" s="2163"/>
    </row>
    <row r="1232" spans="1:15">
      <c r="A1232" s="2160" t="s">
        <v>2723</v>
      </c>
      <c r="B1232" s="2161"/>
      <c r="C1232" s="2160" t="s">
        <v>2724</v>
      </c>
      <c r="D1232" s="2161"/>
      <c r="E1232" s="2160" t="s">
        <v>2722</v>
      </c>
      <c r="F1232" s="2161"/>
    </row>
    <row r="1233" spans="1:15">
      <c r="A1233" s="2163"/>
      <c r="B1233" s="2163"/>
      <c r="C1233" s="2163"/>
      <c r="D1233" s="2163"/>
      <c r="E1233" s="2163"/>
      <c r="F1233" s="2163"/>
      <c r="G1233" s="2163"/>
      <c r="H1233" s="2163"/>
      <c r="I1233" s="2163"/>
      <c r="J1233" s="2163"/>
      <c r="K1233" s="2163"/>
      <c r="L1233" s="2163"/>
      <c r="M1233" s="2163"/>
    </row>
    <row r="1234" spans="1:15">
      <c r="A1234" s="2164"/>
      <c r="H1234" s="2522" t="s">
        <v>2637</v>
      </c>
      <c r="I1234" s="2522"/>
      <c r="J1234" s="2163"/>
      <c r="K1234" s="2523">
        <v>0</v>
      </c>
      <c r="L1234" s="2523"/>
      <c r="M1234" s="2163"/>
      <c r="N1234" s="2527"/>
      <c r="O1234" s="2163"/>
    </row>
    <row r="1235" spans="1:15">
      <c r="H1235" s="2163"/>
      <c r="I1235" s="2163"/>
      <c r="J1235" s="2163"/>
      <c r="K1235" s="2523"/>
      <c r="L1235" s="2523"/>
      <c r="N1235" s="2527"/>
    </row>
    <row r="1236" spans="1:15">
      <c r="A1236" s="2165">
        <v>54545</v>
      </c>
      <c r="B1236" s="2163"/>
      <c r="C1236" s="2524" t="s">
        <v>2884</v>
      </c>
      <c r="D1236" s="2524"/>
      <c r="E1236" s="2524"/>
      <c r="F1236" s="2524"/>
      <c r="G1236" s="2524"/>
      <c r="H1236" s="2524"/>
      <c r="I1236" s="2524"/>
      <c r="J1236" s="2163"/>
      <c r="K1236" s="2163"/>
      <c r="L1236" s="2163"/>
      <c r="M1236" s="2163"/>
    </row>
    <row r="1237" spans="1:15">
      <c r="A1237" s="2163"/>
      <c r="B1237" s="2163"/>
      <c r="C1237" s="2163"/>
      <c r="D1237" s="2163"/>
      <c r="E1237" s="2163"/>
      <c r="F1237" s="2163"/>
      <c r="G1237" s="2163"/>
      <c r="H1237" s="2163"/>
      <c r="I1237" s="2163"/>
      <c r="J1237" s="2163"/>
      <c r="K1237" s="2163"/>
      <c r="L1237" s="2163"/>
      <c r="M1237" s="2163"/>
    </row>
    <row r="1238" spans="1:15">
      <c r="A1238" s="2529"/>
      <c r="B1238" s="2529"/>
      <c r="C1238" s="2529"/>
      <c r="D1238" s="2166"/>
      <c r="E1238" s="2166"/>
      <c r="F1238" s="2166"/>
      <c r="G1238" s="2166"/>
      <c r="H1238" s="2525"/>
      <c r="I1238" s="2525"/>
      <c r="J1238" s="2525"/>
      <c r="K1238" s="2166"/>
      <c r="L1238" s="2167"/>
      <c r="M1238" s="2166"/>
    </row>
    <row r="1239" spans="1:15">
      <c r="A1239" s="2164"/>
      <c r="B1239" s="2164"/>
      <c r="C1239" s="2164"/>
      <c r="D1239" s="2164"/>
      <c r="E1239" s="2522" t="s">
        <v>2639</v>
      </c>
      <c r="F1239" s="2522"/>
      <c r="G1239" s="2164"/>
      <c r="H1239" s="2523">
        <v>0</v>
      </c>
      <c r="I1239" s="2523"/>
      <c r="J1239" s="2523"/>
      <c r="K1239" s="2163"/>
      <c r="L1239" s="2523">
        <v>0</v>
      </c>
      <c r="M1239" s="2163"/>
    </row>
    <row r="1240" spans="1:15">
      <c r="A1240" s="2164"/>
      <c r="B1240" s="2164"/>
      <c r="C1240" s="2164"/>
      <c r="D1240" s="2164"/>
      <c r="E1240" s="2164"/>
      <c r="F1240" s="2164"/>
      <c r="G1240" s="2164"/>
      <c r="H1240" s="2523"/>
      <c r="I1240" s="2523"/>
      <c r="J1240" s="2523"/>
      <c r="K1240" s="2163"/>
      <c r="L1240" s="2523"/>
      <c r="M1240" s="2163"/>
    </row>
    <row r="1241" spans="1:15">
      <c r="A1241" s="2160" t="s">
        <v>2723</v>
      </c>
      <c r="B1241" s="2161"/>
      <c r="C1241" s="2160" t="s">
        <v>2724</v>
      </c>
      <c r="D1241" s="2161"/>
      <c r="E1241" s="2160" t="s">
        <v>2722</v>
      </c>
      <c r="F1241" s="2161"/>
    </row>
    <row r="1242" spans="1:15">
      <c r="A1242" s="2163"/>
      <c r="B1242" s="2163"/>
      <c r="C1242" s="2163"/>
      <c r="D1242" s="2163"/>
      <c r="E1242" s="2163"/>
      <c r="F1242" s="2163"/>
      <c r="G1242" s="2163"/>
      <c r="H1242" s="2163"/>
      <c r="I1242" s="2163"/>
      <c r="J1242" s="2163"/>
      <c r="K1242" s="2163"/>
      <c r="L1242" s="2163"/>
      <c r="M1242" s="2163"/>
    </row>
    <row r="1243" spans="1:15">
      <c r="A1243" s="2164"/>
      <c r="H1243" s="2522" t="s">
        <v>2637</v>
      </c>
      <c r="I1243" s="2522"/>
      <c r="J1243" s="2163"/>
      <c r="K1243" s="2523">
        <v>0</v>
      </c>
      <c r="L1243" s="2523"/>
      <c r="M1243" s="2163"/>
      <c r="N1243" s="2527"/>
      <c r="O1243" s="2163"/>
    </row>
    <row r="1244" spans="1:15">
      <c r="H1244" s="2163"/>
      <c r="I1244" s="2163"/>
      <c r="J1244" s="2163"/>
      <c r="K1244" s="2523"/>
      <c r="L1244" s="2523"/>
      <c r="N1244" s="2527"/>
    </row>
    <row r="1245" spans="1:15">
      <c r="A1245" s="2165">
        <v>61320</v>
      </c>
      <c r="B1245" s="2163"/>
      <c r="C1245" s="2524" t="s">
        <v>3126</v>
      </c>
      <c r="D1245" s="2524"/>
      <c r="E1245" s="2524"/>
      <c r="F1245" s="2524"/>
      <c r="G1245" s="2524"/>
      <c r="H1245" s="2524"/>
      <c r="I1245" s="2524"/>
      <c r="J1245" s="2163"/>
      <c r="K1245" s="2163"/>
      <c r="L1245" s="2163"/>
      <c r="M1245" s="2163"/>
    </row>
    <row r="1246" spans="1:15">
      <c r="A1246" s="2163"/>
      <c r="B1246" s="2163"/>
      <c r="C1246" s="2163"/>
      <c r="D1246" s="2163"/>
      <c r="E1246" s="2163"/>
      <c r="F1246" s="2163"/>
      <c r="G1246" s="2163"/>
      <c r="H1246" s="2163"/>
      <c r="I1246" s="2163"/>
      <c r="J1246" s="2163"/>
      <c r="K1246" s="2163"/>
      <c r="L1246" s="2163"/>
      <c r="M1246" s="2163"/>
    </row>
    <row r="1247" spans="1:15">
      <c r="A1247" s="2520" t="s">
        <v>2649</v>
      </c>
      <c r="B1247" s="2520"/>
      <c r="C1247" s="2520"/>
      <c r="D1247" s="2166"/>
      <c r="E1247" s="2166"/>
      <c r="F1247" s="2166"/>
      <c r="G1247" s="2166"/>
      <c r="H1247" s="2525">
        <v>4.2999999999999997E-2</v>
      </c>
      <c r="I1247" s="2525"/>
      <c r="J1247" s="2525"/>
      <c r="K1247" s="2166"/>
      <c r="L1247" s="2167">
        <v>0.45</v>
      </c>
      <c r="M1247" s="2166"/>
    </row>
    <row r="1248" spans="1:15">
      <c r="A1248" s="2164"/>
      <c r="B1248" s="2164"/>
      <c r="C1248" s="2164"/>
      <c r="D1248" s="2164"/>
      <c r="E1248" s="2522" t="s">
        <v>2639</v>
      </c>
      <c r="F1248" s="2522"/>
      <c r="G1248" s="2164"/>
      <c r="H1248" s="2523">
        <v>4.3099999999999999E-2</v>
      </c>
      <c r="I1248" s="2523"/>
      <c r="J1248" s="2523"/>
      <c r="K1248" s="2163"/>
      <c r="L1248" s="2523">
        <v>0.43</v>
      </c>
      <c r="M1248" s="2163"/>
    </row>
    <row r="1249" spans="1:15">
      <c r="A1249" s="2164"/>
      <c r="B1249" s="2164"/>
      <c r="C1249" s="2164"/>
      <c r="D1249" s="2164"/>
      <c r="E1249" s="2164"/>
      <c r="F1249" s="2164"/>
      <c r="G1249" s="2164"/>
      <c r="H1249" s="2523"/>
      <c r="I1249" s="2523"/>
      <c r="J1249" s="2523"/>
      <c r="K1249" s="2163"/>
      <c r="L1249" s="2523"/>
      <c r="M1249" s="2163"/>
    </row>
    <row r="1250" spans="1:15">
      <c r="A1250" s="2160" t="s">
        <v>2723</v>
      </c>
      <c r="B1250" s="2161"/>
      <c r="C1250" s="2160" t="s">
        <v>2724</v>
      </c>
      <c r="D1250" s="2161"/>
      <c r="E1250" s="2160" t="s">
        <v>2722</v>
      </c>
      <c r="F1250" s="2161"/>
    </row>
    <row r="1251" spans="1:15">
      <c r="A1251" s="2163"/>
      <c r="B1251" s="2163"/>
      <c r="C1251" s="2163"/>
      <c r="D1251" s="2163"/>
      <c r="E1251" s="2163"/>
      <c r="F1251" s="2163"/>
      <c r="G1251" s="2163"/>
      <c r="H1251" s="2163"/>
      <c r="I1251" s="2163"/>
      <c r="J1251" s="2163"/>
      <c r="K1251" s="2163"/>
      <c r="L1251" s="2163"/>
      <c r="M1251" s="2163"/>
    </row>
    <row r="1252" spans="1:15">
      <c r="A1252" s="2164"/>
      <c r="H1252" s="2522" t="s">
        <v>2637</v>
      </c>
      <c r="I1252" s="2522"/>
      <c r="J1252" s="2163"/>
      <c r="K1252" s="2523">
        <v>2.0937999999999999</v>
      </c>
      <c r="L1252" s="2523"/>
      <c r="M1252" s="2163"/>
      <c r="N1252" s="2527">
        <v>21</v>
      </c>
      <c r="O1252" s="2163"/>
    </row>
    <row r="1253" spans="1:15">
      <c r="H1253" s="2163"/>
      <c r="I1253" s="2163"/>
      <c r="J1253" s="2163"/>
      <c r="K1253" s="2523"/>
      <c r="L1253" s="2523"/>
      <c r="N1253" s="2527"/>
    </row>
    <row r="1254" spans="1:15">
      <c r="A1254" s="2165">
        <v>64050</v>
      </c>
      <c r="B1254" s="2163"/>
      <c r="C1254" s="2524" t="s">
        <v>2886</v>
      </c>
      <c r="D1254" s="2524"/>
      <c r="E1254" s="2524"/>
      <c r="F1254" s="2524"/>
      <c r="G1254" s="2524"/>
      <c r="H1254" s="2524"/>
      <c r="I1254" s="2524"/>
      <c r="J1254" s="2163"/>
      <c r="K1254" s="2163"/>
      <c r="L1254" s="2163"/>
      <c r="M1254" s="2163"/>
    </row>
    <row r="1255" spans="1:15">
      <c r="A1255" s="2163"/>
      <c r="B1255" s="2163"/>
      <c r="C1255" s="2163"/>
      <c r="D1255" s="2163"/>
      <c r="E1255" s="2163"/>
      <c r="F1255" s="2163"/>
      <c r="G1255" s="2163"/>
      <c r="H1255" s="2163"/>
      <c r="I1255" s="2163"/>
      <c r="J1255" s="2163"/>
      <c r="K1255" s="2163"/>
      <c r="L1255" s="2163"/>
      <c r="M1255" s="2163"/>
    </row>
    <row r="1256" spans="1:15">
      <c r="A1256" s="2529"/>
      <c r="B1256" s="2529"/>
      <c r="C1256" s="2529"/>
      <c r="D1256" s="2166"/>
      <c r="E1256" s="2166"/>
      <c r="F1256" s="2166"/>
      <c r="G1256" s="2166"/>
      <c r="H1256" s="2525"/>
      <c r="I1256" s="2525"/>
      <c r="J1256" s="2525"/>
      <c r="K1256" s="2166"/>
      <c r="L1256" s="2167"/>
      <c r="M1256" s="2166"/>
    </row>
    <row r="1257" spans="1:15">
      <c r="A1257" s="2164"/>
      <c r="B1257" s="2164"/>
      <c r="C1257" s="2164"/>
      <c r="D1257" s="2164"/>
      <c r="E1257" s="2522" t="s">
        <v>2639</v>
      </c>
      <c r="F1257" s="2522"/>
      <c r="G1257" s="2164"/>
      <c r="H1257" s="2523">
        <v>2.0937999999999999</v>
      </c>
      <c r="I1257" s="2523"/>
      <c r="J1257" s="2523"/>
      <c r="K1257" s="2163"/>
      <c r="L1257" s="2523">
        <v>21.04</v>
      </c>
      <c r="M1257" s="2163"/>
    </row>
    <row r="1258" spans="1:15">
      <c r="A1258" s="2164"/>
      <c r="B1258" s="2164"/>
      <c r="C1258" s="2164"/>
      <c r="D1258" s="2164"/>
      <c r="E1258" s="2164"/>
      <c r="F1258" s="2164"/>
      <c r="G1258" s="2164"/>
      <c r="H1258" s="2523"/>
      <c r="I1258" s="2523"/>
      <c r="J1258" s="2523"/>
      <c r="K1258" s="2163"/>
      <c r="L1258" s="2523"/>
      <c r="M1258" s="2163"/>
    </row>
    <row r="1259" spans="1:15">
      <c r="A1259" s="2160" t="s">
        <v>2723</v>
      </c>
      <c r="B1259" s="2161"/>
      <c r="C1259" s="2160" t="s">
        <v>2724</v>
      </c>
      <c r="D1259" s="2161"/>
      <c r="E1259" s="2160" t="s">
        <v>2722</v>
      </c>
      <c r="F1259" s="2161"/>
    </row>
    <row r="1260" spans="1:15">
      <c r="A1260" s="2163"/>
      <c r="B1260" s="2163"/>
      <c r="C1260" s="2163"/>
      <c r="D1260" s="2163"/>
      <c r="E1260" s="2163"/>
      <c r="F1260" s="2163"/>
      <c r="G1260" s="2163"/>
      <c r="H1260" s="2163"/>
      <c r="I1260" s="2163"/>
      <c r="J1260" s="2163"/>
      <c r="K1260" s="2163"/>
      <c r="L1260" s="2163"/>
      <c r="M1260" s="2163"/>
    </row>
    <row r="1261" spans="1:15">
      <c r="A1261" s="2164"/>
      <c r="H1261" s="2522" t="s">
        <v>2637</v>
      </c>
      <c r="I1261" s="2522"/>
      <c r="J1261" s="2163"/>
      <c r="K1261" s="2523">
        <v>1E-4</v>
      </c>
      <c r="L1261" s="2523"/>
      <c r="M1261" s="2163"/>
      <c r="N1261" s="2527"/>
      <c r="O1261" s="2163"/>
    </row>
    <row r="1262" spans="1:15">
      <c r="H1262" s="2163"/>
      <c r="I1262" s="2163"/>
      <c r="J1262" s="2163"/>
      <c r="K1262" s="2523"/>
      <c r="L1262" s="2523"/>
      <c r="N1262" s="2527"/>
    </row>
    <row r="1263" spans="1:15">
      <c r="A1263" s="2165">
        <v>65309</v>
      </c>
      <c r="B1263" s="2163"/>
      <c r="C1263" s="2524" t="s">
        <v>2894</v>
      </c>
      <c r="D1263" s="2524"/>
      <c r="E1263" s="2524"/>
      <c r="F1263" s="2524"/>
      <c r="G1263" s="2524"/>
      <c r="H1263" s="2524"/>
      <c r="I1263" s="2524"/>
      <c r="J1263" s="2163"/>
      <c r="K1263" s="2163"/>
      <c r="L1263" s="2163"/>
      <c r="M1263" s="2163"/>
    </row>
    <row r="1264" spans="1:15">
      <c r="A1264" s="2163"/>
      <c r="B1264" s="2163"/>
      <c r="C1264" s="2163"/>
      <c r="D1264" s="2163"/>
      <c r="E1264" s="2163"/>
      <c r="F1264" s="2163"/>
      <c r="G1264" s="2163"/>
      <c r="H1264" s="2163"/>
      <c r="I1264" s="2163"/>
      <c r="J1264" s="2163"/>
      <c r="K1264" s="2163"/>
      <c r="L1264" s="2163"/>
      <c r="M1264" s="2163"/>
    </row>
    <row r="1265" spans="1:15">
      <c r="A1265" s="2520" t="s">
        <v>2647</v>
      </c>
      <c r="B1265" s="2520"/>
      <c r="C1265" s="2520"/>
      <c r="D1265" s="2166"/>
      <c r="E1265" s="2166"/>
      <c r="F1265" s="2166"/>
      <c r="G1265" s="2166"/>
      <c r="H1265" s="2526">
        <v>20037.353999999999</v>
      </c>
      <c r="I1265" s="2526"/>
      <c r="J1265" s="2526"/>
      <c r="K1265" s="2166"/>
      <c r="L1265" s="2168">
        <v>201976.53</v>
      </c>
      <c r="M1265" s="2166"/>
    </row>
    <row r="1266" spans="1:15">
      <c r="A1266" s="2520" t="s">
        <v>2648</v>
      </c>
      <c r="B1266" s="2520"/>
      <c r="C1266" s="2520"/>
      <c r="D1266" s="2166"/>
      <c r="E1266" s="2166"/>
      <c r="F1266" s="2166"/>
      <c r="G1266" s="2166"/>
      <c r="H1266" s="2526">
        <v>-108160.81600000001</v>
      </c>
      <c r="I1266" s="2526"/>
      <c r="J1266" s="2526"/>
      <c r="K1266" s="2166"/>
      <c r="L1266" s="2168">
        <v>-1129029.76</v>
      </c>
      <c r="M1266" s="2166"/>
    </row>
    <row r="1267" spans="1:15">
      <c r="A1267" s="2520" t="s">
        <v>2679</v>
      </c>
      <c r="B1267" s="2520"/>
      <c r="C1267" s="2520"/>
      <c r="D1267" s="2166"/>
      <c r="E1267" s="2166"/>
      <c r="F1267" s="2166"/>
      <c r="G1267" s="2166"/>
      <c r="H1267" s="2526">
        <v>-22727.273000000001</v>
      </c>
      <c r="I1267" s="2526"/>
      <c r="J1267" s="2526"/>
      <c r="K1267" s="2166"/>
      <c r="L1267" s="2168">
        <v>-220000</v>
      </c>
      <c r="M1267" s="2166"/>
    </row>
    <row r="1268" spans="1:15">
      <c r="A1268" s="2520" t="s">
        <v>2649</v>
      </c>
      <c r="B1268" s="2520"/>
      <c r="C1268" s="2520"/>
      <c r="D1268" s="2166"/>
      <c r="E1268" s="2166"/>
      <c r="F1268" s="2166"/>
      <c r="G1268" s="2166"/>
      <c r="H1268" s="2526">
        <v>110877.197</v>
      </c>
      <c r="I1268" s="2526"/>
      <c r="J1268" s="2526"/>
      <c r="K1268" s="2166"/>
      <c r="L1268" s="2168">
        <v>1100276</v>
      </c>
      <c r="M1268" s="2166"/>
    </row>
    <row r="1269" spans="1:15">
      <c r="A1269" s="2164"/>
      <c r="B1269" s="2164"/>
      <c r="C1269" s="2164"/>
      <c r="D1269" s="2164"/>
      <c r="E1269" s="2522" t="s">
        <v>2639</v>
      </c>
      <c r="F1269" s="2522"/>
      <c r="G1269" s="2164"/>
      <c r="H1269" s="2523">
        <v>26.462199999999999</v>
      </c>
      <c r="I1269" s="2523"/>
      <c r="J1269" s="2523"/>
      <c r="K1269" s="2163"/>
      <c r="L1269" s="2523">
        <v>265.94</v>
      </c>
      <c r="M1269" s="2163"/>
    </row>
    <row r="1270" spans="1:15">
      <c r="A1270" s="2164"/>
      <c r="B1270" s="2164"/>
      <c r="C1270" s="2164"/>
      <c r="D1270" s="2164"/>
      <c r="E1270" s="2164"/>
      <c r="F1270" s="2164"/>
      <c r="G1270" s="2164"/>
      <c r="H1270" s="2523"/>
      <c r="I1270" s="2523"/>
      <c r="J1270" s="2523"/>
      <c r="K1270" s="2163"/>
      <c r="L1270" s="2523"/>
      <c r="M1270" s="2163"/>
    </row>
    <row r="1271" spans="1:15">
      <c r="A1271" s="2160" t="s">
        <v>2723</v>
      </c>
      <c r="B1271" s="2161"/>
      <c r="C1271" s="2160" t="s">
        <v>2724</v>
      </c>
      <c r="D1271" s="2161"/>
      <c r="E1271" s="2160" t="s">
        <v>2722</v>
      </c>
      <c r="F1271" s="2161"/>
    </row>
    <row r="1272" spans="1:15">
      <c r="A1272" s="2163"/>
      <c r="B1272" s="2163"/>
      <c r="C1272" s="2163"/>
      <c r="D1272" s="2163"/>
      <c r="E1272" s="2163"/>
      <c r="F1272" s="2163"/>
      <c r="G1272" s="2163"/>
      <c r="H1272" s="2163"/>
      <c r="I1272" s="2163"/>
      <c r="J1272" s="2163"/>
      <c r="K1272" s="2163"/>
      <c r="L1272" s="2163"/>
      <c r="M1272" s="2163"/>
    </row>
    <row r="1273" spans="1:15">
      <c r="A1273" s="2164"/>
      <c r="H1273" s="2522" t="s">
        <v>2637</v>
      </c>
      <c r="I1273" s="2522"/>
      <c r="J1273" s="2163"/>
      <c r="K1273" s="2523">
        <v>0</v>
      </c>
      <c r="L1273" s="2523"/>
      <c r="M1273" s="2163"/>
      <c r="N1273" s="2527"/>
      <c r="O1273" s="2163"/>
    </row>
    <row r="1274" spans="1:15">
      <c r="H1274" s="2163"/>
      <c r="I1274" s="2163"/>
      <c r="J1274" s="2163"/>
      <c r="K1274" s="2523"/>
      <c r="L1274" s="2523"/>
      <c r="N1274" s="2527"/>
    </row>
    <row r="1275" spans="1:15">
      <c r="A1275" s="2165">
        <v>65402</v>
      </c>
      <c r="B1275" s="2163"/>
      <c r="C1275" s="2524" t="s">
        <v>2895</v>
      </c>
      <c r="D1275" s="2524"/>
      <c r="E1275" s="2524"/>
      <c r="F1275" s="2524"/>
      <c r="G1275" s="2524"/>
      <c r="H1275" s="2524"/>
      <c r="I1275" s="2524"/>
      <c r="J1275" s="2163"/>
      <c r="K1275" s="2163"/>
      <c r="L1275" s="2163"/>
      <c r="M1275" s="2163"/>
    </row>
    <row r="1276" spans="1:15">
      <c r="A1276" s="2163"/>
      <c r="B1276" s="2163"/>
      <c r="C1276" s="2163"/>
      <c r="D1276" s="2163"/>
      <c r="E1276" s="2163"/>
      <c r="F1276" s="2163"/>
      <c r="G1276" s="2163"/>
      <c r="H1276" s="2163"/>
      <c r="I1276" s="2163"/>
      <c r="J1276" s="2163"/>
      <c r="K1276" s="2163"/>
      <c r="L1276" s="2163"/>
      <c r="M1276" s="2163"/>
    </row>
    <row r="1277" spans="1:15">
      <c r="A1277" s="2529"/>
      <c r="B1277" s="2529"/>
      <c r="C1277" s="2529"/>
      <c r="D1277" s="2166"/>
      <c r="E1277" s="2166"/>
      <c r="F1277" s="2166"/>
      <c r="G1277" s="2166"/>
      <c r="H1277" s="2525"/>
      <c r="I1277" s="2525"/>
      <c r="J1277" s="2525"/>
      <c r="K1277" s="2166"/>
      <c r="L1277" s="2167"/>
      <c r="M1277" s="2166"/>
    </row>
    <row r="1278" spans="1:15">
      <c r="A1278" s="2164"/>
      <c r="B1278" s="2164"/>
      <c r="C1278" s="2164"/>
      <c r="D1278" s="2164"/>
      <c r="E1278" s="2522" t="s">
        <v>2639</v>
      </c>
      <c r="F1278" s="2522"/>
      <c r="G1278" s="2164"/>
      <c r="H1278" s="2523">
        <v>0</v>
      </c>
      <c r="I1278" s="2523"/>
      <c r="J1278" s="2523"/>
      <c r="K1278" s="2163"/>
      <c r="L1278" s="2523">
        <v>0</v>
      </c>
      <c r="M1278" s="2163"/>
    </row>
    <row r="1279" spans="1:15">
      <c r="A1279" s="2164"/>
      <c r="B1279" s="2164"/>
      <c r="C1279" s="2164"/>
      <c r="D1279" s="2164"/>
      <c r="E1279" s="2164"/>
      <c r="F1279" s="2164"/>
      <c r="G1279" s="2164"/>
      <c r="H1279" s="2523"/>
      <c r="I1279" s="2523"/>
      <c r="J1279" s="2523"/>
      <c r="K1279" s="2163"/>
      <c r="L1279" s="2523"/>
      <c r="M1279" s="2163"/>
    </row>
    <row r="1280" spans="1:15">
      <c r="A1280" s="2160" t="s">
        <v>2723</v>
      </c>
      <c r="B1280" s="2161"/>
      <c r="C1280" s="2160" t="s">
        <v>2724</v>
      </c>
      <c r="D1280" s="2161"/>
      <c r="E1280" s="2160" t="s">
        <v>2722</v>
      </c>
      <c r="F1280" s="2161"/>
    </row>
    <row r="1281" spans="1:15">
      <c r="A1281" s="2163"/>
      <c r="B1281" s="2163"/>
      <c r="C1281" s="2163"/>
      <c r="D1281" s="2163"/>
      <c r="E1281" s="2163"/>
      <c r="F1281" s="2163"/>
      <c r="G1281" s="2163"/>
      <c r="H1281" s="2163"/>
      <c r="I1281" s="2163"/>
      <c r="J1281" s="2163"/>
      <c r="K1281" s="2163"/>
      <c r="L1281" s="2163"/>
      <c r="M1281" s="2163"/>
    </row>
    <row r="1282" spans="1:15">
      <c r="A1282" s="2164"/>
      <c r="H1282" s="2522" t="s">
        <v>2637</v>
      </c>
      <c r="I1282" s="2522"/>
      <c r="J1282" s="2163"/>
      <c r="K1282" s="2528">
        <v>241573.9154</v>
      </c>
      <c r="L1282" s="2528"/>
      <c r="M1282" s="2163"/>
      <c r="N1282" s="2527" t="s">
        <v>3147</v>
      </c>
      <c r="O1282" s="2163"/>
    </row>
    <row r="1283" spans="1:15">
      <c r="H1283" s="2163"/>
      <c r="I1283" s="2163"/>
      <c r="J1283" s="2163"/>
      <c r="K1283" s="2528"/>
      <c r="L1283" s="2528"/>
      <c r="N1283" s="2527"/>
    </row>
    <row r="1284" spans="1:15">
      <c r="A1284" s="2165">
        <v>67110</v>
      </c>
      <c r="B1284" s="2163"/>
      <c r="C1284" s="2524" t="s">
        <v>2891</v>
      </c>
      <c r="D1284" s="2524"/>
      <c r="E1284" s="2524"/>
      <c r="F1284" s="2524"/>
      <c r="G1284" s="2524"/>
      <c r="H1284" s="2524"/>
      <c r="I1284" s="2524"/>
      <c r="J1284" s="2163"/>
      <c r="K1284" s="2163"/>
      <c r="L1284" s="2163"/>
      <c r="M1284" s="2163"/>
    </row>
    <row r="1285" spans="1:15">
      <c r="A1285" s="2163"/>
      <c r="B1285" s="2163"/>
      <c r="C1285" s="2163"/>
      <c r="D1285" s="2163"/>
      <c r="E1285" s="2163"/>
      <c r="F1285" s="2163"/>
      <c r="G1285" s="2163"/>
      <c r="H1285" s="2163"/>
      <c r="I1285" s="2163"/>
      <c r="J1285" s="2163"/>
      <c r="K1285" s="2163"/>
      <c r="L1285" s="2163"/>
      <c r="M1285" s="2163"/>
    </row>
    <row r="1286" spans="1:15">
      <c r="A1286" s="2520" t="s">
        <v>2649</v>
      </c>
      <c r="B1286" s="2520"/>
      <c r="C1286" s="2520"/>
      <c r="D1286" s="2166"/>
      <c r="E1286" s="2166"/>
      <c r="F1286" s="2166"/>
      <c r="G1286" s="2166"/>
      <c r="H1286" s="2525">
        <v>482.64600000000002</v>
      </c>
      <c r="I1286" s="2525"/>
      <c r="J1286" s="2525"/>
      <c r="K1286" s="2166"/>
      <c r="L1286" s="2168">
        <v>5034</v>
      </c>
      <c r="M1286" s="2166"/>
    </row>
    <row r="1287" spans="1:15">
      <c r="A1287" s="2164"/>
      <c r="B1287" s="2164"/>
      <c r="C1287" s="2164"/>
      <c r="D1287" s="2164"/>
      <c r="E1287" s="2522" t="s">
        <v>2639</v>
      </c>
      <c r="F1287" s="2522"/>
      <c r="G1287" s="2164"/>
      <c r="H1287" s="2528">
        <v>242056.56159999999</v>
      </c>
      <c r="I1287" s="2528"/>
      <c r="J1287" s="2528"/>
      <c r="K1287" s="2163"/>
      <c r="L1287" s="2528">
        <v>2432668.44</v>
      </c>
      <c r="M1287" s="2163"/>
    </row>
    <row r="1288" spans="1:15">
      <c r="A1288" s="2164"/>
      <c r="B1288" s="2164"/>
      <c r="C1288" s="2164"/>
      <c r="D1288" s="2164"/>
      <c r="E1288" s="2164"/>
      <c r="F1288" s="2164"/>
      <c r="G1288" s="2164"/>
      <c r="H1288" s="2528"/>
      <c r="I1288" s="2528"/>
      <c r="J1288" s="2528"/>
      <c r="K1288" s="2163"/>
      <c r="L1288" s="2528"/>
      <c r="M1288" s="2163"/>
    </row>
    <row r="1289" spans="1:15">
      <c r="A1289" s="2160" t="s">
        <v>2723</v>
      </c>
      <c r="B1289" s="2161"/>
      <c r="C1289" s="2160" t="s">
        <v>2724</v>
      </c>
      <c r="D1289" s="2161"/>
      <c r="E1289" s="2160" t="s">
        <v>2722</v>
      </c>
      <c r="F1289" s="2161"/>
    </row>
    <row r="1290" spans="1:15">
      <c r="A1290" s="2163"/>
      <c r="B1290" s="2163"/>
      <c r="C1290" s="2163"/>
      <c r="D1290" s="2163"/>
      <c r="E1290" s="2163"/>
      <c r="F1290" s="2163"/>
      <c r="G1290" s="2163"/>
      <c r="H1290" s="2163"/>
      <c r="I1290" s="2163"/>
      <c r="J1290" s="2163"/>
      <c r="K1290" s="2163"/>
      <c r="L1290" s="2163"/>
      <c r="M1290" s="2163"/>
    </row>
    <row r="1291" spans="1:15">
      <c r="A1291" s="2164"/>
      <c r="H1291" s="2522" t="s">
        <v>2637</v>
      </c>
      <c r="I1291" s="2522"/>
      <c r="J1291" s="2163"/>
      <c r="K1291" s="2523">
        <v>0</v>
      </c>
      <c r="L1291" s="2523"/>
      <c r="M1291" s="2163"/>
      <c r="N1291" s="2527"/>
      <c r="O1291" s="2163"/>
    </row>
    <row r="1292" spans="1:15">
      <c r="H1292" s="2163"/>
      <c r="I1292" s="2163"/>
      <c r="J1292" s="2163"/>
      <c r="K1292" s="2523"/>
      <c r="L1292" s="2523"/>
      <c r="N1292" s="2527"/>
    </row>
    <row r="1293" spans="1:15">
      <c r="A1293" s="2165">
        <v>70604</v>
      </c>
      <c r="B1293" s="2163"/>
      <c r="C1293" s="2524" t="s">
        <v>2896</v>
      </c>
      <c r="D1293" s="2524"/>
      <c r="E1293" s="2524"/>
      <c r="F1293" s="2524"/>
      <c r="G1293" s="2524"/>
      <c r="H1293" s="2524"/>
      <c r="I1293" s="2524"/>
      <c r="J1293" s="2163"/>
      <c r="K1293" s="2163"/>
      <c r="L1293" s="2163"/>
      <c r="M1293" s="2163"/>
    </row>
    <row r="1294" spans="1:15">
      <c r="A1294" s="2163"/>
      <c r="B1294" s="2163"/>
      <c r="C1294" s="2163"/>
      <c r="D1294" s="2163"/>
      <c r="E1294" s="2163"/>
      <c r="F1294" s="2163"/>
      <c r="G1294" s="2163"/>
      <c r="H1294" s="2163"/>
      <c r="I1294" s="2163"/>
      <c r="J1294" s="2163"/>
      <c r="K1294" s="2163"/>
      <c r="L1294" s="2163"/>
      <c r="M1294" s="2163"/>
    </row>
    <row r="1295" spans="1:15">
      <c r="A1295" s="2520" t="s">
        <v>2647</v>
      </c>
      <c r="B1295" s="2520"/>
      <c r="C1295" s="2520"/>
      <c r="D1295" s="2166"/>
      <c r="E1295" s="2166"/>
      <c r="F1295" s="2166"/>
      <c r="G1295" s="2166"/>
      <c r="H1295" s="2526">
        <v>13121.609</v>
      </c>
      <c r="I1295" s="2526"/>
      <c r="J1295" s="2526"/>
      <c r="K1295" s="2166"/>
      <c r="L1295" s="2168">
        <v>130038.8</v>
      </c>
      <c r="M1295" s="2166"/>
    </row>
    <row r="1296" spans="1:15">
      <c r="A1296" s="2520" t="s">
        <v>2679</v>
      </c>
      <c r="B1296" s="2520"/>
      <c r="C1296" s="2520"/>
      <c r="D1296" s="2166"/>
      <c r="E1296" s="2166"/>
      <c r="F1296" s="2166"/>
      <c r="G1296" s="2166"/>
      <c r="H1296" s="2526">
        <v>-2516.69</v>
      </c>
      <c r="I1296" s="2526"/>
      <c r="J1296" s="2526"/>
      <c r="K1296" s="2166"/>
      <c r="L1296" s="2168">
        <v>-26123</v>
      </c>
      <c r="M1296" s="2166"/>
    </row>
    <row r="1297" spans="1:15">
      <c r="A1297" s="2520" t="s">
        <v>2649</v>
      </c>
      <c r="B1297" s="2520"/>
      <c r="C1297" s="2520"/>
      <c r="D1297" s="2166"/>
      <c r="E1297" s="2166"/>
      <c r="F1297" s="2166"/>
      <c r="G1297" s="2166"/>
      <c r="H1297" s="2525">
        <v>51.006999999999998</v>
      </c>
      <c r="I1297" s="2525"/>
      <c r="J1297" s="2525"/>
      <c r="K1297" s="2166"/>
      <c r="L1297" s="2167">
        <v>532</v>
      </c>
      <c r="M1297" s="2166"/>
    </row>
    <row r="1298" spans="1:15">
      <c r="A1298" s="2164"/>
      <c r="B1298" s="2164"/>
      <c r="C1298" s="2164"/>
      <c r="D1298" s="2164"/>
      <c r="E1298" s="2522" t="s">
        <v>2639</v>
      </c>
      <c r="F1298" s="2522"/>
      <c r="G1298" s="2164"/>
      <c r="H1298" s="2528">
        <v>10655.925300000001</v>
      </c>
      <c r="I1298" s="2528"/>
      <c r="J1298" s="2528"/>
      <c r="K1298" s="2163"/>
      <c r="L1298" s="2528">
        <v>107092.05</v>
      </c>
      <c r="M1298" s="2163"/>
    </row>
    <row r="1299" spans="1:15">
      <c r="A1299" s="2164"/>
      <c r="B1299" s="2164"/>
      <c r="C1299" s="2164"/>
      <c r="D1299" s="2164"/>
      <c r="E1299" s="2164"/>
      <c r="F1299" s="2164"/>
      <c r="G1299" s="2164"/>
      <c r="H1299" s="2528"/>
      <c r="I1299" s="2528"/>
      <c r="J1299" s="2528"/>
      <c r="K1299" s="2163"/>
      <c r="L1299" s="2528"/>
      <c r="M1299" s="2163"/>
    </row>
    <row r="1300" spans="1:15">
      <c r="A1300" s="2160" t="s">
        <v>2723</v>
      </c>
      <c r="B1300" s="2161"/>
      <c r="C1300" s="2160" t="s">
        <v>2724</v>
      </c>
      <c r="D1300" s="2161"/>
      <c r="E1300" s="2160" t="s">
        <v>2722</v>
      </c>
      <c r="F1300" s="2161"/>
    </row>
    <row r="1301" spans="1:15">
      <c r="A1301" s="2163"/>
      <c r="B1301" s="2163"/>
      <c r="C1301" s="2163"/>
      <c r="D1301" s="2163"/>
      <c r="E1301" s="2163"/>
      <c r="F1301" s="2163"/>
      <c r="G1301" s="2163"/>
      <c r="H1301" s="2163"/>
      <c r="I1301" s="2163"/>
      <c r="J1301" s="2163"/>
      <c r="K1301" s="2163"/>
      <c r="L1301" s="2163"/>
      <c r="M1301" s="2163"/>
    </row>
    <row r="1302" spans="1:15">
      <c r="A1302" s="2164"/>
      <c r="H1302" s="2522" t="s">
        <v>2637</v>
      </c>
      <c r="I1302" s="2522"/>
      <c r="J1302" s="2163"/>
      <c r="K1302" s="2528">
        <v>174126.89910000001</v>
      </c>
      <c r="L1302" s="2528"/>
      <c r="M1302" s="2163"/>
      <c r="N1302" s="2527" t="s">
        <v>3148</v>
      </c>
      <c r="O1302" s="2163"/>
    </row>
    <row r="1303" spans="1:15">
      <c r="H1303" s="2163"/>
      <c r="I1303" s="2163"/>
      <c r="J1303" s="2163"/>
      <c r="K1303" s="2528"/>
      <c r="L1303" s="2528"/>
      <c r="N1303" s="2527"/>
    </row>
    <row r="1304" spans="1:15">
      <c r="A1304" s="2165">
        <v>73000</v>
      </c>
      <c r="B1304" s="2163"/>
      <c r="C1304" s="2524" t="s">
        <v>2880</v>
      </c>
      <c r="D1304" s="2524"/>
      <c r="E1304" s="2524"/>
      <c r="F1304" s="2524"/>
      <c r="G1304" s="2524"/>
      <c r="H1304" s="2524"/>
      <c r="I1304" s="2524"/>
      <c r="J1304" s="2163"/>
      <c r="K1304" s="2163"/>
      <c r="L1304" s="2163"/>
      <c r="M1304" s="2163"/>
    </row>
    <row r="1305" spans="1:15">
      <c r="A1305" s="2163"/>
      <c r="B1305" s="2163"/>
      <c r="C1305" s="2163"/>
      <c r="D1305" s="2163"/>
      <c r="E1305" s="2163"/>
      <c r="F1305" s="2163"/>
      <c r="G1305" s="2163"/>
      <c r="H1305" s="2163"/>
      <c r="I1305" s="2163"/>
      <c r="J1305" s="2163"/>
      <c r="K1305" s="2163"/>
      <c r="L1305" s="2163"/>
      <c r="M1305" s="2163"/>
    </row>
    <row r="1306" spans="1:15">
      <c r="A1306" s="2520" t="s">
        <v>2649</v>
      </c>
      <c r="B1306" s="2520"/>
      <c r="C1306" s="2520"/>
      <c r="D1306" s="2166"/>
      <c r="E1306" s="2166"/>
      <c r="F1306" s="2166"/>
      <c r="G1306" s="2166"/>
      <c r="H1306" s="2526">
        <v>36241.775000000001</v>
      </c>
      <c r="I1306" s="2526"/>
      <c r="J1306" s="2526"/>
      <c r="K1306" s="2166"/>
      <c r="L1306" s="2168">
        <v>375000</v>
      </c>
      <c r="M1306" s="2166"/>
    </row>
    <row r="1307" spans="1:15">
      <c r="A1307" s="2164"/>
      <c r="B1307" s="2164"/>
      <c r="C1307" s="2164"/>
      <c r="D1307" s="2164"/>
      <c r="E1307" s="2522" t="s">
        <v>2639</v>
      </c>
      <c r="F1307" s="2522"/>
      <c r="G1307" s="2164"/>
      <c r="H1307" s="2528">
        <v>210368.67360000001</v>
      </c>
      <c r="I1307" s="2528"/>
      <c r="J1307" s="2528"/>
      <c r="K1307" s="2163"/>
      <c r="L1307" s="2528">
        <v>2114205.17</v>
      </c>
      <c r="M1307" s="2163"/>
    </row>
    <row r="1308" spans="1:15">
      <c r="A1308" s="2164"/>
      <c r="B1308" s="2164"/>
      <c r="C1308" s="2164"/>
      <c r="D1308" s="2164"/>
      <c r="E1308" s="2164"/>
      <c r="F1308" s="2164"/>
      <c r="G1308" s="2164"/>
      <c r="H1308" s="2528"/>
      <c r="I1308" s="2528"/>
      <c r="J1308" s="2528"/>
      <c r="K1308" s="2163"/>
      <c r="L1308" s="2528"/>
      <c r="M1308" s="2163"/>
    </row>
    <row r="1309" spans="1:15">
      <c r="A1309" s="2160" t="s">
        <v>2723</v>
      </c>
      <c r="B1309" s="2161"/>
      <c r="C1309" s="2160" t="s">
        <v>2724</v>
      </c>
      <c r="D1309" s="2161"/>
      <c r="E1309" s="2160" t="s">
        <v>2722</v>
      </c>
      <c r="F1309" s="2161"/>
    </row>
    <row r="1310" spans="1:15">
      <c r="A1310" s="2163"/>
      <c r="B1310" s="2163"/>
      <c r="C1310" s="2163"/>
      <c r="D1310" s="2163"/>
      <c r="E1310" s="2163"/>
      <c r="F1310" s="2163"/>
      <c r="G1310" s="2163"/>
      <c r="H1310" s="2163"/>
      <c r="I1310" s="2163"/>
      <c r="J1310" s="2163"/>
      <c r="K1310" s="2163"/>
      <c r="L1310" s="2163"/>
      <c r="M1310" s="2163"/>
    </row>
    <row r="1311" spans="1:15">
      <c r="A1311" s="2164"/>
      <c r="H1311" s="2522" t="s">
        <v>2637</v>
      </c>
      <c r="I1311" s="2522"/>
      <c r="J1311" s="2163"/>
      <c r="K1311" s="2528">
        <v>114362.217</v>
      </c>
      <c r="L1311" s="2528"/>
      <c r="M1311" s="2163"/>
      <c r="N1311" s="2527" t="s">
        <v>3149</v>
      </c>
      <c r="O1311" s="2163"/>
    </row>
    <row r="1312" spans="1:15">
      <c r="H1312" s="2163"/>
      <c r="I1312" s="2163"/>
      <c r="J1312" s="2163"/>
      <c r="K1312" s="2528"/>
      <c r="L1312" s="2528"/>
      <c r="N1312" s="2527"/>
    </row>
    <row r="1313" spans="1:15">
      <c r="A1313" s="2165">
        <v>73898</v>
      </c>
      <c r="B1313" s="2163"/>
      <c r="C1313" s="2524" t="s">
        <v>2880</v>
      </c>
      <c r="D1313" s="2524"/>
      <c r="E1313" s="2524"/>
      <c r="F1313" s="2524"/>
      <c r="G1313" s="2524"/>
      <c r="H1313" s="2524"/>
      <c r="I1313" s="2524"/>
      <c r="J1313" s="2163"/>
      <c r="K1313" s="2163"/>
      <c r="L1313" s="2163"/>
      <c r="M1313" s="2163"/>
    </row>
    <row r="1314" spans="1:15">
      <c r="A1314" s="2163"/>
      <c r="B1314" s="2163"/>
      <c r="C1314" s="2163"/>
      <c r="D1314" s="2163"/>
      <c r="E1314" s="2163"/>
      <c r="F1314" s="2163"/>
      <c r="G1314" s="2163"/>
      <c r="H1314" s="2163"/>
      <c r="I1314" s="2163"/>
      <c r="J1314" s="2163"/>
      <c r="K1314" s="2163"/>
      <c r="L1314" s="2163"/>
      <c r="M1314" s="2163"/>
    </row>
    <row r="1315" spans="1:15">
      <c r="A1315" s="2520" t="s">
        <v>2649</v>
      </c>
      <c r="B1315" s="2520"/>
      <c r="C1315" s="2520"/>
      <c r="D1315" s="2166"/>
      <c r="E1315" s="2166"/>
      <c r="F1315" s="2166"/>
      <c r="G1315" s="2166"/>
      <c r="H1315" s="2526">
        <v>16858.802</v>
      </c>
      <c r="I1315" s="2526"/>
      <c r="J1315" s="2526"/>
      <c r="K1315" s="2166"/>
      <c r="L1315" s="2168">
        <v>175000</v>
      </c>
      <c r="M1315" s="2166"/>
    </row>
    <row r="1316" spans="1:15">
      <c r="A1316" s="2164"/>
      <c r="B1316" s="2164"/>
      <c r="C1316" s="2164"/>
      <c r="D1316" s="2164"/>
      <c r="E1316" s="2522" t="s">
        <v>2639</v>
      </c>
      <c r="F1316" s="2522"/>
      <c r="G1316" s="2164"/>
      <c r="H1316" s="2528">
        <v>131221.0189</v>
      </c>
      <c r="I1316" s="2528"/>
      <c r="J1316" s="2528"/>
      <c r="K1316" s="2163"/>
      <c r="L1316" s="2528">
        <v>1318771.24</v>
      </c>
      <c r="M1316" s="2163"/>
    </row>
    <row r="1317" spans="1:15">
      <c r="A1317" s="2164"/>
      <c r="B1317" s="2164"/>
      <c r="C1317" s="2164"/>
      <c r="D1317" s="2164"/>
      <c r="E1317" s="2164"/>
      <c r="F1317" s="2164"/>
      <c r="G1317" s="2164"/>
      <c r="H1317" s="2528"/>
      <c r="I1317" s="2528"/>
      <c r="J1317" s="2528"/>
      <c r="K1317" s="2163"/>
      <c r="L1317" s="2528"/>
      <c r="M1317" s="2163"/>
    </row>
    <row r="1318" spans="1:15">
      <c r="A1318" s="2160" t="s">
        <v>2723</v>
      </c>
      <c r="B1318" s="2161"/>
      <c r="C1318" s="2160" t="s">
        <v>2724</v>
      </c>
      <c r="D1318" s="2161"/>
      <c r="E1318" s="2160" t="s">
        <v>2722</v>
      </c>
      <c r="F1318" s="2161"/>
    </row>
    <row r="1319" spans="1:15">
      <c r="A1319" s="2163"/>
      <c r="B1319" s="2163"/>
      <c r="C1319" s="2163"/>
      <c r="D1319" s="2163"/>
      <c r="E1319" s="2163"/>
      <c r="F1319" s="2163"/>
      <c r="G1319" s="2163"/>
      <c r="H1319" s="2163"/>
      <c r="I1319" s="2163"/>
      <c r="J1319" s="2163"/>
      <c r="K1319" s="2163"/>
      <c r="L1319" s="2163"/>
      <c r="M1319" s="2163"/>
    </row>
    <row r="1320" spans="1:15">
      <c r="A1320" s="2164"/>
      <c r="H1320" s="2522" t="s">
        <v>2637</v>
      </c>
      <c r="I1320" s="2522"/>
      <c r="J1320" s="2163"/>
      <c r="K1320" s="2528">
        <v>5808.7377999999999</v>
      </c>
      <c r="L1320" s="2528"/>
      <c r="M1320" s="2163"/>
      <c r="N1320" s="2527" t="s">
        <v>3150</v>
      </c>
      <c r="O1320" s="2163"/>
    </row>
    <row r="1321" spans="1:15">
      <c r="H1321" s="2163"/>
      <c r="I1321" s="2163"/>
      <c r="J1321" s="2163"/>
      <c r="K1321" s="2528"/>
      <c r="L1321" s="2528"/>
      <c r="N1321" s="2527"/>
    </row>
    <row r="1322" spans="1:15">
      <c r="A1322" s="2165">
        <v>75343</v>
      </c>
      <c r="B1322" s="2163"/>
      <c r="C1322" s="2524" t="s">
        <v>2892</v>
      </c>
      <c r="D1322" s="2524"/>
      <c r="E1322" s="2524"/>
      <c r="F1322" s="2524"/>
      <c r="G1322" s="2524"/>
      <c r="H1322" s="2524"/>
      <c r="I1322" s="2524"/>
      <c r="J1322" s="2163"/>
      <c r="K1322" s="2163"/>
      <c r="L1322" s="2163"/>
      <c r="M1322" s="2163"/>
    </row>
    <row r="1323" spans="1:15">
      <c r="A1323" s="2163"/>
      <c r="B1323" s="2163"/>
      <c r="C1323" s="2163"/>
      <c r="D1323" s="2163"/>
      <c r="E1323" s="2163"/>
      <c r="F1323" s="2163"/>
      <c r="G1323" s="2163"/>
      <c r="H1323" s="2163"/>
      <c r="I1323" s="2163"/>
      <c r="J1323" s="2163"/>
      <c r="K1323" s="2163"/>
      <c r="L1323" s="2163"/>
      <c r="M1323" s="2163"/>
    </row>
    <row r="1324" spans="1:15">
      <c r="A1324" s="2520" t="s">
        <v>2647</v>
      </c>
      <c r="B1324" s="2520"/>
      <c r="C1324" s="2520"/>
      <c r="D1324" s="2166"/>
      <c r="E1324" s="2166"/>
      <c r="F1324" s="2166"/>
      <c r="G1324" s="2166"/>
      <c r="H1324" s="2526">
        <v>50479.252</v>
      </c>
      <c r="I1324" s="2526"/>
      <c r="J1324" s="2526"/>
      <c r="K1324" s="2166"/>
      <c r="L1324" s="2168">
        <v>474297.12</v>
      </c>
      <c r="M1324" s="2166"/>
    </row>
    <row r="1325" spans="1:15">
      <c r="A1325" s="2520" t="s">
        <v>2648</v>
      </c>
      <c r="B1325" s="2520"/>
      <c r="C1325" s="2520"/>
      <c r="D1325" s="2166"/>
      <c r="E1325" s="2166"/>
      <c r="F1325" s="2166"/>
      <c r="G1325" s="2166"/>
      <c r="H1325" s="2526">
        <v>-56287.99</v>
      </c>
      <c r="I1325" s="2526"/>
      <c r="J1325" s="2526"/>
      <c r="K1325" s="2166"/>
      <c r="L1325" s="2168">
        <v>-533521.11</v>
      </c>
      <c r="M1325" s="2166"/>
    </row>
    <row r="1326" spans="1:15">
      <c r="A1326" s="2520" t="s">
        <v>2649</v>
      </c>
      <c r="B1326" s="2520"/>
      <c r="C1326" s="2520"/>
      <c r="D1326" s="2166"/>
      <c r="E1326" s="2166"/>
      <c r="F1326" s="2166"/>
      <c r="G1326" s="2166"/>
      <c r="H1326" s="2525">
        <v>5.0810000000000004</v>
      </c>
      <c r="I1326" s="2525"/>
      <c r="J1326" s="2525"/>
      <c r="K1326" s="2166"/>
      <c r="L1326" s="2167">
        <v>52.99</v>
      </c>
      <c r="M1326" s="2166"/>
    </row>
    <row r="1327" spans="1:15">
      <c r="A1327" s="2164"/>
      <c r="B1327" s="2164"/>
      <c r="C1327" s="2164"/>
      <c r="D1327" s="2164"/>
      <c r="E1327" s="2522" t="s">
        <v>2639</v>
      </c>
      <c r="F1327" s="2522"/>
      <c r="G1327" s="2164"/>
      <c r="H1327" s="2523">
        <v>5.0804999999999998</v>
      </c>
      <c r="I1327" s="2523"/>
      <c r="J1327" s="2523"/>
      <c r="K1327" s="2163"/>
      <c r="L1327" s="2523">
        <v>51.06</v>
      </c>
      <c r="M1327" s="2163"/>
    </row>
    <row r="1328" spans="1:15">
      <c r="A1328" s="2164"/>
      <c r="B1328" s="2164"/>
      <c r="C1328" s="2164"/>
      <c r="D1328" s="2164"/>
      <c r="E1328" s="2164"/>
      <c r="F1328" s="2164"/>
      <c r="G1328" s="2164"/>
      <c r="H1328" s="2523"/>
      <c r="I1328" s="2523"/>
      <c r="J1328" s="2523"/>
      <c r="K1328" s="2163"/>
      <c r="L1328" s="2523"/>
      <c r="M1328" s="2163"/>
    </row>
    <row r="1329" spans="1:15">
      <c r="A1329" s="2160" t="s">
        <v>2723</v>
      </c>
      <c r="B1329" s="2161"/>
      <c r="C1329" s="2160" t="s">
        <v>2724</v>
      </c>
      <c r="D1329" s="2161"/>
      <c r="E1329" s="2160" t="s">
        <v>2722</v>
      </c>
      <c r="F1329" s="2161"/>
    </row>
    <row r="1330" spans="1:15">
      <c r="A1330" s="2163"/>
      <c r="B1330" s="2163"/>
      <c r="C1330" s="2163"/>
      <c r="D1330" s="2163"/>
      <c r="E1330" s="2163"/>
      <c r="F1330" s="2163"/>
      <c r="G1330" s="2163"/>
      <c r="H1330" s="2163"/>
      <c r="I1330" s="2163"/>
      <c r="J1330" s="2163"/>
      <c r="K1330" s="2163"/>
      <c r="L1330" s="2163"/>
      <c r="M1330" s="2163"/>
    </row>
    <row r="1331" spans="1:15">
      <c r="A1331" s="2164"/>
      <c r="H1331" s="2522" t="s">
        <v>2637</v>
      </c>
      <c r="I1331" s="2522"/>
      <c r="J1331" s="2163"/>
      <c r="K1331" s="2528">
        <v>515136.69689999998</v>
      </c>
      <c r="L1331" s="2528"/>
      <c r="M1331" s="2163"/>
      <c r="N1331" s="2527" t="s">
        <v>3151</v>
      </c>
      <c r="O1331" s="2163"/>
    </row>
    <row r="1332" spans="1:15">
      <c r="H1332" s="2163"/>
      <c r="I1332" s="2163"/>
      <c r="J1332" s="2163"/>
      <c r="K1332" s="2528"/>
      <c r="L1332" s="2528"/>
      <c r="N1332" s="2527"/>
    </row>
    <row r="1333" spans="1:15">
      <c r="A1333" s="2165">
        <v>75561</v>
      </c>
      <c r="B1333" s="2163"/>
      <c r="C1333" s="2524" t="s">
        <v>2893</v>
      </c>
      <c r="D1333" s="2524"/>
      <c r="E1333" s="2524"/>
      <c r="F1333" s="2524"/>
      <c r="G1333" s="2524"/>
      <c r="H1333" s="2524"/>
      <c r="I1333" s="2524"/>
      <c r="J1333" s="2163"/>
      <c r="K1333" s="2163"/>
      <c r="L1333" s="2163"/>
      <c r="M1333" s="2163"/>
    </row>
    <row r="1334" spans="1:15">
      <c r="A1334" s="2163"/>
      <c r="B1334" s="2163"/>
      <c r="C1334" s="2163"/>
      <c r="D1334" s="2163"/>
      <c r="E1334" s="2163"/>
      <c r="F1334" s="2163"/>
      <c r="G1334" s="2163"/>
      <c r="H1334" s="2163"/>
      <c r="I1334" s="2163"/>
      <c r="J1334" s="2163"/>
      <c r="K1334" s="2163"/>
      <c r="L1334" s="2163"/>
      <c r="M1334" s="2163"/>
    </row>
    <row r="1335" spans="1:15">
      <c r="A1335" s="2520" t="s">
        <v>2647</v>
      </c>
      <c r="B1335" s="2520"/>
      <c r="C1335" s="2520"/>
      <c r="D1335" s="2166"/>
      <c r="E1335" s="2166"/>
      <c r="F1335" s="2166"/>
      <c r="G1335" s="2166"/>
      <c r="H1335" s="2526">
        <v>1472616.2660000001</v>
      </c>
      <c r="I1335" s="2526"/>
      <c r="J1335" s="2526"/>
      <c r="K1335" s="2166"/>
      <c r="L1335" s="2168">
        <v>14998539</v>
      </c>
      <c r="M1335" s="2166"/>
    </row>
    <row r="1336" spans="1:15">
      <c r="A1336" s="2520" t="s">
        <v>2648</v>
      </c>
      <c r="B1336" s="2520"/>
      <c r="C1336" s="2520"/>
      <c r="D1336" s="2166"/>
      <c r="E1336" s="2166"/>
      <c r="F1336" s="2166"/>
      <c r="G1336" s="2166"/>
      <c r="H1336" s="2526">
        <v>-515136.69699999999</v>
      </c>
      <c r="I1336" s="2526"/>
      <c r="J1336" s="2526"/>
      <c r="K1336" s="2166"/>
      <c r="L1336" s="2168">
        <v>-4834574.7</v>
      </c>
      <c r="M1336" s="2166"/>
    </row>
    <row r="1337" spans="1:15">
      <c r="A1337" s="2520" t="s">
        <v>2649</v>
      </c>
      <c r="B1337" s="2520"/>
      <c r="C1337" s="2520"/>
      <c r="D1337" s="2166"/>
      <c r="E1337" s="2166"/>
      <c r="F1337" s="2166"/>
      <c r="G1337" s="2166"/>
      <c r="H1337" s="2525">
        <v>207.095</v>
      </c>
      <c r="I1337" s="2525"/>
      <c r="J1337" s="2525"/>
      <c r="K1337" s="2166"/>
      <c r="L1337" s="2168">
        <v>2160</v>
      </c>
      <c r="M1337" s="2166"/>
    </row>
    <row r="1338" spans="1:15">
      <c r="A1338" s="2164"/>
      <c r="B1338" s="2164"/>
      <c r="C1338" s="2164"/>
      <c r="D1338" s="2164"/>
      <c r="E1338" s="2522" t="s">
        <v>2639</v>
      </c>
      <c r="F1338" s="2522"/>
      <c r="G1338" s="2164"/>
      <c r="H1338" s="2528">
        <v>1472823.3614000001</v>
      </c>
      <c r="I1338" s="2528"/>
      <c r="J1338" s="2528"/>
      <c r="K1338" s="2163"/>
      <c r="L1338" s="2528">
        <v>14801874.779999999</v>
      </c>
      <c r="M1338" s="2163"/>
    </row>
    <row r="1339" spans="1:15">
      <c r="A1339" s="2164"/>
      <c r="B1339" s="2164"/>
      <c r="C1339" s="2164"/>
      <c r="D1339" s="2164"/>
      <c r="E1339" s="2164"/>
      <c r="F1339" s="2164"/>
      <c r="G1339" s="2164"/>
      <c r="H1339" s="2528"/>
      <c r="I1339" s="2528"/>
      <c r="J1339" s="2528"/>
      <c r="K1339" s="2163"/>
      <c r="L1339" s="2528"/>
      <c r="M1339" s="2163"/>
    </row>
    <row r="1340" spans="1:15">
      <c r="A1340" s="2160" t="s">
        <v>2723</v>
      </c>
      <c r="B1340" s="2161"/>
      <c r="C1340" s="2160" t="s">
        <v>2724</v>
      </c>
      <c r="D1340" s="2161"/>
      <c r="E1340" s="2160" t="s">
        <v>2722</v>
      </c>
      <c r="F1340" s="2161"/>
    </row>
    <row r="1341" spans="1:15">
      <c r="A1341" s="2163"/>
      <c r="B1341" s="2163"/>
      <c r="C1341" s="2163"/>
      <c r="D1341" s="2163"/>
      <c r="E1341" s="2163"/>
      <c r="F1341" s="2163"/>
      <c r="G1341" s="2163"/>
      <c r="H1341" s="2163"/>
      <c r="I1341" s="2163"/>
      <c r="J1341" s="2163"/>
      <c r="K1341" s="2163"/>
      <c r="L1341" s="2163"/>
      <c r="M1341" s="2163"/>
    </row>
    <row r="1342" spans="1:15">
      <c r="A1342" s="2164"/>
      <c r="H1342" s="2522" t="s">
        <v>2637</v>
      </c>
      <c r="I1342" s="2522"/>
      <c r="J1342" s="2163"/>
      <c r="K1342" s="2523">
        <v>0</v>
      </c>
      <c r="L1342" s="2523"/>
      <c r="M1342" s="2163"/>
      <c r="N1342" s="2527"/>
      <c r="O1342" s="2163"/>
    </row>
    <row r="1343" spans="1:15">
      <c r="H1343" s="2163"/>
      <c r="I1343" s="2163"/>
      <c r="J1343" s="2163"/>
      <c r="K1343" s="2523"/>
      <c r="L1343" s="2523"/>
      <c r="N1343" s="2527"/>
    </row>
    <row r="1344" spans="1:15">
      <c r="A1344" s="2165">
        <v>85972</v>
      </c>
      <c r="B1344" s="2163"/>
      <c r="C1344" s="2524" t="s">
        <v>2884</v>
      </c>
      <c r="D1344" s="2524"/>
      <c r="E1344" s="2524"/>
      <c r="F1344" s="2524"/>
      <c r="G1344" s="2524"/>
      <c r="H1344" s="2524"/>
      <c r="I1344" s="2524"/>
      <c r="J1344" s="2163"/>
      <c r="K1344" s="2163"/>
      <c r="L1344" s="2163"/>
      <c r="M1344" s="2163"/>
    </row>
    <row r="1345" spans="1:15">
      <c r="A1345" s="2163"/>
      <c r="B1345" s="2163"/>
      <c r="C1345" s="2163"/>
      <c r="D1345" s="2163"/>
      <c r="E1345" s="2163"/>
      <c r="F1345" s="2163"/>
      <c r="G1345" s="2163"/>
      <c r="H1345" s="2163"/>
      <c r="I1345" s="2163"/>
      <c r="J1345" s="2163"/>
      <c r="K1345" s="2163"/>
      <c r="L1345" s="2163"/>
      <c r="M1345" s="2163"/>
    </row>
    <row r="1346" spans="1:15">
      <c r="A1346" s="2520" t="s">
        <v>2649</v>
      </c>
      <c r="B1346" s="2520"/>
      <c r="C1346" s="2520"/>
      <c r="D1346" s="2166"/>
      <c r="E1346" s="2166"/>
      <c r="F1346" s="2166"/>
      <c r="G1346" s="2166"/>
      <c r="H1346" s="2526">
        <v>1527.5170000000001</v>
      </c>
      <c r="I1346" s="2526"/>
      <c r="J1346" s="2526"/>
      <c r="K1346" s="2166"/>
      <c r="L1346" s="2168">
        <v>15932</v>
      </c>
      <c r="M1346" s="2166"/>
    </row>
    <row r="1347" spans="1:15">
      <c r="A1347" s="2164"/>
      <c r="B1347" s="2164"/>
      <c r="C1347" s="2164"/>
      <c r="D1347" s="2164"/>
      <c r="E1347" s="2522" t="s">
        <v>2639</v>
      </c>
      <c r="F1347" s="2522"/>
      <c r="G1347" s="2164"/>
      <c r="H1347" s="2528">
        <v>1527.5168000000001</v>
      </c>
      <c r="I1347" s="2528"/>
      <c r="J1347" s="2528"/>
      <c r="K1347" s="2163"/>
      <c r="L1347" s="2528">
        <v>15351.54</v>
      </c>
      <c r="M1347" s="2163"/>
    </row>
    <row r="1348" spans="1:15">
      <c r="A1348" s="2164"/>
      <c r="B1348" s="2164"/>
      <c r="C1348" s="2164"/>
      <c r="D1348" s="2164"/>
      <c r="E1348" s="2164"/>
      <c r="F1348" s="2164"/>
      <c r="G1348" s="2164"/>
      <c r="H1348" s="2528"/>
      <c r="I1348" s="2528"/>
      <c r="J1348" s="2528"/>
      <c r="K1348" s="2163"/>
      <c r="L1348" s="2528"/>
      <c r="M1348" s="2163"/>
    </row>
    <row r="1349" spans="1:15">
      <c r="A1349" s="2160" t="s">
        <v>2729</v>
      </c>
      <c r="B1349" s="2161"/>
      <c r="C1349" s="2160" t="s">
        <v>2730</v>
      </c>
      <c r="D1349" s="2161"/>
      <c r="E1349" s="2160" t="s">
        <v>2698</v>
      </c>
      <c r="F1349" s="2161"/>
    </row>
    <row r="1350" spans="1:15">
      <c r="A1350" s="2163"/>
      <c r="B1350" s="2163"/>
      <c r="C1350" s="2163"/>
      <c r="D1350" s="2163"/>
      <c r="E1350" s="2163"/>
      <c r="F1350" s="2163"/>
      <c r="G1350" s="2163"/>
      <c r="H1350" s="2163"/>
      <c r="I1350" s="2163"/>
      <c r="J1350" s="2163"/>
      <c r="K1350" s="2163"/>
      <c r="L1350" s="2163"/>
      <c r="M1350" s="2163"/>
    </row>
    <row r="1351" spans="1:15">
      <c r="A1351" s="2164"/>
      <c r="H1351" s="2522" t="s">
        <v>2637</v>
      </c>
      <c r="I1351" s="2522"/>
      <c r="J1351" s="2163"/>
      <c r="K1351" s="2523">
        <v>5.3E-3</v>
      </c>
      <c r="L1351" s="2523"/>
      <c r="M1351" s="2163"/>
      <c r="N1351" s="2527"/>
      <c r="O1351" s="2163"/>
    </row>
    <row r="1352" spans="1:15">
      <c r="H1352" s="2163"/>
      <c r="I1352" s="2163"/>
      <c r="J1352" s="2163"/>
      <c r="K1352" s="2523"/>
      <c r="L1352" s="2523"/>
      <c r="N1352" s="2527"/>
    </row>
    <row r="1353" spans="1:15">
      <c r="A1353" s="2165">
        <v>2300</v>
      </c>
      <c r="B1353" s="2163"/>
      <c r="C1353" s="2524" t="s">
        <v>2880</v>
      </c>
      <c r="D1353" s="2524"/>
      <c r="E1353" s="2524"/>
      <c r="F1353" s="2524"/>
      <c r="G1353" s="2524"/>
      <c r="H1353" s="2524"/>
      <c r="I1353" s="2524"/>
      <c r="J1353" s="2163"/>
      <c r="K1353" s="2163"/>
      <c r="L1353" s="2163"/>
      <c r="M1353" s="2163"/>
    </row>
    <row r="1354" spans="1:15">
      <c r="A1354" s="2163"/>
      <c r="B1354" s="2163"/>
      <c r="C1354" s="2163"/>
      <c r="D1354" s="2163"/>
      <c r="E1354" s="2163"/>
      <c r="F1354" s="2163"/>
      <c r="G1354" s="2163"/>
      <c r="H1354" s="2163"/>
      <c r="I1354" s="2163"/>
      <c r="J1354" s="2163"/>
      <c r="K1354" s="2163"/>
      <c r="L1354" s="2163"/>
      <c r="M1354" s="2163"/>
    </row>
    <row r="1355" spans="1:15">
      <c r="A1355" s="2529"/>
      <c r="B1355" s="2529"/>
      <c r="C1355" s="2529"/>
      <c r="D1355" s="2166"/>
      <c r="E1355" s="2166"/>
      <c r="F1355" s="2166"/>
      <c r="G1355" s="2166"/>
      <c r="H1355" s="2525"/>
      <c r="I1355" s="2525"/>
      <c r="J1355" s="2525"/>
      <c r="K1355" s="2166"/>
      <c r="L1355" s="2167"/>
      <c r="M1355" s="2166"/>
    </row>
    <row r="1356" spans="1:15">
      <c r="A1356" s="2164"/>
      <c r="B1356" s="2164"/>
      <c r="C1356" s="2164"/>
      <c r="D1356" s="2164"/>
      <c r="E1356" s="2522" t="s">
        <v>2639</v>
      </c>
      <c r="F1356" s="2522"/>
      <c r="G1356" s="2164"/>
      <c r="H1356" s="2523">
        <v>5.3E-3</v>
      </c>
      <c r="I1356" s="2523"/>
      <c r="J1356" s="2523"/>
      <c r="K1356" s="2163"/>
      <c r="L1356" s="2523">
        <v>0.28999999999999998</v>
      </c>
      <c r="M1356" s="2163"/>
    </row>
    <row r="1357" spans="1:15">
      <c r="A1357" s="2164"/>
      <c r="B1357" s="2164"/>
      <c r="C1357" s="2164"/>
      <c r="D1357" s="2164"/>
      <c r="E1357" s="2164"/>
      <c r="F1357" s="2164"/>
      <c r="G1357" s="2164"/>
      <c r="H1357" s="2523"/>
      <c r="I1357" s="2523"/>
      <c r="J1357" s="2523"/>
      <c r="K1357" s="2163"/>
      <c r="L1357" s="2523"/>
      <c r="M1357" s="2163"/>
    </row>
    <row r="1358" spans="1:15">
      <c r="A1358" s="2160" t="s">
        <v>2729</v>
      </c>
      <c r="B1358" s="2161"/>
      <c r="C1358" s="2160" t="s">
        <v>2730</v>
      </c>
      <c r="D1358" s="2161"/>
      <c r="E1358" s="2160" t="s">
        <v>2698</v>
      </c>
      <c r="F1358" s="2161"/>
    </row>
    <row r="1359" spans="1:15">
      <c r="A1359" s="2163"/>
      <c r="B1359" s="2163"/>
      <c r="C1359" s="2163"/>
      <c r="D1359" s="2163"/>
      <c r="E1359" s="2163"/>
      <c r="F1359" s="2163"/>
      <c r="G1359" s="2163"/>
      <c r="H1359" s="2163"/>
      <c r="I1359" s="2163"/>
      <c r="J1359" s="2163"/>
      <c r="K1359" s="2163"/>
      <c r="L1359" s="2163"/>
      <c r="M1359" s="2163"/>
    </row>
    <row r="1360" spans="1:15">
      <c r="A1360" s="2164"/>
      <c r="H1360" s="2522" t="s">
        <v>2637</v>
      </c>
      <c r="I1360" s="2522"/>
      <c r="J1360" s="2163"/>
      <c r="K1360" s="2523">
        <v>0</v>
      </c>
      <c r="L1360" s="2523"/>
      <c r="M1360" s="2163"/>
      <c r="N1360" s="2527"/>
      <c r="O1360" s="2163"/>
    </row>
    <row r="1361" spans="1:15">
      <c r="H1361" s="2163"/>
      <c r="I1361" s="2163"/>
      <c r="J1361" s="2163"/>
      <c r="K1361" s="2523"/>
      <c r="L1361" s="2523"/>
      <c r="N1361" s="2527"/>
    </row>
    <row r="1362" spans="1:15">
      <c r="A1362" s="2165">
        <v>5178</v>
      </c>
      <c r="B1362" s="2163"/>
      <c r="C1362" s="2524" t="s">
        <v>2880</v>
      </c>
      <c r="D1362" s="2524"/>
      <c r="E1362" s="2524"/>
      <c r="F1362" s="2524"/>
      <c r="G1362" s="2524"/>
      <c r="H1362" s="2524"/>
      <c r="I1362" s="2524"/>
      <c r="J1362" s="2163"/>
      <c r="K1362" s="2163"/>
      <c r="L1362" s="2163"/>
      <c r="M1362" s="2163"/>
    </row>
    <row r="1363" spans="1:15">
      <c r="A1363" s="2163"/>
      <c r="B1363" s="2163"/>
      <c r="C1363" s="2163"/>
      <c r="D1363" s="2163"/>
      <c r="E1363" s="2163"/>
      <c r="F1363" s="2163"/>
      <c r="G1363" s="2163"/>
      <c r="H1363" s="2163"/>
      <c r="I1363" s="2163"/>
      <c r="J1363" s="2163"/>
      <c r="K1363" s="2163"/>
      <c r="L1363" s="2163"/>
      <c r="M1363" s="2163"/>
    </row>
    <row r="1364" spans="1:15">
      <c r="A1364" s="2529"/>
      <c r="B1364" s="2529"/>
      <c r="C1364" s="2529"/>
      <c r="D1364" s="2166"/>
      <c r="E1364" s="2166"/>
      <c r="F1364" s="2166"/>
      <c r="G1364" s="2166"/>
      <c r="H1364" s="2525"/>
      <c r="I1364" s="2525"/>
      <c r="J1364" s="2525"/>
      <c r="K1364" s="2166"/>
      <c r="L1364" s="2167"/>
      <c r="M1364" s="2166"/>
    </row>
    <row r="1365" spans="1:15">
      <c r="A1365" s="2164"/>
      <c r="B1365" s="2164"/>
      <c r="C1365" s="2164"/>
      <c r="D1365" s="2164"/>
      <c r="E1365" s="2522" t="s">
        <v>2639</v>
      </c>
      <c r="F1365" s="2522"/>
      <c r="G1365" s="2164"/>
      <c r="H1365" s="2523">
        <v>0</v>
      </c>
      <c r="I1365" s="2523"/>
      <c r="J1365" s="2523"/>
      <c r="K1365" s="2163"/>
      <c r="L1365" s="2523">
        <v>0</v>
      </c>
      <c r="M1365" s="2163"/>
    </row>
    <row r="1366" spans="1:15">
      <c r="A1366" s="2164"/>
      <c r="B1366" s="2164"/>
      <c r="C1366" s="2164"/>
      <c r="D1366" s="2164"/>
      <c r="E1366" s="2164"/>
      <c r="F1366" s="2164"/>
      <c r="G1366" s="2164"/>
      <c r="H1366" s="2523"/>
      <c r="I1366" s="2523"/>
      <c r="J1366" s="2523"/>
      <c r="K1366" s="2163"/>
      <c r="L1366" s="2523"/>
      <c r="M1366" s="2163"/>
    </row>
    <row r="1367" spans="1:15">
      <c r="A1367" s="2160" t="s">
        <v>2729</v>
      </c>
      <c r="B1367" s="2161"/>
      <c r="C1367" s="2160" t="s">
        <v>2730</v>
      </c>
      <c r="D1367" s="2161"/>
      <c r="E1367" s="2160" t="s">
        <v>2698</v>
      </c>
      <c r="F1367" s="2161"/>
    </row>
    <row r="1368" spans="1:15">
      <c r="A1368" s="2163"/>
      <c r="B1368" s="2163"/>
      <c r="C1368" s="2163"/>
      <c r="D1368" s="2163"/>
      <c r="E1368" s="2163"/>
      <c r="F1368" s="2163"/>
      <c r="G1368" s="2163"/>
      <c r="H1368" s="2163"/>
      <c r="I1368" s="2163"/>
      <c r="J1368" s="2163"/>
      <c r="K1368" s="2163"/>
      <c r="L1368" s="2163"/>
      <c r="M1368" s="2163"/>
    </row>
    <row r="1369" spans="1:15">
      <c r="A1369" s="2164"/>
      <c r="H1369" s="2522" t="s">
        <v>2637</v>
      </c>
      <c r="I1369" s="2522"/>
      <c r="J1369" s="2163"/>
      <c r="K1369" s="2523">
        <v>0</v>
      </c>
      <c r="L1369" s="2523"/>
      <c r="M1369" s="2163"/>
      <c r="N1369" s="2527"/>
      <c r="O1369" s="2163"/>
    </row>
    <row r="1370" spans="1:15">
      <c r="H1370" s="2163"/>
      <c r="I1370" s="2163"/>
      <c r="J1370" s="2163"/>
      <c r="K1370" s="2523"/>
      <c r="L1370" s="2523"/>
      <c r="N1370" s="2527"/>
    </row>
    <row r="1371" spans="1:15">
      <c r="A1371" s="2165">
        <v>31791</v>
      </c>
      <c r="B1371" s="2163"/>
      <c r="C1371" s="2524" t="s">
        <v>2881</v>
      </c>
      <c r="D1371" s="2524"/>
      <c r="E1371" s="2524"/>
      <c r="F1371" s="2524"/>
      <c r="G1371" s="2524"/>
      <c r="H1371" s="2524"/>
      <c r="I1371" s="2524"/>
      <c r="J1371" s="2163"/>
      <c r="K1371" s="2163"/>
      <c r="L1371" s="2163"/>
      <c r="M1371" s="2163"/>
    </row>
    <row r="1372" spans="1:15">
      <c r="A1372" s="2163"/>
      <c r="B1372" s="2163"/>
      <c r="C1372" s="2163"/>
      <c r="D1372" s="2163"/>
      <c r="E1372" s="2163"/>
      <c r="F1372" s="2163"/>
      <c r="G1372" s="2163"/>
      <c r="H1372" s="2163"/>
      <c r="I1372" s="2163"/>
      <c r="J1372" s="2163"/>
      <c r="K1372" s="2163"/>
      <c r="L1372" s="2163"/>
      <c r="M1372" s="2163"/>
    </row>
    <row r="1373" spans="1:15">
      <c r="A1373" s="2529"/>
      <c r="B1373" s="2529"/>
      <c r="C1373" s="2529"/>
      <c r="D1373" s="2166"/>
      <c r="E1373" s="2166"/>
      <c r="F1373" s="2166"/>
      <c r="G1373" s="2166"/>
      <c r="H1373" s="2525"/>
      <c r="I1373" s="2525"/>
      <c r="J1373" s="2525"/>
      <c r="K1373" s="2166"/>
      <c r="L1373" s="2167"/>
      <c r="M1373" s="2166"/>
    </row>
    <row r="1374" spans="1:15">
      <c r="A1374" s="2164"/>
      <c r="B1374" s="2164"/>
      <c r="C1374" s="2164"/>
      <c r="D1374" s="2164"/>
      <c r="E1374" s="2522" t="s">
        <v>2639</v>
      </c>
      <c r="F1374" s="2522"/>
      <c r="G1374" s="2164"/>
      <c r="H1374" s="2523">
        <v>0</v>
      </c>
      <c r="I1374" s="2523"/>
      <c r="J1374" s="2523"/>
      <c r="K1374" s="2163"/>
      <c r="L1374" s="2523">
        <v>0</v>
      </c>
      <c r="M1374" s="2163"/>
    </row>
    <row r="1375" spans="1:15">
      <c r="A1375" s="2164"/>
      <c r="B1375" s="2164"/>
      <c r="C1375" s="2164"/>
      <c r="D1375" s="2164"/>
      <c r="E1375" s="2164"/>
      <c r="F1375" s="2164"/>
      <c r="G1375" s="2164"/>
      <c r="H1375" s="2523"/>
      <c r="I1375" s="2523"/>
      <c r="J1375" s="2523"/>
      <c r="K1375" s="2163"/>
      <c r="L1375" s="2523"/>
      <c r="M1375" s="2163"/>
    </row>
    <row r="1376" spans="1:15">
      <c r="A1376" s="2160" t="s">
        <v>2729</v>
      </c>
      <c r="B1376" s="2161"/>
      <c r="C1376" s="2160" t="s">
        <v>2730</v>
      </c>
      <c r="D1376" s="2161"/>
      <c r="E1376" s="2160" t="s">
        <v>2698</v>
      </c>
      <c r="F1376" s="2161"/>
    </row>
    <row r="1377" spans="1:15">
      <c r="A1377" s="2163"/>
      <c r="B1377" s="2163"/>
      <c r="C1377" s="2163"/>
      <c r="D1377" s="2163"/>
      <c r="E1377" s="2163"/>
      <c r="F1377" s="2163"/>
      <c r="G1377" s="2163"/>
      <c r="H1377" s="2163"/>
      <c r="I1377" s="2163"/>
      <c r="J1377" s="2163"/>
      <c r="K1377" s="2163"/>
      <c r="L1377" s="2163"/>
      <c r="M1377" s="2163"/>
    </row>
    <row r="1378" spans="1:15">
      <c r="A1378" s="2164"/>
      <c r="H1378" s="2522" t="s">
        <v>2637</v>
      </c>
      <c r="I1378" s="2522"/>
      <c r="J1378" s="2163"/>
      <c r="K1378" s="2523">
        <v>1E-4</v>
      </c>
      <c r="L1378" s="2523"/>
      <c r="M1378" s="2163"/>
      <c r="N1378" s="2527"/>
      <c r="O1378" s="2163"/>
    </row>
    <row r="1379" spans="1:15">
      <c r="H1379" s="2163"/>
      <c r="I1379" s="2163"/>
      <c r="J1379" s="2163"/>
      <c r="K1379" s="2523"/>
      <c r="L1379" s="2523"/>
      <c r="N1379" s="2527"/>
    </row>
    <row r="1380" spans="1:15">
      <c r="A1380" s="2165">
        <v>40568</v>
      </c>
      <c r="B1380" s="2163"/>
      <c r="C1380" s="2524" t="s">
        <v>2882</v>
      </c>
      <c r="D1380" s="2524"/>
      <c r="E1380" s="2524"/>
      <c r="F1380" s="2524"/>
      <c r="G1380" s="2524"/>
      <c r="H1380" s="2524"/>
      <c r="I1380" s="2524"/>
      <c r="J1380" s="2163"/>
      <c r="K1380" s="2163"/>
      <c r="L1380" s="2163"/>
      <c r="M1380" s="2163"/>
    </row>
    <row r="1381" spans="1:15">
      <c r="A1381" s="2163"/>
      <c r="B1381" s="2163"/>
      <c r="C1381" s="2163"/>
      <c r="D1381" s="2163"/>
      <c r="E1381" s="2163"/>
      <c r="F1381" s="2163"/>
      <c r="G1381" s="2163"/>
      <c r="H1381" s="2163"/>
      <c r="I1381" s="2163"/>
      <c r="J1381" s="2163"/>
      <c r="K1381" s="2163"/>
      <c r="L1381" s="2163"/>
      <c r="M1381" s="2163"/>
    </row>
    <row r="1382" spans="1:15">
      <c r="A1382" s="2529"/>
      <c r="B1382" s="2529"/>
      <c r="C1382" s="2529"/>
      <c r="D1382" s="2166"/>
      <c r="E1382" s="2166"/>
      <c r="F1382" s="2166"/>
      <c r="G1382" s="2166"/>
      <c r="H1382" s="2525"/>
      <c r="I1382" s="2525"/>
      <c r="J1382" s="2525"/>
      <c r="K1382" s="2166"/>
      <c r="L1382" s="2167"/>
      <c r="M1382" s="2166"/>
    </row>
    <row r="1383" spans="1:15">
      <c r="A1383" s="2164"/>
      <c r="B1383" s="2164"/>
      <c r="C1383" s="2164"/>
      <c r="D1383" s="2164"/>
      <c r="E1383" s="2522" t="s">
        <v>2639</v>
      </c>
      <c r="F1383" s="2522"/>
      <c r="G1383" s="2164"/>
      <c r="H1383" s="2523">
        <v>1E-4</v>
      </c>
      <c r="I1383" s="2523"/>
      <c r="J1383" s="2523"/>
      <c r="K1383" s="2163"/>
      <c r="L1383" s="2523">
        <v>0.01</v>
      </c>
      <c r="M1383" s="2163"/>
    </row>
    <row r="1384" spans="1:15">
      <c r="A1384" s="2164"/>
      <c r="B1384" s="2164"/>
      <c r="C1384" s="2164"/>
      <c r="D1384" s="2164"/>
      <c r="E1384" s="2164"/>
      <c r="F1384" s="2164"/>
      <c r="G1384" s="2164"/>
      <c r="H1384" s="2523"/>
      <c r="I1384" s="2523"/>
      <c r="J1384" s="2523"/>
      <c r="K1384" s="2163"/>
      <c r="L1384" s="2523"/>
      <c r="M1384" s="2163"/>
    </row>
    <row r="1385" spans="1:15">
      <c r="A1385" s="2160" t="s">
        <v>2729</v>
      </c>
      <c r="B1385" s="2161"/>
      <c r="C1385" s="2160" t="s">
        <v>2730</v>
      </c>
      <c r="D1385" s="2161"/>
      <c r="E1385" s="2160" t="s">
        <v>2698</v>
      </c>
      <c r="F1385" s="2161"/>
    </row>
    <row r="1386" spans="1:15">
      <c r="A1386" s="2163"/>
      <c r="B1386" s="2163"/>
      <c r="C1386" s="2163"/>
      <c r="D1386" s="2163"/>
      <c r="E1386" s="2163"/>
      <c r="F1386" s="2163"/>
      <c r="G1386" s="2163"/>
      <c r="H1386" s="2163"/>
      <c r="I1386" s="2163"/>
      <c r="J1386" s="2163"/>
      <c r="K1386" s="2163"/>
      <c r="L1386" s="2163"/>
      <c r="M1386" s="2163"/>
    </row>
    <row r="1387" spans="1:15">
      <c r="A1387" s="2164"/>
      <c r="H1387" s="2522" t="s">
        <v>2637</v>
      </c>
      <c r="I1387" s="2522"/>
      <c r="J1387" s="2163"/>
      <c r="K1387" s="2523">
        <v>3.61E-2</v>
      </c>
      <c r="L1387" s="2523"/>
      <c r="M1387" s="2163"/>
      <c r="N1387" s="2527">
        <v>2</v>
      </c>
      <c r="O1387" s="2163"/>
    </row>
    <row r="1388" spans="1:15">
      <c r="H1388" s="2163"/>
      <c r="I1388" s="2163"/>
      <c r="J1388" s="2163"/>
      <c r="K1388" s="2523"/>
      <c r="L1388" s="2523"/>
      <c r="N1388" s="2527"/>
    </row>
    <row r="1389" spans="1:15">
      <c r="A1389" s="2165">
        <v>35647</v>
      </c>
      <c r="B1389" s="2163"/>
      <c r="C1389" s="2524" t="s">
        <v>2885</v>
      </c>
      <c r="D1389" s="2524"/>
      <c r="E1389" s="2524"/>
      <c r="F1389" s="2524"/>
      <c r="G1389" s="2524"/>
      <c r="H1389" s="2524"/>
      <c r="I1389" s="2524"/>
      <c r="J1389" s="2163"/>
      <c r="K1389" s="2163"/>
      <c r="L1389" s="2163"/>
      <c r="M1389" s="2163"/>
    </row>
    <row r="1390" spans="1:15">
      <c r="A1390" s="2163"/>
      <c r="B1390" s="2163"/>
      <c r="C1390" s="2163"/>
      <c r="D1390" s="2163"/>
      <c r="E1390" s="2163"/>
      <c r="F1390" s="2163"/>
      <c r="G1390" s="2163"/>
      <c r="H1390" s="2163"/>
      <c r="I1390" s="2163"/>
      <c r="J1390" s="2163"/>
      <c r="K1390" s="2163"/>
      <c r="L1390" s="2163"/>
      <c r="M1390" s="2163"/>
    </row>
    <row r="1391" spans="1:15">
      <c r="A1391" s="2529"/>
      <c r="B1391" s="2529"/>
      <c r="C1391" s="2529"/>
      <c r="D1391" s="2166"/>
      <c r="E1391" s="2166"/>
      <c r="F1391" s="2166"/>
      <c r="G1391" s="2166"/>
      <c r="H1391" s="2525"/>
      <c r="I1391" s="2525"/>
      <c r="J1391" s="2525"/>
      <c r="K1391" s="2166"/>
      <c r="L1391" s="2167"/>
      <c r="M1391" s="2166"/>
    </row>
    <row r="1392" spans="1:15">
      <c r="A1392" s="2164"/>
      <c r="B1392" s="2164"/>
      <c r="C1392" s="2164"/>
      <c r="D1392" s="2164"/>
      <c r="E1392" s="2522" t="s">
        <v>2639</v>
      </c>
      <c r="F1392" s="2522"/>
      <c r="G1392" s="2164"/>
      <c r="H1392" s="2523">
        <v>3.61E-2</v>
      </c>
      <c r="I1392" s="2523"/>
      <c r="J1392" s="2523"/>
      <c r="K1392" s="2163"/>
      <c r="L1392" s="2523">
        <v>1.98</v>
      </c>
      <c r="M1392" s="2163"/>
    </row>
    <row r="1393" spans="1:15">
      <c r="A1393" s="2164"/>
      <c r="B1393" s="2164"/>
      <c r="C1393" s="2164"/>
      <c r="D1393" s="2164"/>
      <c r="E1393" s="2164"/>
      <c r="F1393" s="2164"/>
      <c r="G1393" s="2164"/>
      <c r="H1393" s="2523"/>
      <c r="I1393" s="2523"/>
      <c r="J1393" s="2523"/>
      <c r="K1393" s="2163"/>
      <c r="L1393" s="2523"/>
      <c r="M1393" s="2163"/>
    </row>
    <row r="1394" spans="1:15">
      <c r="A1394" s="2160" t="s">
        <v>2729</v>
      </c>
      <c r="B1394" s="2161"/>
      <c r="C1394" s="2160" t="s">
        <v>2730</v>
      </c>
      <c r="D1394" s="2161"/>
      <c r="E1394" s="2160" t="s">
        <v>2698</v>
      </c>
      <c r="F1394" s="2161"/>
    </row>
    <row r="1395" spans="1:15">
      <c r="A1395" s="2163"/>
      <c r="B1395" s="2163"/>
      <c r="C1395" s="2163"/>
      <c r="D1395" s="2163"/>
      <c r="E1395" s="2163"/>
      <c r="F1395" s="2163"/>
      <c r="G1395" s="2163"/>
      <c r="H1395" s="2163"/>
      <c r="I1395" s="2163"/>
      <c r="J1395" s="2163"/>
      <c r="K1395" s="2163"/>
      <c r="L1395" s="2163"/>
      <c r="M1395" s="2163"/>
    </row>
    <row r="1396" spans="1:15">
      <c r="A1396" s="2164"/>
      <c r="H1396" s="2522" t="s">
        <v>2637</v>
      </c>
      <c r="I1396" s="2522"/>
      <c r="J1396" s="2163"/>
      <c r="K1396" s="2523">
        <v>0</v>
      </c>
      <c r="L1396" s="2523"/>
      <c r="M1396" s="2163"/>
      <c r="N1396" s="2527"/>
      <c r="O1396" s="2163"/>
    </row>
    <row r="1397" spans="1:15">
      <c r="H1397" s="2163"/>
      <c r="I1397" s="2163"/>
      <c r="J1397" s="2163"/>
      <c r="K1397" s="2523"/>
      <c r="L1397" s="2523"/>
      <c r="N1397" s="2527"/>
    </row>
    <row r="1398" spans="1:15">
      <c r="A1398" s="2165">
        <v>50602</v>
      </c>
      <c r="B1398" s="2163"/>
      <c r="C1398" s="2524" t="s">
        <v>2880</v>
      </c>
      <c r="D1398" s="2524"/>
      <c r="E1398" s="2524"/>
      <c r="F1398" s="2524"/>
      <c r="G1398" s="2524"/>
      <c r="H1398" s="2524"/>
      <c r="I1398" s="2524"/>
      <c r="J1398" s="2163"/>
      <c r="K1398" s="2163"/>
      <c r="L1398" s="2163"/>
      <c r="M1398" s="2163"/>
    </row>
    <row r="1399" spans="1:15">
      <c r="A1399" s="2163"/>
      <c r="B1399" s="2163"/>
      <c r="C1399" s="2163"/>
      <c r="D1399" s="2163"/>
      <c r="E1399" s="2163"/>
      <c r="F1399" s="2163"/>
      <c r="G1399" s="2163"/>
      <c r="H1399" s="2163"/>
      <c r="I1399" s="2163"/>
      <c r="J1399" s="2163"/>
      <c r="K1399" s="2163"/>
      <c r="L1399" s="2163"/>
      <c r="M1399" s="2163"/>
    </row>
    <row r="1400" spans="1:15">
      <c r="A1400" s="2529"/>
      <c r="B1400" s="2529"/>
      <c r="C1400" s="2529"/>
      <c r="D1400" s="2166"/>
      <c r="E1400" s="2166"/>
      <c r="F1400" s="2166"/>
      <c r="G1400" s="2166"/>
      <c r="H1400" s="2525"/>
      <c r="I1400" s="2525"/>
      <c r="J1400" s="2525"/>
      <c r="K1400" s="2166"/>
      <c r="L1400" s="2167"/>
      <c r="M1400" s="2166"/>
    </row>
    <row r="1401" spans="1:15">
      <c r="A1401" s="2164"/>
      <c r="B1401" s="2164"/>
      <c r="C1401" s="2164"/>
      <c r="D1401" s="2164"/>
      <c r="E1401" s="2522" t="s">
        <v>2639</v>
      </c>
      <c r="F1401" s="2522"/>
      <c r="G1401" s="2164"/>
      <c r="H1401" s="2523">
        <v>0</v>
      </c>
      <c r="I1401" s="2523"/>
      <c r="J1401" s="2523"/>
      <c r="K1401" s="2163"/>
      <c r="L1401" s="2523">
        <v>0</v>
      </c>
      <c r="M1401" s="2163"/>
    </row>
    <row r="1402" spans="1:15">
      <c r="A1402" s="2164"/>
      <c r="B1402" s="2164"/>
      <c r="C1402" s="2164"/>
      <c r="D1402" s="2164"/>
      <c r="E1402" s="2164"/>
      <c r="F1402" s="2164"/>
      <c r="G1402" s="2164"/>
      <c r="H1402" s="2523"/>
      <c r="I1402" s="2523"/>
      <c r="J1402" s="2523"/>
      <c r="K1402" s="2163"/>
      <c r="L1402" s="2523"/>
      <c r="M1402" s="2163"/>
    </row>
    <row r="1403" spans="1:15">
      <c r="A1403" s="2160" t="s">
        <v>2729</v>
      </c>
      <c r="B1403" s="2161"/>
      <c r="C1403" s="2160" t="s">
        <v>2730</v>
      </c>
      <c r="D1403" s="2161"/>
      <c r="E1403" s="2160" t="s">
        <v>2698</v>
      </c>
      <c r="F1403" s="2161"/>
    </row>
    <row r="1404" spans="1:15">
      <c r="A1404" s="2163"/>
      <c r="B1404" s="2163"/>
      <c r="C1404" s="2163"/>
      <c r="D1404" s="2163"/>
      <c r="E1404" s="2163"/>
      <c r="F1404" s="2163"/>
      <c r="G1404" s="2163"/>
      <c r="H1404" s="2163"/>
      <c r="I1404" s="2163"/>
      <c r="J1404" s="2163"/>
      <c r="K1404" s="2163"/>
      <c r="L1404" s="2163"/>
      <c r="M1404" s="2163"/>
    </row>
    <row r="1405" spans="1:15">
      <c r="A1405" s="2164"/>
      <c r="H1405" s="2522" t="s">
        <v>2637</v>
      </c>
      <c r="I1405" s="2522"/>
      <c r="J1405" s="2163"/>
      <c r="K1405" s="2523">
        <v>0</v>
      </c>
      <c r="L1405" s="2523"/>
      <c r="M1405" s="2163"/>
      <c r="N1405" s="2527"/>
      <c r="O1405" s="2163"/>
    </row>
    <row r="1406" spans="1:15">
      <c r="H1406" s="2163"/>
      <c r="I1406" s="2163"/>
      <c r="J1406" s="2163"/>
      <c r="K1406" s="2523"/>
      <c r="L1406" s="2523"/>
      <c r="N1406" s="2527"/>
    </row>
    <row r="1407" spans="1:15">
      <c r="A1407" s="2165">
        <v>54545</v>
      </c>
      <c r="B1407" s="2163"/>
      <c r="C1407" s="2524" t="s">
        <v>2884</v>
      </c>
      <c r="D1407" s="2524"/>
      <c r="E1407" s="2524"/>
      <c r="F1407" s="2524"/>
      <c r="G1407" s="2524"/>
      <c r="H1407" s="2524"/>
      <c r="I1407" s="2524"/>
      <c r="J1407" s="2163"/>
      <c r="K1407" s="2163"/>
      <c r="L1407" s="2163"/>
      <c r="M1407" s="2163"/>
    </row>
    <row r="1408" spans="1:15">
      <c r="A1408" s="2163"/>
      <c r="B1408" s="2163"/>
      <c r="C1408" s="2163"/>
      <c r="D1408" s="2163"/>
      <c r="E1408" s="2163"/>
      <c r="F1408" s="2163"/>
      <c r="G1408" s="2163"/>
      <c r="H1408" s="2163"/>
      <c r="I1408" s="2163"/>
      <c r="J1408" s="2163"/>
      <c r="K1408" s="2163"/>
      <c r="L1408" s="2163"/>
      <c r="M1408" s="2163"/>
    </row>
    <row r="1409" spans="1:15">
      <c r="A1409" s="2529"/>
      <c r="B1409" s="2529"/>
      <c r="C1409" s="2529"/>
      <c r="D1409" s="2166"/>
      <c r="E1409" s="2166"/>
      <c r="F1409" s="2166"/>
      <c r="G1409" s="2166"/>
      <c r="H1409" s="2525"/>
      <c r="I1409" s="2525"/>
      <c r="J1409" s="2525"/>
      <c r="K1409" s="2166"/>
      <c r="L1409" s="2167"/>
      <c r="M1409" s="2166"/>
    </row>
    <row r="1410" spans="1:15">
      <c r="A1410" s="2164"/>
      <c r="B1410" s="2164"/>
      <c r="C1410" s="2164"/>
      <c r="D1410" s="2164"/>
      <c r="E1410" s="2522" t="s">
        <v>2639</v>
      </c>
      <c r="F1410" s="2522"/>
      <c r="G1410" s="2164"/>
      <c r="H1410" s="2523">
        <v>0</v>
      </c>
      <c r="I1410" s="2523"/>
      <c r="J1410" s="2523"/>
      <c r="K1410" s="2163"/>
      <c r="L1410" s="2523">
        <v>0</v>
      </c>
      <c r="M1410" s="2163"/>
    </row>
    <row r="1411" spans="1:15">
      <c r="A1411" s="2164"/>
      <c r="B1411" s="2164"/>
      <c r="C1411" s="2164"/>
      <c r="D1411" s="2164"/>
      <c r="E1411" s="2164"/>
      <c r="F1411" s="2164"/>
      <c r="G1411" s="2164"/>
      <c r="H1411" s="2523"/>
      <c r="I1411" s="2523"/>
      <c r="J1411" s="2523"/>
      <c r="K1411" s="2163"/>
      <c r="L1411" s="2523"/>
      <c r="M1411" s="2163"/>
    </row>
    <row r="1412" spans="1:15">
      <c r="A1412" s="2160" t="s">
        <v>2729</v>
      </c>
      <c r="B1412" s="2161"/>
      <c r="C1412" s="2160" t="s">
        <v>2730</v>
      </c>
      <c r="D1412" s="2161"/>
      <c r="E1412" s="2160" t="s">
        <v>2698</v>
      </c>
      <c r="F1412" s="2161"/>
    </row>
    <row r="1413" spans="1:15">
      <c r="A1413" s="2163"/>
      <c r="B1413" s="2163"/>
      <c r="C1413" s="2163"/>
      <c r="D1413" s="2163"/>
      <c r="E1413" s="2163"/>
      <c r="F1413" s="2163"/>
      <c r="G1413" s="2163"/>
      <c r="H1413" s="2163"/>
      <c r="I1413" s="2163"/>
      <c r="J1413" s="2163"/>
      <c r="K1413" s="2163"/>
      <c r="L1413" s="2163"/>
      <c r="M1413" s="2163"/>
    </row>
    <row r="1414" spans="1:15">
      <c r="A1414" s="2164"/>
      <c r="H1414" s="2522" t="s">
        <v>2637</v>
      </c>
      <c r="I1414" s="2522"/>
      <c r="J1414" s="2163"/>
      <c r="K1414" s="2523">
        <v>1.7600000000000001E-2</v>
      </c>
      <c r="L1414" s="2523"/>
      <c r="M1414" s="2163"/>
      <c r="N1414" s="2527">
        <v>1</v>
      </c>
      <c r="O1414" s="2163"/>
    </row>
    <row r="1415" spans="1:15">
      <c r="H1415" s="2163"/>
      <c r="I1415" s="2163"/>
      <c r="J1415" s="2163"/>
      <c r="K1415" s="2523"/>
      <c r="L1415" s="2523"/>
      <c r="N1415" s="2527"/>
    </row>
    <row r="1416" spans="1:15">
      <c r="A1416" s="2165">
        <v>73898</v>
      </c>
      <c r="B1416" s="2163"/>
      <c r="C1416" s="2524" t="s">
        <v>2880</v>
      </c>
      <c r="D1416" s="2524"/>
      <c r="E1416" s="2524"/>
      <c r="F1416" s="2524"/>
      <c r="G1416" s="2524"/>
      <c r="H1416" s="2524"/>
      <c r="I1416" s="2524"/>
      <c r="J1416" s="2163"/>
      <c r="K1416" s="2163"/>
      <c r="L1416" s="2163"/>
      <c r="M1416" s="2163"/>
    </row>
    <row r="1417" spans="1:15">
      <c r="A1417" s="2163"/>
      <c r="B1417" s="2163"/>
      <c r="C1417" s="2163"/>
      <c r="D1417" s="2163"/>
      <c r="E1417" s="2163"/>
      <c r="F1417" s="2163"/>
      <c r="G1417" s="2163"/>
      <c r="H1417" s="2163"/>
      <c r="I1417" s="2163"/>
      <c r="J1417" s="2163"/>
      <c r="K1417" s="2163"/>
      <c r="L1417" s="2163"/>
      <c r="M1417" s="2163"/>
    </row>
    <row r="1418" spans="1:15">
      <c r="A1418" s="2529"/>
      <c r="B1418" s="2529"/>
      <c r="C1418" s="2529"/>
      <c r="D1418" s="2166"/>
      <c r="E1418" s="2166"/>
      <c r="F1418" s="2166"/>
      <c r="G1418" s="2166"/>
      <c r="H1418" s="2525"/>
      <c r="I1418" s="2525"/>
      <c r="J1418" s="2525"/>
      <c r="K1418" s="2166"/>
      <c r="L1418" s="2167"/>
      <c r="M1418" s="2166"/>
    </row>
    <row r="1419" spans="1:15">
      <c r="A1419" s="2164"/>
      <c r="B1419" s="2164"/>
      <c r="C1419" s="2164"/>
      <c r="D1419" s="2164"/>
      <c r="E1419" s="2522" t="s">
        <v>2639</v>
      </c>
      <c r="F1419" s="2522"/>
      <c r="G1419" s="2164"/>
      <c r="H1419" s="2523">
        <v>1.7600000000000001E-2</v>
      </c>
      <c r="I1419" s="2523"/>
      <c r="J1419" s="2523"/>
      <c r="K1419" s="2163"/>
      <c r="L1419" s="2523">
        <v>0.97</v>
      </c>
      <c r="M1419" s="2163"/>
    </row>
    <row r="1420" spans="1:15">
      <c r="A1420" s="2164"/>
      <c r="B1420" s="2164"/>
      <c r="C1420" s="2164"/>
      <c r="D1420" s="2164"/>
      <c r="E1420" s="2164"/>
      <c r="F1420" s="2164"/>
      <c r="G1420" s="2164"/>
      <c r="H1420" s="2523"/>
      <c r="I1420" s="2523"/>
      <c r="J1420" s="2523"/>
      <c r="K1420" s="2163"/>
      <c r="L1420" s="2523"/>
      <c r="M1420" s="2163"/>
    </row>
    <row r="1421" spans="1:15" ht="27.6">
      <c r="A1421" s="2160" t="s">
        <v>2734</v>
      </c>
      <c r="B1421" s="2161"/>
      <c r="C1421" s="2160" t="s">
        <v>2735</v>
      </c>
      <c r="D1421" s="2161"/>
      <c r="E1421" s="2160" t="s">
        <v>2698</v>
      </c>
      <c r="F1421" s="2161"/>
    </row>
    <row r="1422" spans="1:15">
      <c r="A1422" s="2163"/>
      <c r="B1422" s="2163"/>
      <c r="C1422" s="2163"/>
      <c r="D1422" s="2163"/>
      <c r="E1422" s="2163"/>
      <c r="F1422" s="2163"/>
      <c r="G1422" s="2163"/>
      <c r="H1422" s="2163"/>
      <c r="I1422" s="2163"/>
      <c r="J1422" s="2163"/>
      <c r="K1422" s="2163"/>
      <c r="L1422" s="2163"/>
      <c r="M1422" s="2163"/>
    </row>
    <row r="1423" spans="1:15">
      <c r="A1423" s="2164"/>
      <c r="H1423" s="2522" t="s">
        <v>2637</v>
      </c>
      <c r="I1423" s="2522"/>
      <c r="J1423" s="2163"/>
      <c r="K1423" s="2523">
        <v>0</v>
      </c>
      <c r="L1423" s="2523"/>
      <c r="M1423" s="2163"/>
      <c r="N1423" s="2527"/>
      <c r="O1423" s="2163"/>
    </row>
    <row r="1424" spans="1:15">
      <c r="H1424" s="2163"/>
      <c r="I1424" s="2163"/>
      <c r="J1424" s="2163"/>
      <c r="K1424" s="2523"/>
      <c r="L1424" s="2523"/>
      <c r="N1424" s="2527"/>
    </row>
    <row r="1425" spans="1:15">
      <c r="A1425" s="2165">
        <v>2300</v>
      </c>
      <c r="B1425" s="2163"/>
      <c r="C1425" s="2524" t="s">
        <v>2880</v>
      </c>
      <c r="D1425" s="2524"/>
      <c r="E1425" s="2524"/>
      <c r="F1425" s="2524"/>
      <c r="G1425" s="2524"/>
      <c r="H1425" s="2524"/>
      <c r="I1425" s="2524"/>
      <c r="J1425" s="2163"/>
      <c r="K1425" s="2163"/>
      <c r="L1425" s="2163"/>
      <c r="M1425" s="2163"/>
    </row>
    <row r="1426" spans="1:15">
      <c r="A1426" s="2163"/>
      <c r="B1426" s="2163"/>
      <c r="C1426" s="2163"/>
      <c r="D1426" s="2163"/>
      <c r="E1426" s="2163"/>
      <c r="F1426" s="2163"/>
      <c r="G1426" s="2163"/>
      <c r="H1426" s="2163"/>
      <c r="I1426" s="2163"/>
      <c r="J1426" s="2163"/>
      <c r="K1426" s="2163"/>
      <c r="L1426" s="2163"/>
      <c r="M1426" s="2163"/>
    </row>
    <row r="1427" spans="1:15">
      <c r="A1427" s="2529"/>
      <c r="B1427" s="2529"/>
      <c r="C1427" s="2529"/>
      <c r="D1427" s="2166"/>
      <c r="E1427" s="2166"/>
      <c r="F1427" s="2166"/>
      <c r="G1427" s="2166"/>
      <c r="H1427" s="2525"/>
      <c r="I1427" s="2525"/>
      <c r="J1427" s="2525"/>
      <c r="K1427" s="2166"/>
      <c r="L1427" s="2167"/>
      <c r="M1427" s="2166"/>
    </row>
    <row r="1428" spans="1:15">
      <c r="A1428" s="2164"/>
      <c r="B1428" s="2164"/>
      <c r="C1428" s="2164"/>
      <c r="D1428" s="2164"/>
      <c r="E1428" s="2522" t="s">
        <v>2639</v>
      </c>
      <c r="F1428" s="2522"/>
      <c r="G1428" s="2164"/>
      <c r="H1428" s="2523">
        <v>0</v>
      </c>
      <c r="I1428" s="2523"/>
      <c r="J1428" s="2523"/>
      <c r="K1428" s="2163"/>
      <c r="L1428" s="2523">
        <v>0</v>
      </c>
      <c r="M1428" s="2163"/>
    </row>
    <row r="1429" spans="1:15">
      <c r="A1429" s="2164"/>
      <c r="B1429" s="2164"/>
      <c r="C1429" s="2164"/>
      <c r="D1429" s="2164"/>
      <c r="E1429" s="2164"/>
      <c r="F1429" s="2164"/>
      <c r="G1429" s="2164"/>
      <c r="H1429" s="2523"/>
      <c r="I1429" s="2523"/>
      <c r="J1429" s="2523"/>
      <c r="K1429" s="2163"/>
      <c r="L1429" s="2523"/>
      <c r="M1429" s="2163"/>
    </row>
    <row r="1430" spans="1:15" ht="27.6">
      <c r="A1430" s="2160" t="s">
        <v>2734</v>
      </c>
      <c r="B1430" s="2161"/>
      <c r="C1430" s="2160" t="s">
        <v>2735</v>
      </c>
      <c r="D1430" s="2161"/>
      <c r="E1430" s="2160" t="s">
        <v>2698</v>
      </c>
      <c r="F1430" s="2161"/>
    </row>
    <row r="1431" spans="1:15">
      <c r="A1431" s="2163"/>
      <c r="B1431" s="2163"/>
      <c r="C1431" s="2163"/>
      <c r="D1431" s="2163"/>
      <c r="E1431" s="2163"/>
      <c r="F1431" s="2163"/>
      <c r="G1431" s="2163"/>
      <c r="H1431" s="2163"/>
      <c r="I1431" s="2163"/>
      <c r="J1431" s="2163"/>
      <c r="K1431" s="2163"/>
      <c r="L1431" s="2163"/>
      <c r="M1431" s="2163"/>
    </row>
    <row r="1432" spans="1:15">
      <c r="A1432" s="2164"/>
      <c r="H1432" s="2522" t="s">
        <v>2637</v>
      </c>
      <c r="I1432" s="2522"/>
      <c r="J1432" s="2163"/>
      <c r="K1432" s="2523">
        <v>0</v>
      </c>
      <c r="L1432" s="2523"/>
      <c r="M1432" s="2163"/>
      <c r="N1432" s="2527"/>
      <c r="O1432" s="2163"/>
    </row>
    <row r="1433" spans="1:15">
      <c r="H1433" s="2163"/>
      <c r="I1433" s="2163"/>
      <c r="J1433" s="2163"/>
      <c r="K1433" s="2523"/>
      <c r="L1433" s="2523"/>
      <c r="N1433" s="2527"/>
    </row>
    <row r="1434" spans="1:15">
      <c r="A1434" s="2165">
        <v>5123</v>
      </c>
      <c r="B1434" s="2163"/>
      <c r="C1434" s="2524" t="s">
        <v>2887</v>
      </c>
      <c r="D1434" s="2524"/>
      <c r="E1434" s="2524"/>
      <c r="F1434" s="2524"/>
      <c r="G1434" s="2524"/>
      <c r="H1434" s="2524"/>
      <c r="I1434" s="2524"/>
      <c r="J1434" s="2163"/>
      <c r="K1434" s="2163"/>
      <c r="L1434" s="2163"/>
      <c r="M1434" s="2163"/>
    </row>
    <row r="1435" spans="1:15">
      <c r="A1435" s="2163"/>
      <c r="B1435" s="2163"/>
      <c r="C1435" s="2163"/>
      <c r="D1435" s="2163"/>
      <c r="E1435" s="2163"/>
      <c r="F1435" s="2163"/>
      <c r="G1435" s="2163"/>
      <c r="H1435" s="2163"/>
      <c r="I1435" s="2163"/>
      <c r="J1435" s="2163"/>
      <c r="K1435" s="2163"/>
      <c r="L1435" s="2163"/>
      <c r="M1435" s="2163"/>
    </row>
    <row r="1436" spans="1:15">
      <c r="A1436" s="2529"/>
      <c r="B1436" s="2529"/>
      <c r="C1436" s="2529"/>
      <c r="D1436" s="2166"/>
      <c r="E1436" s="2166"/>
      <c r="F1436" s="2166"/>
      <c r="G1436" s="2166"/>
      <c r="H1436" s="2525"/>
      <c r="I1436" s="2525"/>
      <c r="J1436" s="2525"/>
      <c r="K1436" s="2166"/>
      <c r="L1436" s="2167"/>
      <c r="M1436" s="2166"/>
    </row>
    <row r="1437" spans="1:15">
      <c r="A1437" s="2164"/>
      <c r="B1437" s="2164"/>
      <c r="C1437" s="2164"/>
      <c r="D1437" s="2164"/>
      <c r="E1437" s="2522" t="s">
        <v>2639</v>
      </c>
      <c r="F1437" s="2522"/>
      <c r="G1437" s="2164"/>
      <c r="H1437" s="2523">
        <v>0</v>
      </c>
      <c r="I1437" s="2523"/>
      <c r="J1437" s="2523"/>
      <c r="K1437" s="2163"/>
      <c r="L1437" s="2523">
        <v>0</v>
      </c>
      <c r="M1437" s="2163"/>
    </row>
    <row r="1438" spans="1:15">
      <c r="A1438" s="2164"/>
      <c r="B1438" s="2164"/>
      <c r="C1438" s="2164"/>
      <c r="D1438" s="2164"/>
      <c r="E1438" s="2164"/>
      <c r="F1438" s="2164"/>
      <c r="G1438" s="2164"/>
      <c r="H1438" s="2523"/>
      <c r="I1438" s="2523"/>
      <c r="J1438" s="2523"/>
      <c r="K1438" s="2163"/>
      <c r="L1438" s="2523"/>
      <c r="M1438" s="2163"/>
    </row>
    <row r="1439" spans="1:15" ht="27.6">
      <c r="A1439" s="2160" t="s">
        <v>2734</v>
      </c>
      <c r="B1439" s="2161"/>
      <c r="C1439" s="2160" t="s">
        <v>2735</v>
      </c>
      <c r="D1439" s="2161"/>
      <c r="E1439" s="2160" t="s">
        <v>2698</v>
      </c>
      <c r="F1439" s="2161"/>
    </row>
    <row r="1440" spans="1:15">
      <c r="A1440" s="2163"/>
      <c r="B1440" s="2163"/>
      <c r="C1440" s="2163"/>
      <c r="D1440" s="2163"/>
      <c r="E1440" s="2163"/>
      <c r="F1440" s="2163"/>
      <c r="G1440" s="2163"/>
      <c r="H1440" s="2163"/>
      <c r="I1440" s="2163"/>
      <c r="J1440" s="2163"/>
      <c r="K1440" s="2163"/>
      <c r="L1440" s="2163"/>
      <c r="M1440" s="2163"/>
    </row>
    <row r="1441" spans="1:15">
      <c r="A1441" s="2164"/>
      <c r="H1441" s="2522" t="s">
        <v>2637</v>
      </c>
      <c r="I1441" s="2522"/>
      <c r="J1441" s="2163"/>
      <c r="K1441" s="2523">
        <v>1E-4</v>
      </c>
      <c r="L1441" s="2523"/>
      <c r="M1441" s="2163"/>
      <c r="N1441" s="2527"/>
      <c r="O1441" s="2163"/>
    </row>
    <row r="1442" spans="1:15">
      <c r="H1442" s="2163"/>
      <c r="I1442" s="2163"/>
      <c r="J1442" s="2163"/>
      <c r="K1442" s="2523"/>
      <c r="L1442" s="2523"/>
      <c r="N1442" s="2527"/>
    </row>
    <row r="1443" spans="1:15">
      <c r="A1443" s="2165">
        <v>5178</v>
      </c>
      <c r="B1443" s="2163"/>
      <c r="C1443" s="2524" t="s">
        <v>2880</v>
      </c>
      <c r="D1443" s="2524"/>
      <c r="E1443" s="2524"/>
      <c r="F1443" s="2524"/>
      <c r="G1443" s="2524"/>
      <c r="H1443" s="2524"/>
      <c r="I1443" s="2524"/>
      <c r="J1443" s="2163"/>
      <c r="K1443" s="2163"/>
      <c r="L1443" s="2163"/>
      <c r="M1443" s="2163"/>
    </row>
    <row r="1444" spans="1:15">
      <c r="A1444" s="2163"/>
      <c r="B1444" s="2163"/>
      <c r="C1444" s="2163"/>
      <c r="D1444" s="2163"/>
      <c r="E1444" s="2163"/>
      <c r="F1444" s="2163"/>
      <c r="G1444" s="2163"/>
      <c r="H1444" s="2163"/>
      <c r="I1444" s="2163"/>
      <c r="J1444" s="2163"/>
      <c r="K1444" s="2163"/>
      <c r="L1444" s="2163"/>
      <c r="M1444" s="2163"/>
    </row>
    <row r="1445" spans="1:15">
      <c r="A1445" s="2520" t="s">
        <v>2649</v>
      </c>
      <c r="B1445" s="2520"/>
      <c r="C1445" s="2520"/>
      <c r="D1445" s="2166"/>
      <c r="E1445" s="2166"/>
      <c r="F1445" s="2166"/>
      <c r="G1445" s="2166"/>
      <c r="H1445" s="2525">
        <v>5.8559999999999999</v>
      </c>
      <c r="I1445" s="2525"/>
      <c r="J1445" s="2525"/>
      <c r="K1445" s="2166"/>
      <c r="L1445" s="2167">
        <v>422</v>
      </c>
      <c r="M1445" s="2166"/>
    </row>
    <row r="1446" spans="1:15">
      <c r="A1446" s="2164"/>
      <c r="B1446" s="2164"/>
      <c r="C1446" s="2164"/>
      <c r="D1446" s="2164"/>
      <c r="E1446" s="2522" t="s">
        <v>2639</v>
      </c>
      <c r="F1446" s="2522"/>
      <c r="G1446" s="2164"/>
      <c r="H1446" s="2523">
        <v>5.8556999999999997</v>
      </c>
      <c r="I1446" s="2523"/>
      <c r="J1446" s="2523"/>
      <c r="K1446" s="2163"/>
      <c r="L1446" s="2523">
        <v>408.02</v>
      </c>
      <c r="M1446" s="2163"/>
    </row>
    <row r="1447" spans="1:15">
      <c r="A1447" s="2164"/>
      <c r="B1447" s="2164"/>
      <c r="C1447" s="2164"/>
      <c r="D1447" s="2164"/>
      <c r="E1447" s="2164"/>
      <c r="F1447" s="2164"/>
      <c r="G1447" s="2164"/>
      <c r="H1447" s="2523"/>
      <c r="I1447" s="2523"/>
      <c r="J1447" s="2523"/>
      <c r="K1447" s="2163"/>
      <c r="L1447" s="2523"/>
      <c r="M1447" s="2163"/>
    </row>
    <row r="1448" spans="1:15" ht="27.6">
      <c r="A1448" s="2160" t="s">
        <v>2734</v>
      </c>
      <c r="B1448" s="2161"/>
      <c r="C1448" s="2160" t="s">
        <v>2735</v>
      </c>
      <c r="D1448" s="2161"/>
      <c r="E1448" s="2160" t="s">
        <v>2698</v>
      </c>
      <c r="F1448" s="2161"/>
    </row>
    <row r="1449" spans="1:15">
      <c r="A1449" s="2163"/>
      <c r="B1449" s="2163"/>
      <c r="C1449" s="2163"/>
      <c r="D1449" s="2163"/>
      <c r="E1449" s="2163"/>
      <c r="F1449" s="2163"/>
      <c r="G1449" s="2163"/>
      <c r="H1449" s="2163"/>
      <c r="I1449" s="2163"/>
      <c r="J1449" s="2163"/>
      <c r="K1449" s="2163"/>
      <c r="L1449" s="2163"/>
      <c r="M1449" s="2163"/>
    </row>
    <row r="1450" spans="1:15">
      <c r="A1450" s="2164"/>
      <c r="H1450" s="2522" t="s">
        <v>2637</v>
      </c>
      <c r="I1450" s="2522"/>
      <c r="J1450" s="2163"/>
      <c r="K1450" s="2523">
        <v>0</v>
      </c>
      <c r="L1450" s="2523"/>
      <c r="M1450" s="2163"/>
      <c r="N1450" s="2527"/>
      <c r="O1450" s="2163"/>
    </row>
    <row r="1451" spans="1:15">
      <c r="H1451" s="2163"/>
      <c r="I1451" s="2163"/>
      <c r="J1451" s="2163"/>
      <c r="K1451" s="2523"/>
      <c r="L1451" s="2523"/>
      <c r="N1451" s="2527"/>
    </row>
    <row r="1452" spans="1:15">
      <c r="A1452" s="2165">
        <v>19339</v>
      </c>
      <c r="B1452" s="2163"/>
      <c r="C1452" s="2524" t="s">
        <v>2887</v>
      </c>
      <c r="D1452" s="2524"/>
      <c r="E1452" s="2524"/>
      <c r="F1452" s="2524"/>
      <c r="G1452" s="2524"/>
      <c r="H1452" s="2524"/>
      <c r="I1452" s="2524"/>
      <c r="J1452" s="2163"/>
      <c r="K1452" s="2163"/>
      <c r="L1452" s="2163"/>
      <c r="M1452" s="2163"/>
    </row>
    <row r="1453" spans="1:15">
      <c r="A1453" s="2163"/>
      <c r="B1453" s="2163"/>
      <c r="C1453" s="2163"/>
      <c r="D1453" s="2163"/>
      <c r="E1453" s="2163"/>
      <c r="F1453" s="2163"/>
      <c r="G1453" s="2163"/>
      <c r="H1453" s="2163"/>
      <c r="I1453" s="2163"/>
      <c r="J1453" s="2163"/>
      <c r="K1453" s="2163"/>
      <c r="L1453" s="2163"/>
      <c r="M1453" s="2163"/>
    </row>
    <row r="1454" spans="1:15">
      <c r="A1454" s="2529"/>
      <c r="B1454" s="2529"/>
      <c r="C1454" s="2529"/>
      <c r="D1454" s="2166"/>
      <c r="E1454" s="2166"/>
      <c r="F1454" s="2166"/>
      <c r="G1454" s="2166"/>
      <c r="H1454" s="2525"/>
      <c r="I1454" s="2525"/>
      <c r="J1454" s="2525"/>
      <c r="K1454" s="2166"/>
      <c r="L1454" s="2167"/>
      <c r="M1454" s="2166"/>
    </row>
    <row r="1455" spans="1:15">
      <c r="A1455" s="2164"/>
      <c r="B1455" s="2164"/>
      <c r="C1455" s="2164"/>
      <c r="D1455" s="2164"/>
      <c r="E1455" s="2522" t="s">
        <v>2639</v>
      </c>
      <c r="F1455" s="2522"/>
      <c r="G1455" s="2164"/>
      <c r="H1455" s="2523">
        <v>0</v>
      </c>
      <c r="I1455" s="2523"/>
      <c r="J1455" s="2523"/>
      <c r="K1455" s="2163"/>
      <c r="L1455" s="2523">
        <v>0</v>
      </c>
      <c r="M1455" s="2163"/>
    </row>
    <row r="1456" spans="1:15">
      <c r="A1456" s="2164"/>
      <c r="B1456" s="2164"/>
      <c r="C1456" s="2164"/>
      <c r="D1456" s="2164"/>
      <c r="E1456" s="2164"/>
      <c r="F1456" s="2164"/>
      <c r="G1456" s="2164"/>
      <c r="H1456" s="2523"/>
      <c r="I1456" s="2523"/>
      <c r="J1456" s="2523"/>
      <c r="K1456" s="2163"/>
      <c r="L1456" s="2523"/>
      <c r="M1456" s="2163"/>
    </row>
    <row r="1457" spans="1:15" ht="27.6">
      <c r="A1457" s="2160" t="s">
        <v>2734</v>
      </c>
      <c r="B1457" s="2161"/>
      <c r="C1457" s="2160" t="s">
        <v>2735</v>
      </c>
      <c r="D1457" s="2161"/>
      <c r="E1457" s="2160" t="s">
        <v>2698</v>
      </c>
      <c r="F1457" s="2161"/>
    </row>
    <row r="1458" spans="1:15">
      <c r="A1458" s="2163"/>
      <c r="B1458" s="2163"/>
      <c r="C1458" s="2163"/>
      <c r="D1458" s="2163"/>
      <c r="E1458" s="2163"/>
      <c r="F1458" s="2163"/>
      <c r="G1458" s="2163"/>
      <c r="H1458" s="2163"/>
      <c r="I1458" s="2163"/>
      <c r="J1458" s="2163"/>
      <c r="K1458" s="2163"/>
      <c r="L1458" s="2163"/>
      <c r="M1458" s="2163"/>
    </row>
    <row r="1459" spans="1:15">
      <c r="A1459" s="2164"/>
      <c r="H1459" s="2522" t="s">
        <v>2637</v>
      </c>
      <c r="I1459" s="2522"/>
      <c r="J1459" s="2163"/>
      <c r="K1459" s="2523">
        <v>0</v>
      </c>
      <c r="L1459" s="2523"/>
      <c r="M1459" s="2163"/>
      <c r="N1459" s="2527"/>
      <c r="O1459" s="2163"/>
    </row>
    <row r="1460" spans="1:15">
      <c r="H1460" s="2163"/>
      <c r="I1460" s="2163"/>
      <c r="J1460" s="2163"/>
      <c r="K1460" s="2523"/>
      <c r="L1460" s="2523"/>
      <c r="N1460" s="2527"/>
    </row>
    <row r="1461" spans="1:15">
      <c r="A1461" s="2165">
        <v>41512</v>
      </c>
      <c r="B1461" s="2163"/>
      <c r="C1461" s="2524" t="s">
        <v>3119</v>
      </c>
      <c r="D1461" s="2524"/>
      <c r="E1461" s="2524"/>
      <c r="F1461" s="2524"/>
      <c r="G1461" s="2524"/>
      <c r="H1461" s="2524"/>
      <c r="I1461" s="2524"/>
      <c r="J1461" s="2163"/>
      <c r="K1461" s="2163"/>
      <c r="L1461" s="2163"/>
      <c r="M1461" s="2163"/>
    </row>
    <row r="1462" spans="1:15">
      <c r="A1462" s="2163"/>
      <c r="B1462" s="2163"/>
      <c r="C1462" s="2163"/>
      <c r="D1462" s="2163"/>
      <c r="E1462" s="2163"/>
      <c r="F1462" s="2163"/>
      <c r="G1462" s="2163"/>
      <c r="H1462" s="2163"/>
      <c r="I1462" s="2163"/>
      <c r="J1462" s="2163"/>
      <c r="K1462" s="2163"/>
      <c r="L1462" s="2163"/>
      <c r="M1462" s="2163"/>
    </row>
    <row r="1463" spans="1:15">
      <c r="A1463" s="2529"/>
      <c r="B1463" s="2529"/>
      <c r="C1463" s="2529"/>
      <c r="D1463" s="2166"/>
      <c r="E1463" s="2166"/>
      <c r="F1463" s="2166"/>
      <c r="G1463" s="2166"/>
      <c r="H1463" s="2525"/>
      <c r="I1463" s="2525"/>
      <c r="J1463" s="2525"/>
      <c r="K1463" s="2166"/>
      <c r="L1463" s="2167"/>
      <c r="M1463" s="2166"/>
    </row>
    <row r="1464" spans="1:15">
      <c r="A1464" s="2164"/>
      <c r="B1464" s="2164"/>
      <c r="C1464" s="2164"/>
      <c r="D1464" s="2164"/>
      <c r="E1464" s="2522" t="s">
        <v>2639</v>
      </c>
      <c r="F1464" s="2522"/>
      <c r="G1464" s="2164"/>
      <c r="H1464" s="2523">
        <v>0</v>
      </c>
      <c r="I1464" s="2523"/>
      <c r="J1464" s="2523"/>
      <c r="K1464" s="2163"/>
      <c r="L1464" s="2523">
        <v>0</v>
      </c>
      <c r="M1464" s="2163"/>
    </row>
    <row r="1465" spans="1:15">
      <c r="A1465" s="2164"/>
      <c r="B1465" s="2164"/>
      <c r="C1465" s="2164"/>
      <c r="D1465" s="2164"/>
      <c r="E1465" s="2164"/>
      <c r="F1465" s="2164"/>
      <c r="G1465" s="2164"/>
      <c r="H1465" s="2523"/>
      <c r="I1465" s="2523"/>
      <c r="J1465" s="2523"/>
      <c r="K1465" s="2163"/>
      <c r="L1465" s="2523"/>
      <c r="M1465" s="2163"/>
    </row>
    <row r="1466" spans="1:15" ht="27.6">
      <c r="A1466" s="2160" t="s">
        <v>2734</v>
      </c>
      <c r="B1466" s="2161"/>
      <c r="C1466" s="2160" t="s">
        <v>2735</v>
      </c>
      <c r="D1466" s="2161"/>
      <c r="E1466" s="2160" t="s">
        <v>2698</v>
      </c>
      <c r="F1466" s="2161"/>
    </row>
    <row r="1467" spans="1:15">
      <c r="A1467" s="2163"/>
      <c r="B1467" s="2163"/>
      <c r="C1467" s="2163"/>
      <c r="D1467" s="2163"/>
      <c r="E1467" s="2163"/>
      <c r="F1467" s="2163"/>
      <c r="G1467" s="2163"/>
      <c r="H1467" s="2163"/>
      <c r="I1467" s="2163"/>
      <c r="J1467" s="2163"/>
      <c r="K1467" s="2163"/>
      <c r="L1467" s="2163"/>
      <c r="M1467" s="2163"/>
    </row>
    <row r="1468" spans="1:15">
      <c r="A1468" s="2164"/>
      <c r="H1468" s="2522" t="s">
        <v>2637</v>
      </c>
      <c r="I1468" s="2522"/>
      <c r="J1468" s="2163"/>
      <c r="K1468" s="2523">
        <v>3.5000000000000001E-3</v>
      </c>
      <c r="L1468" s="2523"/>
      <c r="M1468" s="2163"/>
      <c r="N1468" s="2527"/>
      <c r="O1468" s="2163"/>
    </row>
    <row r="1469" spans="1:15">
      <c r="H1469" s="2163"/>
      <c r="I1469" s="2163"/>
      <c r="J1469" s="2163"/>
      <c r="K1469" s="2523"/>
      <c r="L1469" s="2523"/>
      <c r="N1469" s="2527"/>
    </row>
    <row r="1470" spans="1:15">
      <c r="A1470" s="2165">
        <v>32068</v>
      </c>
      <c r="B1470" s="2163"/>
      <c r="C1470" s="2524" t="s">
        <v>2893</v>
      </c>
      <c r="D1470" s="2524"/>
      <c r="E1470" s="2524"/>
      <c r="F1470" s="2524"/>
      <c r="G1470" s="2524"/>
      <c r="H1470" s="2524"/>
      <c r="I1470" s="2524"/>
      <c r="J1470" s="2163"/>
      <c r="K1470" s="2163"/>
      <c r="L1470" s="2163"/>
      <c r="M1470" s="2163"/>
    </row>
    <row r="1471" spans="1:15">
      <c r="A1471" s="2163"/>
      <c r="B1471" s="2163"/>
      <c r="C1471" s="2163"/>
      <c r="D1471" s="2163"/>
      <c r="E1471" s="2163"/>
      <c r="F1471" s="2163"/>
      <c r="G1471" s="2163"/>
      <c r="H1471" s="2163"/>
      <c r="I1471" s="2163"/>
      <c r="J1471" s="2163"/>
      <c r="K1471" s="2163"/>
      <c r="L1471" s="2163"/>
      <c r="M1471" s="2163"/>
    </row>
    <row r="1472" spans="1:15">
      <c r="A1472" s="2529"/>
      <c r="B1472" s="2529"/>
      <c r="C1472" s="2529"/>
      <c r="D1472" s="2166"/>
      <c r="E1472" s="2166"/>
      <c r="F1472" s="2166"/>
      <c r="G1472" s="2166"/>
      <c r="H1472" s="2525"/>
      <c r="I1472" s="2525"/>
      <c r="J1472" s="2525"/>
      <c r="K1472" s="2166"/>
      <c r="L1472" s="2167"/>
      <c r="M1472" s="2166"/>
    </row>
    <row r="1473" spans="1:15">
      <c r="A1473" s="2164"/>
      <c r="B1473" s="2164"/>
      <c r="C1473" s="2164"/>
      <c r="D1473" s="2164"/>
      <c r="E1473" s="2522" t="s">
        <v>2639</v>
      </c>
      <c r="F1473" s="2522"/>
      <c r="G1473" s="2164"/>
      <c r="H1473" s="2523">
        <v>3.5000000000000001E-3</v>
      </c>
      <c r="I1473" s="2523"/>
      <c r="J1473" s="2523"/>
      <c r="K1473" s="2163"/>
      <c r="L1473" s="2523">
        <v>0.24</v>
      </c>
      <c r="M1473" s="2163"/>
    </row>
    <row r="1474" spans="1:15">
      <c r="A1474" s="2164"/>
      <c r="B1474" s="2164"/>
      <c r="C1474" s="2164"/>
      <c r="D1474" s="2164"/>
      <c r="E1474" s="2164"/>
      <c r="F1474" s="2164"/>
      <c r="G1474" s="2164"/>
      <c r="H1474" s="2523"/>
      <c r="I1474" s="2523"/>
      <c r="J1474" s="2523"/>
      <c r="K1474" s="2163"/>
      <c r="L1474" s="2523"/>
      <c r="M1474" s="2163"/>
    </row>
    <row r="1475" spans="1:15" ht="27.6">
      <c r="A1475" s="2160" t="s">
        <v>2734</v>
      </c>
      <c r="B1475" s="2161"/>
      <c r="C1475" s="2160" t="s">
        <v>2735</v>
      </c>
      <c r="D1475" s="2161"/>
      <c r="E1475" s="2160" t="s">
        <v>2698</v>
      </c>
      <c r="F1475" s="2161"/>
    </row>
    <row r="1476" spans="1:15">
      <c r="A1476" s="2163"/>
      <c r="B1476" s="2163"/>
      <c r="C1476" s="2163"/>
      <c r="D1476" s="2163"/>
      <c r="E1476" s="2163"/>
      <c r="F1476" s="2163"/>
      <c r="G1476" s="2163"/>
      <c r="H1476" s="2163"/>
      <c r="I1476" s="2163"/>
      <c r="J1476" s="2163"/>
      <c r="K1476" s="2163"/>
      <c r="L1476" s="2163"/>
      <c r="M1476" s="2163"/>
    </row>
    <row r="1477" spans="1:15">
      <c r="A1477" s="2164"/>
      <c r="H1477" s="2522" t="s">
        <v>2637</v>
      </c>
      <c r="I1477" s="2522"/>
      <c r="J1477" s="2163"/>
      <c r="K1477" s="2528">
        <v>10496.845799999999</v>
      </c>
      <c r="L1477" s="2528"/>
      <c r="M1477" s="2163"/>
      <c r="N1477" s="2527" t="s">
        <v>3152</v>
      </c>
      <c r="O1477" s="2163"/>
    </row>
    <row r="1478" spans="1:15">
      <c r="H1478" s="2163"/>
      <c r="I1478" s="2163"/>
      <c r="J1478" s="2163"/>
      <c r="K1478" s="2528"/>
      <c r="L1478" s="2528"/>
      <c r="N1478" s="2527"/>
    </row>
    <row r="1479" spans="1:15">
      <c r="A1479" s="2165">
        <v>33411</v>
      </c>
      <c r="B1479" s="2163"/>
      <c r="C1479" s="2524" t="s">
        <v>2883</v>
      </c>
      <c r="D1479" s="2524"/>
      <c r="E1479" s="2524"/>
      <c r="F1479" s="2524"/>
      <c r="G1479" s="2524"/>
      <c r="H1479" s="2524"/>
      <c r="I1479" s="2524"/>
      <c r="J1479" s="2163"/>
      <c r="K1479" s="2163"/>
      <c r="L1479" s="2163"/>
      <c r="M1479" s="2163"/>
    </row>
    <row r="1480" spans="1:15">
      <c r="A1480" s="2163"/>
      <c r="B1480" s="2163"/>
      <c r="C1480" s="2163"/>
      <c r="D1480" s="2163"/>
      <c r="E1480" s="2163"/>
      <c r="F1480" s="2163"/>
      <c r="G1480" s="2163"/>
      <c r="H1480" s="2163"/>
      <c r="I1480" s="2163"/>
      <c r="J1480" s="2163"/>
      <c r="K1480" s="2163"/>
      <c r="L1480" s="2163"/>
      <c r="M1480" s="2163"/>
    </row>
    <row r="1481" spans="1:15">
      <c r="A1481" s="2520" t="s">
        <v>2647</v>
      </c>
      <c r="B1481" s="2520"/>
      <c r="C1481" s="2520"/>
      <c r="D1481" s="2166"/>
      <c r="E1481" s="2166"/>
      <c r="F1481" s="2166"/>
      <c r="G1481" s="2166"/>
      <c r="H1481" s="2525">
        <v>985.65700000000004</v>
      </c>
      <c r="I1481" s="2525"/>
      <c r="J1481" s="2525"/>
      <c r="K1481" s="2166"/>
      <c r="L1481" s="2168">
        <v>70000</v>
      </c>
      <c r="M1481" s="2166"/>
    </row>
    <row r="1482" spans="1:15">
      <c r="A1482" s="2164"/>
      <c r="B1482" s="2164"/>
      <c r="C1482" s="2164"/>
      <c r="D1482" s="2164"/>
      <c r="E1482" s="2522" t="s">
        <v>2639</v>
      </c>
      <c r="F1482" s="2522"/>
      <c r="G1482" s="2164"/>
      <c r="H1482" s="2528">
        <v>11482.5026</v>
      </c>
      <c r="I1482" s="2528"/>
      <c r="J1482" s="2528"/>
      <c r="K1482" s="2163"/>
      <c r="L1482" s="2528">
        <v>800091.6</v>
      </c>
      <c r="M1482" s="2163"/>
    </row>
    <row r="1483" spans="1:15">
      <c r="A1483" s="2164"/>
      <c r="B1483" s="2164"/>
      <c r="C1483" s="2164"/>
      <c r="D1483" s="2164"/>
      <c r="E1483" s="2164"/>
      <c r="F1483" s="2164"/>
      <c r="G1483" s="2164"/>
      <c r="H1483" s="2528"/>
      <c r="I1483" s="2528"/>
      <c r="J1483" s="2528"/>
      <c r="K1483" s="2163"/>
      <c r="L1483" s="2528"/>
      <c r="M1483" s="2163"/>
    </row>
    <row r="1484" spans="1:15" ht="27.6">
      <c r="A1484" s="2160" t="s">
        <v>2734</v>
      </c>
      <c r="B1484" s="2161"/>
      <c r="C1484" s="2160" t="s">
        <v>2735</v>
      </c>
      <c r="D1484" s="2161"/>
      <c r="E1484" s="2160" t="s">
        <v>2698</v>
      </c>
      <c r="F1484" s="2161"/>
    </row>
    <row r="1485" spans="1:15">
      <c r="A1485" s="2163"/>
      <c r="B1485" s="2163"/>
      <c r="C1485" s="2163"/>
      <c r="D1485" s="2163"/>
      <c r="E1485" s="2163"/>
      <c r="F1485" s="2163"/>
      <c r="G1485" s="2163"/>
      <c r="H1485" s="2163"/>
      <c r="I1485" s="2163"/>
      <c r="J1485" s="2163"/>
      <c r="K1485" s="2163"/>
      <c r="L1485" s="2163"/>
      <c r="M1485" s="2163"/>
    </row>
    <row r="1486" spans="1:15">
      <c r="A1486" s="2164"/>
      <c r="H1486" s="2522" t="s">
        <v>2637</v>
      </c>
      <c r="I1486" s="2522"/>
      <c r="J1486" s="2163"/>
      <c r="K1486" s="2523">
        <v>1E-4</v>
      </c>
      <c r="L1486" s="2523"/>
      <c r="M1486" s="2163"/>
      <c r="N1486" s="2527"/>
      <c r="O1486" s="2163"/>
    </row>
    <row r="1487" spans="1:15">
      <c r="H1487" s="2163"/>
      <c r="I1487" s="2163"/>
      <c r="J1487" s="2163"/>
      <c r="K1487" s="2523"/>
      <c r="L1487" s="2523"/>
      <c r="N1487" s="2527"/>
    </row>
    <row r="1488" spans="1:15">
      <c r="A1488" s="2165">
        <v>35647</v>
      </c>
      <c r="B1488" s="2163"/>
      <c r="C1488" s="2524" t="s">
        <v>2885</v>
      </c>
      <c r="D1488" s="2524"/>
      <c r="E1488" s="2524"/>
      <c r="F1488" s="2524"/>
      <c r="G1488" s="2524"/>
      <c r="H1488" s="2524"/>
      <c r="I1488" s="2524"/>
      <c r="J1488" s="2163"/>
      <c r="K1488" s="2163"/>
      <c r="L1488" s="2163"/>
      <c r="M1488" s="2163"/>
    </row>
    <row r="1489" spans="1:15">
      <c r="A1489" s="2163"/>
      <c r="B1489" s="2163"/>
      <c r="C1489" s="2163"/>
      <c r="D1489" s="2163"/>
      <c r="E1489" s="2163"/>
      <c r="F1489" s="2163"/>
      <c r="G1489" s="2163"/>
      <c r="H1489" s="2163"/>
      <c r="I1489" s="2163"/>
      <c r="J1489" s="2163"/>
      <c r="K1489" s="2163"/>
      <c r="L1489" s="2163"/>
      <c r="M1489" s="2163"/>
    </row>
    <row r="1490" spans="1:15">
      <c r="A1490" s="2529"/>
      <c r="B1490" s="2529"/>
      <c r="C1490" s="2529"/>
      <c r="D1490" s="2166"/>
      <c r="E1490" s="2166"/>
      <c r="F1490" s="2166"/>
      <c r="G1490" s="2166"/>
      <c r="H1490" s="2525"/>
      <c r="I1490" s="2525"/>
      <c r="J1490" s="2525"/>
      <c r="K1490" s="2166"/>
      <c r="L1490" s="2167"/>
      <c r="M1490" s="2166"/>
    </row>
    <row r="1491" spans="1:15">
      <c r="A1491" s="2164"/>
      <c r="B1491" s="2164"/>
      <c r="C1491" s="2164"/>
      <c r="D1491" s="2164"/>
      <c r="E1491" s="2522" t="s">
        <v>2639</v>
      </c>
      <c r="F1491" s="2522"/>
      <c r="G1491" s="2164"/>
      <c r="H1491" s="2523">
        <v>1E-4</v>
      </c>
      <c r="I1491" s="2523"/>
      <c r="J1491" s="2523"/>
      <c r="K1491" s="2163"/>
      <c r="L1491" s="2523">
        <v>0.01</v>
      </c>
      <c r="M1491" s="2163"/>
    </row>
    <row r="1492" spans="1:15">
      <c r="A1492" s="2164"/>
      <c r="B1492" s="2164"/>
      <c r="C1492" s="2164"/>
      <c r="D1492" s="2164"/>
      <c r="E1492" s="2164"/>
      <c r="F1492" s="2164"/>
      <c r="G1492" s="2164"/>
      <c r="H1492" s="2523"/>
      <c r="I1492" s="2523"/>
      <c r="J1492" s="2523"/>
      <c r="K1492" s="2163"/>
      <c r="L1492" s="2523"/>
      <c r="M1492" s="2163"/>
    </row>
    <row r="1493" spans="1:15" ht="27.6">
      <c r="A1493" s="2160" t="s">
        <v>2734</v>
      </c>
      <c r="B1493" s="2161"/>
      <c r="C1493" s="2160" t="s">
        <v>2735</v>
      </c>
      <c r="D1493" s="2161"/>
      <c r="E1493" s="2160" t="s">
        <v>2698</v>
      </c>
      <c r="F1493" s="2161"/>
    </row>
    <row r="1494" spans="1:15">
      <c r="A1494" s="2163"/>
      <c r="B1494" s="2163"/>
      <c r="C1494" s="2163"/>
      <c r="D1494" s="2163"/>
      <c r="E1494" s="2163"/>
      <c r="F1494" s="2163"/>
      <c r="G1494" s="2163"/>
      <c r="H1494" s="2163"/>
      <c r="I1494" s="2163"/>
      <c r="J1494" s="2163"/>
      <c r="K1494" s="2163"/>
      <c r="L1494" s="2163"/>
      <c r="M1494" s="2163"/>
    </row>
    <row r="1495" spans="1:15">
      <c r="A1495" s="2164"/>
      <c r="H1495" s="2522" t="s">
        <v>2637</v>
      </c>
      <c r="I1495" s="2522"/>
      <c r="J1495" s="2163"/>
      <c r="K1495" s="2523">
        <v>0</v>
      </c>
      <c r="L1495" s="2523"/>
      <c r="M1495" s="2163"/>
      <c r="N1495" s="2527"/>
      <c r="O1495" s="2163"/>
    </row>
    <row r="1496" spans="1:15">
      <c r="H1496" s="2163"/>
      <c r="I1496" s="2163"/>
      <c r="J1496" s="2163"/>
      <c r="K1496" s="2523"/>
      <c r="L1496" s="2523"/>
      <c r="N1496" s="2527"/>
    </row>
    <row r="1497" spans="1:15">
      <c r="A1497" s="2165">
        <v>50602</v>
      </c>
      <c r="B1497" s="2163"/>
      <c r="C1497" s="2524" t="s">
        <v>2880</v>
      </c>
      <c r="D1497" s="2524"/>
      <c r="E1497" s="2524"/>
      <c r="F1497" s="2524"/>
      <c r="G1497" s="2524"/>
      <c r="H1497" s="2524"/>
      <c r="I1497" s="2524"/>
      <c r="J1497" s="2163"/>
      <c r="K1497" s="2163"/>
      <c r="L1497" s="2163"/>
      <c r="M1497" s="2163"/>
    </row>
    <row r="1498" spans="1:15">
      <c r="A1498" s="2163"/>
      <c r="B1498" s="2163"/>
      <c r="C1498" s="2163"/>
      <c r="D1498" s="2163"/>
      <c r="E1498" s="2163"/>
      <c r="F1498" s="2163"/>
      <c r="G1498" s="2163"/>
      <c r="H1498" s="2163"/>
      <c r="I1498" s="2163"/>
      <c r="J1498" s="2163"/>
      <c r="K1498" s="2163"/>
      <c r="L1498" s="2163"/>
      <c r="M1498" s="2163"/>
    </row>
    <row r="1499" spans="1:15">
      <c r="A1499" s="2529"/>
      <c r="B1499" s="2529"/>
      <c r="C1499" s="2529"/>
      <c r="D1499" s="2166"/>
      <c r="E1499" s="2166"/>
      <c r="F1499" s="2166"/>
      <c r="G1499" s="2166"/>
      <c r="H1499" s="2525"/>
      <c r="I1499" s="2525"/>
      <c r="J1499" s="2525"/>
      <c r="K1499" s="2166"/>
      <c r="L1499" s="2167"/>
      <c r="M1499" s="2166"/>
    </row>
    <row r="1500" spans="1:15">
      <c r="A1500" s="2164"/>
      <c r="B1500" s="2164"/>
      <c r="C1500" s="2164"/>
      <c r="D1500" s="2164"/>
      <c r="E1500" s="2522" t="s">
        <v>2639</v>
      </c>
      <c r="F1500" s="2522"/>
      <c r="G1500" s="2164"/>
      <c r="H1500" s="2523">
        <v>0</v>
      </c>
      <c r="I1500" s="2523"/>
      <c r="J1500" s="2523"/>
      <c r="K1500" s="2163"/>
      <c r="L1500" s="2523">
        <v>0</v>
      </c>
      <c r="M1500" s="2163"/>
    </row>
    <row r="1501" spans="1:15">
      <c r="A1501" s="2164"/>
      <c r="B1501" s="2164"/>
      <c r="C1501" s="2164"/>
      <c r="D1501" s="2164"/>
      <c r="E1501" s="2164"/>
      <c r="F1501" s="2164"/>
      <c r="G1501" s="2164"/>
      <c r="H1501" s="2523"/>
      <c r="I1501" s="2523"/>
      <c r="J1501" s="2523"/>
      <c r="K1501" s="2163"/>
      <c r="L1501" s="2523"/>
      <c r="M1501" s="2163"/>
    </row>
    <row r="1502" spans="1:15" ht="27.6">
      <c r="A1502" s="2160" t="s">
        <v>2734</v>
      </c>
      <c r="B1502" s="2161"/>
      <c r="C1502" s="2160" t="s">
        <v>2735</v>
      </c>
      <c r="D1502" s="2161"/>
      <c r="E1502" s="2160" t="s">
        <v>2698</v>
      </c>
      <c r="F1502" s="2161"/>
    </row>
    <row r="1503" spans="1:15">
      <c r="A1503" s="2163"/>
      <c r="B1503" s="2163"/>
      <c r="C1503" s="2163"/>
      <c r="D1503" s="2163"/>
      <c r="E1503" s="2163"/>
      <c r="F1503" s="2163"/>
      <c r="G1503" s="2163"/>
      <c r="H1503" s="2163"/>
      <c r="I1503" s="2163"/>
      <c r="J1503" s="2163"/>
      <c r="K1503" s="2163"/>
      <c r="L1503" s="2163"/>
      <c r="M1503" s="2163"/>
    </row>
    <row r="1504" spans="1:15">
      <c r="A1504" s="2164"/>
      <c r="H1504" s="2522" t="s">
        <v>2637</v>
      </c>
      <c r="I1504" s="2522"/>
      <c r="J1504" s="2163"/>
      <c r="K1504" s="2523">
        <v>0</v>
      </c>
      <c r="L1504" s="2523"/>
      <c r="M1504" s="2163"/>
      <c r="N1504" s="2527"/>
      <c r="O1504" s="2163"/>
    </row>
    <row r="1505" spans="1:15">
      <c r="H1505" s="2163"/>
      <c r="I1505" s="2163"/>
      <c r="J1505" s="2163"/>
      <c r="K1505" s="2523"/>
      <c r="L1505" s="2523"/>
      <c r="N1505" s="2527"/>
    </row>
    <row r="1506" spans="1:15">
      <c r="A1506" s="2165">
        <v>61320</v>
      </c>
      <c r="B1506" s="2163"/>
      <c r="C1506" s="2524" t="s">
        <v>3126</v>
      </c>
      <c r="D1506" s="2524"/>
      <c r="E1506" s="2524"/>
      <c r="F1506" s="2524"/>
      <c r="G1506" s="2524"/>
      <c r="H1506" s="2524"/>
      <c r="I1506" s="2524"/>
      <c r="J1506" s="2163"/>
      <c r="K1506" s="2163"/>
      <c r="L1506" s="2163"/>
      <c r="M1506" s="2163"/>
    </row>
    <row r="1507" spans="1:15">
      <c r="A1507" s="2163"/>
      <c r="B1507" s="2163"/>
      <c r="C1507" s="2163"/>
      <c r="D1507" s="2163"/>
      <c r="E1507" s="2163"/>
      <c r="F1507" s="2163"/>
      <c r="G1507" s="2163"/>
      <c r="H1507" s="2163"/>
      <c r="I1507" s="2163"/>
      <c r="J1507" s="2163"/>
      <c r="K1507" s="2163"/>
      <c r="L1507" s="2163"/>
      <c r="M1507" s="2163"/>
    </row>
    <row r="1508" spans="1:15">
      <c r="A1508" s="2529"/>
      <c r="B1508" s="2529"/>
      <c r="C1508" s="2529"/>
      <c r="D1508" s="2166"/>
      <c r="E1508" s="2166"/>
      <c r="F1508" s="2166"/>
      <c r="G1508" s="2166"/>
      <c r="H1508" s="2525"/>
      <c r="I1508" s="2525"/>
      <c r="J1508" s="2525"/>
      <c r="K1508" s="2166"/>
      <c r="L1508" s="2167"/>
      <c r="M1508" s="2166"/>
    </row>
    <row r="1509" spans="1:15">
      <c r="A1509" s="2164"/>
      <c r="B1509" s="2164"/>
      <c r="C1509" s="2164"/>
      <c r="D1509" s="2164"/>
      <c r="E1509" s="2522" t="s">
        <v>2639</v>
      </c>
      <c r="F1509" s="2522"/>
      <c r="G1509" s="2164"/>
      <c r="H1509" s="2523">
        <v>0</v>
      </c>
      <c r="I1509" s="2523"/>
      <c r="J1509" s="2523"/>
      <c r="K1509" s="2163"/>
      <c r="L1509" s="2523">
        <v>0</v>
      </c>
      <c r="M1509" s="2163"/>
    </row>
    <row r="1510" spans="1:15">
      <c r="A1510" s="2164"/>
      <c r="B1510" s="2164"/>
      <c r="C1510" s="2164"/>
      <c r="D1510" s="2164"/>
      <c r="E1510" s="2164"/>
      <c r="F1510" s="2164"/>
      <c r="G1510" s="2164"/>
      <c r="H1510" s="2523"/>
      <c r="I1510" s="2523"/>
      <c r="J1510" s="2523"/>
      <c r="K1510" s="2163"/>
      <c r="L1510" s="2523"/>
      <c r="M1510" s="2163"/>
    </row>
    <row r="1511" spans="1:15" ht="27.6">
      <c r="A1511" s="2160" t="s">
        <v>2734</v>
      </c>
      <c r="B1511" s="2161"/>
      <c r="C1511" s="2160" t="s">
        <v>2735</v>
      </c>
      <c r="D1511" s="2161"/>
      <c r="E1511" s="2160" t="s">
        <v>2698</v>
      </c>
      <c r="F1511" s="2161"/>
    </row>
    <row r="1512" spans="1:15">
      <c r="A1512" s="2163"/>
      <c r="B1512" s="2163"/>
      <c r="C1512" s="2163"/>
      <c r="D1512" s="2163"/>
      <c r="E1512" s="2163"/>
      <c r="F1512" s="2163"/>
      <c r="G1512" s="2163"/>
      <c r="H1512" s="2163"/>
      <c r="I1512" s="2163"/>
      <c r="J1512" s="2163"/>
      <c r="K1512" s="2163"/>
      <c r="L1512" s="2163"/>
      <c r="M1512" s="2163"/>
    </row>
    <row r="1513" spans="1:15">
      <c r="A1513" s="2164"/>
      <c r="H1513" s="2522" t="s">
        <v>2637</v>
      </c>
      <c r="I1513" s="2522"/>
      <c r="J1513" s="2163"/>
      <c r="K1513" s="2523">
        <v>0</v>
      </c>
      <c r="L1513" s="2523"/>
      <c r="M1513" s="2163"/>
      <c r="N1513" s="2527"/>
      <c r="O1513" s="2163"/>
    </row>
    <row r="1514" spans="1:15">
      <c r="H1514" s="2163"/>
      <c r="I1514" s="2163"/>
      <c r="J1514" s="2163"/>
      <c r="K1514" s="2523"/>
      <c r="L1514" s="2523"/>
      <c r="N1514" s="2527"/>
    </row>
    <row r="1515" spans="1:15">
      <c r="A1515" s="2165">
        <v>65309</v>
      </c>
      <c r="B1515" s="2163"/>
      <c r="C1515" s="2524" t="s">
        <v>2894</v>
      </c>
      <c r="D1515" s="2524"/>
      <c r="E1515" s="2524"/>
      <c r="F1515" s="2524"/>
      <c r="G1515" s="2524"/>
      <c r="H1515" s="2524"/>
      <c r="I1515" s="2524"/>
      <c r="J1515" s="2163"/>
      <c r="K1515" s="2163"/>
      <c r="L1515" s="2163"/>
      <c r="M1515" s="2163"/>
    </row>
    <row r="1516" spans="1:15">
      <c r="A1516" s="2163"/>
      <c r="B1516" s="2163"/>
      <c r="C1516" s="2163"/>
      <c r="D1516" s="2163"/>
      <c r="E1516" s="2163"/>
      <c r="F1516" s="2163"/>
      <c r="G1516" s="2163"/>
      <c r="H1516" s="2163"/>
      <c r="I1516" s="2163"/>
      <c r="J1516" s="2163"/>
      <c r="K1516" s="2163"/>
      <c r="L1516" s="2163"/>
      <c r="M1516" s="2163"/>
    </row>
    <row r="1517" spans="1:15">
      <c r="A1517" s="2529"/>
      <c r="B1517" s="2529"/>
      <c r="C1517" s="2529"/>
      <c r="D1517" s="2166"/>
      <c r="E1517" s="2166"/>
      <c r="F1517" s="2166"/>
      <c r="G1517" s="2166"/>
      <c r="H1517" s="2525"/>
      <c r="I1517" s="2525"/>
      <c r="J1517" s="2525"/>
      <c r="K1517" s="2166"/>
      <c r="L1517" s="2167"/>
      <c r="M1517" s="2166"/>
    </row>
    <row r="1518" spans="1:15">
      <c r="A1518" s="2164"/>
      <c r="B1518" s="2164"/>
      <c r="C1518" s="2164"/>
      <c r="D1518" s="2164"/>
      <c r="E1518" s="2522" t="s">
        <v>2639</v>
      </c>
      <c r="F1518" s="2522"/>
      <c r="G1518" s="2164"/>
      <c r="H1518" s="2523">
        <v>0</v>
      </c>
      <c r="I1518" s="2523"/>
      <c r="J1518" s="2523"/>
      <c r="K1518" s="2163"/>
      <c r="L1518" s="2523">
        <v>0</v>
      </c>
      <c r="M1518" s="2163"/>
    </row>
    <row r="1519" spans="1:15">
      <c r="A1519" s="2164"/>
      <c r="B1519" s="2164"/>
      <c r="C1519" s="2164"/>
      <c r="D1519" s="2164"/>
      <c r="E1519" s="2164"/>
      <c r="F1519" s="2164"/>
      <c r="G1519" s="2164"/>
      <c r="H1519" s="2523"/>
      <c r="I1519" s="2523"/>
      <c r="J1519" s="2523"/>
      <c r="K1519" s="2163"/>
      <c r="L1519" s="2523"/>
      <c r="M1519" s="2163"/>
    </row>
    <row r="1520" spans="1:15" ht="27.6">
      <c r="A1520" s="2160" t="s">
        <v>2734</v>
      </c>
      <c r="B1520" s="2161"/>
      <c r="C1520" s="2160" t="s">
        <v>2735</v>
      </c>
      <c r="D1520" s="2161"/>
      <c r="E1520" s="2160" t="s">
        <v>2698</v>
      </c>
      <c r="F1520" s="2161"/>
    </row>
    <row r="1521" spans="1:15">
      <c r="A1521" s="2163"/>
      <c r="B1521" s="2163"/>
      <c r="C1521" s="2163"/>
      <c r="D1521" s="2163"/>
      <c r="E1521" s="2163"/>
      <c r="F1521" s="2163"/>
      <c r="G1521" s="2163"/>
      <c r="H1521" s="2163"/>
      <c r="I1521" s="2163"/>
      <c r="J1521" s="2163"/>
      <c r="K1521" s="2163"/>
      <c r="L1521" s="2163"/>
      <c r="M1521" s="2163"/>
    </row>
    <row r="1522" spans="1:15">
      <c r="A1522" s="2164"/>
      <c r="H1522" s="2522" t="s">
        <v>2637</v>
      </c>
      <c r="I1522" s="2522"/>
      <c r="J1522" s="2163"/>
      <c r="K1522" s="2523">
        <v>0</v>
      </c>
      <c r="L1522" s="2523"/>
      <c r="M1522" s="2163"/>
      <c r="N1522" s="2527"/>
      <c r="O1522" s="2163"/>
    </row>
    <row r="1523" spans="1:15">
      <c r="H1523" s="2163"/>
      <c r="I1523" s="2163"/>
      <c r="J1523" s="2163"/>
      <c r="K1523" s="2523"/>
      <c r="L1523" s="2523"/>
      <c r="N1523" s="2527"/>
    </row>
    <row r="1524" spans="1:15">
      <c r="A1524" s="2165">
        <v>65402</v>
      </c>
      <c r="B1524" s="2163"/>
      <c r="C1524" s="2524" t="s">
        <v>2895</v>
      </c>
      <c r="D1524" s="2524"/>
      <c r="E1524" s="2524"/>
      <c r="F1524" s="2524"/>
      <c r="G1524" s="2524"/>
      <c r="H1524" s="2524"/>
      <c r="I1524" s="2524"/>
      <c r="J1524" s="2163"/>
      <c r="K1524" s="2163"/>
      <c r="L1524" s="2163"/>
      <c r="M1524" s="2163"/>
    </row>
    <row r="1525" spans="1:15">
      <c r="A1525" s="2163"/>
      <c r="B1525" s="2163"/>
      <c r="C1525" s="2163"/>
      <c r="D1525" s="2163"/>
      <c r="E1525" s="2163"/>
      <c r="F1525" s="2163"/>
      <c r="G1525" s="2163"/>
      <c r="H1525" s="2163"/>
      <c r="I1525" s="2163"/>
      <c r="J1525" s="2163"/>
      <c r="K1525" s="2163"/>
      <c r="L1525" s="2163"/>
      <c r="M1525" s="2163"/>
    </row>
    <row r="1526" spans="1:15">
      <c r="A1526" s="2520" t="s">
        <v>2649</v>
      </c>
      <c r="B1526" s="2520"/>
      <c r="C1526" s="2520"/>
      <c r="D1526" s="2166"/>
      <c r="E1526" s="2166"/>
      <c r="F1526" s="2166"/>
      <c r="G1526" s="2166"/>
      <c r="H1526" s="2526">
        <v>2086.1089999999999</v>
      </c>
      <c r="I1526" s="2526"/>
      <c r="J1526" s="2526"/>
      <c r="K1526" s="2166"/>
      <c r="L1526" s="2168">
        <v>150000</v>
      </c>
      <c r="M1526" s="2166"/>
    </row>
    <row r="1527" spans="1:15">
      <c r="A1527" s="2164"/>
      <c r="B1527" s="2164"/>
      <c r="C1527" s="2164"/>
      <c r="D1527" s="2164"/>
      <c r="E1527" s="2522" t="s">
        <v>2639</v>
      </c>
      <c r="F1527" s="2522"/>
      <c r="G1527" s="2164"/>
      <c r="H1527" s="2528">
        <v>2086.1089999999999</v>
      </c>
      <c r="I1527" s="2528"/>
      <c r="J1527" s="2528"/>
      <c r="K1527" s="2163"/>
      <c r="L1527" s="2528">
        <v>145358.41</v>
      </c>
      <c r="M1527" s="2163"/>
    </row>
    <row r="1528" spans="1:15">
      <c r="A1528" s="2164"/>
      <c r="B1528" s="2164"/>
      <c r="C1528" s="2164"/>
      <c r="D1528" s="2164"/>
      <c r="E1528" s="2164"/>
      <c r="F1528" s="2164"/>
      <c r="G1528" s="2164"/>
      <c r="H1528" s="2528"/>
      <c r="I1528" s="2528"/>
      <c r="J1528" s="2528"/>
      <c r="K1528" s="2163"/>
      <c r="L1528" s="2528"/>
      <c r="M1528" s="2163"/>
    </row>
    <row r="1529" spans="1:15" ht="27.6">
      <c r="A1529" s="2160" t="s">
        <v>2734</v>
      </c>
      <c r="B1529" s="2161"/>
      <c r="C1529" s="2160" t="s">
        <v>2735</v>
      </c>
      <c r="D1529" s="2161"/>
      <c r="E1529" s="2160" t="s">
        <v>2698</v>
      </c>
      <c r="F1529" s="2161"/>
    </row>
    <row r="1530" spans="1:15">
      <c r="A1530" s="2163"/>
      <c r="B1530" s="2163"/>
      <c r="C1530" s="2163"/>
      <c r="D1530" s="2163"/>
      <c r="E1530" s="2163"/>
      <c r="F1530" s="2163"/>
      <c r="G1530" s="2163"/>
      <c r="H1530" s="2163"/>
      <c r="I1530" s="2163"/>
      <c r="J1530" s="2163"/>
      <c r="K1530" s="2163"/>
      <c r="L1530" s="2163"/>
      <c r="M1530" s="2163"/>
    </row>
    <row r="1531" spans="1:15">
      <c r="A1531" s="2164"/>
      <c r="H1531" s="2522" t="s">
        <v>2637</v>
      </c>
      <c r="I1531" s="2522"/>
      <c r="J1531" s="2163"/>
      <c r="K1531" s="2528">
        <v>2197.3388</v>
      </c>
      <c r="L1531" s="2528"/>
      <c r="M1531" s="2163"/>
      <c r="N1531" s="2527" t="s">
        <v>3153</v>
      </c>
      <c r="O1531" s="2163"/>
    </row>
    <row r="1532" spans="1:15">
      <c r="H1532" s="2163"/>
      <c r="I1532" s="2163"/>
      <c r="J1532" s="2163"/>
      <c r="K1532" s="2528"/>
      <c r="L1532" s="2528"/>
      <c r="N1532" s="2527"/>
    </row>
    <row r="1533" spans="1:15">
      <c r="A1533" s="2165">
        <v>71255</v>
      </c>
      <c r="B1533" s="2163"/>
      <c r="C1533" s="2524" t="s">
        <v>3137</v>
      </c>
      <c r="D1533" s="2524"/>
      <c r="E1533" s="2524"/>
      <c r="F1533" s="2524"/>
      <c r="G1533" s="2524"/>
      <c r="H1533" s="2524"/>
      <c r="I1533" s="2524"/>
      <c r="J1533" s="2163"/>
      <c r="K1533" s="2163"/>
      <c r="L1533" s="2163"/>
      <c r="M1533" s="2163"/>
    </row>
    <row r="1534" spans="1:15">
      <c r="A1534" s="2163"/>
      <c r="B1534" s="2163"/>
      <c r="C1534" s="2163"/>
      <c r="D1534" s="2163"/>
      <c r="E1534" s="2163"/>
      <c r="F1534" s="2163"/>
      <c r="G1534" s="2163"/>
      <c r="H1534" s="2163"/>
      <c r="I1534" s="2163"/>
      <c r="J1534" s="2163"/>
      <c r="K1534" s="2163"/>
      <c r="L1534" s="2163"/>
      <c r="M1534" s="2163"/>
    </row>
    <row r="1535" spans="1:15">
      <c r="A1535" s="2520" t="s">
        <v>2648</v>
      </c>
      <c r="B1535" s="2520"/>
      <c r="C1535" s="2520"/>
      <c r="D1535" s="2166"/>
      <c r="E1535" s="2166"/>
      <c r="F1535" s="2166"/>
      <c r="G1535" s="2166"/>
      <c r="H1535" s="2526">
        <v>-2197.3389999999999</v>
      </c>
      <c r="I1535" s="2526"/>
      <c r="J1535" s="2526"/>
      <c r="K1535" s="2166"/>
      <c r="L1535" s="2168">
        <v>-147306.51999999999</v>
      </c>
      <c r="M1535" s="2166"/>
    </row>
    <row r="1536" spans="1:15">
      <c r="A1536" s="2164"/>
      <c r="B1536" s="2164"/>
      <c r="C1536" s="2164"/>
      <c r="D1536" s="2164"/>
      <c r="E1536" s="2522" t="s">
        <v>2639</v>
      </c>
      <c r="F1536" s="2522"/>
      <c r="G1536" s="2164"/>
      <c r="H1536" s="2523">
        <v>0</v>
      </c>
      <c r="I1536" s="2523"/>
      <c r="J1536" s="2523"/>
      <c r="K1536" s="2163"/>
      <c r="L1536" s="2523">
        <v>0</v>
      </c>
      <c r="M1536" s="2163"/>
    </row>
    <row r="1537" spans="1:15">
      <c r="A1537" s="2164"/>
      <c r="B1537" s="2164"/>
      <c r="C1537" s="2164"/>
      <c r="D1537" s="2164"/>
      <c r="E1537" s="2164"/>
      <c r="F1537" s="2164"/>
      <c r="G1537" s="2164"/>
      <c r="H1537" s="2523"/>
      <c r="I1537" s="2523"/>
      <c r="J1537" s="2523"/>
      <c r="K1537" s="2163"/>
      <c r="L1537" s="2523"/>
      <c r="M1537" s="2163"/>
    </row>
    <row r="1538" spans="1:15" ht="27.6">
      <c r="A1538" s="2160" t="s">
        <v>2734</v>
      </c>
      <c r="B1538" s="2161"/>
      <c r="C1538" s="2160" t="s">
        <v>2735</v>
      </c>
      <c r="D1538" s="2161"/>
      <c r="E1538" s="2160" t="s">
        <v>2698</v>
      </c>
      <c r="F1538" s="2161"/>
    </row>
    <row r="1539" spans="1:15">
      <c r="A1539" s="2163"/>
      <c r="B1539" s="2163"/>
      <c r="C1539" s="2163"/>
      <c r="D1539" s="2163"/>
      <c r="E1539" s="2163"/>
      <c r="F1539" s="2163"/>
      <c r="G1539" s="2163"/>
      <c r="H1539" s="2163"/>
      <c r="I1539" s="2163"/>
      <c r="J1539" s="2163"/>
      <c r="K1539" s="2163"/>
      <c r="L1539" s="2163"/>
      <c r="M1539" s="2163"/>
    </row>
    <row r="1540" spans="1:15">
      <c r="A1540" s="2164"/>
      <c r="H1540" s="2522" t="s">
        <v>2637</v>
      </c>
      <c r="I1540" s="2522"/>
      <c r="J1540" s="2163"/>
      <c r="K1540" s="2523">
        <v>0</v>
      </c>
      <c r="L1540" s="2523"/>
      <c r="M1540" s="2163"/>
      <c r="N1540" s="2527"/>
      <c r="O1540" s="2163"/>
    </row>
    <row r="1541" spans="1:15">
      <c r="H1541" s="2163"/>
      <c r="I1541" s="2163"/>
      <c r="J1541" s="2163"/>
      <c r="K1541" s="2523"/>
      <c r="L1541" s="2523"/>
      <c r="N1541" s="2527"/>
    </row>
    <row r="1542" spans="1:15">
      <c r="A1542" s="2165">
        <v>73000</v>
      </c>
      <c r="B1542" s="2163"/>
      <c r="C1542" s="2524" t="s">
        <v>2880</v>
      </c>
      <c r="D1542" s="2524"/>
      <c r="E1542" s="2524"/>
      <c r="F1542" s="2524"/>
      <c r="G1542" s="2524"/>
      <c r="H1542" s="2524"/>
      <c r="I1542" s="2524"/>
      <c r="J1542" s="2163"/>
      <c r="K1542" s="2163"/>
      <c r="L1542" s="2163"/>
      <c r="M1542" s="2163"/>
    </row>
    <row r="1543" spans="1:15">
      <c r="A1543" s="2163"/>
      <c r="B1543" s="2163"/>
      <c r="C1543" s="2163"/>
      <c r="D1543" s="2163"/>
      <c r="E1543" s="2163"/>
      <c r="F1543" s="2163"/>
      <c r="G1543" s="2163"/>
      <c r="H1543" s="2163"/>
      <c r="I1543" s="2163"/>
      <c r="J1543" s="2163"/>
      <c r="K1543" s="2163"/>
      <c r="L1543" s="2163"/>
      <c r="M1543" s="2163"/>
    </row>
    <row r="1544" spans="1:15">
      <c r="A1544" s="2529"/>
      <c r="B1544" s="2529"/>
      <c r="C1544" s="2529"/>
      <c r="D1544" s="2166"/>
      <c r="E1544" s="2166"/>
      <c r="F1544" s="2166"/>
      <c r="G1544" s="2166"/>
      <c r="H1544" s="2525"/>
      <c r="I1544" s="2525"/>
      <c r="J1544" s="2525"/>
      <c r="K1544" s="2166"/>
      <c r="L1544" s="2167"/>
      <c r="M1544" s="2166"/>
    </row>
    <row r="1545" spans="1:15">
      <c r="A1545" s="2164"/>
      <c r="B1545" s="2164"/>
      <c r="C1545" s="2164"/>
      <c r="D1545" s="2164"/>
      <c r="E1545" s="2522" t="s">
        <v>2639</v>
      </c>
      <c r="F1545" s="2522"/>
      <c r="G1545" s="2164"/>
      <c r="H1545" s="2523">
        <v>0</v>
      </c>
      <c r="I1545" s="2523"/>
      <c r="J1545" s="2523"/>
      <c r="K1545" s="2163"/>
      <c r="L1545" s="2523">
        <v>0</v>
      </c>
      <c r="M1545" s="2163"/>
    </row>
    <row r="1546" spans="1:15">
      <c r="A1546" s="2164"/>
      <c r="B1546" s="2164"/>
      <c r="C1546" s="2164"/>
      <c r="D1546" s="2164"/>
      <c r="E1546" s="2164"/>
      <c r="F1546" s="2164"/>
      <c r="G1546" s="2164"/>
      <c r="H1546" s="2523"/>
      <c r="I1546" s="2523"/>
      <c r="J1546" s="2523"/>
      <c r="K1546" s="2163"/>
      <c r="L1546" s="2523"/>
      <c r="M1546" s="2163"/>
    </row>
    <row r="1547" spans="1:15" ht="27.6">
      <c r="A1547" s="2160" t="s">
        <v>2734</v>
      </c>
      <c r="B1547" s="2161"/>
      <c r="C1547" s="2160" t="s">
        <v>2735</v>
      </c>
      <c r="D1547" s="2161"/>
      <c r="E1547" s="2160" t="s">
        <v>2698</v>
      </c>
      <c r="F1547" s="2161"/>
    </row>
    <row r="1548" spans="1:15">
      <c r="A1548" s="2163"/>
      <c r="B1548" s="2163"/>
      <c r="C1548" s="2163"/>
      <c r="D1548" s="2163"/>
      <c r="E1548" s="2163"/>
      <c r="F1548" s="2163"/>
      <c r="G1548" s="2163"/>
      <c r="H1548" s="2163"/>
      <c r="I1548" s="2163"/>
      <c r="J1548" s="2163"/>
      <c r="K1548" s="2163"/>
      <c r="L1548" s="2163"/>
      <c r="M1548" s="2163"/>
    </row>
    <row r="1549" spans="1:15">
      <c r="A1549" s="2164"/>
      <c r="H1549" s="2522" t="s">
        <v>2637</v>
      </c>
      <c r="I1549" s="2522"/>
      <c r="J1549" s="2163"/>
      <c r="K1549" s="2523">
        <v>0</v>
      </c>
      <c r="L1549" s="2523"/>
      <c r="M1549" s="2163"/>
      <c r="N1549" s="2527"/>
      <c r="O1549" s="2163"/>
    </row>
    <row r="1550" spans="1:15">
      <c r="H1550" s="2163"/>
      <c r="I1550" s="2163"/>
      <c r="J1550" s="2163"/>
      <c r="K1550" s="2523"/>
      <c r="L1550" s="2523"/>
      <c r="N1550" s="2527"/>
    </row>
    <row r="1551" spans="1:15">
      <c r="A1551" s="2165">
        <v>73898</v>
      </c>
      <c r="B1551" s="2163"/>
      <c r="C1551" s="2524" t="s">
        <v>2880</v>
      </c>
      <c r="D1551" s="2524"/>
      <c r="E1551" s="2524"/>
      <c r="F1551" s="2524"/>
      <c r="G1551" s="2524"/>
      <c r="H1551" s="2524"/>
      <c r="I1551" s="2524"/>
      <c r="J1551" s="2163"/>
      <c r="K1551" s="2163"/>
      <c r="L1551" s="2163"/>
      <c r="M1551" s="2163"/>
    </row>
    <row r="1552" spans="1:15">
      <c r="A1552" s="2163"/>
      <c r="B1552" s="2163"/>
      <c r="C1552" s="2163"/>
      <c r="D1552" s="2163"/>
      <c r="E1552" s="2163"/>
      <c r="F1552" s="2163"/>
      <c r="G1552" s="2163"/>
      <c r="H1552" s="2163"/>
      <c r="I1552" s="2163"/>
      <c r="J1552" s="2163"/>
      <c r="K1552" s="2163"/>
      <c r="L1552" s="2163"/>
      <c r="M1552" s="2163"/>
    </row>
    <row r="1553" spans="1:15">
      <c r="A1553" s="2529"/>
      <c r="B1553" s="2529"/>
      <c r="C1553" s="2529"/>
      <c r="D1553" s="2166"/>
      <c r="E1553" s="2166"/>
      <c r="F1553" s="2166"/>
      <c r="G1553" s="2166"/>
      <c r="H1553" s="2525"/>
      <c r="I1553" s="2525"/>
      <c r="J1553" s="2525"/>
      <c r="K1553" s="2166"/>
      <c r="L1553" s="2167"/>
      <c r="M1553" s="2166"/>
    </row>
    <row r="1554" spans="1:15">
      <c r="A1554" s="2164"/>
      <c r="B1554" s="2164"/>
      <c r="C1554" s="2164"/>
      <c r="D1554" s="2164"/>
      <c r="E1554" s="2522" t="s">
        <v>2639</v>
      </c>
      <c r="F1554" s="2522"/>
      <c r="G1554" s="2164"/>
      <c r="H1554" s="2523">
        <v>0</v>
      </c>
      <c r="I1554" s="2523"/>
      <c r="J1554" s="2523"/>
      <c r="K1554" s="2163"/>
      <c r="L1554" s="2523">
        <v>0</v>
      </c>
      <c r="M1554" s="2163"/>
    </row>
    <row r="1555" spans="1:15">
      <c r="A1555" s="2164"/>
      <c r="B1555" s="2164"/>
      <c r="C1555" s="2164"/>
      <c r="D1555" s="2164"/>
      <c r="E1555" s="2164"/>
      <c r="F1555" s="2164"/>
      <c r="G1555" s="2164"/>
      <c r="H1555" s="2523"/>
      <c r="I1555" s="2523"/>
      <c r="J1555" s="2523"/>
      <c r="K1555" s="2163"/>
      <c r="L1555" s="2523"/>
      <c r="M1555" s="2163"/>
    </row>
    <row r="1556" spans="1:15" ht="27.6">
      <c r="A1556" s="2160" t="s">
        <v>2734</v>
      </c>
      <c r="B1556" s="2161"/>
      <c r="C1556" s="2160" t="s">
        <v>2735</v>
      </c>
      <c r="D1556" s="2161"/>
      <c r="E1556" s="2160" t="s">
        <v>2722</v>
      </c>
      <c r="F1556" s="2161"/>
    </row>
    <row r="1557" spans="1:15">
      <c r="A1557" s="2163"/>
      <c r="B1557" s="2163"/>
      <c r="C1557" s="2163"/>
      <c r="D1557" s="2163"/>
      <c r="E1557" s="2163"/>
      <c r="F1557" s="2163"/>
      <c r="G1557" s="2163"/>
      <c r="H1557" s="2163"/>
      <c r="I1557" s="2163"/>
      <c r="J1557" s="2163"/>
      <c r="K1557" s="2163"/>
      <c r="L1557" s="2163"/>
      <c r="M1557" s="2163"/>
    </row>
    <row r="1558" spans="1:15">
      <c r="A1558" s="2164"/>
      <c r="H1558" s="2522" t="s">
        <v>2637</v>
      </c>
      <c r="I1558" s="2522"/>
      <c r="J1558" s="2163"/>
      <c r="K1558" s="2523">
        <v>0</v>
      </c>
      <c r="L1558" s="2523"/>
      <c r="M1558" s="2163"/>
      <c r="N1558" s="2527"/>
      <c r="O1558" s="2163"/>
    </row>
    <row r="1559" spans="1:15">
      <c r="H1559" s="2163"/>
      <c r="I1559" s="2163"/>
      <c r="J1559" s="2163"/>
      <c r="K1559" s="2523"/>
      <c r="L1559" s="2523"/>
      <c r="N1559" s="2527"/>
    </row>
    <row r="1560" spans="1:15">
      <c r="A1560" s="2165">
        <v>5178</v>
      </c>
      <c r="B1560" s="2163"/>
      <c r="C1560" s="2524" t="s">
        <v>2880</v>
      </c>
      <c r="D1560" s="2524"/>
      <c r="E1560" s="2524"/>
      <c r="F1560" s="2524"/>
      <c r="G1560" s="2524"/>
      <c r="H1560" s="2524"/>
      <c r="I1560" s="2524"/>
      <c r="J1560" s="2163"/>
      <c r="K1560" s="2163"/>
      <c r="L1560" s="2163"/>
      <c r="M1560" s="2163"/>
    </row>
    <row r="1561" spans="1:15">
      <c r="A1561" s="2163"/>
      <c r="B1561" s="2163"/>
      <c r="C1561" s="2163"/>
      <c r="D1561" s="2163"/>
      <c r="E1561" s="2163"/>
      <c r="F1561" s="2163"/>
      <c r="G1561" s="2163"/>
      <c r="H1561" s="2163"/>
      <c r="I1561" s="2163"/>
      <c r="J1561" s="2163"/>
      <c r="K1561" s="2163"/>
      <c r="L1561" s="2163"/>
      <c r="M1561" s="2163"/>
    </row>
    <row r="1562" spans="1:15">
      <c r="A1562" s="2529"/>
      <c r="B1562" s="2529"/>
      <c r="C1562" s="2529"/>
      <c r="D1562" s="2166"/>
      <c r="E1562" s="2166"/>
      <c r="F1562" s="2166"/>
      <c r="G1562" s="2166"/>
      <c r="H1562" s="2525"/>
      <c r="I1562" s="2525"/>
      <c r="J1562" s="2525"/>
      <c r="K1562" s="2166"/>
      <c r="L1562" s="2167"/>
      <c r="M1562" s="2166"/>
    </row>
    <row r="1563" spans="1:15">
      <c r="A1563" s="2164"/>
      <c r="B1563" s="2164"/>
      <c r="C1563" s="2164"/>
      <c r="D1563" s="2164"/>
      <c r="E1563" s="2522" t="s">
        <v>2639</v>
      </c>
      <c r="F1563" s="2522"/>
      <c r="G1563" s="2164"/>
      <c r="H1563" s="2523">
        <v>0</v>
      </c>
      <c r="I1563" s="2523"/>
      <c r="J1563" s="2523"/>
      <c r="K1563" s="2163"/>
      <c r="L1563" s="2523">
        <v>0</v>
      </c>
      <c r="M1563" s="2163"/>
    </row>
    <row r="1564" spans="1:15">
      <c r="A1564" s="2164"/>
      <c r="B1564" s="2164"/>
      <c r="C1564" s="2164"/>
      <c r="D1564" s="2164"/>
      <c r="E1564" s="2164"/>
      <c r="F1564" s="2164"/>
      <c r="G1564" s="2164"/>
      <c r="H1564" s="2523"/>
      <c r="I1564" s="2523"/>
      <c r="J1564" s="2523"/>
      <c r="K1564" s="2163"/>
      <c r="L1564" s="2523"/>
      <c r="M1564" s="2163"/>
    </row>
    <row r="1565" spans="1:15" ht="27.6">
      <c r="A1565" s="2160" t="s">
        <v>2734</v>
      </c>
      <c r="B1565" s="2161"/>
      <c r="C1565" s="2160" t="s">
        <v>2735</v>
      </c>
      <c r="D1565" s="2161"/>
      <c r="E1565" s="2160" t="s">
        <v>2722</v>
      </c>
      <c r="F1565" s="2161"/>
    </row>
    <row r="1566" spans="1:15">
      <c r="A1566" s="2163"/>
      <c r="B1566" s="2163"/>
      <c r="C1566" s="2163"/>
      <c r="D1566" s="2163"/>
      <c r="E1566" s="2163"/>
      <c r="F1566" s="2163"/>
      <c r="G1566" s="2163"/>
      <c r="H1566" s="2163"/>
      <c r="I1566" s="2163"/>
      <c r="J1566" s="2163"/>
      <c r="K1566" s="2163"/>
      <c r="L1566" s="2163"/>
      <c r="M1566" s="2163"/>
    </row>
    <row r="1567" spans="1:15">
      <c r="A1567" s="2164"/>
      <c r="H1567" s="2522" t="s">
        <v>2637</v>
      </c>
      <c r="I1567" s="2522"/>
      <c r="J1567" s="2163"/>
      <c r="K1567" s="2523">
        <v>0</v>
      </c>
      <c r="L1567" s="2523"/>
      <c r="M1567" s="2163"/>
      <c r="N1567" s="2527"/>
      <c r="O1567" s="2163"/>
    </row>
    <row r="1568" spans="1:15">
      <c r="H1568" s="2163"/>
      <c r="I1568" s="2163"/>
      <c r="J1568" s="2163"/>
      <c r="K1568" s="2523"/>
      <c r="L1568" s="2523"/>
      <c r="N1568" s="2527"/>
    </row>
    <row r="1569" spans="1:15">
      <c r="A1569" s="2165">
        <v>32068</v>
      </c>
      <c r="B1569" s="2163"/>
      <c r="C1569" s="2524" t="s">
        <v>2893</v>
      </c>
      <c r="D1569" s="2524"/>
      <c r="E1569" s="2524"/>
      <c r="F1569" s="2524"/>
      <c r="G1569" s="2524"/>
      <c r="H1569" s="2524"/>
      <c r="I1569" s="2524"/>
      <c r="J1569" s="2163"/>
      <c r="K1569" s="2163"/>
      <c r="L1569" s="2163"/>
      <c r="M1569" s="2163"/>
    </row>
    <row r="1570" spans="1:15">
      <c r="A1570" s="2163"/>
      <c r="B1570" s="2163"/>
      <c r="C1570" s="2163"/>
      <c r="D1570" s="2163"/>
      <c r="E1570" s="2163"/>
      <c r="F1570" s="2163"/>
      <c r="G1570" s="2163"/>
      <c r="H1570" s="2163"/>
      <c r="I1570" s="2163"/>
      <c r="J1570" s="2163"/>
      <c r="K1570" s="2163"/>
      <c r="L1570" s="2163"/>
      <c r="M1570" s="2163"/>
    </row>
    <row r="1571" spans="1:15">
      <c r="A1571" s="2529"/>
      <c r="B1571" s="2529"/>
      <c r="C1571" s="2529"/>
      <c r="D1571" s="2166"/>
      <c r="E1571" s="2166"/>
      <c r="F1571" s="2166"/>
      <c r="G1571" s="2166"/>
      <c r="H1571" s="2525"/>
      <c r="I1571" s="2525"/>
      <c r="J1571" s="2525"/>
      <c r="K1571" s="2166"/>
      <c r="L1571" s="2167"/>
      <c r="M1571" s="2166"/>
    </row>
    <row r="1572" spans="1:15">
      <c r="A1572" s="2164"/>
      <c r="B1572" s="2164"/>
      <c r="C1572" s="2164"/>
      <c r="D1572" s="2164"/>
      <c r="E1572" s="2522" t="s">
        <v>2639</v>
      </c>
      <c r="F1572" s="2522"/>
      <c r="G1572" s="2164"/>
      <c r="H1572" s="2523">
        <v>0</v>
      </c>
      <c r="I1572" s="2523"/>
      <c r="J1572" s="2523"/>
      <c r="K1572" s="2163"/>
      <c r="L1572" s="2523">
        <v>0</v>
      </c>
      <c r="M1572" s="2163"/>
    </row>
    <row r="1573" spans="1:15">
      <c r="A1573" s="2164"/>
      <c r="B1573" s="2164"/>
      <c r="C1573" s="2164"/>
      <c r="D1573" s="2164"/>
      <c r="E1573" s="2164"/>
      <c r="F1573" s="2164"/>
      <c r="G1573" s="2164"/>
      <c r="H1573" s="2523"/>
      <c r="I1573" s="2523"/>
      <c r="J1573" s="2523"/>
      <c r="K1573" s="2163"/>
      <c r="L1573" s="2523"/>
      <c r="M1573" s="2163"/>
    </row>
    <row r="1574" spans="1:15">
      <c r="A1574" s="2160" t="s">
        <v>2738</v>
      </c>
      <c r="B1574" s="2161"/>
      <c r="C1574" s="2160" t="s">
        <v>2739</v>
      </c>
      <c r="D1574" s="2161"/>
      <c r="E1574" s="2160" t="s">
        <v>2640</v>
      </c>
      <c r="F1574" s="2161"/>
    </row>
    <row r="1575" spans="1:15">
      <c r="A1575" s="2163"/>
      <c r="B1575" s="2163"/>
      <c r="C1575" s="2163"/>
      <c r="D1575" s="2163"/>
      <c r="E1575" s="2163"/>
      <c r="F1575" s="2163"/>
      <c r="G1575" s="2163"/>
      <c r="H1575" s="2163"/>
      <c r="I1575" s="2163"/>
      <c r="J1575" s="2163"/>
      <c r="K1575" s="2163"/>
      <c r="L1575" s="2163"/>
      <c r="M1575" s="2163"/>
    </row>
    <row r="1576" spans="1:15">
      <c r="A1576" s="2164"/>
      <c r="H1576" s="2522" t="s">
        <v>2637</v>
      </c>
      <c r="I1576" s="2522"/>
      <c r="J1576" s="2163"/>
      <c r="K1576" s="2523">
        <v>0</v>
      </c>
      <c r="L1576" s="2523"/>
      <c r="M1576" s="2163"/>
      <c r="N1576" s="2527"/>
      <c r="O1576" s="2163"/>
    </row>
    <row r="1577" spans="1:15">
      <c r="H1577" s="2163"/>
      <c r="I1577" s="2163"/>
      <c r="J1577" s="2163"/>
      <c r="K1577" s="2523"/>
      <c r="L1577" s="2523"/>
      <c r="N1577" s="2527"/>
    </row>
    <row r="1578" spans="1:15">
      <c r="A1578" s="2165">
        <v>41512</v>
      </c>
      <c r="B1578" s="2163"/>
      <c r="C1578" s="2524" t="s">
        <v>3119</v>
      </c>
      <c r="D1578" s="2524"/>
      <c r="E1578" s="2524"/>
      <c r="F1578" s="2524"/>
      <c r="G1578" s="2524"/>
      <c r="H1578" s="2524"/>
      <c r="I1578" s="2524"/>
      <c r="J1578" s="2163"/>
      <c r="K1578" s="2163"/>
      <c r="L1578" s="2163"/>
      <c r="M1578" s="2163"/>
    </row>
    <row r="1579" spans="1:15">
      <c r="A1579" s="2163"/>
      <c r="B1579" s="2163"/>
      <c r="C1579" s="2163"/>
      <c r="D1579" s="2163"/>
      <c r="E1579" s="2163"/>
      <c r="F1579" s="2163"/>
      <c r="G1579" s="2163"/>
      <c r="H1579" s="2163"/>
      <c r="I1579" s="2163"/>
      <c r="J1579" s="2163"/>
      <c r="K1579" s="2163"/>
      <c r="L1579" s="2163"/>
      <c r="M1579" s="2163"/>
    </row>
    <row r="1580" spans="1:15">
      <c r="A1580" s="2520" t="s">
        <v>2648</v>
      </c>
      <c r="B1580" s="2520"/>
      <c r="C1580" s="2520"/>
      <c r="D1580" s="2166"/>
      <c r="E1580" s="2166"/>
      <c r="F1580" s="2166"/>
      <c r="G1580" s="2166"/>
      <c r="H1580" s="2525">
        <v>-58.975000000000001</v>
      </c>
      <c r="I1580" s="2525"/>
      <c r="J1580" s="2525"/>
      <c r="K1580" s="2166"/>
      <c r="L1580" s="2168">
        <v>-3179.36</v>
      </c>
      <c r="M1580" s="2166"/>
    </row>
    <row r="1581" spans="1:15">
      <c r="A1581" s="2520" t="s">
        <v>2649</v>
      </c>
      <c r="B1581" s="2520"/>
      <c r="C1581" s="2520"/>
      <c r="D1581" s="2166"/>
      <c r="E1581" s="2166"/>
      <c r="F1581" s="2166"/>
      <c r="G1581" s="2166"/>
      <c r="H1581" s="2525">
        <v>58.975000000000001</v>
      </c>
      <c r="I1581" s="2525"/>
      <c r="J1581" s="2525"/>
      <c r="K1581" s="2166"/>
      <c r="L1581" s="2168">
        <v>3177</v>
      </c>
      <c r="M1581" s="2166"/>
    </row>
    <row r="1582" spans="1:15">
      <c r="A1582" s="2164"/>
      <c r="B1582" s="2164"/>
      <c r="C1582" s="2164"/>
      <c r="D1582" s="2164"/>
      <c r="E1582" s="2522" t="s">
        <v>2639</v>
      </c>
      <c r="F1582" s="2522"/>
      <c r="G1582" s="2164"/>
      <c r="H1582" s="2523">
        <v>0</v>
      </c>
      <c r="I1582" s="2523"/>
      <c r="J1582" s="2523"/>
      <c r="K1582" s="2163"/>
      <c r="L1582" s="2523">
        <v>0</v>
      </c>
      <c r="M1582" s="2163"/>
    </row>
    <row r="1583" spans="1:15">
      <c r="A1583" s="2164"/>
      <c r="B1583" s="2164"/>
      <c r="C1583" s="2164"/>
      <c r="D1583" s="2164"/>
      <c r="E1583" s="2164"/>
      <c r="F1583" s="2164"/>
      <c r="G1583" s="2164"/>
      <c r="H1583" s="2523"/>
      <c r="I1583" s="2523"/>
      <c r="J1583" s="2523"/>
      <c r="K1583" s="2163"/>
      <c r="L1583" s="2523"/>
      <c r="M1583" s="2163"/>
    </row>
    <row r="1584" spans="1:15">
      <c r="A1584" s="2160" t="s">
        <v>2738</v>
      </c>
      <c r="B1584" s="2161"/>
      <c r="C1584" s="2160" t="s">
        <v>2739</v>
      </c>
      <c r="D1584" s="2161"/>
      <c r="E1584" s="2160" t="s">
        <v>2640</v>
      </c>
      <c r="F1584" s="2161"/>
    </row>
    <row r="1585" spans="1:15">
      <c r="A1585" s="2163"/>
      <c r="B1585" s="2163"/>
      <c r="C1585" s="2163"/>
      <c r="D1585" s="2163"/>
      <c r="E1585" s="2163"/>
      <c r="F1585" s="2163"/>
      <c r="G1585" s="2163"/>
      <c r="H1585" s="2163"/>
      <c r="I1585" s="2163"/>
      <c r="J1585" s="2163"/>
      <c r="K1585" s="2163"/>
      <c r="L1585" s="2163"/>
      <c r="M1585" s="2163"/>
    </row>
    <row r="1586" spans="1:15">
      <c r="A1586" s="2164"/>
      <c r="H1586" s="2522" t="s">
        <v>2637</v>
      </c>
      <c r="I1586" s="2522"/>
      <c r="J1586" s="2163"/>
      <c r="K1586" s="2523">
        <v>0</v>
      </c>
      <c r="L1586" s="2523"/>
      <c r="M1586" s="2163"/>
      <c r="N1586" s="2527"/>
      <c r="O1586" s="2163"/>
    </row>
    <row r="1587" spans="1:15">
      <c r="H1587" s="2163"/>
      <c r="I1587" s="2163"/>
      <c r="J1587" s="2163"/>
      <c r="K1587" s="2523"/>
      <c r="L1587" s="2523"/>
      <c r="N1587" s="2527"/>
    </row>
    <row r="1588" spans="1:15">
      <c r="A1588" s="2165">
        <v>40568</v>
      </c>
      <c r="B1588" s="2163"/>
      <c r="C1588" s="2524" t="s">
        <v>2882</v>
      </c>
      <c r="D1588" s="2524"/>
      <c r="E1588" s="2524"/>
      <c r="F1588" s="2524"/>
      <c r="G1588" s="2524"/>
      <c r="H1588" s="2524"/>
      <c r="I1588" s="2524"/>
      <c r="J1588" s="2163"/>
      <c r="K1588" s="2163"/>
      <c r="L1588" s="2163"/>
      <c r="M1588" s="2163"/>
    </row>
    <row r="1589" spans="1:15">
      <c r="A1589" s="2163"/>
      <c r="B1589" s="2163"/>
      <c r="C1589" s="2163"/>
      <c r="D1589" s="2163"/>
      <c r="E1589" s="2163"/>
      <c r="F1589" s="2163"/>
      <c r="G1589" s="2163"/>
      <c r="H1589" s="2163"/>
      <c r="I1589" s="2163"/>
      <c r="J1589" s="2163"/>
      <c r="K1589" s="2163"/>
      <c r="L1589" s="2163"/>
      <c r="M1589" s="2163"/>
    </row>
    <row r="1590" spans="1:15">
      <c r="A1590" s="2520" t="s">
        <v>2649</v>
      </c>
      <c r="B1590" s="2520"/>
      <c r="C1590" s="2520"/>
      <c r="D1590" s="2166"/>
      <c r="E1590" s="2166"/>
      <c r="F1590" s="2166"/>
      <c r="G1590" s="2166"/>
      <c r="H1590" s="2525">
        <v>55.110999999999997</v>
      </c>
      <c r="I1590" s="2525"/>
      <c r="J1590" s="2525"/>
      <c r="K1590" s="2166"/>
      <c r="L1590" s="2168">
        <v>2968.85</v>
      </c>
      <c r="M1590" s="2166"/>
    </row>
    <row r="1591" spans="1:15">
      <c r="A1591" s="2164"/>
      <c r="B1591" s="2164"/>
      <c r="C1591" s="2164"/>
      <c r="D1591" s="2164"/>
      <c r="E1591" s="2522" t="s">
        <v>2639</v>
      </c>
      <c r="F1591" s="2522"/>
      <c r="G1591" s="2164"/>
      <c r="H1591" s="2523">
        <v>55.111400000000003</v>
      </c>
      <c r="I1591" s="2523"/>
      <c r="J1591" s="2523"/>
      <c r="K1591" s="2163"/>
      <c r="L1591" s="2523">
        <v>2972.16</v>
      </c>
      <c r="M1591" s="2163"/>
    </row>
    <row r="1592" spans="1:15">
      <c r="A1592" s="2164"/>
      <c r="B1592" s="2164"/>
      <c r="C1592" s="2164"/>
      <c r="D1592" s="2164"/>
      <c r="E1592" s="2164"/>
      <c r="F1592" s="2164"/>
      <c r="G1592" s="2164"/>
      <c r="H1592" s="2523"/>
      <c r="I1592" s="2523"/>
      <c r="J1592" s="2523"/>
      <c r="K1592" s="2163"/>
      <c r="L1592" s="2523"/>
      <c r="M1592" s="2163"/>
    </row>
    <row r="1593" spans="1:15">
      <c r="A1593" s="2160" t="s">
        <v>2738</v>
      </c>
      <c r="B1593" s="2161"/>
      <c r="C1593" s="2160" t="s">
        <v>2739</v>
      </c>
      <c r="D1593" s="2161"/>
      <c r="E1593" s="2160" t="s">
        <v>2640</v>
      </c>
      <c r="F1593" s="2161"/>
    </row>
    <row r="1594" spans="1:15">
      <c r="A1594" s="2163"/>
      <c r="B1594" s="2163"/>
      <c r="C1594" s="2163"/>
      <c r="D1594" s="2163"/>
      <c r="E1594" s="2163"/>
      <c r="F1594" s="2163"/>
      <c r="G1594" s="2163"/>
      <c r="H1594" s="2163"/>
      <c r="I1594" s="2163"/>
      <c r="J1594" s="2163"/>
      <c r="K1594" s="2163"/>
      <c r="L1594" s="2163"/>
      <c r="M1594" s="2163"/>
    </row>
    <row r="1595" spans="1:15">
      <c r="A1595" s="2164"/>
      <c r="H1595" s="2522" t="s">
        <v>2637</v>
      </c>
      <c r="I1595" s="2522"/>
      <c r="J1595" s="2163"/>
      <c r="K1595" s="2523">
        <v>0</v>
      </c>
      <c r="L1595" s="2523"/>
      <c r="M1595" s="2163"/>
      <c r="N1595" s="2527"/>
      <c r="O1595" s="2163"/>
    </row>
    <row r="1596" spans="1:15">
      <c r="H1596" s="2163"/>
      <c r="I1596" s="2163"/>
      <c r="J1596" s="2163"/>
      <c r="K1596" s="2523"/>
      <c r="L1596" s="2523"/>
      <c r="N1596" s="2527"/>
    </row>
    <row r="1597" spans="1:15">
      <c r="A1597" s="2165">
        <v>33762</v>
      </c>
      <c r="B1597" s="2163"/>
      <c r="C1597" s="2524" t="s">
        <v>2884</v>
      </c>
      <c r="D1597" s="2524"/>
      <c r="E1597" s="2524"/>
      <c r="F1597" s="2524"/>
      <c r="G1597" s="2524"/>
      <c r="H1597" s="2524"/>
      <c r="I1597" s="2524"/>
      <c r="J1597" s="2163"/>
      <c r="K1597" s="2163"/>
      <c r="L1597" s="2163"/>
      <c r="M1597" s="2163"/>
    </row>
    <row r="1598" spans="1:15">
      <c r="A1598" s="2163"/>
      <c r="B1598" s="2163"/>
      <c r="C1598" s="2163"/>
      <c r="D1598" s="2163"/>
      <c r="E1598" s="2163"/>
      <c r="F1598" s="2163"/>
      <c r="G1598" s="2163"/>
      <c r="H1598" s="2163"/>
      <c r="I1598" s="2163"/>
      <c r="J1598" s="2163"/>
      <c r="K1598" s="2163"/>
      <c r="L1598" s="2163"/>
      <c r="M1598" s="2163"/>
    </row>
    <row r="1599" spans="1:15">
      <c r="A1599" s="2529"/>
      <c r="B1599" s="2529"/>
      <c r="C1599" s="2529"/>
      <c r="D1599" s="2166"/>
      <c r="E1599" s="2166"/>
      <c r="F1599" s="2166"/>
      <c r="G1599" s="2166"/>
      <c r="H1599" s="2525"/>
      <c r="I1599" s="2525"/>
      <c r="J1599" s="2525"/>
      <c r="K1599" s="2166"/>
      <c r="L1599" s="2167"/>
      <c r="M1599" s="2166"/>
    </row>
    <row r="1600" spans="1:15">
      <c r="A1600" s="2164"/>
      <c r="B1600" s="2164"/>
      <c r="C1600" s="2164"/>
      <c r="D1600" s="2164"/>
      <c r="E1600" s="2522" t="s">
        <v>2639</v>
      </c>
      <c r="F1600" s="2522"/>
      <c r="G1600" s="2164"/>
      <c r="H1600" s="2523">
        <v>0</v>
      </c>
      <c r="I1600" s="2523"/>
      <c r="J1600" s="2523"/>
      <c r="K1600" s="2163"/>
      <c r="L1600" s="2523">
        <v>0</v>
      </c>
      <c r="M1600" s="2163"/>
    </row>
    <row r="1601" spans="1:15">
      <c r="A1601" s="2164"/>
      <c r="B1601" s="2164"/>
      <c r="C1601" s="2164"/>
      <c r="D1601" s="2164"/>
      <c r="E1601" s="2164"/>
      <c r="F1601" s="2164"/>
      <c r="G1601" s="2164"/>
      <c r="H1601" s="2523"/>
      <c r="I1601" s="2523"/>
      <c r="J1601" s="2523"/>
      <c r="K1601" s="2163"/>
      <c r="L1601" s="2523"/>
      <c r="M1601" s="2163"/>
    </row>
    <row r="1602" spans="1:15">
      <c r="A1602" s="2160" t="s">
        <v>2738</v>
      </c>
      <c r="B1602" s="2161"/>
      <c r="C1602" s="2160" t="s">
        <v>2739</v>
      </c>
      <c r="D1602" s="2161"/>
      <c r="E1602" s="2160" t="s">
        <v>2640</v>
      </c>
      <c r="F1602" s="2161"/>
    </row>
    <row r="1603" spans="1:15">
      <c r="A1603" s="2163"/>
      <c r="B1603" s="2163"/>
      <c r="C1603" s="2163"/>
      <c r="D1603" s="2163"/>
      <c r="E1603" s="2163"/>
      <c r="F1603" s="2163"/>
      <c r="G1603" s="2163"/>
      <c r="H1603" s="2163"/>
      <c r="I1603" s="2163"/>
      <c r="J1603" s="2163"/>
      <c r="K1603" s="2163"/>
      <c r="L1603" s="2163"/>
      <c r="M1603" s="2163"/>
    </row>
    <row r="1604" spans="1:15">
      <c r="A1604" s="2164"/>
      <c r="H1604" s="2522" t="s">
        <v>2637</v>
      </c>
      <c r="I1604" s="2522"/>
      <c r="J1604" s="2163"/>
      <c r="K1604" s="2523">
        <v>0</v>
      </c>
      <c r="L1604" s="2523"/>
      <c r="M1604" s="2163"/>
      <c r="N1604" s="2527"/>
      <c r="O1604" s="2163"/>
    </row>
    <row r="1605" spans="1:15">
      <c r="H1605" s="2163"/>
      <c r="I1605" s="2163"/>
      <c r="J1605" s="2163"/>
      <c r="K1605" s="2523"/>
      <c r="L1605" s="2523"/>
      <c r="N1605" s="2527"/>
    </row>
    <row r="1606" spans="1:15">
      <c r="A1606" s="2165">
        <v>50602</v>
      </c>
      <c r="B1606" s="2163"/>
      <c r="C1606" s="2524" t="s">
        <v>2880</v>
      </c>
      <c r="D1606" s="2524"/>
      <c r="E1606" s="2524"/>
      <c r="F1606" s="2524"/>
      <c r="G1606" s="2524"/>
      <c r="H1606" s="2524"/>
      <c r="I1606" s="2524"/>
      <c r="J1606" s="2163"/>
      <c r="K1606" s="2163"/>
      <c r="L1606" s="2163"/>
      <c r="M1606" s="2163"/>
    </row>
    <row r="1607" spans="1:15">
      <c r="A1607" s="2163"/>
      <c r="B1607" s="2163"/>
      <c r="C1607" s="2163"/>
      <c r="D1607" s="2163"/>
      <c r="E1607" s="2163"/>
      <c r="F1607" s="2163"/>
      <c r="G1607" s="2163"/>
      <c r="H1607" s="2163"/>
      <c r="I1607" s="2163"/>
      <c r="J1607" s="2163"/>
      <c r="K1607" s="2163"/>
      <c r="L1607" s="2163"/>
      <c r="M1607" s="2163"/>
    </row>
    <row r="1608" spans="1:15">
      <c r="A1608" s="2529"/>
      <c r="B1608" s="2529"/>
      <c r="C1608" s="2529"/>
      <c r="D1608" s="2166"/>
      <c r="E1608" s="2166"/>
      <c r="F1608" s="2166"/>
      <c r="G1608" s="2166"/>
      <c r="H1608" s="2525"/>
      <c r="I1608" s="2525"/>
      <c r="J1608" s="2525"/>
      <c r="K1608" s="2166"/>
      <c r="L1608" s="2167"/>
      <c r="M1608" s="2166"/>
    </row>
    <row r="1609" spans="1:15">
      <c r="A1609" s="2164"/>
      <c r="B1609" s="2164"/>
      <c r="C1609" s="2164"/>
      <c r="D1609" s="2164"/>
      <c r="E1609" s="2522" t="s">
        <v>2639</v>
      </c>
      <c r="F1609" s="2522"/>
      <c r="G1609" s="2164"/>
      <c r="H1609" s="2523">
        <v>0</v>
      </c>
      <c r="I1609" s="2523"/>
      <c r="J1609" s="2523"/>
      <c r="K1609" s="2163"/>
      <c r="L1609" s="2523">
        <v>0</v>
      </c>
      <c r="M1609" s="2163"/>
    </row>
    <row r="1610" spans="1:15">
      <c r="A1610" s="2164"/>
      <c r="B1610" s="2164"/>
      <c r="C1610" s="2164"/>
      <c r="D1610" s="2164"/>
      <c r="E1610" s="2164"/>
      <c r="F1610" s="2164"/>
      <c r="G1610" s="2164"/>
      <c r="H1610" s="2523"/>
      <c r="I1610" s="2523"/>
      <c r="J1610" s="2523"/>
      <c r="K1610" s="2163"/>
      <c r="L1610" s="2523"/>
      <c r="M1610" s="2163"/>
    </row>
    <row r="1611" spans="1:15">
      <c r="A1611" s="2160" t="s">
        <v>2738</v>
      </c>
      <c r="B1611" s="2161"/>
      <c r="C1611" s="2160" t="s">
        <v>2739</v>
      </c>
      <c r="D1611" s="2161"/>
      <c r="E1611" s="2160" t="s">
        <v>2640</v>
      </c>
      <c r="F1611" s="2161"/>
    </row>
    <row r="1612" spans="1:15">
      <c r="A1612" s="2163"/>
      <c r="B1612" s="2163"/>
      <c r="C1612" s="2163"/>
      <c r="D1612" s="2163"/>
      <c r="E1612" s="2163"/>
      <c r="F1612" s="2163"/>
      <c r="G1612" s="2163"/>
      <c r="H1612" s="2163"/>
      <c r="I1612" s="2163"/>
      <c r="J1612" s="2163"/>
      <c r="K1612" s="2163"/>
      <c r="L1612" s="2163"/>
      <c r="M1612" s="2163"/>
    </row>
    <row r="1613" spans="1:15">
      <c r="A1613" s="2164"/>
      <c r="H1613" s="2522" t="s">
        <v>2637</v>
      </c>
      <c r="I1613" s="2522"/>
      <c r="J1613" s="2163"/>
      <c r="K1613" s="2523">
        <v>1E-4</v>
      </c>
      <c r="L1613" s="2523"/>
      <c r="M1613" s="2163"/>
      <c r="N1613" s="2527"/>
      <c r="O1613" s="2163"/>
    </row>
    <row r="1614" spans="1:15">
      <c r="H1614" s="2163"/>
      <c r="I1614" s="2163"/>
      <c r="J1614" s="2163"/>
      <c r="K1614" s="2523"/>
      <c r="L1614" s="2523"/>
      <c r="N1614" s="2527"/>
    </row>
    <row r="1615" spans="1:15">
      <c r="A1615" s="2165">
        <v>75627</v>
      </c>
      <c r="B1615" s="2163"/>
      <c r="C1615" s="2524" t="s">
        <v>2889</v>
      </c>
      <c r="D1615" s="2524"/>
      <c r="E1615" s="2524"/>
      <c r="F1615" s="2524"/>
      <c r="G1615" s="2524"/>
      <c r="H1615" s="2524"/>
      <c r="I1615" s="2524"/>
      <c r="J1615" s="2163"/>
      <c r="K1615" s="2163"/>
      <c r="L1615" s="2163"/>
      <c r="M1615" s="2163"/>
    </row>
    <row r="1616" spans="1:15">
      <c r="A1616" s="2163"/>
      <c r="B1616" s="2163"/>
      <c r="C1616" s="2163"/>
      <c r="D1616" s="2163"/>
      <c r="E1616" s="2163"/>
      <c r="F1616" s="2163"/>
      <c r="G1616" s="2163"/>
      <c r="H1616" s="2163"/>
      <c r="I1616" s="2163"/>
      <c r="J1616" s="2163"/>
      <c r="K1616" s="2163"/>
      <c r="L1616" s="2163"/>
      <c r="M1616" s="2163"/>
    </row>
    <row r="1617" spans="1:15">
      <c r="A1617" s="2520" t="s">
        <v>2648</v>
      </c>
      <c r="B1617" s="2520"/>
      <c r="C1617" s="2520"/>
      <c r="D1617" s="2166"/>
      <c r="E1617" s="2166"/>
      <c r="F1617" s="2166"/>
      <c r="G1617" s="2166"/>
      <c r="H1617" s="2525">
        <v>-303.798</v>
      </c>
      <c r="I1617" s="2525"/>
      <c r="J1617" s="2525"/>
      <c r="K1617" s="2166"/>
      <c r="L1617" s="2168">
        <v>-16380.78</v>
      </c>
      <c r="M1617" s="2166"/>
    </row>
    <row r="1618" spans="1:15">
      <c r="A1618" s="2520" t="s">
        <v>2649</v>
      </c>
      <c r="B1618" s="2520"/>
      <c r="C1618" s="2520"/>
      <c r="D1618" s="2166"/>
      <c r="E1618" s="2166"/>
      <c r="F1618" s="2166"/>
      <c r="G1618" s="2166"/>
      <c r="H1618" s="2525">
        <v>303.798</v>
      </c>
      <c r="I1618" s="2525"/>
      <c r="J1618" s="2525"/>
      <c r="K1618" s="2166"/>
      <c r="L1618" s="2168">
        <v>16365.59</v>
      </c>
      <c r="M1618" s="2166"/>
    </row>
    <row r="1619" spans="1:15">
      <c r="A1619" s="2164"/>
      <c r="B1619" s="2164"/>
      <c r="C1619" s="2164"/>
      <c r="D1619" s="2164"/>
      <c r="E1619" s="2522" t="s">
        <v>2639</v>
      </c>
      <c r="F1619" s="2522"/>
      <c r="G1619" s="2164"/>
      <c r="H1619" s="2523">
        <v>1E-4</v>
      </c>
      <c r="I1619" s="2523"/>
      <c r="J1619" s="2523"/>
      <c r="K1619" s="2163"/>
      <c r="L1619" s="2523">
        <v>0.01</v>
      </c>
      <c r="M1619" s="2163"/>
    </row>
    <row r="1620" spans="1:15">
      <c r="A1620" s="2164"/>
      <c r="B1620" s="2164"/>
      <c r="C1620" s="2164"/>
      <c r="D1620" s="2164"/>
      <c r="E1620" s="2164"/>
      <c r="F1620" s="2164"/>
      <c r="G1620" s="2164"/>
      <c r="H1620" s="2523"/>
      <c r="I1620" s="2523"/>
      <c r="J1620" s="2523"/>
      <c r="K1620" s="2163"/>
      <c r="L1620" s="2523"/>
      <c r="M1620" s="2163"/>
    </row>
    <row r="1621" spans="1:15">
      <c r="A1621" s="2160" t="s">
        <v>2738</v>
      </c>
      <c r="B1621" s="2161"/>
      <c r="C1621" s="2160" t="s">
        <v>2739</v>
      </c>
      <c r="D1621" s="2161"/>
      <c r="E1621" s="2160" t="s">
        <v>2640</v>
      </c>
      <c r="F1621" s="2161"/>
    </row>
    <row r="1622" spans="1:15">
      <c r="A1622" s="2163"/>
      <c r="B1622" s="2163"/>
      <c r="C1622" s="2163"/>
      <c r="D1622" s="2163"/>
      <c r="E1622" s="2163"/>
      <c r="F1622" s="2163"/>
      <c r="G1622" s="2163"/>
      <c r="H1622" s="2163"/>
      <c r="I1622" s="2163"/>
      <c r="J1622" s="2163"/>
      <c r="K1622" s="2163"/>
      <c r="L1622" s="2163"/>
      <c r="M1622" s="2163"/>
    </row>
    <row r="1623" spans="1:15">
      <c r="A1623" s="2164"/>
      <c r="H1623" s="2522" t="s">
        <v>2637</v>
      </c>
      <c r="I1623" s="2522"/>
      <c r="J1623" s="2163"/>
      <c r="K1623" s="2523">
        <v>0</v>
      </c>
      <c r="L1623" s="2523"/>
      <c r="M1623" s="2163"/>
      <c r="N1623" s="2527"/>
      <c r="O1623" s="2163"/>
    </row>
    <row r="1624" spans="1:15">
      <c r="H1624" s="2163"/>
      <c r="I1624" s="2163"/>
      <c r="J1624" s="2163"/>
      <c r="K1624" s="2523"/>
      <c r="L1624" s="2523"/>
      <c r="N1624" s="2527"/>
    </row>
    <row r="1625" spans="1:15">
      <c r="A1625" s="2165">
        <v>75677</v>
      </c>
      <c r="B1625" s="2163"/>
      <c r="C1625" s="2524" t="s">
        <v>2890</v>
      </c>
      <c r="D1625" s="2524"/>
      <c r="E1625" s="2524"/>
      <c r="F1625" s="2524"/>
      <c r="G1625" s="2524"/>
      <c r="H1625" s="2524"/>
      <c r="I1625" s="2524"/>
      <c r="J1625" s="2163"/>
      <c r="K1625" s="2163"/>
      <c r="L1625" s="2163"/>
      <c r="M1625" s="2163"/>
    </row>
    <row r="1626" spans="1:15">
      <c r="A1626" s="2163"/>
      <c r="B1626" s="2163"/>
      <c r="C1626" s="2163"/>
      <c r="D1626" s="2163"/>
      <c r="E1626" s="2163"/>
      <c r="F1626" s="2163"/>
      <c r="G1626" s="2163"/>
      <c r="H1626" s="2163"/>
      <c r="I1626" s="2163"/>
      <c r="J1626" s="2163"/>
      <c r="K1626" s="2163"/>
      <c r="L1626" s="2163"/>
      <c r="M1626" s="2163"/>
    </row>
    <row r="1627" spans="1:15">
      <c r="A1627" s="2520" t="s">
        <v>2649</v>
      </c>
      <c r="B1627" s="2520"/>
      <c r="C1627" s="2520"/>
      <c r="D1627" s="2166"/>
      <c r="E1627" s="2166"/>
      <c r="F1627" s="2166"/>
      <c r="G1627" s="2166"/>
      <c r="H1627" s="2525">
        <v>3.137</v>
      </c>
      <c r="I1627" s="2525"/>
      <c r="J1627" s="2525"/>
      <c r="K1627" s="2166"/>
      <c r="L1627" s="2167">
        <v>169</v>
      </c>
      <c r="M1627" s="2166"/>
    </row>
    <row r="1628" spans="1:15">
      <c r="A1628" s="2164"/>
      <c r="B1628" s="2164"/>
      <c r="C1628" s="2164"/>
      <c r="D1628" s="2164"/>
      <c r="E1628" s="2522" t="s">
        <v>2639</v>
      </c>
      <c r="F1628" s="2522"/>
      <c r="G1628" s="2164"/>
      <c r="H1628" s="2523">
        <v>3.1372</v>
      </c>
      <c r="I1628" s="2523"/>
      <c r="J1628" s="2523"/>
      <c r="K1628" s="2163"/>
      <c r="L1628" s="2523">
        <v>169.19</v>
      </c>
      <c r="M1628" s="2163"/>
    </row>
    <row r="1629" spans="1:15">
      <c r="A1629" s="2164"/>
      <c r="B1629" s="2164"/>
      <c r="C1629" s="2164"/>
      <c r="D1629" s="2164"/>
      <c r="E1629" s="2164"/>
      <c r="F1629" s="2164"/>
      <c r="G1629" s="2164"/>
      <c r="H1629" s="2523"/>
      <c r="I1629" s="2523"/>
      <c r="J1629" s="2523"/>
      <c r="K1629" s="2163"/>
      <c r="L1629" s="2523"/>
      <c r="M1629" s="2163"/>
    </row>
    <row r="1630" spans="1:15">
      <c r="A1630" s="2160" t="s">
        <v>2738</v>
      </c>
      <c r="B1630" s="2161"/>
      <c r="C1630" s="2160" t="s">
        <v>2739</v>
      </c>
      <c r="D1630" s="2161"/>
      <c r="E1630" s="2160" t="s">
        <v>2640</v>
      </c>
      <c r="F1630" s="2161"/>
    </row>
    <row r="1631" spans="1:15">
      <c r="A1631" s="2163"/>
      <c r="B1631" s="2163"/>
      <c r="C1631" s="2163"/>
      <c r="D1631" s="2163"/>
      <c r="E1631" s="2163"/>
      <c r="F1631" s="2163"/>
      <c r="G1631" s="2163"/>
      <c r="H1631" s="2163"/>
      <c r="I1631" s="2163"/>
      <c r="J1631" s="2163"/>
      <c r="K1631" s="2163"/>
      <c r="L1631" s="2163"/>
      <c r="M1631" s="2163"/>
    </row>
    <row r="1632" spans="1:15">
      <c r="A1632" s="2164"/>
      <c r="H1632" s="2522" t="s">
        <v>2637</v>
      </c>
      <c r="I1632" s="2522"/>
      <c r="J1632" s="2163"/>
      <c r="K1632" s="2523">
        <v>9.2999999999999992E-3</v>
      </c>
      <c r="L1632" s="2523"/>
      <c r="M1632" s="2163"/>
      <c r="N1632" s="2527"/>
      <c r="O1632" s="2163"/>
    </row>
    <row r="1633" spans="1:15">
      <c r="H1633" s="2163"/>
      <c r="I1633" s="2163"/>
      <c r="J1633" s="2163"/>
      <c r="K1633" s="2523"/>
      <c r="L1633" s="2523"/>
      <c r="N1633" s="2527"/>
    </row>
    <row r="1634" spans="1:15">
      <c r="A1634" s="2165">
        <v>64050</v>
      </c>
      <c r="B1634" s="2163"/>
      <c r="C1634" s="2524" t="s">
        <v>2886</v>
      </c>
      <c r="D1634" s="2524"/>
      <c r="E1634" s="2524"/>
      <c r="F1634" s="2524"/>
      <c r="G1634" s="2524"/>
      <c r="H1634" s="2524"/>
      <c r="I1634" s="2524"/>
      <c r="J1634" s="2163"/>
      <c r="K1634" s="2163"/>
      <c r="L1634" s="2163"/>
      <c r="M1634" s="2163"/>
    </row>
    <row r="1635" spans="1:15">
      <c r="A1635" s="2163"/>
      <c r="B1635" s="2163"/>
      <c r="C1635" s="2163"/>
      <c r="D1635" s="2163"/>
      <c r="E1635" s="2163"/>
      <c r="F1635" s="2163"/>
      <c r="G1635" s="2163"/>
      <c r="H1635" s="2163"/>
      <c r="I1635" s="2163"/>
      <c r="J1635" s="2163"/>
      <c r="K1635" s="2163"/>
      <c r="L1635" s="2163"/>
      <c r="M1635" s="2163"/>
    </row>
    <row r="1636" spans="1:15">
      <c r="A1636" s="2529"/>
      <c r="B1636" s="2529"/>
      <c r="C1636" s="2529"/>
      <c r="D1636" s="2166"/>
      <c r="E1636" s="2166"/>
      <c r="F1636" s="2166"/>
      <c r="G1636" s="2166"/>
      <c r="H1636" s="2525"/>
      <c r="I1636" s="2525"/>
      <c r="J1636" s="2525"/>
      <c r="K1636" s="2166"/>
      <c r="L1636" s="2167"/>
      <c r="M1636" s="2166"/>
    </row>
    <row r="1637" spans="1:15">
      <c r="A1637" s="2164"/>
      <c r="B1637" s="2164"/>
      <c r="C1637" s="2164"/>
      <c r="D1637" s="2164"/>
      <c r="E1637" s="2522" t="s">
        <v>2639</v>
      </c>
      <c r="F1637" s="2522"/>
      <c r="G1637" s="2164"/>
      <c r="H1637" s="2523">
        <v>9.2999999999999992E-3</v>
      </c>
      <c r="I1637" s="2523"/>
      <c r="J1637" s="2523"/>
      <c r="K1637" s="2163"/>
      <c r="L1637" s="2523">
        <v>0.5</v>
      </c>
      <c r="M1637" s="2163"/>
    </row>
    <row r="1638" spans="1:15">
      <c r="A1638" s="2164"/>
      <c r="B1638" s="2164"/>
      <c r="C1638" s="2164"/>
      <c r="D1638" s="2164"/>
      <c r="E1638" s="2164"/>
      <c r="F1638" s="2164"/>
      <c r="G1638" s="2164"/>
      <c r="H1638" s="2523"/>
      <c r="I1638" s="2523"/>
      <c r="J1638" s="2523"/>
      <c r="K1638" s="2163"/>
      <c r="L1638" s="2523"/>
      <c r="M1638" s="2163"/>
    </row>
    <row r="1639" spans="1:15">
      <c r="A1639" s="2160" t="s">
        <v>2738</v>
      </c>
      <c r="B1639" s="2161"/>
      <c r="C1639" s="2160" t="s">
        <v>2739</v>
      </c>
      <c r="D1639" s="2161"/>
      <c r="E1639" s="2160" t="s">
        <v>2640</v>
      </c>
      <c r="F1639" s="2161"/>
    </row>
    <row r="1640" spans="1:15">
      <c r="A1640" s="2163"/>
      <c r="B1640" s="2163"/>
      <c r="C1640" s="2163"/>
      <c r="D1640" s="2163"/>
      <c r="E1640" s="2163"/>
      <c r="F1640" s="2163"/>
      <c r="G1640" s="2163"/>
      <c r="H1640" s="2163"/>
      <c r="I1640" s="2163"/>
      <c r="J1640" s="2163"/>
      <c r="K1640" s="2163"/>
      <c r="L1640" s="2163"/>
      <c r="M1640" s="2163"/>
    </row>
    <row r="1641" spans="1:15">
      <c r="A1641" s="2164"/>
      <c r="H1641" s="2522" t="s">
        <v>2637</v>
      </c>
      <c r="I1641" s="2522"/>
      <c r="J1641" s="2163"/>
      <c r="K1641" s="2528">
        <v>3193.2752999999998</v>
      </c>
      <c r="L1641" s="2528"/>
      <c r="M1641" s="2163"/>
      <c r="N1641" s="2527" t="s">
        <v>3154</v>
      </c>
      <c r="O1641" s="2163"/>
    </row>
    <row r="1642" spans="1:15">
      <c r="H1642" s="2163"/>
      <c r="I1642" s="2163"/>
      <c r="J1642" s="2163"/>
      <c r="K1642" s="2528"/>
      <c r="L1642" s="2528"/>
      <c r="N1642" s="2527"/>
    </row>
    <row r="1643" spans="1:15">
      <c r="A1643" s="2165">
        <v>75343</v>
      </c>
      <c r="B1643" s="2163"/>
      <c r="C1643" s="2524" t="s">
        <v>2892</v>
      </c>
      <c r="D1643" s="2524"/>
      <c r="E1643" s="2524"/>
      <c r="F1643" s="2524"/>
      <c r="G1643" s="2524"/>
      <c r="H1643" s="2524"/>
      <c r="I1643" s="2524"/>
      <c r="J1643" s="2163"/>
      <c r="K1643" s="2163"/>
      <c r="L1643" s="2163"/>
      <c r="M1643" s="2163"/>
    </row>
    <row r="1644" spans="1:15">
      <c r="A1644" s="2163"/>
      <c r="B1644" s="2163"/>
      <c r="C1644" s="2163"/>
      <c r="D1644" s="2163"/>
      <c r="E1644" s="2163"/>
      <c r="F1644" s="2163"/>
      <c r="G1644" s="2163"/>
      <c r="H1644" s="2163"/>
      <c r="I1644" s="2163"/>
      <c r="J1644" s="2163"/>
      <c r="K1644" s="2163"/>
      <c r="L1644" s="2163"/>
      <c r="M1644" s="2163"/>
    </row>
    <row r="1645" spans="1:15">
      <c r="A1645" s="2520" t="s">
        <v>2648</v>
      </c>
      <c r="B1645" s="2520"/>
      <c r="C1645" s="2520"/>
      <c r="D1645" s="2166"/>
      <c r="E1645" s="2166"/>
      <c r="F1645" s="2166"/>
      <c r="G1645" s="2166"/>
      <c r="H1645" s="2526">
        <v>-2219.31</v>
      </c>
      <c r="I1645" s="2526"/>
      <c r="J1645" s="2526"/>
      <c r="K1645" s="2166"/>
      <c r="L1645" s="2168">
        <v>-118374.87</v>
      </c>
      <c r="M1645" s="2166"/>
    </row>
    <row r="1646" spans="1:15">
      <c r="A1646" s="2520" t="s">
        <v>2679</v>
      </c>
      <c r="B1646" s="2520"/>
      <c r="C1646" s="2520"/>
      <c r="D1646" s="2166"/>
      <c r="E1646" s="2166"/>
      <c r="F1646" s="2166"/>
      <c r="G1646" s="2166"/>
      <c r="H1646" s="2525">
        <v>-973.96500000000003</v>
      </c>
      <c r="I1646" s="2525"/>
      <c r="J1646" s="2525"/>
      <c r="K1646" s="2166"/>
      <c r="L1646" s="2168">
        <v>-52000</v>
      </c>
      <c r="M1646" s="2166"/>
    </row>
    <row r="1647" spans="1:15">
      <c r="A1647" s="2520" t="s">
        <v>2649</v>
      </c>
      <c r="B1647" s="2520"/>
      <c r="C1647" s="2520"/>
      <c r="D1647" s="2166"/>
      <c r="E1647" s="2166"/>
      <c r="F1647" s="2166"/>
      <c r="G1647" s="2166"/>
      <c r="H1647" s="2525">
        <v>6.1379999999999999</v>
      </c>
      <c r="I1647" s="2525"/>
      <c r="J1647" s="2525"/>
      <c r="K1647" s="2166"/>
      <c r="L1647" s="2167">
        <v>330.67</v>
      </c>
      <c r="M1647" s="2166"/>
    </row>
    <row r="1648" spans="1:15">
      <c r="A1648" s="2164"/>
      <c r="B1648" s="2164"/>
      <c r="C1648" s="2164"/>
      <c r="D1648" s="2164"/>
      <c r="E1648" s="2522" t="s">
        <v>2639</v>
      </c>
      <c r="F1648" s="2522"/>
      <c r="G1648" s="2164"/>
      <c r="H1648" s="2523">
        <v>6.1383999999999999</v>
      </c>
      <c r="I1648" s="2523"/>
      <c r="J1648" s="2523"/>
      <c r="K1648" s="2163"/>
      <c r="L1648" s="2523">
        <v>331.04</v>
      </c>
      <c r="M1648" s="2163"/>
    </row>
    <row r="1649" spans="1:15">
      <c r="A1649" s="2164"/>
      <c r="B1649" s="2164"/>
      <c r="C1649" s="2164"/>
      <c r="D1649" s="2164"/>
      <c r="E1649" s="2164"/>
      <c r="F1649" s="2164"/>
      <c r="G1649" s="2164"/>
      <c r="H1649" s="2523"/>
      <c r="I1649" s="2523"/>
      <c r="J1649" s="2523"/>
      <c r="K1649" s="2163"/>
      <c r="L1649" s="2523"/>
      <c r="M1649" s="2163"/>
    </row>
    <row r="1650" spans="1:15">
      <c r="A1650" s="2160" t="s">
        <v>2754</v>
      </c>
      <c r="B1650" s="2161"/>
      <c r="C1650" s="2160" t="s">
        <v>2755</v>
      </c>
      <c r="D1650" s="2161"/>
      <c r="E1650" s="2160" t="s">
        <v>2698</v>
      </c>
      <c r="F1650" s="2161"/>
    </row>
    <row r="1651" spans="1:15">
      <c r="A1651" s="2163"/>
      <c r="B1651" s="2163"/>
      <c r="C1651" s="2163"/>
      <c r="D1651" s="2163"/>
      <c r="E1651" s="2163"/>
      <c r="F1651" s="2163"/>
      <c r="G1651" s="2163"/>
      <c r="H1651" s="2163"/>
      <c r="I1651" s="2163"/>
      <c r="J1651" s="2163"/>
      <c r="K1651" s="2163"/>
      <c r="L1651" s="2163"/>
      <c r="M1651" s="2163"/>
    </row>
    <row r="1652" spans="1:15">
      <c r="A1652" s="2164"/>
      <c r="H1652" s="2522" t="s">
        <v>2637</v>
      </c>
      <c r="I1652" s="2522"/>
      <c r="J1652" s="2163"/>
      <c r="K1652" s="2523">
        <v>-1E-4</v>
      </c>
      <c r="L1652" s="2523"/>
      <c r="M1652" s="2163"/>
      <c r="N1652" s="2527"/>
      <c r="O1652" s="2163"/>
    </row>
    <row r="1653" spans="1:15">
      <c r="H1653" s="2163"/>
      <c r="I1653" s="2163"/>
      <c r="J1653" s="2163"/>
      <c r="K1653" s="2523"/>
      <c r="L1653" s="2523"/>
      <c r="N1653" s="2527"/>
    </row>
    <row r="1654" spans="1:15">
      <c r="A1654" s="2165">
        <v>2300</v>
      </c>
      <c r="B1654" s="2163"/>
      <c r="C1654" s="2524" t="s">
        <v>2880</v>
      </c>
      <c r="D1654" s="2524"/>
      <c r="E1654" s="2524"/>
      <c r="F1654" s="2524"/>
      <c r="G1654" s="2524"/>
      <c r="H1654" s="2524"/>
      <c r="I1654" s="2524"/>
      <c r="J1654" s="2163"/>
      <c r="K1654" s="2163"/>
      <c r="L1654" s="2163"/>
      <c r="M1654" s="2163"/>
    </row>
    <row r="1655" spans="1:15">
      <c r="A1655" s="2163"/>
      <c r="B1655" s="2163"/>
      <c r="C1655" s="2163"/>
      <c r="D1655" s="2163"/>
      <c r="E1655" s="2163"/>
      <c r="F1655" s="2163"/>
      <c r="G1655" s="2163"/>
      <c r="H1655" s="2163"/>
      <c r="I1655" s="2163"/>
      <c r="J1655" s="2163"/>
      <c r="K1655" s="2163"/>
      <c r="L1655" s="2163"/>
      <c r="M1655" s="2163"/>
    </row>
    <row r="1656" spans="1:15">
      <c r="A1656" s="2529"/>
      <c r="B1656" s="2529"/>
      <c r="C1656" s="2529"/>
      <c r="D1656" s="2166"/>
      <c r="E1656" s="2166"/>
      <c r="F1656" s="2166"/>
      <c r="G1656" s="2166"/>
      <c r="H1656" s="2525"/>
      <c r="I1656" s="2525"/>
      <c r="J1656" s="2525"/>
      <c r="K1656" s="2166"/>
      <c r="L1656" s="2167"/>
      <c r="M1656" s="2166"/>
    </row>
    <row r="1657" spans="1:15">
      <c r="A1657" s="2164"/>
      <c r="B1657" s="2164"/>
      <c r="C1657" s="2164"/>
      <c r="D1657" s="2164"/>
      <c r="E1657" s="2522" t="s">
        <v>2639</v>
      </c>
      <c r="F1657" s="2522"/>
      <c r="G1657" s="2164"/>
      <c r="H1657" s="2523">
        <v>-1E-4</v>
      </c>
      <c r="I1657" s="2523"/>
      <c r="J1657" s="2523"/>
      <c r="K1657" s="2163"/>
      <c r="L1657" s="2523">
        <v>-0.01</v>
      </c>
      <c r="M1657" s="2163"/>
    </row>
    <row r="1658" spans="1:15">
      <c r="A1658" s="2164"/>
      <c r="B1658" s="2164"/>
      <c r="C1658" s="2164"/>
      <c r="D1658" s="2164"/>
      <c r="E1658" s="2164"/>
      <c r="F1658" s="2164"/>
      <c r="G1658" s="2164"/>
      <c r="H1658" s="2523"/>
      <c r="I1658" s="2523"/>
      <c r="J1658" s="2523"/>
      <c r="K1658" s="2163"/>
      <c r="L1658" s="2523"/>
      <c r="M1658" s="2163"/>
    </row>
    <row r="1659" spans="1:15">
      <c r="A1659" s="2160" t="s">
        <v>2754</v>
      </c>
      <c r="B1659" s="2161"/>
      <c r="C1659" s="2160" t="s">
        <v>2755</v>
      </c>
      <c r="D1659" s="2161"/>
      <c r="E1659" s="2160" t="s">
        <v>2698</v>
      </c>
      <c r="F1659" s="2161"/>
    </row>
    <row r="1660" spans="1:15">
      <c r="A1660" s="2163"/>
      <c r="B1660" s="2163"/>
      <c r="C1660" s="2163"/>
      <c r="D1660" s="2163"/>
      <c r="E1660" s="2163"/>
      <c r="F1660" s="2163"/>
      <c r="G1660" s="2163"/>
      <c r="H1660" s="2163"/>
      <c r="I1660" s="2163"/>
      <c r="J1660" s="2163"/>
      <c r="K1660" s="2163"/>
      <c r="L1660" s="2163"/>
      <c r="M1660" s="2163"/>
    </row>
    <row r="1661" spans="1:15">
      <c r="A1661" s="2164"/>
      <c r="H1661" s="2522" t="s">
        <v>2637</v>
      </c>
      <c r="I1661" s="2522"/>
      <c r="J1661" s="2163"/>
      <c r="K1661" s="2523">
        <v>0</v>
      </c>
      <c r="L1661" s="2523"/>
      <c r="M1661" s="2163"/>
      <c r="N1661" s="2527"/>
      <c r="O1661" s="2163"/>
    </row>
    <row r="1662" spans="1:15">
      <c r="H1662" s="2163"/>
      <c r="I1662" s="2163"/>
      <c r="J1662" s="2163"/>
      <c r="K1662" s="2523"/>
      <c r="L1662" s="2523"/>
      <c r="N1662" s="2527"/>
    </row>
    <row r="1663" spans="1:15">
      <c r="A1663" s="2165">
        <v>5123</v>
      </c>
      <c r="B1663" s="2163"/>
      <c r="C1663" s="2524" t="s">
        <v>2887</v>
      </c>
      <c r="D1663" s="2524"/>
      <c r="E1663" s="2524"/>
      <c r="F1663" s="2524"/>
      <c r="G1663" s="2524"/>
      <c r="H1663" s="2524"/>
      <c r="I1663" s="2524"/>
      <c r="J1663" s="2163"/>
      <c r="K1663" s="2163"/>
      <c r="L1663" s="2163"/>
      <c r="M1663" s="2163"/>
    </row>
    <row r="1664" spans="1:15">
      <c r="A1664" s="2163"/>
      <c r="B1664" s="2163"/>
      <c r="C1664" s="2163"/>
      <c r="D1664" s="2163"/>
      <c r="E1664" s="2163"/>
      <c r="F1664" s="2163"/>
      <c r="G1664" s="2163"/>
      <c r="H1664" s="2163"/>
      <c r="I1664" s="2163"/>
      <c r="J1664" s="2163"/>
      <c r="K1664" s="2163"/>
      <c r="L1664" s="2163"/>
      <c r="M1664" s="2163"/>
    </row>
    <row r="1665" spans="1:15">
      <c r="A1665" s="2529"/>
      <c r="B1665" s="2529"/>
      <c r="C1665" s="2529"/>
      <c r="D1665" s="2166"/>
      <c r="E1665" s="2166"/>
      <c r="F1665" s="2166"/>
      <c r="G1665" s="2166"/>
      <c r="H1665" s="2525"/>
      <c r="I1665" s="2525"/>
      <c r="J1665" s="2525"/>
      <c r="K1665" s="2166"/>
      <c r="L1665" s="2167"/>
      <c r="M1665" s="2166"/>
    </row>
    <row r="1666" spans="1:15">
      <c r="A1666" s="2164"/>
      <c r="B1666" s="2164"/>
      <c r="C1666" s="2164"/>
      <c r="D1666" s="2164"/>
      <c r="E1666" s="2522" t="s">
        <v>2639</v>
      </c>
      <c r="F1666" s="2522"/>
      <c r="G1666" s="2164"/>
      <c r="H1666" s="2523">
        <v>0</v>
      </c>
      <c r="I1666" s="2523"/>
      <c r="J1666" s="2523"/>
      <c r="K1666" s="2163"/>
      <c r="L1666" s="2523">
        <v>0</v>
      </c>
      <c r="M1666" s="2163"/>
    </row>
    <row r="1667" spans="1:15">
      <c r="A1667" s="2164"/>
      <c r="B1667" s="2164"/>
      <c r="C1667" s="2164"/>
      <c r="D1667" s="2164"/>
      <c r="E1667" s="2164"/>
      <c r="F1667" s="2164"/>
      <c r="G1667" s="2164"/>
      <c r="H1667" s="2523"/>
      <c r="I1667" s="2523"/>
      <c r="J1667" s="2523"/>
      <c r="K1667" s="2163"/>
      <c r="L1667" s="2523"/>
      <c r="M1667" s="2163"/>
    </row>
    <row r="1668" spans="1:15">
      <c r="A1668" s="2160" t="s">
        <v>2754</v>
      </c>
      <c r="B1668" s="2161"/>
      <c r="C1668" s="2160" t="s">
        <v>2755</v>
      </c>
      <c r="D1668" s="2161"/>
      <c r="E1668" s="2160" t="s">
        <v>2698</v>
      </c>
      <c r="F1668" s="2161"/>
    </row>
    <row r="1669" spans="1:15">
      <c r="A1669" s="2163"/>
      <c r="B1669" s="2163"/>
      <c r="C1669" s="2163"/>
      <c r="D1669" s="2163"/>
      <c r="E1669" s="2163"/>
      <c r="F1669" s="2163"/>
      <c r="G1669" s="2163"/>
      <c r="H1669" s="2163"/>
      <c r="I1669" s="2163"/>
      <c r="J1669" s="2163"/>
      <c r="K1669" s="2163"/>
      <c r="L1669" s="2163"/>
      <c r="M1669" s="2163"/>
    </row>
    <row r="1670" spans="1:15">
      <c r="A1670" s="2164"/>
      <c r="H1670" s="2522" t="s">
        <v>2637</v>
      </c>
      <c r="I1670" s="2522"/>
      <c r="J1670" s="2163"/>
      <c r="K1670" s="2523">
        <v>0</v>
      </c>
      <c r="L1670" s="2523"/>
      <c r="M1670" s="2163"/>
      <c r="N1670" s="2527"/>
      <c r="O1670" s="2163"/>
    </row>
    <row r="1671" spans="1:15">
      <c r="H1671" s="2163"/>
      <c r="I1671" s="2163"/>
      <c r="J1671" s="2163"/>
      <c r="K1671" s="2523"/>
      <c r="L1671" s="2523"/>
      <c r="N1671" s="2527"/>
    </row>
    <row r="1672" spans="1:15">
      <c r="A1672" s="2165">
        <v>5178</v>
      </c>
      <c r="B1672" s="2163"/>
      <c r="C1672" s="2524" t="s">
        <v>2880</v>
      </c>
      <c r="D1672" s="2524"/>
      <c r="E1672" s="2524"/>
      <c r="F1672" s="2524"/>
      <c r="G1672" s="2524"/>
      <c r="H1672" s="2524"/>
      <c r="I1672" s="2524"/>
      <c r="J1672" s="2163"/>
      <c r="K1672" s="2163"/>
      <c r="L1672" s="2163"/>
      <c r="M1672" s="2163"/>
    </row>
    <row r="1673" spans="1:15">
      <c r="A1673" s="2163"/>
      <c r="B1673" s="2163"/>
      <c r="C1673" s="2163"/>
      <c r="D1673" s="2163"/>
      <c r="E1673" s="2163"/>
      <c r="F1673" s="2163"/>
      <c r="G1673" s="2163"/>
      <c r="H1673" s="2163"/>
      <c r="I1673" s="2163"/>
      <c r="J1673" s="2163"/>
      <c r="K1673" s="2163"/>
      <c r="L1673" s="2163"/>
      <c r="M1673" s="2163"/>
    </row>
    <row r="1674" spans="1:15">
      <c r="A1674" s="2529"/>
      <c r="B1674" s="2529"/>
      <c r="C1674" s="2529"/>
      <c r="D1674" s="2166"/>
      <c r="E1674" s="2166"/>
      <c r="F1674" s="2166"/>
      <c r="G1674" s="2166"/>
      <c r="H1674" s="2525"/>
      <c r="I1674" s="2525"/>
      <c r="J1674" s="2525"/>
      <c r="K1674" s="2166"/>
      <c r="L1674" s="2167"/>
      <c r="M1674" s="2166"/>
    </row>
    <row r="1675" spans="1:15">
      <c r="A1675" s="2164"/>
      <c r="B1675" s="2164"/>
      <c r="C1675" s="2164"/>
      <c r="D1675" s="2164"/>
      <c r="E1675" s="2522" t="s">
        <v>2639</v>
      </c>
      <c r="F1675" s="2522"/>
      <c r="G1675" s="2164"/>
      <c r="H1675" s="2523">
        <v>0</v>
      </c>
      <c r="I1675" s="2523"/>
      <c r="J1675" s="2523"/>
      <c r="K1675" s="2163"/>
      <c r="L1675" s="2523">
        <v>0</v>
      </c>
      <c r="M1675" s="2163"/>
    </row>
    <row r="1676" spans="1:15">
      <c r="A1676" s="2164"/>
      <c r="B1676" s="2164"/>
      <c r="C1676" s="2164"/>
      <c r="D1676" s="2164"/>
      <c r="E1676" s="2164"/>
      <c r="F1676" s="2164"/>
      <c r="G1676" s="2164"/>
      <c r="H1676" s="2523"/>
      <c r="I1676" s="2523"/>
      <c r="J1676" s="2523"/>
      <c r="K1676" s="2163"/>
      <c r="L1676" s="2523"/>
      <c r="M1676" s="2163"/>
    </row>
    <row r="1677" spans="1:15">
      <c r="A1677" s="2160" t="s">
        <v>2754</v>
      </c>
      <c r="B1677" s="2161"/>
      <c r="C1677" s="2160" t="s">
        <v>2755</v>
      </c>
      <c r="D1677" s="2161"/>
      <c r="E1677" s="2160" t="s">
        <v>2698</v>
      </c>
      <c r="F1677" s="2161"/>
    </row>
    <row r="1678" spans="1:15">
      <c r="A1678" s="2163"/>
      <c r="B1678" s="2163"/>
      <c r="C1678" s="2163"/>
      <c r="D1678" s="2163"/>
      <c r="E1678" s="2163"/>
      <c r="F1678" s="2163"/>
      <c r="G1678" s="2163"/>
      <c r="H1678" s="2163"/>
      <c r="I1678" s="2163"/>
      <c r="J1678" s="2163"/>
      <c r="K1678" s="2163"/>
      <c r="L1678" s="2163"/>
      <c r="M1678" s="2163"/>
    </row>
    <row r="1679" spans="1:15">
      <c r="A1679" s="2164"/>
      <c r="H1679" s="2522" t="s">
        <v>2637</v>
      </c>
      <c r="I1679" s="2522"/>
      <c r="J1679" s="2163"/>
      <c r="K1679" s="2523">
        <v>0</v>
      </c>
      <c r="L1679" s="2523"/>
      <c r="M1679" s="2163"/>
      <c r="N1679" s="2527"/>
      <c r="O1679" s="2163"/>
    </row>
    <row r="1680" spans="1:15">
      <c r="H1680" s="2163"/>
      <c r="I1680" s="2163"/>
      <c r="J1680" s="2163"/>
      <c r="K1680" s="2523"/>
      <c r="L1680" s="2523"/>
      <c r="N1680" s="2527"/>
    </row>
    <row r="1681" spans="1:15">
      <c r="A1681" s="2165">
        <v>19339</v>
      </c>
      <c r="B1681" s="2163"/>
      <c r="C1681" s="2524" t="s">
        <v>2887</v>
      </c>
      <c r="D1681" s="2524"/>
      <c r="E1681" s="2524"/>
      <c r="F1681" s="2524"/>
      <c r="G1681" s="2524"/>
      <c r="H1681" s="2524"/>
      <c r="I1681" s="2524"/>
      <c r="J1681" s="2163"/>
      <c r="K1681" s="2163"/>
      <c r="L1681" s="2163"/>
      <c r="M1681" s="2163"/>
    </row>
    <row r="1682" spans="1:15">
      <c r="A1682" s="2163"/>
      <c r="B1682" s="2163"/>
      <c r="C1682" s="2163"/>
      <c r="D1682" s="2163"/>
      <c r="E1682" s="2163"/>
      <c r="F1682" s="2163"/>
      <c r="G1682" s="2163"/>
      <c r="H1682" s="2163"/>
      <c r="I1682" s="2163"/>
      <c r="J1682" s="2163"/>
      <c r="K1682" s="2163"/>
      <c r="L1682" s="2163"/>
      <c r="M1682" s="2163"/>
    </row>
    <row r="1683" spans="1:15">
      <c r="A1683" s="2529"/>
      <c r="B1683" s="2529"/>
      <c r="C1683" s="2529"/>
      <c r="D1683" s="2166"/>
      <c r="E1683" s="2166"/>
      <c r="F1683" s="2166"/>
      <c r="G1683" s="2166"/>
      <c r="H1683" s="2525"/>
      <c r="I1683" s="2525"/>
      <c r="J1683" s="2525"/>
      <c r="K1683" s="2166"/>
      <c r="L1683" s="2167"/>
      <c r="M1683" s="2166"/>
    </row>
    <row r="1684" spans="1:15">
      <c r="A1684" s="2164"/>
      <c r="B1684" s="2164"/>
      <c r="C1684" s="2164"/>
      <c r="D1684" s="2164"/>
      <c r="E1684" s="2522" t="s">
        <v>2639</v>
      </c>
      <c r="F1684" s="2522"/>
      <c r="G1684" s="2164"/>
      <c r="H1684" s="2523">
        <v>0</v>
      </c>
      <c r="I1684" s="2523"/>
      <c r="J1684" s="2523"/>
      <c r="K1684" s="2163"/>
      <c r="L1684" s="2523">
        <v>0</v>
      </c>
      <c r="M1684" s="2163"/>
    </row>
    <row r="1685" spans="1:15">
      <c r="A1685" s="2164"/>
      <c r="B1685" s="2164"/>
      <c r="C1685" s="2164"/>
      <c r="D1685" s="2164"/>
      <c r="E1685" s="2164"/>
      <c r="F1685" s="2164"/>
      <c r="G1685" s="2164"/>
      <c r="H1685" s="2523"/>
      <c r="I1685" s="2523"/>
      <c r="J1685" s="2523"/>
      <c r="K1685" s="2163"/>
      <c r="L1685" s="2523"/>
      <c r="M1685" s="2163"/>
    </row>
    <row r="1686" spans="1:15">
      <c r="A1686" s="2160" t="s">
        <v>2754</v>
      </c>
      <c r="B1686" s="2161"/>
      <c r="C1686" s="2160" t="s">
        <v>2755</v>
      </c>
      <c r="D1686" s="2161"/>
      <c r="E1686" s="2160" t="s">
        <v>2698</v>
      </c>
      <c r="F1686" s="2161"/>
    </row>
    <row r="1687" spans="1:15">
      <c r="A1687" s="2163"/>
      <c r="B1687" s="2163"/>
      <c r="C1687" s="2163"/>
      <c r="D1687" s="2163"/>
      <c r="E1687" s="2163"/>
      <c r="F1687" s="2163"/>
      <c r="G1687" s="2163"/>
      <c r="H1687" s="2163"/>
      <c r="I1687" s="2163"/>
      <c r="J1687" s="2163"/>
      <c r="K1687" s="2163"/>
      <c r="L1687" s="2163"/>
      <c r="M1687" s="2163"/>
    </row>
    <row r="1688" spans="1:15">
      <c r="A1688" s="2164"/>
      <c r="H1688" s="2522" t="s">
        <v>2637</v>
      </c>
      <c r="I1688" s="2522"/>
      <c r="J1688" s="2163"/>
      <c r="K1688" s="2523">
        <v>0</v>
      </c>
      <c r="L1688" s="2523"/>
      <c r="M1688" s="2163"/>
      <c r="N1688" s="2527"/>
      <c r="O1688" s="2163"/>
    </row>
    <row r="1689" spans="1:15">
      <c r="H1689" s="2163"/>
      <c r="I1689" s="2163"/>
      <c r="J1689" s="2163"/>
      <c r="K1689" s="2523"/>
      <c r="L1689" s="2523"/>
      <c r="N1689" s="2527"/>
    </row>
    <row r="1690" spans="1:15">
      <c r="A1690" s="2165">
        <v>31791</v>
      </c>
      <c r="B1690" s="2163"/>
      <c r="C1690" s="2524" t="s">
        <v>2881</v>
      </c>
      <c r="D1690" s="2524"/>
      <c r="E1690" s="2524"/>
      <c r="F1690" s="2524"/>
      <c r="G1690" s="2524"/>
      <c r="H1690" s="2524"/>
      <c r="I1690" s="2524"/>
      <c r="J1690" s="2163"/>
      <c r="K1690" s="2163"/>
      <c r="L1690" s="2163"/>
      <c r="M1690" s="2163"/>
    </row>
    <row r="1691" spans="1:15">
      <c r="A1691" s="2163"/>
      <c r="B1691" s="2163"/>
      <c r="C1691" s="2163"/>
      <c r="D1691" s="2163"/>
      <c r="E1691" s="2163"/>
      <c r="F1691" s="2163"/>
      <c r="G1691" s="2163"/>
      <c r="H1691" s="2163"/>
      <c r="I1691" s="2163"/>
      <c r="J1691" s="2163"/>
      <c r="K1691" s="2163"/>
      <c r="L1691" s="2163"/>
      <c r="M1691" s="2163"/>
    </row>
    <row r="1692" spans="1:15">
      <c r="A1692" s="2529"/>
      <c r="B1692" s="2529"/>
      <c r="C1692" s="2529"/>
      <c r="D1692" s="2166"/>
      <c r="E1692" s="2166"/>
      <c r="F1692" s="2166"/>
      <c r="G1692" s="2166"/>
      <c r="H1692" s="2525"/>
      <c r="I1692" s="2525"/>
      <c r="J1692" s="2525"/>
      <c r="K1692" s="2166"/>
      <c r="L1692" s="2167"/>
      <c r="M1692" s="2166"/>
    </row>
    <row r="1693" spans="1:15">
      <c r="A1693" s="2164"/>
      <c r="B1693" s="2164"/>
      <c r="C1693" s="2164"/>
      <c r="D1693" s="2164"/>
      <c r="E1693" s="2522" t="s">
        <v>2639</v>
      </c>
      <c r="F1693" s="2522"/>
      <c r="G1693" s="2164"/>
      <c r="H1693" s="2523">
        <v>0</v>
      </c>
      <c r="I1693" s="2523"/>
      <c r="J1693" s="2523"/>
      <c r="K1693" s="2163"/>
      <c r="L1693" s="2523">
        <v>0</v>
      </c>
      <c r="M1693" s="2163"/>
    </row>
    <row r="1694" spans="1:15">
      <c r="A1694" s="2164"/>
      <c r="B1694" s="2164"/>
      <c r="C1694" s="2164"/>
      <c r="D1694" s="2164"/>
      <c r="E1694" s="2164"/>
      <c r="F1694" s="2164"/>
      <c r="G1694" s="2164"/>
      <c r="H1694" s="2523"/>
      <c r="I1694" s="2523"/>
      <c r="J1694" s="2523"/>
      <c r="K1694" s="2163"/>
      <c r="L1694" s="2523"/>
      <c r="M1694" s="2163"/>
    </row>
    <row r="1695" spans="1:15">
      <c r="A1695" s="2160" t="s">
        <v>2754</v>
      </c>
      <c r="B1695" s="2161"/>
      <c r="C1695" s="2160" t="s">
        <v>2755</v>
      </c>
      <c r="D1695" s="2161"/>
      <c r="E1695" s="2160" t="s">
        <v>2698</v>
      </c>
      <c r="F1695" s="2161"/>
    </row>
    <row r="1696" spans="1:15">
      <c r="A1696" s="2163"/>
      <c r="B1696" s="2163"/>
      <c r="C1696" s="2163"/>
      <c r="D1696" s="2163"/>
      <c r="E1696" s="2163"/>
      <c r="F1696" s="2163"/>
      <c r="G1696" s="2163"/>
      <c r="H1696" s="2163"/>
      <c r="I1696" s="2163"/>
      <c r="J1696" s="2163"/>
      <c r="K1696" s="2163"/>
      <c r="L1696" s="2163"/>
      <c r="M1696" s="2163"/>
    </row>
    <row r="1697" spans="1:15">
      <c r="A1697" s="2164"/>
      <c r="H1697" s="2522" t="s">
        <v>2637</v>
      </c>
      <c r="I1697" s="2522"/>
      <c r="J1697" s="2163"/>
      <c r="K1697" s="2523">
        <v>0</v>
      </c>
      <c r="L1697" s="2523"/>
      <c r="M1697" s="2163"/>
      <c r="N1697" s="2527"/>
      <c r="O1697" s="2163"/>
    </row>
    <row r="1698" spans="1:15">
      <c r="H1698" s="2163"/>
      <c r="I1698" s="2163"/>
      <c r="J1698" s="2163"/>
      <c r="K1698" s="2523"/>
      <c r="L1698" s="2523"/>
      <c r="N1698" s="2527"/>
    </row>
    <row r="1699" spans="1:15">
      <c r="A1699" s="2165">
        <v>40568</v>
      </c>
      <c r="B1699" s="2163"/>
      <c r="C1699" s="2524" t="s">
        <v>2882</v>
      </c>
      <c r="D1699" s="2524"/>
      <c r="E1699" s="2524"/>
      <c r="F1699" s="2524"/>
      <c r="G1699" s="2524"/>
      <c r="H1699" s="2524"/>
      <c r="I1699" s="2524"/>
      <c r="J1699" s="2163"/>
      <c r="K1699" s="2163"/>
      <c r="L1699" s="2163"/>
      <c r="M1699" s="2163"/>
    </row>
    <row r="1700" spans="1:15">
      <c r="A1700" s="2163"/>
      <c r="B1700" s="2163"/>
      <c r="C1700" s="2163"/>
      <c r="D1700" s="2163"/>
      <c r="E1700" s="2163"/>
      <c r="F1700" s="2163"/>
      <c r="G1700" s="2163"/>
      <c r="H1700" s="2163"/>
      <c r="I1700" s="2163"/>
      <c r="J1700" s="2163"/>
      <c r="K1700" s="2163"/>
      <c r="L1700" s="2163"/>
      <c r="M1700" s="2163"/>
    </row>
    <row r="1701" spans="1:15">
      <c r="A1701" s="2520" t="s">
        <v>2649</v>
      </c>
      <c r="B1701" s="2520"/>
      <c r="C1701" s="2520"/>
      <c r="D1701" s="2166"/>
      <c r="E1701" s="2166"/>
      <c r="F1701" s="2166"/>
      <c r="G1701" s="2166"/>
      <c r="H1701" s="2525">
        <v>579.89</v>
      </c>
      <c r="I1701" s="2525"/>
      <c r="J1701" s="2525"/>
      <c r="K1701" s="2166"/>
      <c r="L1701" s="2168">
        <v>29510.35</v>
      </c>
      <c r="M1701" s="2166"/>
    </row>
    <row r="1702" spans="1:15">
      <c r="A1702" s="2164"/>
      <c r="B1702" s="2164"/>
      <c r="C1702" s="2164"/>
      <c r="D1702" s="2164"/>
      <c r="E1702" s="2522" t="s">
        <v>2639</v>
      </c>
      <c r="F1702" s="2522"/>
      <c r="G1702" s="2164"/>
      <c r="H1702" s="2523">
        <v>579.88959999999997</v>
      </c>
      <c r="I1702" s="2523"/>
      <c r="J1702" s="2523"/>
      <c r="K1702" s="2163"/>
      <c r="L1702" s="2528">
        <v>29546.65</v>
      </c>
      <c r="M1702" s="2163"/>
    </row>
    <row r="1703" spans="1:15">
      <c r="A1703" s="2164"/>
      <c r="B1703" s="2164"/>
      <c r="C1703" s="2164"/>
      <c r="D1703" s="2164"/>
      <c r="E1703" s="2164"/>
      <c r="F1703" s="2164"/>
      <c r="G1703" s="2164"/>
      <c r="H1703" s="2523"/>
      <c r="I1703" s="2523"/>
      <c r="J1703" s="2523"/>
      <c r="K1703" s="2163"/>
      <c r="L1703" s="2528"/>
      <c r="M1703" s="2163"/>
    </row>
    <row r="1704" spans="1:15">
      <c r="A1704" s="2160" t="s">
        <v>2754</v>
      </c>
      <c r="B1704" s="2161"/>
      <c r="C1704" s="2160" t="s">
        <v>2755</v>
      </c>
      <c r="D1704" s="2161"/>
      <c r="E1704" s="2160" t="s">
        <v>2698</v>
      </c>
      <c r="F1704" s="2161"/>
    </row>
    <row r="1705" spans="1:15">
      <c r="A1705" s="2163"/>
      <c r="B1705" s="2163"/>
      <c r="C1705" s="2163"/>
      <c r="D1705" s="2163"/>
      <c r="E1705" s="2163"/>
      <c r="F1705" s="2163"/>
      <c r="G1705" s="2163"/>
      <c r="H1705" s="2163"/>
      <c r="I1705" s="2163"/>
      <c r="J1705" s="2163"/>
      <c r="K1705" s="2163"/>
      <c r="L1705" s="2163"/>
      <c r="M1705" s="2163"/>
    </row>
    <row r="1706" spans="1:15">
      <c r="A1706" s="2164"/>
      <c r="H1706" s="2522" t="s">
        <v>2637</v>
      </c>
      <c r="I1706" s="2522"/>
      <c r="J1706" s="2163"/>
      <c r="K1706" s="2523">
        <v>0</v>
      </c>
      <c r="L1706" s="2523"/>
      <c r="M1706" s="2163"/>
      <c r="N1706" s="2527"/>
      <c r="O1706" s="2163"/>
    </row>
    <row r="1707" spans="1:15">
      <c r="H1707" s="2163"/>
      <c r="I1707" s="2163"/>
      <c r="J1707" s="2163"/>
      <c r="K1707" s="2523"/>
      <c r="L1707" s="2523"/>
      <c r="N1707" s="2527"/>
    </row>
    <row r="1708" spans="1:15">
      <c r="A1708" s="2165">
        <v>33762</v>
      </c>
      <c r="B1708" s="2163"/>
      <c r="C1708" s="2524" t="s">
        <v>2884</v>
      </c>
      <c r="D1708" s="2524"/>
      <c r="E1708" s="2524"/>
      <c r="F1708" s="2524"/>
      <c r="G1708" s="2524"/>
      <c r="H1708" s="2524"/>
      <c r="I1708" s="2524"/>
      <c r="J1708" s="2163"/>
      <c r="K1708" s="2163"/>
      <c r="L1708" s="2163"/>
      <c r="M1708" s="2163"/>
    </row>
    <row r="1709" spans="1:15">
      <c r="A1709" s="2163"/>
      <c r="B1709" s="2163"/>
      <c r="C1709" s="2163"/>
      <c r="D1709" s="2163"/>
      <c r="E1709" s="2163"/>
      <c r="F1709" s="2163"/>
      <c r="G1709" s="2163"/>
      <c r="H1709" s="2163"/>
      <c r="I1709" s="2163"/>
      <c r="J1709" s="2163"/>
      <c r="K1709" s="2163"/>
      <c r="L1709" s="2163"/>
      <c r="M1709" s="2163"/>
    </row>
    <row r="1710" spans="1:15">
      <c r="A1710" s="2529"/>
      <c r="B1710" s="2529"/>
      <c r="C1710" s="2529"/>
      <c r="D1710" s="2166"/>
      <c r="E1710" s="2166"/>
      <c r="F1710" s="2166"/>
      <c r="G1710" s="2166"/>
      <c r="H1710" s="2525"/>
      <c r="I1710" s="2525"/>
      <c r="J1710" s="2525"/>
      <c r="K1710" s="2166"/>
      <c r="L1710" s="2167"/>
      <c r="M1710" s="2166"/>
    </row>
    <row r="1711" spans="1:15">
      <c r="A1711" s="2164"/>
      <c r="B1711" s="2164"/>
      <c r="C1711" s="2164"/>
      <c r="D1711" s="2164"/>
      <c r="E1711" s="2522" t="s">
        <v>2639</v>
      </c>
      <c r="F1711" s="2522"/>
      <c r="G1711" s="2164"/>
      <c r="H1711" s="2523">
        <v>0</v>
      </c>
      <c r="I1711" s="2523"/>
      <c r="J1711" s="2523"/>
      <c r="K1711" s="2163"/>
      <c r="L1711" s="2523">
        <v>0</v>
      </c>
      <c r="M1711" s="2163"/>
    </row>
    <row r="1712" spans="1:15">
      <c r="A1712" s="2164"/>
      <c r="B1712" s="2164"/>
      <c r="C1712" s="2164"/>
      <c r="D1712" s="2164"/>
      <c r="E1712" s="2164"/>
      <c r="F1712" s="2164"/>
      <c r="G1712" s="2164"/>
      <c r="H1712" s="2523"/>
      <c r="I1712" s="2523"/>
      <c r="J1712" s="2523"/>
      <c r="K1712" s="2163"/>
      <c r="L1712" s="2523"/>
      <c r="M1712" s="2163"/>
    </row>
    <row r="1713" spans="1:15">
      <c r="A1713" s="2160" t="s">
        <v>2754</v>
      </c>
      <c r="B1713" s="2161"/>
      <c r="C1713" s="2160" t="s">
        <v>2755</v>
      </c>
      <c r="D1713" s="2161"/>
      <c r="E1713" s="2160" t="s">
        <v>2698</v>
      </c>
      <c r="F1713" s="2161"/>
    </row>
    <row r="1714" spans="1:15">
      <c r="A1714" s="2163"/>
      <c r="B1714" s="2163"/>
      <c r="C1714" s="2163"/>
      <c r="D1714" s="2163"/>
      <c r="E1714" s="2163"/>
      <c r="F1714" s="2163"/>
      <c r="G1714" s="2163"/>
      <c r="H1714" s="2163"/>
      <c r="I1714" s="2163"/>
      <c r="J1714" s="2163"/>
      <c r="K1714" s="2163"/>
      <c r="L1714" s="2163"/>
      <c r="M1714" s="2163"/>
    </row>
    <row r="1715" spans="1:15">
      <c r="A1715" s="2164"/>
      <c r="H1715" s="2522" t="s">
        <v>2637</v>
      </c>
      <c r="I1715" s="2522"/>
      <c r="J1715" s="2163"/>
      <c r="K1715" s="2523">
        <v>3.8300000000000001E-2</v>
      </c>
      <c r="L1715" s="2523"/>
      <c r="M1715" s="2163"/>
      <c r="N1715" s="2527">
        <v>2</v>
      </c>
      <c r="O1715" s="2163"/>
    </row>
    <row r="1716" spans="1:15">
      <c r="H1716" s="2163"/>
      <c r="I1716" s="2163"/>
      <c r="J1716" s="2163"/>
      <c r="K1716" s="2523"/>
      <c r="L1716" s="2523"/>
      <c r="N1716" s="2527"/>
    </row>
    <row r="1717" spans="1:15">
      <c r="A1717" s="2165">
        <v>35647</v>
      </c>
      <c r="B1717" s="2163"/>
      <c r="C1717" s="2524" t="s">
        <v>2885</v>
      </c>
      <c r="D1717" s="2524"/>
      <c r="E1717" s="2524"/>
      <c r="F1717" s="2524"/>
      <c r="G1717" s="2524"/>
      <c r="H1717" s="2524"/>
      <c r="I1717" s="2524"/>
      <c r="J1717" s="2163"/>
      <c r="K1717" s="2163"/>
      <c r="L1717" s="2163"/>
      <c r="M1717" s="2163"/>
    </row>
    <row r="1718" spans="1:15">
      <c r="A1718" s="2163"/>
      <c r="B1718" s="2163"/>
      <c r="C1718" s="2163"/>
      <c r="D1718" s="2163"/>
      <c r="E1718" s="2163"/>
      <c r="F1718" s="2163"/>
      <c r="G1718" s="2163"/>
      <c r="H1718" s="2163"/>
      <c r="I1718" s="2163"/>
      <c r="J1718" s="2163"/>
      <c r="K1718" s="2163"/>
      <c r="L1718" s="2163"/>
      <c r="M1718" s="2163"/>
    </row>
    <row r="1719" spans="1:15">
      <c r="A1719" s="2529"/>
      <c r="B1719" s="2529"/>
      <c r="C1719" s="2529"/>
      <c r="D1719" s="2166"/>
      <c r="E1719" s="2166"/>
      <c r="F1719" s="2166"/>
      <c r="G1719" s="2166"/>
      <c r="H1719" s="2525"/>
      <c r="I1719" s="2525"/>
      <c r="J1719" s="2525"/>
      <c r="K1719" s="2166"/>
      <c r="L1719" s="2167"/>
      <c r="M1719" s="2166"/>
    </row>
    <row r="1720" spans="1:15">
      <c r="A1720" s="2164"/>
      <c r="B1720" s="2164"/>
      <c r="C1720" s="2164"/>
      <c r="D1720" s="2164"/>
      <c r="E1720" s="2522" t="s">
        <v>2639</v>
      </c>
      <c r="F1720" s="2522"/>
      <c r="G1720" s="2164"/>
      <c r="H1720" s="2523">
        <v>3.8300000000000001E-2</v>
      </c>
      <c r="I1720" s="2523"/>
      <c r="J1720" s="2523"/>
      <c r="K1720" s="2163"/>
      <c r="L1720" s="2523">
        <v>1.95</v>
      </c>
      <c r="M1720" s="2163"/>
    </row>
    <row r="1721" spans="1:15">
      <c r="A1721" s="2164"/>
      <c r="B1721" s="2164"/>
      <c r="C1721" s="2164"/>
      <c r="D1721" s="2164"/>
      <c r="E1721" s="2164"/>
      <c r="F1721" s="2164"/>
      <c r="G1721" s="2164"/>
      <c r="H1721" s="2523"/>
      <c r="I1721" s="2523"/>
      <c r="J1721" s="2523"/>
      <c r="K1721" s="2163"/>
      <c r="L1721" s="2523"/>
      <c r="M1721" s="2163"/>
    </row>
    <row r="1722" spans="1:15">
      <c r="A1722" s="2160" t="s">
        <v>2754</v>
      </c>
      <c r="B1722" s="2161"/>
      <c r="C1722" s="2160" t="s">
        <v>2755</v>
      </c>
      <c r="D1722" s="2161"/>
      <c r="E1722" s="2160" t="s">
        <v>2698</v>
      </c>
      <c r="F1722" s="2161"/>
    </row>
    <row r="1723" spans="1:15">
      <c r="A1723" s="2163"/>
      <c r="B1723" s="2163"/>
      <c r="C1723" s="2163"/>
      <c r="D1723" s="2163"/>
      <c r="E1723" s="2163"/>
      <c r="F1723" s="2163"/>
      <c r="G1723" s="2163"/>
      <c r="H1723" s="2163"/>
      <c r="I1723" s="2163"/>
      <c r="J1723" s="2163"/>
      <c r="K1723" s="2163"/>
      <c r="L1723" s="2163"/>
      <c r="M1723" s="2163"/>
    </row>
    <row r="1724" spans="1:15">
      <c r="A1724" s="2164"/>
      <c r="H1724" s="2522" t="s">
        <v>2637</v>
      </c>
      <c r="I1724" s="2522"/>
      <c r="J1724" s="2163"/>
      <c r="K1724" s="2523">
        <v>0</v>
      </c>
      <c r="L1724" s="2523"/>
      <c r="M1724" s="2163"/>
      <c r="N1724" s="2527"/>
      <c r="O1724" s="2163"/>
    </row>
    <row r="1725" spans="1:15">
      <c r="H1725" s="2163"/>
      <c r="I1725" s="2163"/>
      <c r="J1725" s="2163"/>
      <c r="K1725" s="2523"/>
      <c r="L1725" s="2523"/>
      <c r="N1725" s="2527"/>
    </row>
    <row r="1726" spans="1:15">
      <c r="A1726" s="2165">
        <v>73898</v>
      </c>
      <c r="B1726" s="2163"/>
      <c r="C1726" s="2524" t="s">
        <v>2880</v>
      </c>
      <c r="D1726" s="2524"/>
      <c r="E1726" s="2524"/>
      <c r="F1726" s="2524"/>
      <c r="G1726" s="2524"/>
      <c r="H1726" s="2524"/>
      <c r="I1726" s="2524"/>
      <c r="J1726" s="2163"/>
      <c r="K1726" s="2163"/>
      <c r="L1726" s="2163"/>
      <c r="M1726" s="2163"/>
    </row>
    <row r="1727" spans="1:15">
      <c r="A1727" s="2163"/>
      <c r="B1727" s="2163"/>
      <c r="C1727" s="2163"/>
      <c r="D1727" s="2163"/>
      <c r="E1727" s="2163"/>
      <c r="F1727" s="2163"/>
      <c r="G1727" s="2163"/>
      <c r="H1727" s="2163"/>
      <c r="I1727" s="2163"/>
      <c r="J1727" s="2163"/>
      <c r="K1727" s="2163"/>
      <c r="L1727" s="2163"/>
      <c r="M1727" s="2163"/>
    </row>
    <row r="1728" spans="1:15">
      <c r="A1728" s="2529"/>
      <c r="B1728" s="2529"/>
      <c r="C1728" s="2529"/>
      <c r="D1728" s="2166"/>
      <c r="E1728" s="2166"/>
      <c r="F1728" s="2166"/>
      <c r="G1728" s="2166"/>
      <c r="H1728" s="2525"/>
      <c r="I1728" s="2525"/>
      <c r="J1728" s="2525"/>
      <c r="K1728" s="2166"/>
      <c r="L1728" s="2167"/>
      <c r="M1728" s="2166"/>
    </row>
    <row r="1729" spans="1:15">
      <c r="A1729" s="2164"/>
      <c r="B1729" s="2164"/>
      <c r="C1729" s="2164"/>
      <c r="D1729" s="2164"/>
      <c r="E1729" s="2522" t="s">
        <v>2639</v>
      </c>
      <c r="F1729" s="2522"/>
      <c r="G1729" s="2164"/>
      <c r="H1729" s="2523">
        <v>0</v>
      </c>
      <c r="I1729" s="2523"/>
      <c r="J1729" s="2523"/>
      <c r="K1729" s="2163"/>
      <c r="L1729" s="2523">
        <v>0</v>
      </c>
      <c r="M1729" s="2163"/>
    </row>
    <row r="1730" spans="1:15">
      <c r="A1730" s="2164"/>
      <c r="B1730" s="2164"/>
      <c r="C1730" s="2164"/>
      <c r="D1730" s="2164"/>
      <c r="E1730" s="2164"/>
      <c r="F1730" s="2164"/>
      <c r="G1730" s="2164"/>
      <c r="H1730" s="2523"/>
      <c r="I1730" s="2523"/>
      <c r="J1730" s="2523"/>
      <c r="K1730" s="2163"/>
      <c r="L1730" s="2523"/>
      <c r="M1730" s="2163"/>
    </row>
    <row r="1731" spans="1:15" ht="27.6">
      <c r="A1731" s="2160" t="s">
        <v>2763</v>
      </c>
      <c r="B1731" s="2161"/>
      <c r="C1731" s="2160" t="s">
        <v>2764</v>
      </c>
      <c r="D1731" s="2161"/>
      <c r="E1731" s="2160" t="s">
        <v>2640</v>
      </c>
      <c r="F1731" s="2161"/>
    </row>
    <row r="1732" spans="1:15">
      <c r="A1732" s="2163"/>
      <c r="B1732" s="2163"/>
      <c r="C1732" s="2163"/>
      <c r="D1732" s="2163"/>
      <c r="E1732" s="2163"/>
      <c r="F1732" s="2163"/>
      <c r="G1732" s="2163"/>
      <c r="H1732" s="2163"/>
      <c r="I1732" s="2163"/>
      <c r="J1732" s="2163"/>
      <c r="K1732" s="2163"/>
      <c r="L1732" s="2163"/>
      <c r="M1732" s="2163"/>
    </row>
    <row r="1733" spans="1:15">
      <c r="A1733" s="2164"/>
      <c r="H1733" s="2522" t="s">
        <v>2637</v>
      </c>
      <c r="I1733" s="2522"/>
      <c r="J1733" s="2163"/>
      <c r="K1733" s="2523">
        <v>-2.9999999999999997E-4</v>
      </c>
      <c r="L1733" s="2523"/>
      <c r="M1733" s="2163"/>
      <c r="N1733" s="2527"/>
      <c r="O1733" s="2163"/>
    </row>
    <row r="1734" spans="1:15">
      <c r="H1734" s="2163"/>
      <c r="I1734" s="2163"/>
      <c r="J1734" s="2163"/>
      <c r="K1734" s="2523"/>
      <c r="L1734" s="2523"/>
      <c r="N1734" s="2527"/>
    </row>
    <row r="1735" spans="1:15">
      <c r="A1735" s="2165">
        <v>19276</v>
      </c>
      <c r="B1735" s="2163"/>
      <c r="C1735" s="2524" t="s">
        <v>2897</v>
      </c>
      <c r="D1735" s="2524"/>
      <c r="E1735" s="2524"/>
      <c r="F1735" s="2524"/>
      <c r="G1735" s="2524"/>
      <c r="H1735" s="2524"/>
      <c r="I1735" s="2524"/>
      <c r="J1735" s="2163"/>
      <c r="K1735" s="2163"/>
      <c r="L1735" s="2163"/>
      <c r="M1735" s="2163"/>
    </row>
    <row r="1736" spans="1:15">
      <c r="A1736" s="2163"/>
      <c r="B1736" s="2163"/>
      <c r="C1736" s="2163"/>
      <c r="D1736" s="2163"/>
      <c r="E1736" s="2163"/>
      <c r="F1736" s="2163"/>
      <c r="G1736" s="2163"/>
      <c r="H1736" s="2163"/>
      <c r="I1736" s="2163"/>
      <c r="J1736" s="2163"/>
      <c r="K1736" s="2163"/>
      <c r="L1736" s="2163"/>
      <c r="M1736" s="2163"/>
    </row>
    <row r="1737" spans="1:15">
      <c r="A1737" s="2529"/>
      <c r="B1737" s="2529"/>
      <c r="C1737" s="2529"/>
      <c r="D1737" s="2166"/>
      <c r="E1737" s="2166"/>
      <c r="F1737" s="2166"/>
      <c r="G1737" s="2166"/>
      <c r="H1737" s="2525"/>
      <c r="I1737" s="2525"/>
      <c r="J1737" s="2525"/>
      <c r="K1737" s="2166"/>
      <c r="L1737" s="2167"/>
      <c r="M1737" s="2166"/>
    </row>
    <row r="1738" spans="1:15">
      <c r="A1738" s="2164"/>
      <c r="B1738" s="2164"/>
      <c r="C1738" s="2164"/>
      <c r="D1738" s="2164"/>
      <c r="E1738" s="2522" t="s">
        <v>2639</v>
      </c>
      <c r="F1738" s="2522"/>
      <c r="G1738" s="2164"/>
      <c r="H1738" s="2523">
        <v>-2.9999999999999997E-4</v>
      </c>
      <c r="I1738" s="2523"/>
      <c r="J1738" s="2523"/>
      <c r="K1738" s="2163"/>
      <c r="L1738" s="2530"/>
      <c r="M1738" s="2163"/>
    </row>
    <row r="1739" spans="1:15">
      <c r="A1739" s="2164"/>
      <c r="B1739" s="2164"/>
      <c r="C1739" s="2164"/>
      <c r="D1739" s="2164"/>
      <c r="E1739" s="2164"/>
      <c r="F1739" s="2164"/>
      <c r="G1739" s="2164"/>
      <c r="H1739" s="2523"/>
      <c r="I1739" s="2523"/>
      <c r="J1739" s="2523"/>
      <c r="K1739" s="2163"/>
      <c r="L1739" s="2530"/>
      <c r="M1739" s="2163"/>
    </row>
    <row r="1740" spans="1:15" ht="27.6">
      <c r="A1740" s="2160" t="s">
        <v>2763</v>
      </c>
      <c r="B1740" s="2161"/>
      <c r="C1740" s="2160" t="s">
        <v>2764</v>
      </c>
      <c r="D1740" s="2161"/>
      <c r="E1740" s="2160" t="s">
        <v>2640</v>
      </c>
      <c r="F1740" s="2161"/>
    </row>
    <row r="1741" spans="1:15">
      <c r="A1741" s="2163"/>
      <c r="B1741" s="2163"/>
      <c r="C1741" s="2163"/>
      <c r="D1741" s="2163"/>
      <c r="E1741" s="2163"/>
      <c r="F1741" s="2163"/>
      <c r="G1741" s="2163"/>
      <c r="H1741" s="2163"/>
      <c r="I1741" s="2163"/>
      <c r="J1741" s="2163"/>
      <c r="K1741" s="2163"/>
      <c r="L1741" s="2163"/>
      <c r="M1741" s="2163"/>
    </row>
    <row r="1742" spans="1:15">
      <c r="A1742" s="2164"/>
      <c r="H1742" s="2522" t="s">
        <v>2637</v>
      </c>
      <c r="I1742" s="2522"/>
      <c r="J1742" s="2163"/>
      <c r="K1742" s="2523">
        <v>-2.9999999999999997E-4</v>
      </c>
      <c r="L1742" s="2523"/>
      <c r="M1742" s="2163"/>
      <c r="N1742" s="2527"/>
      <c r="O1742" s="2163"/>
    </row>
    <row r="1743" spans="1:15">
      <c r="H1743" s="2163"/>
      <c r="I1743" s="2163"/>
      <c r="J1743" s="2163"/>
      <c r="K1743" s="2523"/>
      <c r="L1743" s="2523"/>
      <c r="N1743" s="2527"/>
    </row>
    <row r="1744" spans="1:15">
      <c r="A1744" s="2165">
        <v>19339</v>
      </c>
      <c r="B1744" s="2163"/>
      <c r="C1744" s="2524" t="s">
        <v>2887</v>
      </c>
      <c r="D1744" s="2524"/>
      <c r="E1744" s="2524"/>
      <c r="F1744" s="2524"/>
      <c r="G1744" s="2524"/>
      <c r="H1744" s="2524"/>
      <c r="I1744" s="2524"/>
      <c r="J1744" s="2163"/>
      <c r="K1744" s="2163"/>
      <c r="L1744" s="2163"/>
      <c r="M1744" s="2163"/>
    </row>
    <row r="1745" spans="1:15">
      <c r="A1745" s="2163"/>
      <c r="B1745" s="2163"/>
      <c r="C1745" s="2163"/>
      <c r="D1745" s="2163"/>
      <c r="E1745" s="2163"/>
      <c r="F1745" s="2163"/>
      <c r="G1745" s="2163"/>
      <c r="H1745" s="2163"/>
      <c r="I1745" s="2163"/>
      <c r="J1745" s="2163"/>
      <c r="K1745" s="2163"/>
      <c r="L1745" s="2163"/>
      <c r="M1745" s="2163"/>
    </row>
    <row r="1746" spans="1:15">
      <c r="A1746" s="2529"/>
      <c r="B1746" s="2529"/>
      <c r="C1746" s="2529"/>
      <c r="D1746" s="2166"/>
      <c r="E1746" s="2166"/>
      <c r="F1746" s="2166"/>
      <c r="G1746" s="2166"/>
      <c r="H1746" s="2525"/>
      <c r="I1746" s="2525"/>
      <c r="J1746" s="2525"/>
      <c r="K1746" s="2166"/>
      <c r="L1746" s="2167"/>
      <c r="M1746" s="2166"/>
    </row>
    <row r="1747" spans="1:15">
      <c r="A1747" s="2164"/>
      <c r="B1747" s="2164"/>
      <c r="C1747" s="2164"/>
      <c r="D1747" s="2164"/>
      <c r="E1747" s="2522" t="s">
        <v>2639</v>
      </c>
      <c r="F1747" s="2522"/>
      <c r="G1747" s="2164"/>
      <c r="H1747" s="2523">
        <v>-2.9999999999999997E-4</v>
      </c>
      <c r="I1747" s="2523"/>
      <c r="J1747" s="2523"/>
      <c r="K1747" s="2163"/>
      <c r="L1747" s="2530"/>
      <c r="M1747" s="2163"/>
    </row>
    <row r="1748" spans="1:15">
      <c r="A1748" s="2164"/>
      <c r="B1748" s="2164"/>
      <c r="C1748" s="2164"/>
      <c r="D1748" s="2164"/>
      <c r="E1748" s="2164"/>
      <c r="F1748" s="2164"/>
      <c r="G1748" s="2164"/>
      <c r="H1748" s="2523"/>
      <c r="I1748" s="2523"/>
      <c r="J1748" s="2523"/>
      <c r="K1748" s="2163"/>
      <c r="L1748" s="2530"/>
      <c r="M1748" s="2163"/>
    </row>
    <row r="1749" spans="1:15">
      <c r="A1749" s="2160" t="s">
        <v>3039</v>
      </c>
      <c r="B1749" s="2161"/>
      <c r="C1749" s="2160" t="s">
        <v>3040</v>
      </c>
      <c r="D1749" s="2161"/>
      <c r="E1749" s="2160" t="s">
        <v>2640</v>
      </c>
      <c r="F1749" s="2161"/>
    </row>
    <row r="1750" spans="1:15">
      <c r="A1750" s="2163"/>
      <c r="B1750" s="2163"/>
      <c r="C1750" s="2163"/>
      <c r="D1750" s="2163"/>
      <c r="E1750" s="2163"/>
      <c r="F1750" s="2163"/>
      <c r="G1750" s="2163"/>
      <c r="H1750" s="2163"/>
      <c r="I1750" s="2163"/>
      <c r="J1750" s="2163"/>
      <c r="K1750" s="2163"/>
      <c r="L1750" s="2163"/>
      <c r="M1750" s="2163"/>
    </row>
    <row r="1751" spans="1:15">
      <c r="A1751" s="2164"/>
      <c r="H1751" s="2522" t="s">
        <v>2637</v>
      </c>
      <c r="I1751" s="2522"/>
      <c r="J1751" s="2163"/>
      <c r="K1751" s="2523">
        <v>0</v>
      </c>
      <c r="L1751" s="2523"/>
      <c r="M1751" s="2163"/>
      <c r="N1751" s="2527"/>
      <c r="O1751" s="2163"/>
    </row>
    <row r="1752" spans="1:15">
      <c r="H1752" s="2163"/>
      <c r="I1752" s="2163"/>
      <c r="J1752" s="2163"/>
      <c r="K1752" s="2523"/>
      <c r="L1752" s="2523"/>
      <c r="N1752" s="2527"/>
    </row>
    <row r="1753" spans="1:15">
      <c r="A1753" s="2165">
        <v>5178</v>
      </c>
      <c r="B1753" s="2163"/>
      <c r="C1753" s="2524" t="s">
        <v>2880</v>
      </c>
      <c r="D1753" s="2524"/>
      <c r="E1753" s="2524"/>
      <c r="F1753" s="2524"/>
      <c r="G1753" s="2524"/>
      <c r="H1753" s="2524"/>
      <c r="I1753" s="2524"/>
      <c r="J1753" s="2163"/>
      <c r="K1753" s="2163"/>
      <c r="L1753" s="2163"/>
      <c r="M1753" s="2163"/>
    </row>
    <row r="1754" spans="1:15">
      <c r="A1754" s="2163"/>
      <c r="B1754" s="2163"/>
      <c r="C1754" s="2163"/>
      <c r="D1754" s="2163"/>
      <c r="E1754" s="2163"/>
      <c r="F1754" s="2163"/>
      <c r="G1754" s="2163"/>
      <c r="H1754" s="2163"/>
      <c r="I1754" s="2163"/>
      <c r="J1754" s="2163"/>
      <c r="K1754" s="2163"/>
      <c r="L1754" s="2163"/>
      <c r="M1754" s="2163"/>
    </row>
    <row r="1755" spans="1:15">
      <c r="A1755" s="2520" t="s">
        <v>2647</v>
      </c>
      <c r="B1755" s="2520"/>
      <c r="C1755" s="2520"/>
      <c r="D1755" s="2166"/>
      <c r="E1755" s="2166"/>
      <c r="F1755" s="2166"/>
      <c r="G1755" s="2166"/>
      <c r="H1755" s="2526">
        <v>28961.552</v>
      </c>
      <c r="I1755" s="2526"/>
      <c r="J1755" s="2526"/>
      <c r="K1755" s="2166"/>
      <c r="L1755" s="2168">
        <v>2864136.27</v>
      </c>
      <c r="M1755" s="2166"/>
    </row>
    <row r="1756" spans="1:15">
      <c r="A1756" s="2520" t="s">
        <v>2648</v>
      </c>
      <c r="B1756" s="2520"/>
      <c r="C1756" s="2520"/>
      <c r="D1756" s="2166"/>
      <c r="E1756" s="2166"/>
      <c r="F1756" s="2166"/>
      <c r="G1756" s="2166"/>
      <c r="H1756" s="2526">
        <v>-10087.254999999999</v>
      </c>
      <c r="I1756" s="2526"/>
      <c r="J1756" s="2526"/>
      <c r="K1756" s="2166"/>
      <c r="L1756" s="2168">
        <v>-1000000</v>
      </c>
      <c r="M1756" s="2166"/>
    </row>
    <row r="1757" spans="1:15">
      <c r="A1757" s="2520" t="s">
        <v>2649</v>
      </c>
      <c r="B1757" s="2520"/>
      <c r="C1757" s="2520"/>
      <c r="D1757" s="2166"/>
      <c r="E1757" s="2166"/>
      <c r="F1757" s="2166"/>
      <c r="G1757" s="2166"/>
      <c r="H1757" s="2526">
        <v>7583.0339999999997</v>
      </c>
      <c r="I1757" s="2526"/>
      <c r="J1757" s="2526"/>
      <c r="K1757" s="2166"/>
      <c r="L1757" s="2168">
        <v>750000</v>
      </c>
      <c r="M1757" s="2166"/>
    </row>
    <row r="1758" spans="1:15">
      <c r="A1758" s="2164"/>
      <c r="B1758" s="2164"/>
      <c r="C1758" s="2164"/>
      <c r="D1758" s="2164"/>
      <c r="E1758" s="2522" t="s">
        <v>2639</v>
      </c>
      <c r="F1758" s="2522"/>
      <c r="G1758" s="2164"/>
      <c r="H1758" s="2528">
        <v>26457.330900000001</v>
      </c>
      <c r="I1758" s="2528"/>
      <c r="J1758" s="2528"/>
      <c r="K1758" s="2163"/>
      <c r="L1758" s="2528">
        <v>2631954.12</v>
      </c>
      <c r="M1758" s="2163"/>
    </row>
    <row r="1759" spans="1:15">
      <c r="A1759" s="2164"/>
      <c r="B1759" s="2164"/>
      <c r="C1759" s="2164"/>
      <c r="D1759" s="2164"/>
      <c r="E1759" s="2164"/>
      <c r="F1759" s="2164"/>
      <c r="G1759" s="2164"/>
      <c r="H1759" s="2528"/>
      <c r="I1759" s="2528"/>
      <c r="J1759" s="2528"/>
      <c r="K1759" s="2163"/>
      <c r="L1759" s="2528"/>
      <c r="M1759" s="2163"/>
    </row>
    <row r="1760" spans="1:15">
      <c r="A1760" s="2160" t="s">
        <v>3039</v>
      </c>
      <c r="B1760" s="2161"/>
      <c r="C1760" s="2160" t="s">
        <v>3040</v>
      </c>
      <c r="D1760" s="2161"/>
      <c r="E1760" s="2160" t="s">
        <v>2640</v>
      </c>
      <c r="F1760" s="2161"/>
    </row>
    <row r="1761" spans="1:15">
      <c r="A1761" s="2163"/>
      <c r="B1761" s="2163"/>
      <c r="C1761" s="2163"/>
      <c r="D1761" s="2163"/>
      <c r="E1761" s="2163"/>
      <c r="F1761" s="2163"/>
      <c r="G1761" s="2163"/>
      <c r="H1761" s="2163"/>
      <c r="I1761" s="2163"/>
      <c r="J1761" s="2163"/>
      <c r="K1761" s="2163"/>
      <c r="L1761" s="2163"/>
      <c r="M1761" s="2163"/>
    </row>
    <row r="1762" spans="1:15">
      <c r="A1762" s="2164"/>
      <c r="H1762" s="2522" t="s">
        <v>2637</v>
      </c>
      <c r="I1762" s="2522"/>
      <c r="J1762" s="2163"/>
      <c r="K1762" s="2523">
        <v>0</v>
      </c>
      <c r="L1762" s="2523"/>
      <c r="M1762" s="2163"/>
      <c r="N1762" s="2527"/>
      <c r="O1762" s="2163"/>
    </row>
    <row r="1763" spans="1:15">
      <c r="H1763" s="2163"/>
      <c r="I1763" s="2163"/>
      <c r="J1763" s="2163"/>
      <c r="K1763" s="2523"/>
      <c r="L1763" s="2523"/>
      <c r="N1763" s="2527"/>
    </row>
    <row r="1764" spans="1:15">
      <c r="A1764" s="2165">
        <v>41512</v>
      </c>
      <c r="B1764" s="2163"/>
      <c r="C1764" s="2524" t="s">
        <v>3119</v>
      </c>
      <c r="D1764" s="2524"/>
      <c r="E1764" s="2524"/>
      <c r="F1764" s="2524"/>
      <c r="G1764" s="2524"/>
      <c r="H1764" s="2524"/>
      <c r="I1764" s="2524"/>
      <c r="J1764" s="2163"/>
      <c r="K1764" s="2163"/>
      <c r="L1764" s="2163"/>
      <c r="M1764" s="2163"/>
    </row>
    <row r="1765" spans="1:15">
      <c r="A1765" s="2163"/>
      <c r="B1765" s="2163"/>
      <c r="C1765" s="2163"/>
      <c r="D1765" s="2163"/>
      <c r="E1765" s="2163"/>
      <c r="F1765" s="2163"/>
      <c r="G1765" s="2163"/>
      <c r="H1765" s="2163"/>
      <c r="I1765" s="2163"/>
      <c r="J1765" s="2163"/>
      <c r="K1765" s="2163"/>
      <c r="L1765" s="2163"/>
      <c r="M1765" s="2163"/>
    </row>
    <row r="1766" spans="1:15">
      <c r="A1766" s="2520" t="s">
        <v>2647</v>
      </c>
      <c r="B1766" s="2520"/>
      <c r="C1766" s="2520"/>
      <c r="D1766" s="2166"/>
      <c r="E1766" s="2166"/>
      <c r="F1766" s="2166"/>
      <c r="G1766" s="2166"/>
      <c r="H1766" s="2526">
        <v>15511.358</v>
      </c>
      <c r="I1766" s="2526"/>
      <c r="J1766" s="2526"/>
      <c r="K1766" s="2166"/>
      <c r="L1766" s="2168">
        <v>1532984.24</v>
      </c>
      <c r="M1766" s="2166"/>
    </row>
    <row r="1767" spans="1:15">
      <c r="A1767" s="2164"/>
      <c r="B1767" s="2164"/>
      <c r="C1767" s="2164"/>
      <c r="D1767" s="2164"/>
      <c r="E1767" s="2522" t="s">
        <v>2639</v>
      </c>
      <c r="F1767" s="2522"/>
      <c r="G1767" s="2164"/>
      <c r="H1767" s="2528">
        <v>15511.358200000001</v>
      </c>
      <c r="I1767" s="2528"/>
      <c r="J1767" s="2528"/>
      <c r="K1767" s="2163"/>
      <c r="L1767" s="2528">
        <v>1543057.5</v>
      </c>
      <c r="M1767" s="2163"/>
    </row>
    <row r="1768" spans="1:15">
      <c r="A1768" s="2164"/>
      <c r="B1768" s="2164"/>
      <c r="C1768" s="2164"/>
      <c r="D1768" s="2164"/>
      <c r="E1768" s="2164"/>
      <c r="F1768" s="2164"/>
      <c r="G1768" s="2164"/>
      <c r="H1768" s="2528"/>
      <c r="I1768" s="2528"/>
      <c r="J1768" s="2528"/>
      <c r="K1768" s="2163"/>
      <c r="L1768" s="2528"/>
      <c r="M1768" s="2163"/>
    </row>
    <row r="1769" spans="1:15">
      <c r="A1769" s="2160" t="s">
        <v>3039</v>
      </c>
      <c r="B1769" s="2161"/>
      <c r="C1769" s="2160" t="s">
        <v>3040</v>
      </c>
      <c r="D1769" s="2161"/>
      <c r="E1769" s="2160" t="s">
        <v>2640</v>
      </c>
      <c r="F1769" s="2161"/>
    </row>
    <row r="1770" spans="1:15">
      <c r="A1770" s="2163"/>
      <c r="B1770" s="2163"/>
      <c r="C1770" s="2163"/>
      <c r="D1770" s="2163"/>
      <c r="E1770" s="2163"/>
      <c r="F1770" s="2163"/>
      <c r="G1770" s="2163"/>
      <c r="H1770" s="2163"/>
      <c r="I1770" s="2163"/>
      <c r="J1770" s="2163"/>
      <c r="K1770" s="2163"/>
      <c r="L1770" s="2163"/>
      <c r="M1770" s="2163"/>
    </row>
    <row r="1771" spans="1:15">
      <c r="A1771" s="2164"/>
      <c r="H1771" s="2522" t="s">
        <v>2637</v>
      </c>
      <c r="I1771" s="2522"/>
      <c r="J1771" s="2163"/>
      <c r="K1771" s="2523">
        <v>0</v>
      </c>
      <c r="L1771" s="2523"/>
      <c r="M1771" s="2163"/>
      <c r="N1771" s="2527"/>
      <c r="O1771" s="2163"/>
    </row>
    <row r="1772" spans="1:15">
      <c r="H1772" s="2163"/>
      <c r="I1772" s="2163"/>
      <c r="J1772" s="2163"/>
      <c r="K1772" s="2523"/>
      <c r="L1772" s="2523"/>
      <c r="N1772" s="2527"/>
    </row>
    <row r="1773" spans="1:15">
      <c r="A1773" s="2165">
        <v>65309</v>
      </c>
      <c r="B1773" s="2163"/>
      <c r="C1773" s="2524" t="s">
        <v>2894</v>
      </c>
      <c r="D1773" s="2524"/>
      <c r="E1773" s="2524"/>
      <c r="F1773" s="2524"/>
      <c r="G1773" s="2524"/>
      <c r="H1773" s="2524"/>
      <c r="I1773" s="2524"/>
      <c r="J1773" s="2163"/>
      <c r="K1773" s="2163"/>
      <c r="L1773" s="2163"/>
      <c r="M1773" s="2163"/>
    </row>
    <row r="1774" spans="1:15">
      <c r="A1774" s="2163"/>
      <c r="B1774" s="2163"/>
      <c r="C1774" s="2163"/>
      <c r="D1774" s="2163"/>
      <c r="E1774" s="2163"/>
      <c r="F1774" s="2163"/>
      <c r="G1774" s="2163"/>
      <c r="H1774" s="2163"/>
      <c r="I1774" s="2163"/>
      <c r="J1774" s="2163"/>
      <c r="K1774" s="2163"/>
      <c r="L1774" s="2163"/>
      <c r="M1774" s="2163"/>
    </row>
    <row r="1775" spans="1:15">
      <c r="A1775" s="2520" t="s">
        <v>2647</v>
      </c>
      <c r="B1775" s="2520"/>
      <c r="C1775" s="2520"/>
      <c r="D1775" s="2166"/>
      <c r="E1775" s="2166"/>
      <c r="F1775" s="2166"/>
      <c r="G1775" s="2166"/>
      <c r="H1775" s="2526">
        <v>9294.11</v>
      </c>
      <c r="I1775" s="2526"/>
      <c r="J1775" s="2526"/>
      <c r="K1775" s="2166"/>
      <c r="L1775" s="2168">
        <v>922708.08</v>
      </c>
      <c r="M1775" s="2166"/>
    </row>
    <row r="1776" spans="1:15">
      <c r="A1776" s="2520" t="s">
        <v>2679</v>
      </c>
      <c r="B1776" s="2520"/>
      <c r="C1776" s="2520"/>
      <c r="D1776" s="2166"/>
      <c r="E1776" s="2166"/>
      <c r="F1776" s="2166"/>
      <c r="G1776" s="2166"/>
      <c r="H1776" s="2526">
        <v>-9294.11</v>
      </c>
      <c r="I1776" s="2526"/>
      <c r="J1776" s="2526"/>
      <c r="K1776" s="2166"/>
      <c r="L1776" s="2168">
        <v>-923339.15</v>
      </c>
      <c r="M1776" s="2166"/>
    </row>
    <row r="1777" spans="1:15">
      <c r="A1777" s="2164"/>
      <c r="B1777" s="2164"/>
      <c r="C1777" s="2164"/>
      <c r="D1777" s="2164"/>
      <c r="E1777" s="2522" t="s">
        <v>2639</v>
      </c>
      <c r="F1777" s="2522"/>
      <c r="G1777" s="2164"/>
      <c r="H1777" s="2523">
        <v>0</v>
      </c>
      <c r="I1777" s="2523"/>
      <c r="J1777" s="2523"/>
      <c r="K1777" s="2163"/>
      <c r="L1777" s="2523">
        <v>0</v>
      </c>
      <c r="M1777" s="2163"/>
    </row>
    <row r="1778" spans="1:15">
      <c r="A1778" s="2164"/>
      <c r="B1778" s="2164"/>
      <c r="C1778" s="2164"/>
      <c r="D1778" s="2164"/>
      <c r="E1778" s="2164"/>
      <c r="F1778" s="2164"/>
      <c r="G1778" s="2164"/>
      <c r="H1778" s="2523"/>
      <c r="I1778" s="2523"/>
      <c r="J1778" s="2523"/>
      <c r="K1778" s="2163"/>
      <c r="L1778" s="2523"/>
      <c r="M1778" s="2163"/>
    </row>
    <row r="1779" spans="1:15">
      <c r="A1779" s="2160" t="s">
        <v>3039</v>
      </c>
      <c r="B1779" s="2161"/>
      <c r="C1779" s="2160" t="s">
        <v>3040</v>
      </c>
      <c r="D1779" s="2161"/>
      <c r="E1779" s="2160" t="s">
        <v>2640</v>
      </c>
      <c r="F1779" s="2161"/>
    </row>
    <row r="1780" spans="1:15">
      <c r="A1780" s="2163"/>
      <c r="B1780" s="2163"/>
      <c r="C1780" s="2163"/>
      <c r="D1780" s="2163"/>
      <c r="E1780" s="2163"/>
      <c r="F1780" s="2163"/>
      <c r="G1780" s="2163"/>
      <c r="H1780" s="2163"/>
      <c r="I1780" s="2163"/>
      <c r="J1780" s="2163"/>
      <c r="K1780" s="2163"/>
      <c r="L1780" s="2163"/>
      <c r="M1780" s="2163"/>
    </row>
    <row r="1781" spans="1:15">
      <c r="A1781" s="2164"/>
      <c r="H1781" s="2522" t="s">
        <v>2637</v>
      </c>
      <c r="I1781" s="2522"/>
      <c r="J1781" s="2163"/>
      <c r="K1781" s="2523">
        <v>0</v>
      </c>
      <c r="L1781" s="2523"/>
      <c r="M1781" s="2163"/>
      <c r="N1781" s="2527"/>
      <c r="O1781" s="2163"/>
    </row>
    <row r="1782" spans="1:15">
      <c r="H1782" s="2163"/>
      <c r="I1782" s="2163"/>
      <c r="J1782" s="2163"/>
      <c r="K1782" s="2523"/>
      <c r="L1782" s="2523"/>
      <c r="N1782" s="2527"/>
    </row>
    <row r="1783" spans="1:15">
      <c r="A1783" s="2165">
        <v>75561</v>
      </c>
      <c r="B1783" s="2163"/>
      <c r="C1783" s="2524" t="s">
        <v>2893</v>
      </c>
      <c r="D1783" s="2524"/>
      <c r="E1783" s="2524"/>
      <c r="F1783" s="2524"/>
      <c r="G1783" s="2524"/>
      <c r="H1783" s="2524"/>
      <c r="I1783" s="2524"/>
      <c r="J1783" s="2163"/>
      <c r="K1783" s="2163"/>
      <c r="L1783" s="2163"/>
      <c r="M1783" s="2163"/>
    </row>
    <row r="1784" spans="1:15">
      <c r="A1784" s="2163"/>
      <c r="B1784" s="2163"/>
      <c r="C1784" s="2163"/>
      <c r="D1784" s="2163"/>
      <c r="E1784" s="2163"/>
      <c r="F1784" s="2163"/>
      <c r="G1784" s="2163"/>
      <c r="H1784" s="2163"/>
      <c r="I1784" s="2163"/>
      <c r="J1784" s="2163"/>
      <c r="K1784" s="2163"/>
      <c r="L1784" s="2163"/>
      <c r="M1784" s="2163"/>
    </row>
    <row r="1785" spans="1:15">
      <c r="A1785" s="2520" t="s">
        <v>2647</v>
      </c>
      <c r="B1785" s="2520"/>
      <c r="C1785" s="2520"/>
      <c r="D1785" s="2166"/>
      <c r="E1785" s="2166"/>
      <c r="F1785" s="2166"/>
      <c r="G1785" s="2166"/>
      <c r="H1785" s="2526">
        <v>79022.483999999997</v>
      </c>
      <c r="I1785" s="2526"/>
      <c r="J1785" s="2526"/>
      <c r="K1785" s="2166"/>
      <c r="L1785" s="2168">
        <v>7815718.75</v>
      </c>
      <c r="M1785" s="2166"/>
    </row>
    <row r="1786" spans="1:15">
      <c r="A1786" s="2520" t="s">
        <v>2648</v>
      </c>
      <c r="B1786" s="2520"/>
      <c r="C1786" s="2520"/>
      <c r="D1786" s="2166"/>
      <c r="E1786" s="2166"/>
      <c r="F1786" s="2166"/>
      <c r="G1786" s="2166"/>
      <c r="H1786" s="2526">
        <v>-50375.868999999999</v>
      </c>
      <c r="I1786" s="2526"/>
      <c r="J1786" s="2526"/>
      <c r="K1786" s="2166"/>
      <c r="L1786" s="2168">
        <v>-5000000</v>
      </c>
      <c r="M1786" s="2166"/>
    </row>
    <row r="1787" spans="1:15">
      <c r="A1787" s="2520" t="s">
        <v>2679</v>
      </c>
      <c r="B1787" s="2520"/>
      <c r="C1787" s="2520"/>
      <c r="D1787" s="2166"/>
      <c r="E1787" s="2166"/>
      <c r="F1787" s="2166"/>
      <c r="G1787" s="2166"/>
      <c r="H1787" s="2526">
        <v>-16650.495999999999</v>
      </c>
      <c r="I1787" s="2526"/>
      <c r="J1787" s="2526"/>
      <c r="K1787" s="2166"/>
      <c r="L1787" s="2168">
        <v>-1650000</v>
      </c>
      <c r="M1787" s="2166"/>
    </row>
    <row r="1788" spans="1:15">
      <c r="A1788" s="2164"/>
      <c r="B1788" s="2164"/>
      <c r="C1788" s="2164"/>
      <c r="D1788" s="2164"/>
      <c r="E1788" s="2522" t="s">
        <v>2639</v>
      </c>
      <c r="F1788" s="2522"/>
      <c r="G1788" s="2164"/>
      <c r="H1788" s="2528">
        <v>11996.1186</v>
      </c>
      <c r="I1788" s="2528"/>
      <c r="J1788" s="2528"/>
      <c r="K1788" s="2163"/>
      <c r="L1788" s="2528">
        <v>1193364.28</v>
      </c>
      <c r="M1788" s="2163"/>
    </row>
    <row r="1789" spans="1:15">
      <c r="A1789" s="2164"/>
      <c r="B1789" s="2164"/>
      <c r="C1789" s="2164"/>
      <c r="D1789" s="2164"/>
      <c r="E1789" s="2164"/>
      <c r="F1789" s="2164"/>
      <c r="G1789" s="2164"/>
      <c r="H1789" s="2528"/>
      <c r="I1789" s="2528"/>
      <c r="J1789" s="2528"/>
      <c r="K1789" s="2163"/>
      <c r="L1789" s="2528"/>
      <c r="M1789" s="2163"/>
    </row>
    <row r="1790" spans="1:15">
      <c r="A1790" s="2160" t="s">
        <v>2773</v>
      </c>
      <c r="B1790" s="2161"/>
      <c r="C1790" s="2160" t="s">
        <v>2774</v>
      </c>
      <c r="D1790" s="2161"/>
      <c r="E1790" s="2160" t="s">
        <v>2722</v>
      </c>
      <c r="F1790" s="2161"/>
    </row>
    <row r="1791" spans="1:15">
      <c r="A1791" s="2163"/>
      <c r="B1791" s="2163"/>
      <c r="C1791" s="2163"/>
      <c r="D1791" s="2163"/>
      <c r="E1791" s="2163"/>
      <c r="F1791" s="2163"/>
      <c r="G1791" s="2163"/>
      <c r="H1791" s="2163"/>
      <c r="I1791" s="2163"/>
      <c r="J1791" s="2163"/>
      <c r="K1791" s="2163"/>
      <c r="L1791" s="2163"/>
      <c r="M1791" s="2163"/>
    </row>
    <row r="1792" spans="1:15">
      <c r="A1792" s="2164"/>
      <c r="H1792" s="2522" t="s">
        <v>2637</v>
      </c>
      <c r="I1792" s="2522"/>
      <c r="J1792" s="2163"/>
      <c r="K1792" s="2523">
        <v>0</v>
      </c>
      <c r="L1792" s="2523"/>
      <c r="M1792" s="2163"/>
      <c r="N1792" s="2527"/>
      <c r="O1792" s="2163"/>
    </row>
    <row r="1793" spans="1:15">
      <c r="H1793" s="2163"/>
      <c r="I1793" s="2163"/>
      <c r="J1793" s="2163"/>
      <c r="K1793" s="2523"/>
      <c r="L1793" s="2523"/>
      <c r="N1793" s="2527"/>
    </row>
    <row r="1794" spans="1:15">
      <c r="A1794" s="2165">
        <v>5123</v>
      </c>
      <c r="B1794" s="2163"/>
      <c r="C1794" s="2524" t="s">
        <v>2887</v>
      </c>
      <c r="D1794" s="2524"/>
      <c r="E1794" s="2524"/>
      <c r="F1794" s="2524"/>
      <c r="G1794" s="2524"/>
      <c r="H1794" s="2524"/>
      <c r="I1794" s="2524"/>
      <c r="J1794" s="2163"/>
      <c r="K1794" s="2163"/>
      <c r="L1794" s="2163"/>
      <c r="M1794" s="2163"/>
    </row>
    <row r="1795" spans="1:15">
      <c r="A1795" s="2163"/>
      <c r="B1795" s="2163"/>
      <c r="C1795" s="2163"/>
      <c r="D1795" s="2163"/>
      <c r="E1795" s="2163"/>
      <c r="F1795" s="2163"/>
      <c r="G1795" s="2163"/>
      <c r="H1795" s="2163"/>
      <c r="I1795" s="2163"/>
      <c r="J1795" s="2163"/>
      <c r="K1795" s="2163"/>
      <c r="L1795" s="2163"/>
      <c r="M1795" s="2163"/>
    </row>
    <row r="1796" spans="1:15">
      <c r="A1796" s="2529"/>
      <c r="B1796" s="2529"/>
      <c r="C1796" s="2529"/>
      <c r="D1796" s="2166"/>
      <c r="E1796" s="2166"/>
      <c r="F1796" s="2166"/>
      <c r="G1796" s="2166"/>
      <c r="H1796" s="2525"/>
      <c r="I1796" s="2525"/>
      <c r="J1796" s="2525"/>
      <c r="K1796" s="2166"/>
      <c r="L1796" s="2167"/>
      <c r="M1796" s="2166"/>
    </row>
    <row r="1797" spans="1:15">
      <c r="A1797" s="2164"/>
      <c r="B1797" s="2164"/>
      <c r="C1797" s="2164"/>
      <c r="D1797" s="2164"/>
      <c r="E1797" s="2522" t="s">
        <v>2639</v>
      </c>
      <c r="F1797" s="2522"/>
      <c r="G1797" s="2164"/>
      <c r="H1797" s="2523">
        <v>0</v>
      </c>
      <c r="I1797" s="2523"/>
      <c r="J1797" s="2523"/>
      <c r="K1797" s="2163"/>
      <c r="L1797" s="2523">
        <v>0</v>
      </c>
      <c r="M1797" s="2163"/>
    </row>
    <row r="1798" spans="1:15">
      <c r="A1798" s="2164"/>
      <c r="B1798" s="2164"/>
      <c r="C1798" s="2164"/>
      <c r="D1798" s="2164"/>
      <c r="E1798" s="2164"/>
      <c r="F1798" s="2164"/>
      <c r="G1798" s="2164"/>
      <c r="H1798" s="2523"/>
      <c r="I1798" s="2523"/>
      <c r="J1798" s="2523"/>
      <c r="K1798" s="2163"/>
      <c r="L1798" s="2523"/>
      <c r="M1798" s="2163"/>
    </row>
    <row r="1799" spans="1:15">
      <c r="A1799" s="2160" t="s">
        <v>2773</v>
      </c>
      <c r="B1799" s="2161"/>
      <c r="C1799" s="2160" t="s">
        <v>2774</v>
      </c>
      <c r="D1799" s="2161"/>
      <c r="E1799" s="2160" t="s">
        <v>2722</v>
      </c>
      <c r="F1799" s="2161"/>
    </row>
    <row r="1800" spans="1:15">
      <c r="A1800" s="2163"/>
      <c r="B1800" s="2163"/>
      <c r="C1800" s="2163"/>
      <c r="D1800" s="2163"/>
      <c r="E1800" s="2163"/>
      <c r="F1800" s="2163"/>
      <c r="G1800" s="2163"/>
      <c r="H1800" s="2163"/>
      <c r="I1800" s="2163"/>
      <c r="J1800" s="2163"/>
      <c r="K1800" s="2163"/>
      <c r="L1800" s="2163"/>
      <c r="M1800" s="2163"/>
    </row>
    <row r="1801" spans="1:15">
      <c r="A1801" s="2164"/>
      <c r="H1801" s="2522" t="s">
        <v>2637</v>
      </c>
      <c r="I1801" s="2522"/>
      <c r="J1801" s="2163"/>
      <c r="K1801" s="2523">
        <v>401.04969999999997</v>
      </c>
      <c r="L1801" s="2523"/>
      <c r="M1801" s="2163"/>
      <c r="N1801" s="2527" t="s">
        <v>3155</v>
      </c>
      <c r="O1801" s="2163"/>
    </row>
    <row r="1802" spans="1:15">
      <c r="H1802" s="2163"/>
      <c r="I1802" s="2163"/>
      <c r="J1802" s="2163"/>
      <c r="K1802" s="2523"/>
      <c r="L1802" s="2523"/>
      <c r="N1802" s="2527"/>
    </row>
    <row r="1803" spans="1:15">
      <c r="A1803" s="2165">
        <v>5178</v>
      </c>
      <c r="B1803" s="2163"/>
      <c r="C1803" s="2524" t="s">
        <v>2880</v>
      </c>
      <c r="D1803" s="2524"/>
      <c r="E1803" s="2524"/>
      <c r="F1803" s="2524"/>
      <c r="G1803" s="2524"/>
      <c r="H1803" s="2524"/>
      <c r="I1803" s="2524"/>
      <c r="J1803" s="2163"/>
      <c r="K1803" s="2163"/>
      <c r="L1803" s="2163"/>
      <c r="M1803" s="2163"/>
    </row>
    <row r="1804" spans="1:15">
      <c r="A1804" s="2163"/>
      <c r="B1804" s="2163"/>
      <c r="C1804" s="2163"/>
      <c r="D1804" s="2163"/>
      <c r="E1804" s="2163"/>
      <c r="F1804" s="2163"/>
      <c r="G1804" s="2163"/>
      <c r="H1804" s="2163"/>
      <c r="I1804" s="2163"/>
      <c r="J1804" s="2163"/>
      <c r="K1804" s="2163"/>
      <c r="L1804" s="2163"/>
      <c r="M1804" s="2163"/>
    </row>
    <row r="1805" spans="1:15">
      <c r="A1805" s="2520" t="s">
        <v>2648</v>
      </c>
      <c r="B1805" s="2520"/>
      <c r="C1805" s="2520"/>
      <c r="D1805" s="2166"/>
      <c r="E1805" s="2166"/>
      <c r="F1805" s="2166"/>
      <c r="G1805" s="2166"/>
      <c r="H1805" s="2526">
        <v>-3500.4490000000001</v>
      </c>
      <c r="I1805" s="2526"/>
      <c r="J1805" s="2526"/>
      <c r="K1805" s="2166"/>
      <c r="L1805" s="2168">
        <v>-350044.87</v>
      </c>
      <c r="M1805" s="2166"/>
    </row>
    <row r="1806" spans="1:15">
      <c r="A1806" s="2520" t="s">
        <v>2645</v>
      </c>
      <c r="B1806" s="2520"/>
      <c r="C1806" s="2520"/>
      <c r="D1806" s="2166"/>
      <c r="E1806" s="2166"/>
      <c r="F1806" s="2166"/>
      <c r="G1806" s="2166"/>
      <c r="H1806" s="2525"/>
      <c r="I1806" s="2525"/>
      <c r="J1806" s="2525"/>
      <c r="K1806" s="2166"/>
      <c r="L1806" s="2167"/>
      <c r="M1806" s="2166"/>
    </row>
    <row r="1807" spans="1:15">
      <c r="A1807" s="2520" t="s">
        <v>2645</v>
      </c>
      <c r="B1807" s="2520"/>
      <c r="C1807" s="2520"/>
      <c r="D1807" s="2166"/>
      <c r="E1807" s="2166"/>
      <c r="F1807" s="2166"/>
      <c r="G1807" s="2166"/>
      <c r="H1807" s="2525">
        <v>11.234999999999999</v>
      </c>
      <c r="I1807" s="2525"/>
      <c r="J1807" s="2525"/>
      <c r="K1807" s="2166"/>
      <c r="L1807" s="2168">
        <v>1123.46</v>
      </c>
      <c r="M1807" s="2166"/>
    </row>
    <row r="1808" spans="1:15">
      <c r="A1808" s="2520" t="s">
        <v>2679</v>
      </c>
      <c r="B1808" s="2520"/>
      <c r="C1808" s="2520"/>
      <c r="D1808" s="2166"/>
      <c r="E1808" s="2166"/>
      <c r="F1808" s="2166"/>
      <c r="G1808" s="2166"/>
      <c r="H1808" s="2525">
        <v>-401.31400000000002</v>
      </c>
      <c r="I1808" s="2525"/>
      <c r="J1808" s="2525"/>
      <c r="K1808" s="2166"/>
      <c r="L1808" s="2168">
        <v>-40131.370000000003</v>
      </c>
      <c r="M1808" s="2166"/>
    </row>
    <row r="1809" spans="1:15">
      <c r="A1809" s="2520" t="s">
        <v>2649</v>
      </c>
      <c r="B1809" s="2520"/>
      <c r="C1809" s="2520"/>
      <c r="D1809" s="2166"/>
      <c r="E1809" s="2166"/>
      <c r="F1809" s="2166"/>
      <c r="G1809" s="2166"/>
      <c r="H1809" s="2521">
        <v>10000</v>
      </c>
      <c r="I1809" s="2521"/>
      <c r="J1809" s="2521"/>
      <c r="K1809" s="2166"/>
      <c r="L1809" s="2177">
        <v>1000000</v>
      </c>
      <c r="M1809" s="2166"/>
    </row>
    <row r="1810" spans="1:15">
      <c r="A1810" s="2164"/>
      <c r="B1810" s="2164"/>
      <c r="C1810" s="2164"/>
      <c r="D1810" s="2164"/>
      <c r="E1810" s="2522" t="s">
        <v>2639</v>
      </c>
      <c r="F1810" s="2522"/>
      <c r="G1810" s="2164"/>
      <c r="H1810" s="2528">
        <v>6510.5218999999997</v>
      </c>
      <c r="I1810" s="2528"/>
      <c r="J1810" s="2528"/>
      <c r="K1810" s="2163"/>
      <c r="L1810" s="2528">
        <v>651052.18999999994</v>
      </c>
      <c r="M1810" s="2163"/>
    </row>
    <row r="1811" spans="1:15">
      <c r="A1811" s="2164"/>
      <c r="B1811" s="2164"/>
      <c r="C1811" s="2164"/>
      <c r="D1811" s="2164"/>
      <c r="E1811" s="2164"/>
      <c r="F1811" s="2164"/>
      <c r="G1811" s="2164"/>
      <c r="H1811" s="2528"/>
      <c r="I1811" s="2528"/>
      <c r="J1811" s="2528"/>
      <c r="K1811" s="2163"/>
      <c r="L1811" s="2528"/>
      <c r="M1811" s="2163"/>
    </row>
    <row r="1812" spans="1:15">
      <c r="A1812" s="2160" t="s">
        <v>2773</v>
      </c>
      <c r="B1812" s="2161"/>
      <c r="C1812" s="2160" t="s">
        <v>2774</v>
      </c>
      <c r="D1812" s="2161"/>
      <c r="E1812" s="2160" t="s">
        <v>2722</v>
      </c>
      <c r="F1812" s="2161"/>
    </row>
    <row r="1813" spans="1:15">
      <c r="A1813" s="2163"/>
      <c r="B1813" s="2163"/>
      <c r="C1813" s="2163"/>
      <c r="D1813" s="2163"/>
      <c r="E1813" s="2163"/>
      <c r="F1813" s="2163"/>
      <c r="G1813" s="2163"/>
      <c r="H1813" s="2163"/>
      <c r="I1813" s="2163"/>
      <c r="J1813" s="2163"/>
      <c r="K1813" s="2163"/>
      <c r="L1813" s="2163"/>
      <c r="M1813" s="2163"/>
    </row>
    <row r="1814" spans="1:15">
      <c r="A1814" s="2164"/>
      <c r="H1814" s="2522" t="s">
        <v>2637</v>
      </c>
      <c r="I1814" s="2522"/>
      <c r="J1814" s="2163"/>
      <c r="K1814" s="2523">
        <v>0</v>
      </c>
      <c r="L1814" s="2523"/>
      <c r="M1814" s="2163"/>
      <c r="N1814" s="2527"/>
      <c r="O1814" s="2163"/>
    </row>
    <row r="1815" spans="1:15">
      <c r="H1815" s="2163"/>
      <c r="I1815" s="2163"/>
      <c r="J1815" s="2163"/>
      <c r="K1815" s="2523"/>
      <c r="L1815" s="2523"/>
      <c r="N1815" s="2527"/>
    </row>
    <row r="1816" spans="1:15">
      <c r="A1816" s="2165">
        <v>19276</v>
      </c>
      <c r="B1816" s="2163"/>
      <c r="C1816" s="2524" t="s">
        <v>2897</v>
      </c>
      <c r="D1816" s="2524"/>
      <c r="E1816" s="2524"/>
      <c r="F1816" s="2524"/>
      <c r="G1816" s="2524"/>
      <c r="H1816" s="2524"/>
      <c r="I1816" s="2524"/>
      <c r="J1816" s="2163"/>
      <c r="K1816" s="2163"/>
      <c r="L1816" s="2163"/>
      <c r="M1816" s="2163"/>
    </row>
    <row r="1817" spans="1:15">
      <c r="A1817" s="2163"/>
      <c r="B1817" s="2163"/>
      <c r="C1817" s="2163"/>
      <c r="D1817" s="2163"/>
      <c r="E1817" s="2163"/>
      <c r="F1817" s="2163"/>
      <c r="G1817" s="2163"/>
      <c r="H1817" s="2163"/>
      <c r="I1817" s="2163"/>
      <c r="J1817" s="2163"/>
      <c r="K1817" s="2163"/>
      <c r="L1817" s="2163"/>
      <c r="M1817" s="2163"/>
    </row>
    <row r="1818" spans="1:15">
      <c r="A1818" s="2529"/>
      <c r="B1818" s="2529"/>
      <c r="C1818" s="2529"/>
      <c r="D1818" s="2166"/>
      <c r="E1818" s="2166"/>
      <c r="F1818" s="2166"/>
      <c r="G1818" s="2166"/>
      <c r="H1818" s="2525"/>
      <c r="I1818" s="2525"/>
      <c r="J1818" s="2525"/>
      <c r="K1818" s="2166"/>
      <c r="L1818" s="2167"/>
      <c r="M1818" s="2166"/>
    </row>
    <row r="1819" spans="1:15">
      <c r="A1819" s="2164"/>
      <c r="B1819" s="2164"/>
      <c r="C1819" s="2164"/>
      <c r="D1819" s="2164"/>
      <c r="E1819" s="2522" t="s">
        <v>2639</v>
      </c>
      <c r="F1819" s="2522"/>
      <c r="G1819" s="2164"/>
      <c r="H1819" s="2523">
        <v>0</v>
      </c>
      <c r="I1819" s="2523"/>
      <c r="J1819" s="2523"/>
      <c r="K1819" s="2163"/>
      <c r="L1819" s="2523">
        <v>0</v>
      </c>
      <c r="M1819" s="2163"/>
    </row>
    <row r="1820" spans="1:15">
      <c r="A1820" s="2164"/>
      <c r="B1820" s="2164"/>
      <c r="C1820" s="2164"/>
      <c r="D1820" s="2164"/>
      <c r="E1820" s="2164"/>
      <c r="F1820" s="2164"/>
      <c r="G1820" s="2164"/>
      <c r="H1820" s="2523"/>
      <c r="I1820" s="2523"/>
      <c r="J1820" s="2523"/>
      <c r="K1820" s="2163"/>
      <c r="L1820" s="2523"/>
      <c r="M1820" s="2163"/>
    </row>
    <row r="1821" spans="1:15">
      <c r="A1821" s="2160" t="s">
        <v>2773</v>
      </c>
      <c r="B1821" s="2161"/>
      <c r="C1821" s="2160" t="s">
        <v>2774</v>
      </c>
      <c r="D1821" s="2161"/>
      <c r="E1821" s="2160" t="s">
        <v>2722</v>
      </c>
      <c r="F1821" s="2161"/>
    </row>
    <row r="1822" spans="1:15">
      <c r="A1822" s="2163"/>
      <c r="B1822" s="2163"/>
      <c r="C1822" s="2163"/>
      <c r="D1822" s="2163"/>
      <c r="E1822" s="2163"/>
      <c r="F1822" s="2163"/>
      <c r="G1822" s="2163"/>
      <c r="H1822" s="2163"/>
      <c r="I1822" s="2163"/>
      <c r="J1822" s="2163"/>
      <c r="K1822" s="2163"/>
      <c r="L1822" s="2163"/>
      <c r="M1822" s="2163"/>
    </row>
    <row r="1823" spans="1:15">
      <c r="A1823" s="2164"/>
      <c r="H1823" s="2522" t="s">
        <v>2637</v>
      </c>
      <c r="I1823" s="2522"/>
      <c r="J1823" s="2163"/>
      <c r="K1823" s="2523">
        <v>0</v>
      </c>
      <c r="L1823" s="2523"/>
      <c r="M1823" s="2163"/>
      <c r="N1823" s="2527"/>
      <c r="O1823" s="2163"/>
    </row>
    <row r="1824" spans="1:15">
      <c r="H1824" s="2163"/>
      <c r="I1824" s="2163"/>
      <c r="J1824" s="2163"/>
      <c r="K1824" s="2523"/>
      <c r="L1824" s="2523"/>
      <c r="N1824" s="2527"/>
    </row>
    <row r="1825" spans="1:15">
      <c r="A1825" s="2165">
        <v>19339</v>
      </c>
      <c r="B1825" s="2163"/>
      <c r="C1825" s="2524" t="s">
        <v>2887</v>
      </c>
      <c r="D1825" s="2524"/>
      <c r="E1825" s="2524"/>
      <c r="F1825" s="2524"/>
      <c r="G1825" s="2524"/>
      <c r="H1825" s="2524"/>
      <c r="I1825" s="2524"/>
      <c r="J1825" s="2163"/>
      <c r="K1825" s="2163"/>
      <c r="L1825" s="2163"/>
      <c r="M1825" s="2163"/>
    </row>
    <row r="1826" spans="1:15">
      <c r="A1826" s="2163"/>
      <c r="B1826" s="2163"/>
      <c r="C1826" s="2163"/>
      <c r="D1826" s="2163"/>
      <c r="E1826" s="2163"/>
      <c r="F1826" s="2163"/>
      <c r="G1826" s="2163"/>
      <c r="H1826" s="2163"/>
      <c r="I1826" s="2163"/>
      <c r="J1826" s="2163"/>
      <c r="K1826" s="2163"/>
      <c r="L1826" s="2163"/>
      <c r="M1826" s="2163"/>
    </row>
    <row r="1827" spans="1:15">
      <c r="A1827" s="2520" t="s">
        <v>2647</v>
      </c>
      <c r="B1827" s="2520"/>
      <c r="C1827" s="2520"/>
      <c r="D1827" s="2166"/>
      <c r="E1827" s="2166"/>
      <c r="F1827" s="2166"/>
      <c r="G1827" s="2166"/>
      <c r="H1827" s="2526">
        <v>5234.1130000000003</v>
      </c>
      <c r="I1827" s="2526"/>
      <c r="J1827" s="2526"/>
      <c r="K1827" s="2166"/>
      <c r="L1827" s="2168">
        <v>523411.26</v>
      </c>
      <c r="M1827" s="2166"/>
    </row>
    <row r="1828" spans="1:15">
      <c r="A1828" s="2520" t="s">
        <v>2645</v>
      </c>
      <c r="B1828" s="2520"/>
      <c r="C1828" s="2520"/>
      <c r="D1828" s="2166"/>
      <c r="E1828" s="2166"/>
      <c r="F1828" s="2166"/>
      <c r="G1828" s="2166"/>
      <c r="H1828" s="2525"/>
      <c r="I1828" s="2525"/>
      <c r="J1828" s="2525"/>
      <c r="K1828" s="2166"/>
      <c r="L1828" s="2167"/>
      <c r="M1828" s="2166"/>
    </row>
    <row r="1829" spans="1:15">
      <c r="A1829" s="2520" t="s">
        <v>2645</v>
      </c>
      <c r="B1829" s="2520"/>
      <c r="C1829" s="2520"/>
      <c r="D1829" s="2166"/>
      <c r="E1829" s="2166"/>
      <c r="F1829" s="2166"/>
      <c r="G1829" s="2166"/>
      <c r="H1829" s="2525">
        <v>12.523</v>
      </c>
      <c r="I1829" s="2525"/>
      <c r="J1829" s="2525"/>
      <c r="K1829" s="2166"/>
      <c r="L1829" s="2168">
        <v>1252.3</v>
      </c>
      <c r="M1829" s="2166"/>
    </row>
    <row r="1830" spans="1:15">
      <c r="A1830" s="2520" t="s">
        <v>2679</v>
      </c>
      <c r="B1830" s="2520"/>
      <c r="C1830" s="2520"/>
      <c r="D1830" s="2166"/>
      <c r="E1830" s="2166"/>
      <c r="F1830" s="2166"/>
      <c r="G1830" s="2166"/>
      <c r="H1830" s="2526">
        <v>-5244.5290000000005</v>
      </c>
      <c r="I1830" s="2526"/>
      <c r="J1830" s="2526"/>
      <c r="K1830" s="2166"/>
      <c r="L1830" s="2168">
        <v>-524452.88</v>
      </c>
      <c r="M1830" s="2166"/>
    </row>
    <row r="1831" spans="1:15">
      <c r="A1831" s="2164"/>
      <c r="B1831" s="2164"/>
      <c r="C1831" s="2164"/>
      <c r="D1831" s="2164"/>
      <c r="E1831" s="2522" t="s">
        <v>2639</v>
      </c>
      <c r="F1831" s="2522"/>
      <c r="G1831" s="2164"/>
      <c r="H1831" s="2523">
        <v>2.1067999999999998</v>
      </c>
      <c r="I1831" s="2523"/>
      <c r="J1831" s="2523"/>
      <c r="K1831" s="2163"/>
      <c r="L1831" s="2523">
        <v>210.68</v>
      </c>
      <c r="M1831" s="2163"/>
    </row>
    <row r="1832" spans="1:15">
      <c r="A1832" s="2164"/>
      <c r="B1832" s="2164"/>
      <c r="C1832" s="2164"/>
      <c r="D1832" s="2164"/>
      <c r="E1832" s="2164"/>
      <c r="F1832" s="2164"/>
      <c r="G1832" s="2164"/>
      <c r="H1832" s="2523"/>
      <c r="I1832" s="2523"/>
      <c r="J1832" s="2523"/>
      <c r="K1832" s="2163"/>
      <c r="L1832" s="2523"/>
      <c r="M1832" s="2163"/>
    </row>
    <row r="1833" spans="1:15">
      <c r="A1833" s="2160" t="s">
        <v>2773</v>
      </c>
      <c r="B1833" s="2161"/>
      <c r="C1833" s="2160" t="s">
        <v>2774</v>
      </c>
      <c r="D1833" s="2161"/>
      <c r="E1833" s="2160" t="s">
        <v>2722</v>
      </c>
      <c r="F1833" s="2161"/>
    </row>
    <row r="1834" spans="1:15">
      <c r="A1834" s="2163"/>
      <c r="B1834" s="2163"/>
      <c r="C1834" s="2163"/>
      <c r="D1834" s="2163"/>
      <c r="E1834" s="2163"/>
      <c r="F1834" s="2163"/>
      <c r="G1834" s="2163"/>
      <c r="H1834" s="2163"/>
      <c r="I1834" s="2163"/>
      <c r="J1834" s="2163"/>
      <c r="K1834" s="2163"/>
      <c r="L1834" s="2163"/>
      <c r="M1834" s="2163"/>
    </row>
    <row r="1835" spans="1:15">
      <c r="A1835" s="2164"/>
      <c r="H1835" s="2522" t="s">
        <v>2637</v>
      </c>
      <c r="I1835" s="2522"/>
      <c r="J1835" s="2163"/>
      <c r="K1835" s="2528">
        <v>14031.6309</v>
      </c>
      <c r="L1835" s="2528"/>
      <c r="M1835" s="2163"/>
      <c r="N1835" s="2527" t="s">
        <v>3156</v>
      </c>
      <c r="O1835" s="2163"/>
    </row>
    <row r="1836" spans="1:15">
      <c r="H1836" s="2163"/>
      <c r="I1836" s="2163"/>
      <c r="J1836" s="2163"/>
      <c r="K1836" s="2528"/>
      <c r="L1836" s="2528"/>
      <c r="N1836" s="2527"/>
    </row>
    <row r="1837" spans="1:15">
      <c r="A1837" s="2165">
        <v>41512</v>
      </c>
      <c r="B1837" s="2163"/>
      <c r="C1837" s="2524" t="s">
        <v>3119</v>
      </c>
      <c r="D1837" s="2524"/>
      <c r="E1837" s="2524"/>
      <c r="F1837" s="2524"/>
      <c r="G1837" s="2524"/>
      <c r="H1837" s="2524"/>
      <c r="I1837" s="2524"/>
      <c r="J1837" s="2163"/>
      <c r="K1837" s="2163"/>
      <c r="L1837" s="2163"/>
      <c r="M1837" s="2163"/>
    </row>
    <row r="1838" spans="1:15">
      <c r="A1838" s="2163"/>
      <c r="B1838" s="2163"/>
      <c r="C1838" s="2163"/>
      <c r="D1838" s="2163"/>
      <c r="E1838" s="2163"/>
      <c r="F1838" s="2163"/>
      <c r="G1838" s="2163"/>
      <c r="H1838" s="2163"/>
      <c r="I1838" s="2163"/>
      <c r="J1838" s="2163"/>
      <c r="K1838" s="2163"/>
      <c r="L1838" s="2163"/>
      <c r="M1838" s="2163"/>
    </row>
    <row r="1839" spans="1:15">
      <c r="A1839" s="2520" t="s">
        <v>2648</v>
      </c>
      <c r="B1839" s="2520"/>
      <c r="C1839" s="2520"/>
      <c r="D1839" s="2166"/>
      <c r="E1839" s="2166"/>
      <c r="F1839" s="2166"/>
      <c r="G1839" s="2166"/>
      <c r="H1839" s="2526">
        <v>-14044.587</v>
      </c>
      <c r="I1839" s="2526"/>
      <c r="J1839" s="2526"/>
      <c r="K1839" s="2166"/>
      <c r="L1839" s="2168">
        <v>-1404458.68</v>
      </c>
      <c r="M1839" s="2166"/>
    </row>
    <row r="1840" spans="1:15">
      <c r="A1840" s="2520" t="s">
        <v>2645</v>
      </c>
      <c r="B1840" s="2520"/>
      <c r="C1840" s="2520"/>
      <c r="D1840" s="2166"/>
      <c r="E1840" s="2166"/>
      <c r="F1840" s="2166"/>
      <c r="G1840" s="2166"/>
      <c r="H1840" s="2525"/>
      <c r="I1840" s="2525"/>
      <c r="J1840" s="2525"/>
      <c r="K1840" s="2166"/>
      <c r="L1840" s="2167"/>
      <c r="M1840" s="2166"/>
    </row>
    <row r="1841" spans="1:15">
      <c r="A1841" s="2520" t="s">
        <v>2645</v>
      </c>
      <c r="B1841" s="2520"/>
      <c r="C1841" s="2520"/>
      <c r="D1841" s="2166"/>
      <c r="E1841" s="2166"/>
      <c r="F1841" s="2166"/>
      <c r="G1841" s="2166"/>
      <c r="H1841" s="2525">
        <v>12.956</v>
      </c>
      <c r="I1841" s="2525"/>
      <c r="J1841" s="2525"/>
      <c r="K1841" s="2166"/>
      <c r="L1841" s="2168">
        <v>1295.5899999999999</v>
      </c>
      <c r="M1841" s="2166"/>
    </row>
    <row r="1842" spans="1:15">
      <c r="A1842" s="2164"/>
      <c r="B1842" s="2164"/>
      <c r="C1842" s="2164"/>
      <c r="D1842" s="2164"/>
      <c r="E1842" s="2522" t="s">
        <v>2639</v>
      </c>
      <c r="F1842" s="2522"/>
      <c r="G1842" s="2164"/>
      <c r="H1842" s="2523">
        <v>0</v>
      </c>
      <c r="I1842" s="2523"/>
      <c r="J1842" s="2523"/>
      <c r="K1842" s="2163"/>
      <c r="L1842" s="2523">
        <v>0</v>
      </c>
      <c r="M1842" s="2163"/>
    </row>
    <row r="1843" spans="1:15">
      <c r="A1843" s="2164"/>
      <c r="B1843" s="2164"/>
      <c r="C1843" s="2164"/>
      <c r="D1843" s="2164"/>
      <c r="E1843" s="2164"/>
      <c r="F1843" s="2164"/>
      <c r="G1843" s="2164"/>
      <c r="H1843" s="2523"/>
      <c r="I1843" s="2523"/>
      <c r="J1843" s="2523"/>
      <c r="K1843" s="2163"/>
      <c r="L1843" s="2523"/>
      <c r="M1843" s="2163"/>
    </row>
    <row r="1844" spans="1:15">
      <c r="A1844" s="2160" t="s">
        <v>2773</v>
      </c>
      <c r="B1844" s="2161"/>
      <c r="C1844" s="2160" t="s">
        <v>2774</v>
      </c>
      <c r="D1844" s="2161"/>
      <c r="E1844" s="2160" t="s">
        <v>2722</v>
      </c>
      <c r="F1844" s="2161"/>
    </row>
    <row r="1845" spans="1:15">
      <c r="A1845" s="2163"/>
      <c r="B1845" s="2163"/>
      <c r="C1845" s="2163"/>
      <c r="D1845" s="2163"/>
      <c r="E1845" s="2163"/>
      <c r="F1845" s="2163"/>
      <c r="G1845" s="2163"/>
      <c r="H1845" s="2163"/>
      <c r="I1845" s="2163"/>
      <c r="J1845" s="2163"/>
      <c r="K1845" s="2163"/>
      <c r="L1845" s="2163"/>
      <c r="M1845" s="2163"/>
    </row>
    <row r="1846" spans="1:15">
      <c r="A1846" s="2164"/>
      <c r="H1846" s="2522" t="s">
        <v>2637</v>
      </c>
      <c r="I1846" s="2522"/>
      <c r="J1846" s="2163"/>
      <c r="K1846" s="2523">
        <v>0</v>
      </c>
      <c r="L1846" s="2523"/>
      <c r="M1846" s="2163"/>
      <c r="N1846" s="2527"/>
      <c r="O1846" s="2163"/>
    </row>
    <row r="1847" spans="1:15">
      <c r="H1847" s="2163"/>
      <c r="I1847" s="2163"/>
      <c r="J1847" s="2163"/>
      <c r="K1847" s="2523"/>
      <c r="L1847" s="2523"/>
      <c r="N1847" s="2527"/>
    </row>
    <row r="1848" spans="1:15">
      <c r="A1848" s="2165">
        <v>32068</v>
      </c>
      <c r="B1848" s="2163"/>
      <c r="C1848" s="2524" t="s">
        <v>2893</v>
      </c>
      <c r="D1848" s="2524"/>
      <c r="E1848" s="2524"/>
      <c r="F1848" s="2524"/>
      <c r="G1848" s="2524"/>
      <c r="H1848" s="2524"/>
      <c r="I1848" s="2524"/>
      <c r="J1848" s="2163"/>
      <c r="K1848" s="2163"/>
      <c r="L1848" s="2163"/>
      <c r="M1848" s="2163"/>
    </row>
    <row r="1849" spans="1:15">
      <c r="A1849" s="2163"/>
      <c r="B1849" s="2163"/>
      <c r="C1849" s="2163"/>
      <c r="D1849" s="2163"/>
      <c r="E1849" s="2163"/>
      <c r="F1849" s="2163"/>
      <c r="G1849" s="2163"/>
      <c r="H1849" s="2163"/>
      <c r="I1849" s="2163"/>
      <c r="J1849" s="2163"/>
      <c r="K1849" s="2163"/>
      <c r="L1849" s="2163"/>
      <c r="M1849" s="2163"/>
    </row>
    <row r="1850" spans="1:15">
      <c r="A1850" s="2529"/>
      <c r="B1850" s="2529"/>
      <c r="C1850" s="2529"/>
      <c r="D1850" s="2166"/>
      <c r="E1850" s="2166"/>
      <c r="F1850" s="2166"/>
      <c r="G1850" s="2166"/>
      <c r="H1850" s="2525"/>
      <c r="I1850" s="2525"/>
      <c r="J1850" s="2525"/>
      <c r="K1850" s="2166"/>
      <c r="L1850" s="2167"/>
      <c r="M1850" s="2166"/>
    </row>
    <row r="1851" spans="1:15">
      <c r="A1851" s="2164"/>
      <c r="B1851" s="2164"/>
      <c r="C1851" s="2164"/>
      <c r="D1851" s="2164"/>
      <c r="E1851" s="2522" t="s">
        <v>2639</v>
      </c>
      <c r="F1851" s="2522"/>
      <c r="G1851" s="2164"/>
      <c r="H1851" s="2523">
        <v>0</v>
      </c>
      <c r="I1851" s="2523"/>
      <c r="J1851" s="2523"/>
      <c r="K1851" s="2163"/>
      <c r="L1851" s="2523">
        <v>0</v>
      </c>
      <c r="M1851" s="2163"/>
    </row>
    <row r="1852" spans="1:15">
      <c r="A1852" s="2164"/>
      <c r="B1852" s="2164"/>
      <c r="C1852" s="2164"/>
      <c r="D1852" s="2164"/>
      <c r="E1852" s="2164"/>
      <c r="F1852" s="2164"/>
      <c r="G1852" s="2164"/>
      <c r="H1852" s="2523"/>
      <c r="I1852" s="2523"/>
      <c r="J1852" s="2523"/>
      <c r="K1852" s="2163"/>
      <c r="L1852" s="2523"/>
      <c r="M1852" s="2163"/>
    </row>
    <row r="1853" spans="1:15">
      <c r="A1853" s="2160" t="s">
        <v>2773</v>
      </c>
      <c r="B1853" s="2161"/>
      <c r="C1853" s="2160" t="s">
        <v>2774</v>
      </c>
      <c r="D1853" s="2161"/>
      <c r="E1853" s="2160" t="s">
        <v>2722</v>
      </c>
      <c r="F1853" s="2161"/>
    </row>
    <row r="1854" spans="1:15">
      <c r="A1854" s="2163"/>
      <c r="B1854" s="2163"/>
      <c r="C1854" s="2163"/>
      <c r="D1854" s="2163"/>
      <c r="E1854" s="2163"/>
      <c r="F1854" s="2163"/>
      <c r="G1854" s="2163"/>
      <c r="H1854" s="2163"/>
      <c r="I1854" s="2163"/>
      <c r="J1854" s="2163"/>
      <c r="K1854" s="2163"/>
      <c r="L1854" s="2163"/>
      <c r="M1854" s="2163"/>
    </row>
    <row r="1855" spans="1:15">
      <c r="A1855" s="2164"/>
      <c r="H1855" s="2522" t="s">
        <v>2637</v>
      </c>
      <c r="I1855" s="2522"/>
      <c r="J1855" s="2163"/>
      <c r="K1855" s="2523">
        <v>0</v>
      </c>
      <c r="L1855" s="2523"/>
      <c r="M1855" s="2163"/>
      <c r="N1855" s="2527"/>
      <c r="O1855" s="2163"/>
    </row>
    <row r="1856" spans="1:15">
      <c r="H1856" s="2163"/>
      <c r="I1856" s="2163"/>
      <c r="J1856" s="2163"/>
      <c r="K1856" s="2523"/>
      <c r="L1856" s="2523"/>
      <c r="N1856" s="2527"/>
    </row>
    <row r="1857" spans="1:15">
      <c r="A1857" s="2165">
        <v>33762</v>
      </c>
      <c r="B1857" s="2163"/>
      <c r="C1857" s="2524" t="s">
        <v>2884</v>
      </c>
      <c r="D1857" s="2524"/>
      <c r="E1857" s="2524"/>
      <c r="F1857" s="2524"/>
      <c r="G1857" s="2524"/>
      <c r="H1857" s="2524"/>
      <c r="I1857" s="2524"/>
      <c r="J1857" s="2163"/>
      <c r="K1857" s="2163"/>
      <c r="L1857" s="2163"/>
      <c r="M1857" s="2163"/>
    </row>
    <row r="1858" spans="1:15">
      <c r="A1858" s="2163"/>
      <c r="B1858" s="2163"/>
      <c r="C1858" s="2163"/>
      <c r="D1858" s="2163"/>
      <c r="E1858" s="2163"/>
      <c r="F1858" s="2163"/>
      <c r="G1858" s="2163"/>
      <c r="H1858" s="2163"/>
      <c r="I1858" s="2163"/>
      <c r="J1858" s="2163"/>
      <c r="K1858" s="2163"/>
      <c r="L1858" s="2163"/>
      <c r="M1858" s="2163"/>
    </row>
    <row r="1859" spans="1:15">
      <c r="A1859" s="2520" t="s">
        <v>2645</v>
      </c>
      <c r="B1859" s="2520"/>
      <c r="C1859" s="2520"/>
      <c r="D1859" s="2166"/>
      <c r="E1859" s="2166"/>
      <c r="F1859" s="2166"/>
      <c r="G1859" s="2166"/>
      <c r="H1859" s="2525"/>
      <c r="I1859" s="2525"/>
      <c r="J1859" s="2525"/>
      <c r="K1859" s="2166"/>
      <c r="L1859" s="2167"/>
      <c r="M1859" s="2166"/>
    </row>
    <row r="1860" spans="1:15">
      <c r="A1860" s="2520" t="s">
        <v>2645</v>
      </c>
      <c r="B1860" s="2520"/>
      <c r="C1860" s="2520"/>
      <c r="D1860" s="2166"/>
      <c r="E1860" s="2166"/>
      <c r="F1860" s="2166"/>
      <c r="G1860" s="2166"/>
      <c r="H1860" s="2525">
        <v>47.16</v>
      </c>
      <c r="I1860" s="2525"/>
      <c r="J1860" s="2525"/>
      <c r="K1860" s="2166"/>
      <c r="L1860" s="2168">
        <v>4715.95</v>
      </c>
      <c r="M1860" s="2166"/>
    </row>
    <row r="1861" spans="1:15">
      <c r="A1861" s="2520" t="s">
        <v>2679</v>
      </c>
      <c r="B1861" s="2520"/>
      <c r="C1861" s="2520"/>
      <c r="D1861" s="2166"/>
      <c r="E1861" s="2166"/>
      <c r="F1861" s="2166"/>
      <c r="G1861" s="2166"/>
      <c r="H1861" s="2526">
        <v>-25052.16</v>
      </c>
      <c r="I1861" s="2526"/>
      <c r="J1861" s="2526"/>
      <c r="K1861" s="2166"/>
      <c r="L1861" s="2168">
        <v>-2505215.9500000002</v>
      </c>
      <c r="M1861" s="2166"/>
    </row>
    <row r="1862" spans="1:15">
      <c r="A1862" s="2520" t="s">
        <v>2649</v>
      </c>
      <c r="B1862" s="2520"/>
      <c r="C1862" s="2520"/>
      <c r="D1862" s="2166"/>
      <c r="E1862" s="2166"/>
      <c r="F1862" s="2166"/>
      <c r="G1862" s="2166"/>
      <c r="H1862" s="2521">
        <v>25005</v>
      </c>
      <c r="I1862" s="2521"/>
      <c r="J1862" s="2521"/>
      <c r="K1862" s="2166"/>
      <c r="L1862" s="2177">
        <v>2500500</v>
      </c>
      <c r="M1862" s="2166"/>
    </row>
    <row r="1863" spans="1:15">
      <c r="A1863" s="2164"/>
      <c r="B1863" s="2164"/>
      <c r="C1863" s="2164"/>
      <c r="D1863" s="2164"/>
      <c r="E1863" s="2522" t="s">
        <v>2639</v>
      </c>
      <c r="F1863" s="2522"/>
      <c r="G1863" s="2164"/>
      <c r="H1863" s="2523">
        <v>0</v>
      </c>
      <c r="I1863" s="2523"/>
      <c r="J1863" s="2523"/>
      <c r="K1863" s="2163"/>
      <c r="L1863" s="2523">
        <v>0</v>
      </c>
      <c r="M1863" s="2163"/>
    </row>
    <row r="1864" spans="1:15">
      <c r="A1864" s="2164"/>
      <c r="B1864" s="2164"/>
      <c r="C1864" s="2164"/>
      <c r="D1864" s="2164"/>
      <c r="E1864" s="2164"/>
      <c r="F1864" s="2164"/>
      <c r="G1864" s="2164"/>
      <c r="H1864" s="2523"/>
      <c r="I1864" s="2523"/>
      <c r="J1864" s="2523"/>
      <c r="K1864" s="2163"/>
      <c r="L1864" s="2523"/>
      <c r="M1864" s="2163"/>
    </row>
    <row r="1865" spans="1:15">
      <c r="A1865" s="2160" t="s">
        <v>2773</v>
      </c>
      <c r="B1865" s="2161"/>
      <c r="C1865" s="2160" t="s">
        <v>2774</v>
      </c>
      <c r="D1865" s="2161"/>
      <c r="E1865" s="2160" t="s">
        <v>2722</v>
      </c>
      <c r="F1865" s="2161"/>
    </row>
    <row r="1866" spans="1:15">
      <c r="A1866" s="2163"/>
      <c r="B1866" s="2163"/>
      <c r="C1866" s="2163"/>
      <c r="D1866" s="2163"/>
      <c r="E1866" s="2163"/>
      <c r="F1866" s="2163"/>
      <c r="G1866" s="2163"/>
      <c r="H1866" s="2163"/>
      <c r="I1866" s="2163"/>
      <c r="J1866" s="2163"/>
      <c r="K1866" s="2163"/>
      <c r="L1866" s="2163"/>
      <c r="M1866" s="2163"/>
    </row>
    <row r="1867" spans="1:15">
      <c r="A1867" s="2164"/>
      <c r="H1867" s="2522" t="s">
        <v>2637</v>
      </c>
      <c r="I1867" s="2522"/>
      <c r="J1867" s="2163"/>
      <c r="K1867" s="2523">
        <v>0.2797</v>
      </c>
      <c r="L1867" s="2523"/>
      <c r="M1867" s="2163"/>
      <c r="N1867" s="2527">
        <v>28</v>
      </c>
      <c r="O1867" s="2163"/>
    </row>
    <row r="1868" spans="1:15">
      <c r="H1868" s="2163"/>
      <c r="I1868" s="2163"/>
      <c r="J1868" s="2163"/>
      <c r="K1868" s="2523"/>
      <c r="L1868" s="2523"/>
      <c r="N1868" s="2527"/>
    </row>
    <row r="1869" spans="1:15">
      <c r="A1869" s="2165">
        <v>35647</v>
      </c>
      <c r="B1869" s="2163"/>
      <c r="C1869" s="2524" t="s">
        <v>2885</v>
      </c>
      <c r="D1869" s="2524"/>
      <c r="E1869" s="2524"/>
      <c r="F1869" s="2524"/>
      <c r="G1869" s="2524"/>
      <c r="H1869" s="2524"/>
      <c r="I1869" s="2524"/>
      <c r="J1869" s="2163"/>
      <c r="K1869" s="2163"/>
      <c r="L1869" s="2163"/>
      <c r="M1869" s="2163"/>
    </row>
    <row r="1870" spans="1:15">
      <c r="A1870" s="2163"/>
      <c r="B1870" s="2163"/>
      <c r="C1870" s="2163"/>
      <c r="D1870" s="2163"/>
      <c r="E1870" s="2163"/>
      <c r="F1870" s="2163"/>
      <c r="G1870" s="2163"/>
      <c r="H1870" s="2163"/>
      <c r="I1870" s="2163"/>
      <c r="J1870" s="2163"/>
      <c r="K1870" s="2163"/>
      <c r="L1870" s="2163"/>
      <c r="M1870" s="2163"/>
    </row>
    <row r="1871" spans="1:15">
      <c r="A1871" s="2529"/>
      <c r="B1871" s="2529"/>
      <c r="C1871" s="2529"/>
      <c r="D1871" s="2166"/>
      <c r="E1871" s="2166"/>
      <c r="F1871" s="2166"/>
      <c r="G1871" s="2166"/>
      <c r="H1871" s="2525"/>
      <c r="I1871" s="2525"/>
      <c r="J1871" s="2525"/>
      <c r="K1871" s="2166"/>
      <c r="L1871" s="2167"/>
      <c r="M1871" s="2166"/>
    </row>
    <row r="1872" spans="1:15">
      <c r="A1872" s="2164"/>
      <c r="B1872" s="2164"/>
      <c r="C1872" s="2164"/>
      <c r="D1872" s="2164"/>
      <c r="E1872" s="2522" t="s">
        <v>2639</v>
      </c>
      <c r="F1872" s="2522"/>
      <c r="G1872" s="2164"/>
      <c r="H1872" s="2523">
        <v>0.2797</v>
      </c>
      <c r="I1872" s="2523"/>
      <c r="J1872" s="2523"/>
      <c r="K1872" s="2163"/>
      <c r="L1872" s="2523">
        <v>27.97</v>
      </c>
      <c r="M1872" s="2163"/>
    </row>
    <row r="1873" spans="1:15">
      <c r="A1873" s="2164"/>
      <c r="B1873" s="2164"/>
      <c r="C1873" s="2164"/>
      <c r="D1873" s="2164"/>
      <c r="E1873" s="2164"/>
      <c r="F1873" s="2164"/>
      <c r="G1873" s="2164"/>
      <c r="H1873" s="2523"/>
      <c r="I1873" s="2523"/>
      <c r="J1873" s="2523"/>
      <c r="K1873" s="2163"/>
      <c r="L1873" s="2523"/>
      <c r="M1873" s="2163"/>
    </row>
    <row r="1874" spans="1:15">
      <c r="A1874" s="2160" t="s">
        <v>2773</v>
      </c>
      <c r="B1874" s="2161"/>
      <c r="C1874" s="2160" t="s">
        <v>2774</v>
      </c>
      <c r="D1874" s="2161"/>
      <c r="E1874" s="2160" t="s">
        <v>2722</v>
      </c>
      <c r="F1874" s="2161"/>
    </row>
    <row r="1875" spans="1:15">
      <c r="A1875" s="2163"/>
      <c r="B1875" s="2163"/>
      <c r="C1875" s="2163"/>
      <c r="D1875" s="2163"/>
      <c r="E1875" s="2163"/>
      <c r="F1875" s="2163"/>
      <c r="G1875" s="2163"/>
      <c r="H1875" s="2163"/>
      <c r="I1875" s="2163"/>
      <c r="J1875" s="2163"/>
      <c r="K1875" s="2163"/>
      <c r="L1875" s="2163"/>
      <c r="M1875" s="2163"/>
    </row>
    <row r="1876" spans="1:15">
      <c r="A1876" s="2164"/>
      <c r="H1876" s="2522" t="s">
        <v>2637</v>
      </c>
      <c r="I1876" s="2522"/>
      <c r="J1876" s="2163"/>
      <c r="K1876" s="2523">
        <v>24.4117</v>
      </c>
      <c r="L1876" s="2523"/>
      <c r="M1876" s="2163"/>
      <c r="N1876" s="2527" t="s">
        <v>3157</v>
      </c>
      <c r="O1876" s="2163"/>
    </row>
    <row r="1877" spans="1:15">
      <c r="H1877" s="2163"/>
      <c r="I1877" s="2163"/>
      <c r="J1877" s="2163"/>
      <c r="K1877" s="2523"/>
      <c r="L1877" s="2523"/>
      <c r="N1877" s="2527"/>
    </row>
    <row r="1878" spans="1:15">
      <c r="A1878" s="2165">
        <v>35608</v>
      </c>
      <c r="B1878" s="2163"/>
      <c r="C1878" s="2524" t="s">
        <v>2888</v>
      </c>
      <c r="D1878" s="2524"/>
      <c r="E1878" s="2524"/>
      <c r="F1878" s="2524"/>
      <c r="G1878" s="2524"/>
      <c r="H1878" s="2524"/>
      <c r="I1878" s="2524"/>
      <c r="J1878" s="2163"/>
      <c r="K1878" s="2163"/>
      <c r="L1878" s="2163"/>
      <c r="M1878" s="2163"/>
    </row>
    <row r="1879" spans="1:15">
      <c r="A1879" s="2163"/>
      <c r="B1879" s="2163"/>
      <c r="C1879" s="2163"/>
      <c r="D1879" s="2163"/>
      <c r="E1879" s="2163"/>
      <c r="F1879" s="2163"/>
      <c r="G1879" s="2163"/>
      <c r="H1879" s="2163"/>
      <c r="I1879" s="2163"/>
      <c r="J1879" s="2163"/>
      <c r="K1879" s="2163"/>
      <c r="L1879" s="2163"/>
      <c r="M1879" s="2163"/>
    </row>
    <row r="1880" spans="1:15">
      <c r="A1880" s="2520" t="s">
        <v>2645</v>
      </c>
      <c r="B1880" s="2520"/>
      <c r="C1880" s="2520"/>
      <c r="D1880" s="2166"/>
      <c r="E1880" s="2166"/>
      <c r="F1880" s="2166"/>
      <c r="G1880" s="2166"/>
      <c r="H1880" s="2525"/>
      <c r="I1880" s="2525"/>
      <c r="J1880" s="2525"/>
      <c r="K1880" s="2166"/>
      <c r="L1880" s="2167"/>
      <c r="M1880" s="2166"/>
    </row>
    <row r="1881" spans="1:15">
      <c r="A1881" s="2520" t="s">
        <v>2645</v>
      </c>
      <c r="B1881" s="2520"/>
      <c r="C1881" s="2520"/>
      <c r="D1881" s="2166"/>
      <c r="E1881" s="2166"/>
      <c r="F1881" s="2166"/>
      <c r="G1881" s="2166"/>
      <c r="H1881" s="2525">
        <v>0.375</v>
      </c>
      <c r="I1881" s="2525"/>
      <c r="J1881" s="2525"/>
      <c r="K1881" s="2166"/>
      <c r="L1881" s="2167">
        <v>37.450000000000003</v>
      </c>
      <c r="M1881" s="2166"/>
    </row>
    <row r="1882" spans="1:15">
      <c r="A1882" s="2164"/>
      <c r="B1882" s="2164"/>
      <c r="C1882" s="2164"/>
      <c r="D1882" s="2164"/>
      <c r="E1882" s="2522" t="s">
        <v>2639</v>
      </c>
      <c r="F1882" s="2522"/>
      <c r="G1882" s="2164"/>
      <c r="H1882" s="2523">
        <v>24.786200000000001</v>
      </c>
      <c r="I1882" s="2523"/>
      <c r="J1882" s="2523"/>
      <c r="K1882" s="2163"/>
      <c r="L1882" s="2523">
        <v>2478.62</v>
      </c>
      <c r="M1882" s="2163"/>
    </row>
    <row r="1883" spans="1:15">
      <c r="A1883" s="2164"/>
      <c r="B1883" s="2164"/>
      <c r="C1883" s="2164"/>
      <c r="D1883" s="2164"/>
      <c r="E1883" s="2164"/>
      <c r="F1883" s="2164"/>
      <c r="G1883" s="2164"/>
      <c r="H1883" s="2523"/>
      <c r="I1883" s="2523"/>
      <c r="J1883" s="2523"/>
      <c r="K1883" s="2163"/>
      <c r="L1883" s="2523"/>
      <c r="M1883" s="2163"/>
    </row>
    <row r="1884" spans="1:15">
      <c r="A1884" s="2160" t="s">
        <v>2773</v>
      </c>
      <c r="B1884" s="2161"/>
      <c r="C1884" s="2160" t="s">
        <v>2774</v>
      </c>
      <c r="D1884" s="2161"/>
      <c r="E1884" s="2160" t="s">
        <v>2722</v>
      </c>
      <c r="F1884" s="2161"/>
    </row>
    <row r="1885" spans="1:15">
      <c r="A1885" s="2163"/>
      <c r="B1885" s="2163"/>
      <c r="C1885" s="2163"/>
      <c r="D1885" s="2163"/>
      <c r="E1885" s="2163"/>
      <c r="F1885" s="2163"/>
      <c r="G1885" s="2163"/>
      <c r="H1885" s="2163"/>
      <c r="I1885" s="2163"/>
      <c r="J1885" s="2163"/>
      <c r="K1885" s="2163"/>
      <c r="L1885" s="2163"/>
      <c r="M1885" s="2163"/>
    </row>
    <row r="1886" spans="1:15">
      <c r="A1886" s="2164"/>
      <c r="H1886" s="2522" t="s">
        <v>2637</v>
      </c>
      <c r="I1886" s="2522"/>
      <c r="J1886" s="2163"/>
      <c r="K1886" s="2523">
        <v>0</v>
      </c>
      <c r="L1886" s="2523"/>
      <c r="M1886" s="2163"/>
      <c r="N1886" s="2527"/>
      <c r="O1886" s="2163"/>
    </row>
    <row r="1887" spans="1:15">
      <c r="H1887" s="2163"/>
      <c r="I1887" s="2163"/>
      <c r="J1887" s="2163"/>
      <c r="K1887" s="2523"/>
      <c r="L1887" s="2523"/>
      <c r="N1887" s="2527"/>
    </row>
    <row r="1888" spans="1:15">
      <c r="A1888" s="2165">
        <v>50602</v>
      </c>
      <c r="B1888" s="2163"/>
      <c r="C1888" s="2524" t="s">
        <v>2880</v>
      </c>
      <c r="D1888" s="2524"/>
      <c r="E1888" s="2524"/>
      <c r="F1888" s="2524"/>
      <c r="G1888" s="2524"/>
      <c r="H1888" s="2524"/>
      <c r="I1888" s="2524"/>
      <c r="J1888" s="2163"/>
      <c r="K1888" s="2163"/>
      <c r="L1888" s="2163"/>
      <c r="M1888" s="2163"/>
    </row>
    <row r="1889" spans="1:15">
      <c r="A1889" s="2163"/>
      <c r="B1889" s="2163"/>
      <c r="C1889" s="2163"/>
      <c r="D1889" s="2163"/>
      <c r="E1889" s="2163"/>
      <c r="F1889" s="2163"/>
      <c r="G1889" s="2163"/>
      <c r="H1889" s="2163"/>
      <c r="I1889" s="2163"/>
      <c r="J1889" s="2163"/>
      <c r="K1889" s="2163"/>
      <c r="L1889" s="2163"/>
      <c r="M1889" s="2163"/>
    </row>
    <row r="1890" spans="1:15">
      <c r="A1890" s="2520" t="s">
        <v>2648</v>
      </c>
      <c r="B1890" s="2520"/>
      <c r="C1890" s="2520"/>
      <c r="D1890" s="2166"/>
      <c r="E1890" s="2166"/>
      <c r="F1890" s="2166"/>
      <c r="G1890" s="2166"/>
      <c r="H1890" s="2525">
        <v>-705.35500000000002</v>
      </c>
      <c r="I1890" s="2525"/>
      <c r="J1890" s="2525"/>
      <c r="K1890" s="2166"/>
      <c r="L1890" s="2168">
        <v>-70535.45</v>
      </c>
      <c r="M1890" s="2166"/>
    </row>
    <row r="1891" spans="1:15">
      <c r="A1891" s="2520" t="s">
        <v>2645</v>
      </c>
      <c r="B1891" s="2520"/>
      <c r="C1891" s="2520"/>
      <c r="D1891" s="2166"/>
      <c r="E1891" s="2166"/>
      <c r="F1891" s="2166"/>
      <c r="G1891" s="2166"/>
      <c r="H1891" s="2525"/>
      <c r="I1891" s="2525"/>
      <c r="J1891" s="2525"/>
      <c r="K1891" s="2166"/>
      <c r="L1891" s="2167"/>
      <c r="M1891" s="2166"/>
    </row>
    <row r="1892" spans="1:15">
      <c r="A1892" s="2520" t="s">
        <v>2645</v>
      </c>
      <c r="B1892" s="2520"/>
      <c r="C1892" s="2520"/>
      <c r="D1892" s="2166"/>
      <c r="E1892" s="2166"/>
      <c r="F1892" s="2166"/>
      <c r="G1892" s="2166"/>
      <c r="H1892" s="2525">
        <v>0.35499999999999998</v>
      </c>
      <c r="I1892" s="2525"/>
      <c r="J1892" s="2525"/>
      <c r="K1892" s="2166"/>
      <c r="L1892" s="2167">
        <v>35.450000000000003</v>
      </c>
      <c r="M1892" s="2166"/>
    </row>
    <row r="1893" spans="1:15">
      <c r="A1893" s="2520" t="s">
        <v>2649</v>
      </c>
      <c r="B1893" s="2520"/>
      <c r="C1893" s="2520"/>
      <c r="D1893" s="2166"/>
      <c r="E1893" s="2166"/>
      <c r="F1893" s="2166"/>
      <c r="G1893" s="2166"/>
      <c r="H1893" s="2525">
        <v>705</v>
      </c>
      <c r="I1893" s="2525"/>
      <c r="J1893" s="2525"/>
      <c r="K1893" s="2166"/>
      <c r="L1893" s="2177">
        <v>70500</v>
      </c>
      <c r="M1893" s="2166"/>
    </row>
    <row r="1894" spans="1:15">
      <c r="A1894" s="2164"/>
      <c r="B1894" s="2164"/>
      <c r="C1894" s="2164"/>
      <c r="D1894" s="2164"/>
      <c r="E1894" s="2522" t="s">
        <v>2639</v>
      </c>
      <c r="F1894" s="2522"/>
      <c r="G1894" s="2164"/>
      <c r="H1894" s="2523">
        <v>0</v>
      </c>
      <c r="I1894" s="2523"/>
      <c r="J1894" s="2523"/>
      <c r="K1894" s="2163"/>
      <c r="L1894" s="2523">
        <v>0</v>
      </c>
      <c r="M1894" s="2163"/>
    </row>
    <row r="1895" spans="1:15">
      <c r="A1895" s="2164"/>
      <c r="B1895" s="2164"/>
      <c r="C1895" s="2164"/>
      <c r="D1895" s="2164"/>
      <c r="E1895" s="2164"/>
      <c r="F1895" s="2164"/>
      <c r="G1895" s="2164"/>
      <c r="H1895" s="2523"/>
      <c r="I1895" s="2523"/>
      <c r="J1895" s="2523"/>
      <c r="K1895" s="2163"/>
      <c r="L1895" s="2523"/>
      <c r="M1895" s="2163"/>
    </row>
    <row r="1896" spans="1:15">
      <c r="A1896" s="2160" t="s">
        <v>2773</v>
      </c>
      <c r="B1896" s="2161"/>
      <c r="C1896" s="2160" t="s">
        <v>2774</v>
      </c>
      <c r="D1896" s="2161"/>
      <c r="E1896" s="2160" t="s">
        <v>2722</v>
      </c>
      <c r="F1896" s="2161"/>
    </row>
    <row r="1897" spans="1:15">
      <c r="A1897" s="2163"/>
      <c r="B1897" s="2163"/>
      <c r="C1897" s="2163"/>
      <c r="D1897" s="2163"/>
      <c r="E1897" s="2163"/>
      <c r="F1897" s="2163"/>
      <c r="G1897" s="2163"/>
      <c r="H1897" s="2163"/>
      <c r="I1897" s="2163"/>
      <c r="J1897" s="2163"/>
      <c r="K1897" s="2163"/>
      <c r="L1897" s="2163"/>
      <c r="M1897" s="2163"/>
    </row>
    <row r="1898" spans="1:15">
      <c r="A1898" s="2164"/>
      <c r="H1898" s="2522" t="s">
        <v>2637</v>
      </c>
      <c r="I1898" s="2522"/>
      <c r="J1898" s="2163"/>
      <c r="K1898" s="2523">
        <v>0</v>
      </c>
      <c r="L1898" s="2523"/>
      <c r="M1898" s="2163"/>
      <c r="N1898" s="2527"/>
      <c r="O1898" s="2163"/>
    </row>
    <row r="1899" spans="1:15">
      <c r="H1899" s="2163"/>
      <c r="I1899" s="2163"/>
      <c r="J1899" s="2163"/>
      <c r="K1899" s="2523"/>
      <c r="L1899" s="2523"/>
      <c r="N1899" s="2527"/>
    </row>
    <row r="1900" spans="1:15">
      <c r="A1900" s="2165">
        <v>75627</v>
      </c>
      <c r="B1900" s="2163"/>
      <c r="C1900" s="2524" t="s">
        <v>2889</v>
      </c>
      <c r="D1900" s="2524"/>
      <c r="E1900" s="2524"/>
      <c r="F1900" s="2524"/>
      <c r="G1900" s="2524"/>
      <c r="H1900" s="2524"/>
      <c r="I1900" s="2524"/>
      <c r="J1900" s="2163"/>
      <c r="K1900" s="2163"/>
      <c r="L1900" s="2163"/>
      <c r="M1900" s="2163"/>
    </row>
    <row r="1901" spans="1:15">
      <c r="A1901" s="2163"/>
      <c r="B1901" s="2163"/>
      <c r="C1901" s="2163"/>
      <c r="D1901" s="2163"/>
      <c r="E1901" s="2163"/>
      <c r="F1901" s="2163"/>
      <c r="G1901" s="2163"/>
      <c r="H1901" s="2163"/>
      <c r="I1901" s="2163"/>
      <c r="J1901" s="2163"/>
      <c r="K1901" s="2163"/>
      <c r="L1901" s="2163"/>
      <c r="M1901" s="2163"/>
    </row>
    <row r="1902" spans="1:15">
      <c r="A1902" s="2520" t="s">
        <v>2648</v>
      </c>
      <c r="B1902" s="2520"/>
      <c r="C1902" s="2520"/>
      <c r="D1902" s="2166"/>
      <c r="E1902" s="2166"/>
      <c r="F1902" s="2166"/>
      <c r="G1902" s="2166"/>
      <c r="H1902" s="2525">
        <v>-200.375</v>
      </c>
      <c r="I1902" s="2525"/>
      <c r="J1902" s="2525"/>
      <c r="K1902" s="2166"/>
      <c r="L1902" s="2168">
        <v>-20037.5</v>
      </c>
      <c r="M1902" s="2166"/>
    </row>
    <row r="1903" spans="1:15">
      <c r="A1903" s="2520" t="s">
        <v>2645</v>
      </c>
      <c r="B1903" s="2520"/>
      <c r="C1903" s="2520"/>
      <c r="D1903" s="2166"/>
      <c r="E1903" s="2166"/>
      <c r="F1903" s="2166"/>
      <c r="G1903" s="2166"/>
      <c r="H1903" s="2525"/>
      <c r="I1903" s="2525"/>
      <c r="J1903" s="2525"/>
      <c r="K1903" s="2166"/>
      <c r="L1903" s="2167"/>
      <c r="M1903" s="2166"/>
    </row>
    <row r="1904" spans="1:15">
      <c r="A1904" s="2520" t="s">
        <v>2645</v>
      </c>
      <c r="B1904" s="2520"/>
      <c r="C1904" s="2520"/>
      <c r="D1904" s="2166"/>
      <c r="E1904" s="2166"/>
      <c r="F1904" s="2166"/>
      <c r="G1904" s="2166"/>
      <c r="H1904" s="2525">
        <v>0.375</v>
      </c>
      <c r="I1904" s="2525"/>
      <c r="J1904" s="2525"/>
      <c r="K1904" s="2166"/>
      <c r="L1904" s="2167">
        <v>37.5</v>
      </c>
      <c r="M1904" s="2166"/>
    </row>
    <row r="1905" spans="1:15">
      <c r="A1905" s="2520" t="s">
        <v>2679</v>
      </c>
      <c r="B1905" s="2520"/>
      <c r="C1905" s="2520"/>
      <c r="D1905" s="2166"/>
      <c r="E1905" s="2166"/>
      <c r="F1905" s="2166"/>
      <c r="G1905" s="2166"/>
      <c r="H1905" s="2525">
        <v>-400</v>
      </c>
      <c r="I1905" s="2525"/>
      <c r="J1905" s="2525"/>
      <c r="K1905" s="2166"/>
      <c r="L1905" s="2177">
        <v>-40000</v>
      </c>
      <c r="M1905" s="2166"/>
    </row>
    <row r="1906" spans="1:15">
      <c r="A1906" s="2520" t="s">
        <v>2649</v>
      </c>
      <c r="B1906" s="2520"/>
      <c r="C1906" s="2520"/>
      <c r="D1906" s="2166"/>
      <c r="E1906" s="2166"/>
      <c r="F1906" s="2166"/>
      <c r="G1906" s="2166"/>
      <c r="H1906" s="2525">
        <v>600</v>
      </c>
      <c r="I1906" s="2525"/>
      <c r="J1906" s="2525"/>
      <c r="K1906" s="2166"/>
      <c r="L1906" s="2177">
        <v>60000</v>
      </c>
      <c r="M1906" s="2166"/>
    </row>
    <row r="1907" spans="1:15">
      <c r="A1907" s="2164"/>
      <c r="B1907" s="2164"/>
      <c r="C1907" s="2164"/>
      <c r="D1907" s="2164"/>
      <c r="E1907" s="2522" t="s">
        <v>2639</v>
      </c>
      <c r="F1907" s="2522"/>
      <c r="G1907" s="2164"/>
      <c r="H1907" s="2523">
        <v>0</v>
      </c>
      <c r="I1907" s="2523"/>
      <c r="J1907" s="2523"/>
      <c r="K1907" s="2163"/>
      <c r="L1907" s="2523">
        <v>0</v>
      </c>
      <c r="M1907" s="2163"/>
    </row>
    <row r="1908" spans="1:15">
      <c r="A1908" s="2164"/>
      <c r="B1908" s="2164"/>
      <c r="C1908" s="2164"/>
      <c r="D1908" s="2164"/>
      <c r="E1908" s="2164"/>
      <c r="F1908" s="2164"/>
      <c r="G1908" s="2164"/>
      <c r="H1908" s="2523"/>
      <c r="I1908" s="2523"/>
      <c r="J1908" s="2523"/>
      <c r="K1908" s="2163"/>
      <c r="L1908" s="2523"/>
      <c r="M1908" s="2163"/>
    </row>
    <row r="1909" spans="1:15">
      <c r="A1909" s="2160" t="s">
        <v>2773</v>
      </c>
      <c r="B1909" s="2161"/>
      <c r="C1909" s="2160" t="s">
        <v>2774</v>
      </c>
      <c r="D1909" s="2161"/>
      <c r="E1909" s="2160" t="s">
        <v>2722</v>
      </c>
      <c r="F1909" s="2161"/>
    </row>
    <row r="1910" spans="1:15">
      <c r="A1910" s="2163"/>
      <c r="B1910" s="2163"/>
      <c r="C1910" s="2163"/>
      <c r="D1910" s="2163"/>
      <c r="E1910" s="2163"/>
      <c r="F1910" s="2163"/>
      <c r="G1910" s="2163"/>
      <c r="H1910" s="2163"/>
      <c r="I1910" s="2163"/>
      <c r="J1910" s="2163"/>
      <c r="K1910" s="2163"/>
      <c r="L1910" s="2163"/>
      <c r="M1910" s="2163"/>
    </row>
    <row r="1911" spans="1:15">
      <c r="A1911" s="2164"/>
      <c r="H1911" s="2522" t="s">
        <v>2637</v>
      </c>
      <c r="I1911" s="2522"/>
      <c r="J1911" s="2163"/>
      <c r="K1911" s="2528">
        <v>18575.366399999999</v>
      </c>
      <c r="L1911" s="2528"/>
      <c r="M1911" s="2163"/>
      <c r="N1911" s="2527" t="s">
        <v>3158</v>
      </c>
      <c r="O1911" s="2163"/>
    </row>
    <row r="1912" spans="1:15">
      <c r="H1912" s="2163"/>
      <c r="I1912" s="2163"/>
      <c r="J1912" s="2163"/>
      <c r="K1912" s="2528"/>
      <c r="L1912" s="2528"/>
      <c r="N1912" s="2527"/>
    </row>
    <row r="1913" spans="1:15">
      <c r="A1913" s="2165">
        <v>75677</v>
      </c>
      <c r="B1913" s="2163"/>
      <c r="C1913" s="2524" t="s">
        <v>2890</v>
      </c>
      <c r="D1913" s="2524"/>
      <c r="E1913" s="2524"/>
      <c r="F1913" s="2524"/>
      <c r="G1913" s="2524"/>
      <c r="H1913" s="2524"/>
      <c r="I1913" s="2524"/>
      <c r="J1913" s="2163"/>
      <c r="K1913" s="2163"/>
      <c r="L1913" s="2163"/>
      <c r="M1913" s="2163"/>
    </row>
    <row r="1914" spans="1:15">
      <c r="A1914" s="2163"/>
      <c r="B1914" s="2163"/>
      <c r="C1914" s="2163"/>
      <c r="D1914" s="2163"/>
      <c r="E1914" s="2163"/>
      <c r="F1914" s="2163"/>
      <c r="G1914" s="2163"/>
      <c r="H1914" s="2163"/>
      <c r="I1914" s="2163"/>
      <c r="J1914" s="2163"/>
      <c r="K1914" s="2163"/>
      <c r="L1914" s="2163"/>
      <c r="M1914" s="2163"/>
    </row>
    <row r="1915" spans="1:15">
      <c r="A1915" s="2520" t="s">
        <v>2645</v>
      </c>
      <c r="B1915" s="2520"/>
      <c r="C1915" s="2520"/>
      <c r="D1915" s="2166"/>
      <c r="E1915" s="2166"/>
      <c r="F1915" s="2166"/>
      <c r="G1915" s="2166"/>
      <c r="H1915" s="2525"/>
      <c r="I1915" s="2525"/>
      <c r="J1915" s="2525"/>
      <c r="K1915" s="2166"/>
      <c r="L1915" s="2167"/>
      <c r="M1915" s="2166"/>
    </row>
    <row r="1916" spans="1:15">
      <c r="A1916" s="2520" t="s">
        <v>2645</v>
      </c>
      <c r="B1916" s="2520"/>
      <c r="C1916" s="2520"/>
      <c r="D1916" s="2166"/>
      <c r="E1916" s="2166"/>
      <c r="F1916" s="2166"/>
      <c r="G1916" s="2166"/>
      <c r="H1916" s="2525">
        <v>147.66999999999999</v>
      </c>
      <c r="I1916" s="2525"/>
      <c r="J1916" s="2525"/>
      <c r="K1916" s="2166"/>
      <c r="L1916" s="2168">
        <v>14767.01</v>
      </c>
      <c r="M1916" s="2166"/>
    </row>
    <row r="1917" spans="1:15">
      <c r="A1917" s="2520" t="s">
        <v>2679</v>
      </c>
      <c r="B1917" s="2520"/>
      <c r="C1917" s="2520"/>
      <c r="D1917" s="2166"/>
      <c r="E1917" s="2166"/>
      <c r="F1917" s="2166"/>
      <c r="G1917" s="2166"/>
      <c r="H1917" s="2526">
        <v>-18716.655999999999</v>
      </c>
      <c r="I1917" s="2526"/>
      <c r="J1917" s="2526"/>
      <c r="K1917" s="2166"/>
      <c r="L1917" s="2168">
        <v>-1871665.57</v>
      </c>
      <c r="M1917" s="2166"/>
    </row>
    <row r="1918" spans="1:15">
      <c r="A1918" s="2520" t="s">
        <v>2649</v>
      </c>
      <c r="B1918" s="2520"/>
      <c r="C1918" s="2520"/>
      <c r="D1918" s="2166"/>
      <c r="E1918" s="2166"/>
      <c r="F1918" s="2166"/>
      <c r="G1918" s="2166"/>
      <c r="H1918" s="2521">
        <v>3505</v>
      </c>
      <c r="I1918" s="2521"/>
      <c r="J1918" s="2521"/>
      <c r="K1918" s="2166"/>
      <c r="L1918" s="2177">
        <v>350500</v>
      </c>
      <c r="M1918" s="2166"/>
    </row>
    <row r="1919" spans="1:15">
      <c r="A1919" s="2164"/>
      <c r="B1919" s="2164"/>
      <c r="C1919" s="2164"/>
      <c r="D1919" s="2164"/>
      <c r="E1919" s="2522" t="s">
        <v>2639</v>
      </c>
      <c r="F1919" s="2522"/>
      <c r="G1919" s="2164"/>
      <c r="H1919" s="2528">
        <v>3511.3807999999999</v>
      </c>
      <c r="I1919" s="2528"/>
      <c r="J1919" s="2528"/>
      <c r="K1919" s="2163"/>
      <c r="L1919" s="2528">
        <v>351138.08</v>
      </c>
      <c r="M1919" s="2163"/>
    </row>
    <row r="1920" spans="1:15">
      <c r="A1920" s="2164"/>
      <c r="B1920" s="2164"/>
      <c r="C1920" s="2164"/>
      <c r="D1920" s="2164"/>
      <c r="E1920" s="2164"/>
      <c r="F1920" s="2164"/>
      <c r="G1920" s="2164"/>
      <c r="H1920" s="2528"/>
      <c r="I1920" s="2528"/>
      <c r="J1920" s="2528"/>
      <c r="K1920" s="2163"/>
      <c r="L1920" s="2528"/>
      <c r="M1920" s="2163"/>
    </row>
    <row r="1921" spans="1:15">
      <c r="A1921" s="2160" t="s">
        <v>2773</v>
      </c>
      <c r="B1921" s="2161"/>
      <c r="C1921" s="2160" t="s">
        <v>2774</v>
      </c>
      <c r="D1921" s="2161"/>
      <c r="E1921" s="2160" t="s">
        <v>2722</v>
      </c>
      <c r="F1921" s="2161"/>
    </row>
    <row r="1922" spans="1:15">
      <c r="A1922" s="2163"/>
      <c r="B1922" s="2163"/>
      <c r="C1922" s="2163"/>
      <c r="D1922" s="2163"/>
      <c r="E1922" s="2163"/>
      <c r="F1922" s="2163"/>
      <c r="G1922" s="2163"/>
      <c r="H1922" s="2163"/>
      <c r="I1922" s="2163"/>
      <c r="J1922" s="2163"/>
      <c r="K1922" s="2163"/>
      <c r="L1922" s="2163"/>
      <c r="M1922" s="2163"/>
    </row>
    <row r="1923" spans="1:15">
      <c r="A1923" s="2164"/>
      <c r="H1923" s="2522" t="s">
        <v>2637</v>
      </c>
      <c r="I1923" s="2522"/>
      <c r="J1923" s="2163"/>
      <c r="K1923" s="2528">
        <v>3002.0016999999998</v>
      </c>
      <c r="L1923" s="2528"/>
      <c r="M1923" s="2163"/>
      <c r="N1923" s="2527" t="s">
        <v>3159</v>
      </c>
      <c r="O1923" s="2163"/>
    </row>
    <row r="1924" spans="1:15">
      <c r="H1924" s="2163"/>
      <c r="I1924" s="2163"/>
      <c r="J1924" s="2163"/>
      <c r="K1924" s="2528"/>
      <c r="L1924" s="2528"/>
      <c r="N1924" s="2527"/>
    </row>
    <row r="1925" spans="1:15">
      <c r="A1925" s="2165">
        <v>54545</v>
      </c>
      <c r="B1925" s="2163"/>
      <c r="C1925" s="2524" t="s">
        <v>2884</v>
      </c>
      <c r="D1925" s="2524"/>
      <c r="E1925" s="2524"/>
      <c r="F1925" s="2524"/>
      <c r="G1925" s="2524"/>
      <c r="H1925" s="2524"/>
      <c r="I1925" s="2524"/>
      <c r="J1925" s="2163"/>
      <c r="K1925" s="2163"/>
      <c r="L1925" s="2163"/>
      <c r="M1925" s="2163"/>
    </row>
    <row r="1926" spans="1:15">
      <c r="A1926" s="2163"/>
      <c r="B1926" s="2163"/>
      <c r="C1926" s="2163"/>
      <c r="D1926" s="2163"/>
      <c r="E1926" s="2163"/>
      <c r="F1926" s="2163"/>
      <c r="G1926" s="2163"/>
      <c r="H1926" s="2163"/>
      <c r="I1926" s="2163"/>
      <c r="J1926" s="2163"/>
      <c r="K1926" s="2163"/>
      <c r="L1926" s="2163"/>
      <c r="M1926" s="2163"/>
    </row>
    <row r="1927" spans="1:15">
      <c r="A1927" s="2520" t="s">
        <v>2645</v>
      </c>
      <c r="B1927" s="2520"/>
      <c r="C1927" s="2520"/>
      <c r="D1927" s="2166"/>
      <c r="E1927" s="2166"/>
      <c r="F1927" s="2166"/>
      <c r="G1927" s="2166"/>
      <c r="H1927" s="2525"/>
      <c r="I1927" s="2525"/>
      <c r="J1927" s="2525"/>
      <c r="K1927" s="2166"/>
      <c r="L1927" s="2167"/>
      <c r="M1927" s="2166"/>
    </row>
    <row r="1928" spans="1:15">
      <c r="A1928" s="2520" t="s">
        <v>2645</v>
      </c>
      <c r="B1928" s="2520"/>
      <c r="C1928" s="2520"/>
      <c r="D1928" s="2166"/>
      <c r="E1928" s="2166"/>
      <c r="F1928" s="2166"/>
      <c r="G1928" s="2166"/>
      <c r="H1928" s="2525">
        <v>19.52</v>
      </c>
      <c r="I1928" s="2525"/>
      <c r="J1928" s="2525"/>
      <c r="K1928" s="2166"/>
      <c r="L1928" s="2177">
        <v>1952</v>
      </c>
      <c r="M1928" s="2166"/>
    </row>
    <row r="1929" spans="1:15">
      <c r="A1929" s="2520" t="s">
        <v>2679</v>
      </c>
      <c r="B1929" s="2520"/>
      <c r="C1929" s="2520"/>
      <c r="D1929" s="2166"/>
      <c r="E1929" s="2166"/>
      <c r="F1929" s="2166"/>
      <c r="G1929" s="2166"/>
      <c r="H1929" s="2526">
        <v>-11288.342000000001</v>
      </c>
      <c r="I1929" s="2526"/>
      <c r="J1929" s="2526"/>
      <c r="K1929" s="2166"/>
      <c r="L1929" s="2168">
        <v>-1128834.17</v>
      </c>
      <c r="M1929" s="2166"/>
    </row>
    <row r="1930" spans="1:15">
      <c r="A1930" s="2520" t="s">
        <v>2649</v>
      </c>
      <c r="B1930" s="2520"/>
      <c r="C1930" s="2520"/>
      <c r="D1930" s="2166"/>
      <c r="E1930" s="2166"/>
      <c r="F1930" s="2166"/>
      <c r="G1930" s="2166"/>
      <c r="H1930" s="2526">
        <v>8266.82</v>
      </c>
      <c r="I1930" s="2526"/>
      <c r="J1930" s="2526"/>
      <c r="K1930" s="2166"/>
      <c r="L1930" s="2177">
        <v>826682</v>
      </c>
      <c r="M1930" s="2166"/>
    </row>
    <row r="1931" spans="1:15">
      <c r="A1931" s="2164"/>
      <c r="B1931" s="2164"/>
      <c r="C1931" s="2164"/>
      <c r="D1931" s="2164"/>
      <c r="E1931" s="2522" t="s">
        <v>2639</v>
      </c>
      <c r="F1931" s="2522"/>
      <c r="G1931" s="2164"/>
      <c r="H1931" s="2523">
        <v>0</v>
      </c>
      <c r="I1931" s="2523"/>
      <c r="J1931" s="2523"/>
      <c r="K1931" s="2163"/>
      <c r="L1931" s="2523">
        <v>0</v>
      </c>
      <c r="M1931" s="2163"/>
    </row>
    <row r="1932" spans="1:15">
      <c r="A1932" s="2164"/>
      <c r="B1932" s="2164"/>
      <c r="C1932" s="2164"/>
      <c r="D1932" s="2164"/>
      <c r="E1932" s="2164"/>
      <c r="F1932" s="2164"/>
      <c r="G1932" s="2164"/>
      <c r="H1932" s="2523"/>
      <c r="I1932" s="2523"/>
      <c r="J1932" s="2523"/>
      <c r="K1932" s="2163"/>
      <c r="L1932" s="2523"/>
      <c r="M1932" s="2163"/>
    </row>
    <row r="1933" spans="1:15">
      <c r="A1933" s="2160" t="s">
        <v>2773</v>
      </c>
      <c r="B1933" s="2161"/>
      <c r="C1933" s="2160" t="s">
        <v>2774</v>
      </c>
      <c r="D1933" s="2161"/>
      <c r="E1933" s="2160" t="s">
        <v>2722</v>
      </c>
      <c r="F1933" s="2161"/>
    </row>
    <row r="1934" spans="1:15">
      <c r="A1934" s="2163"/>
      <c r="B1934" s="2163"/>
      <c r="C1934" s="2163"/>
      <c r="D1934" s="2163"/>
      <c r="E1934" s="2163"/>
      <c r="F1934" s="2163"/>
      <c r="G1934" s="2163"/>
      <c r="H1934" s="2163"/>
      <c r="I1934" s="2163"/>
      <c r="J1934" s="2163"/>
      <c r="K1934" s="2163"/>
      <c r="L1934" s="2163"/>
      <c r="M1934" s="2163"/>
    </row>
    <row r="1935" spans="1:15">
      <c r="A1935" s="2164"/>
      <c r="H1935" s="2522" t="s">
        <v>2637</v>
      </c>
      <c r="I1935" s="2522"/>
      <c r="J1935" s="2163"/>
      <c r="K1935" s="2523">
        <v>0</v>
      </c>
      <c r="L1935" s="2523"/>
      <c r="M1935" s="2163"/>
      <c r="N1935" s="2527"/>
      <c r="O1935" s="2163"/>
    </row>
    <row r="1936" spans="1:15">
      <c r="H1936" s="2163"/>
      <c r="I1936" s="2163"/>
      <c r="J1936" s="2163"/>
      <c r="K1936" s="2523"/>
      <c r="L1936" s="2523"/>
      <c r="N1936" s="2527"/>
    </row>
    <row r="1937" spans="1:15">
      <c r="A1937" s="2165">
        <v>65309</v>
      </c>
      <c r="B1937" s="2163"/>
      <c r="C1937" s="2524" t="s">
        <v>2894</v>
      </c>
      <c r="D1937" s="2524"/>
      <c r="E1937" s="2524"/>
      <c r="F1937" s="2524"/>
      <c r="G1937" s="2524"/>
      <c r="H1937" s="2524"/>
      <c r="I1937" s="2524"/>
      <c r="J1937" s="2163"/>
      <c r="K1937" s="2163"/>
      <c r="L1937" s="2163"/>
      <c r="M1937" s="2163"/>
    </row>
    <row r="1938" spans="1:15">
      <c r="A1938" s="2163"/>
      <c r="B1938" s="2163"/>
      <c r="C1938" s="2163"/>
      <c r="D1938" s="2163"/>
      <c r="E1938" s="2163"/>
      <c r="F1938" s="2163"/>
      <c r="G1938" s="2163"/>
      <c r="H1938" s="2163"/>
      <c r="I1938" s="2163"/>
      <c r="J1938" s="2163"/>
      <c r="K1938" s="2163"/>
      <c r="L1938" s="2163"/>
      <c r="M1938" s="2163"/>
    </row>
    <row r="1939" spans="1:15">
      <c r="A1939" s="2529"/>
      <c r="B1939" s="2529"/>
      <c r="C1939" s="2529"/>
      <c r="D1939" s="2166"/>
      <c r="E1939" s="2166"/>
      <c r="F1939" s="2166"/>
      <c r="G1939" s="2166"/>
      <c r="H1939" s="2525"/>
      <c r="I1939" s="2525"/>
      <c r="J1939" s="2525"/>
      <c r="K1939" s="2166"/>
      <c r="L1939" s="2167"/>
      <c r="M1939" s="2166"/>
    </row>
    <row r="1940" spans="1:15">
      <c r="A1940" s="2164"/>
      <c r="B1940" s="2164"/>
      <c r="C1940" s="2164"/>
      <c r="D1940" s="2164"/>
      <c r="E1940" s="2522" t="s">
        <v>2639</v>
      </c>
      <c r="F1940" s="2522"/>
      <c r="G1940" s="2164"/>
      <c r="H1940" s="2523">
        <v>0</v>
      </c>
      <c r="I1940" s="2523"/>
      <c r="J1940" s="2523"/>
      <c r="K1940" s="2163"/>
      <c r="L1940" s="2523">
        <v>0</v>
      </c>
      <c r="M1940" s="2163"/>
    </row>
    <row r="1941" spans="1:15">
      <c r="A1941" s="2164"/>
      <c r="B1941" s="2164"/>
      <c r="C1941" s="2164"/>
      <c r="D1941" s="2164"/>
      <c r="E1941" s="2164"/>
      <c r="F1941" s="2164"/>
      <c r="G1941" s="2164"/>
      <c r="H1941" s="2523"/>
      <c r="I1941" s="2523"/>
      <c r="J1941" s="2523"/>
      <c r="K1941" s="2163"/>
      <c r="L1941" s="2523"/>
      <c r="M1941" s="2163"/>
    </row>
    <row r="1942" spans="1:15">
      <c r="A1942" s="2160" t="s">
        <v>2773</v>
      </c>
      <c r="B1942" s="2161"/>
      <c r="C1942" s="2160" t="s">
        <v>2774</v>
      </c>
      <c r="D1942" s="2161"/>
      <c r="E1942" s="2160" t="s">
        <v>2722</v>
      </c>
      <c r="F1942" s="2161"/>
    </row>
    <row r="1943" spans="1:15">
      <c r="A1943" s="2163"/>
      <c r="B1943" s="2163"/>
      <c r="C1943" s="2163"/>
      <c r="D1943" s="2163"/>
      <c r="E1943" s="2163"/>
      <c r="F1943" s="2163"/>
      <c r="G1943" s="2163"/>
      <c r="H1943" s="2163"/>
      <c r="I1943" s="2163"/>
      <c r="J1943" s="2163"/>
      <c r="K1943" s="2163"/>
      <c r="L1943" s="2163"/>
      <c r="M1943" s="2163"/>
    </row>
    <row r="1944" spans="1:15">
      <c r="A1944" s="2164"/>
      <c r="H1944" s="2522" t="s">
        <v>2637</v>
      </c>
      <c r="I1944" s="2522"/>
      <c r="J1944" s="2163"/>
      <c r="K1944" s="2523">
        <v>613.87120000000004</v>
      </c>
      <c r="L1944" s="2523"/>
      <c r="M1944" s="2163"/>
      <c r="N1944" s="2527" t="s">
        <v>3160</v>
      </c>
      <c r="O1944" s="2163"/>
    </row>
    <row r="1945" spans="1:15">
      <c r="H1945" s="2163"/>
      <c r="I1945" s="2163"/>
      <c r="J1945" s="2163"/>
      <c r="K1945" s="2523"/>
      <c r="L1945" s="2523"/>
      <c r="N1945" s="2527"/>
    </row>
    <row r="1946" spans="1:15">
      <c r="A1946" s="2165">
        <v>65402</v>
      </c>
      <c r="B1946" s="2163"/>
      <c r="C1946" s="2524" t="s">
        <v>2895</v>
      </c>
      <c r="D1946" s="2524"/>
      <c r="E1946" s="2524"/>
      <c r="F1946" s="2524"/>
      <c r="G1946" s="2524"/>
      <c r="H1946" s="2524"/>
      <c r="I1946" s="2524"/>
      <c r="J1946" s="2163"/>
      <c r="K1946" s="2163"/>
      <c r="L1946" s="2163"/>
      <c r="M1946" s="2163"/>
    </row>
    <row r="1947" spans="1:15">
      <c r="A1947" s="2163"/>
      <c r="B1947" s="2163"/>
      <c r="C1947" s="2163"/>
      <c r="D1947" s="2163"/>
      <c r="E1947" s="2163"/>
      <c r="F1947" s="2163"/>
      <c r="G1947" s="2163"/>
      <c r="H1947" s="2163"/>
      <c r="I1947" s="2163"/>
      <c r="J1947" s="2163"/>
      <c r="K1947" s="2163"/>
      <c r="L1947" s="2163"/>
      <c r="M1947" s="2163"/>
    </row>
    <row r="1948" spans="1:15">
      <c r="A1948" s="2520" t="s">
        <v>2645</v>
      </c>
      <c r="B1948" s="2520"/>
      <c r="C1948" s="2520"/>
      <c r="D1948" s="2166"/>
      <c r="E1948" s="2166"/>
      <c r="F1948" s="2166"/>
      <c r="G1948" s="2166"/>
      <c r="H1948" s="2525"/>
      <c r="I1948" s="2525"/>
      <c r="J1948" s="2525"/>
      <c r="K1948" s="2166"/>
      <c r="L1948" s="2167"/>
      <c r="M1948" s="2166"/>
    </row>
    <row r="1949" spans="1:15">
      <c r="A1949" s="2520" t="s">
        <v>2645</v>
      </c>
      <c r="B1949" s="2520"/>
      <c r="C1949" s="2520"/>
      <c r="D1949" s="2166"/>
      <c r="E1949" s="2166"/>
      <c r="F1949" s="2166"/>
      <c r="G1949" s="2166"/>
      <c r="H1949" s="2525">
        <v>7.9779999999999998</v>
      </c>
      <c r="I1949" s="2525"/>
      <c r="J1949" s="2525"/>
      <c r="K1949" s="2166"/>
      <c r="L1949" s="2167">
        <v>797.78</v>
      </c>
      <c r="M1949" s="2166"/>
    </row>
    <row r="1950" spans="1:15">
      <c r="A1950" s="2164"/>
      <c r="B1950" s="2164"/>
      <c r="C1950" s="2164"/>
      <c r="D1950" s="2164"/>
      <c r="E1950" s="2522" t="s">
        <v>2639</v>
      </c>
      <c r="F1950" s="2522"/>
      <c r="G1950" s="2164"/>
      <c r="H1950" s="2523">
        <v>621.84900000000005</v>
      </c>
      <c r="I1950" s="2523"/>
      <c r="J1950" s="2523"/>
      <c r="K1950" s="2163"/>
      <c r="L1950" s="2528">
        <v>62184.9</v>
      </c>
      <c r="M1950" s="2163"/>
    </row>
    <row r="1951" spans="1:15">
      <c r="A1951" s="2164"/>
      <c r="B1951" s="2164"/>
      <c r="C1951" s="2164"/>
      <c r="D1951" s="2164"/>
      <c r="E1951" s="2164"/>
      <c r="F1951" s="2164"/>
      <c r="G1951" s="2164"/>
      <c r="H1951" s="2523"/>
      <c r="I1951" s="2523"/>
      <c r="J1951" s="2523"/>
      <c r="K1951" s="2163"/>
      <c r="L1951" s="2528"/>
      <c r="M1951" s="2163"/>
    </row>
    <row r="1952" spans="1:15">
      <c r="A1952" s="2160" t="s">
        <v>2773</v>
      </c>
      <c r="B1952" s="2161"/>
      <c r="C1952" s="2160" t="s">
        <v>2774</v>
      </c>
      <c r="D1952" s="2161"/>
      <c r="E1952" s="2160" t="s">
        <v>2722</v>
      </c>
      <c r="F1952" s="2161"/>
    </row>
    <row r="1953" spans="1:15">
      <c r="A1953" s="2163"/>
      <c r="B1953" s="2163"/>
      <c r="C1953" s="2163"/>
      <c r="D1953" s="2163"/>
      <c r="E1953" s="2163"/>
      <c r="F1953" s="2163"/>
      <c r="G1953" s="2163"/>
      <c r="H1953" s="2163"/>
      <c r="I1953" s="2163"/>
      <c r="J1953" s="2163"/>
      <c r="K1953" s="2163"/>
      <c r="L1953" s="2163"/>
      <c r="M1953" s="2163"/>
    </row>
    <row r="1954" spans="1:15">
      <c r="A1954" s="2164"/>
      <c r="H1954" s="2522" t="s">
        <v>2637</v>
      </c>
      <c r="I1954" s="2522"/>
      <c r="J1954" s="2163"/>
      <c r="K1954" s="2523">
        <v>0</v>
      </c>
      <c r="L1954" s="2523"/>
      <c r="M1954" s="2163"/>
      <c r="N1954" s="2527"/>
      <c r="O1954" s="2163"/>
    </row>
    <row r="1955" spans="1:15">
      <c r="H1955" s="2163"/>
      <c r="I1955" s="2163"/>
      <c r="J1955" s="2163"/>
      <c r="K1955" s="2523"/>
      <c r="L1955" s="2523"/>
      <c r="N1955" s="2527"/>
    </row>
    <row r="1956" spans="1:15">
      <c r="A1956" s="2165">
        <v>67110</v>
      </c>
      <c r="B1956" s="2163"/>
      <c r="C1956" s="2524" t="s">
        <v>2891</v>
      </c>
      <c r="D1956" s="2524"/>
      <c r="E1956" s="2524"/>
      <c r="F1956" s="2524"/>
      <c r="G1956" s="2524"/>
      <c r="H1956" s="2524"/>
      <c r="I1956" s="2524"/>
      <c r="J1956" s="2163"/>
      <c r="K1956" s="2163"/>
      <c r="L1956" s="2163"/>
      <c r="M1956" s="2163"/>
    </row>
    <row r="1957" spans="1:15">
      <c r="A1957" s="2163"/>
      <c r="B1957" s="2163"/>
      <c r="C1957" s="2163"/>
      <c r="D1957" s="2163"/>
      <c r="E1957" s="2163"/>
      <c r="F1957" s="2163"/>
      <c r="G1957" s="2163"/>
      <c r="H1957" s="2163"/>
      <c r="I1957" s="2163"/>
      <c r="J1957" s="2163"/>
      <c r="K1957" s="2163"/>
      <c r="L1957" s="2163"/>
      <c r="M1957" s="2163"/>
    </row>
    <row r="1958" spans="1:15">
      <c r="A1958" s="2529"/>
      <c r="B1958" s="2529"/>
      <c r="C1958" s="2529"/>
      <c r="D1958" s="2166"/>
      <c r="E1958" s="2166"/>
      <c r="F1958" s="2166"/>
      <c r="G1958" s="2166"/>
      <c r="H1958" s="2525"/>
      <c r="I1958" s="2525"/>
      <c r="J1958" s="2525"/>
      <c r="K1958" s="2166"/>
      <c r="L1958" s="2167"/>
      <c r="M1958" s="2166"/>
    </row>
    <row r="1959" spans="1:15">
      <c r="A1959" s="2164"/>
      <c r="B1959" s="2164"/>
      <c r="C1959" s="2164"/>
      <c r="D1959" s="2164"/>
      <c r="E1959" s="2522" t="s">
        <v>2639</v>
      </c>
      <c r="F1959" s="2522"/>
      <c r="G1959" s="2164"/>
      <c r="H1959" s="2523">
        <v>0</v>
      </c>
      <c r="I1959" s="2523"/>
      <c r="J1959" s="2523"/>
      <c r="K1959" s="2163"/>
      <c r="L1959" s="2523">
        <v>0</v>
      </c>
      <c r="M1959" s="2163"/>
    </row>
    <row r="1960" spans="1:15">
      <c r="A1960" s="2164"/>
      <c r="B1960" s="2164"/>
      <c r="C1960" s="2164"/>
      <c r="D1960" s="2164"/>
      <c r="E1960" s="2164"/>
      <c r="F1960" s="2164"/>
      <c r="G1960" s="2164"/>
      <c r="H1960" s="2523"/>
      <c r="I1960" s="2523"/>
      <c r="J1960" s="2523"/>
      <c r="K1960" s="2163"/>
      <c r="L1960" s="2523"/>
      <c r="M1960" s="2163"/>
    </row>
    <row r="1961" spans="1:15">
      <c r="A1961" s="2160" t="s">
        <v>2773</v>
      </c>
      <c r="B1961" s="2161"/>
      <c r="C1961" s="2160" t="s">
        <v>2774</v>
      </c>
      <c r="D1961" s="2161"/>
      <c r="E1961" s="2160" t="s">
        <v>2722</v>
      </c>
      <c r="F1961" s="2161"/>
    </row>
    <row r="1962" spans="1:15">
      <c r="A1962" s="2163"/>
      <c r="B1962" s="2163"/>
      <c r="C1962" s="2163"/>
      <c r="D1962" s="2163"/>
      <c r="E1962" s="2163"/>
      <c r="F1962" s="2163"/>
      <c r="G1962" s="2163"/>
      <c r="H1962" s="2163"/>
      <c r="I1962" s="2163"/>
      <c r="J1962" s="2163"/>
      <c r="K1962" s="2163"/>
      <c r="L1962" s="2163"/>
      <c r="M1962" s="2163"/>
    </row>
    <row r="1963" spans="1:15">
      <c r="A1963" s="2164"/>
      <c r="H1963" s="2522" t="s">
        <v>2637</v>
      </c>
      <c r="I1963" s="2522"/>
      <c r="J1963" s="2163"/>
      <c r="K1963" s="2528">
        <v>2836.8483999999999</v>
      </c>
      <c r="L1963" s="2528"/>
      <c r="M1963" s="2163"/>
      <c r="N1963" s="2527" t="s">
        <v>3161</v>
      </c>
      <c r="O1963" s="2163"/>
    </row>
    <row r="1964" spans="1:15">
      <c r="H1964" s="2163"/>
      <c r="I1964" s="2163"/>
      <c r="J1964" s="2163"/>
      <c r="K1964" s="2528"/>
      <c r="L1964" s="2528"/>
      <c r="N1964" s="2527"/>
    </row>
    <row r="1965" spans="1:15">
      <c r="A1965" s="2165">
        <v>70604</v>
      </c>
      <c r="B1965" s="2163"/>
      <c r="C1965" s="2524" t="s">
        <v>2896</v>
      </c>
      <c r="D1965" s="2524"/>
      <c r="E1965" s="2524"/>
      <c r="F1965" s="2524"/>
      <c r="G1965" s="2524"/>
      <c r="H1965" s="2524"/>
      <c r="I1965" s="2524"/>
      <c r="J1965" s="2163"/>
      <c r="K1965" s="2163"/>
      <c r="L1965" s="2163"/>
      <c r="M1965" s="2163"/>
    </row>
    <row r="1966" spans="1:15">
      <c r="A1966" s="2163"/>
      <c r="B1966" s="2163"/>
      <c r="C1966" s="2163"/>
      <c r="D1966" s="2163"/>
      <c r="E1966" s="2163"/>
      <c r="F1966" s="2163"/>
      <c r="G1966" s="2163"/>
      <c r="H1966" s="2163"/>
      <c r="I1966" s="2163"/>
      <c r="J1966" s="2163"/>
      <c r="K1966" s="2163"/>
      <c r="L1966" s="2163"/>
      <c r="M1966" s="2163"/>
    </row>
    <row r="1967" spans="1:15">
      <c r="A1967" s="2520" t="s">
        <v>2648</v>
      </c>
      <c r="B1967" s="2520"/>
      <c r="C1967" s="2520"/>
      <c r="D1967" s="2166"/>
      <c r="E1967" s="2166"/>
      <c r="F1967" s="2166"/>
      <c r="G1967" s="2166"/>
      <c r="H1967" s="2526">
        <v>-1300.3879999999999</v>
      </c>
      <c r="I1967" s="2526"/>
      <c r="J1967" s="2526"/>
      <c r="K1967" s="2166"/>
      <c r="L1967" s="2168">
        <v>-130038.8</v>
      </c>
      <c r="M1967" s="2166"/>
    </row>
    <row r="1968" spans="1:15">
      <c r="A1968" s="2520" t="s">
        <v>2645</v>
      </c>
      <c r="B1968" s="2520"/>
      <c r="C1968" s="2520"/>
      <c r="D1968" s="2166"/>
      <c r="E1968" s="2166"/>
      <c r="F1968" s="2166"/>
      <c r="G1968" s="2166"/>
      <c r="H1968" s="2525"/>
      <c r="I1968" s="2525"/>
      <c r="J1968" s="2525"/>
      <c r="K1968" s="2166"/>
      <c r="L1968" s="2167"/>
      <c r="M1968" s="2166"/>
    </row>
    <row r="1969" spans="1:15">
      <c r="A1969" s="2520" t="s">
        <v>2645</v>
      </c>
      <c r="B1969" s="2520"/>
      <c r="C1969" s="2520"/>
      <c r="D1969" s="2166"/>
      <c r="E1969" s="2166"/>
      <c r="F1969" s="2166"/>
      <c r="G1969" s="2166"/>
      <c r="H1969" s="2525">
        <v>2.93</v>
      </c>
      <c r="I1969" s="2525"/>
      <c r="J1969" s="2525"/>
      <c r="K1969" s="2166"/>
      <c r="L1969" s="2167">
        <v>293.02999999999997</v>
      </c>
      <c r="M1969" s="2166"/>
    </row>
    <row r="1970" spans="1:15">
      <c r="A1970" s="2520" t="s">
        <v>2679</v>
      </c>
      <c r="B1970" s="2520"/>
      <c r="C1970" s="2520"/>
      <c r="D1970" s="2166"/>
      <c r="E1970" s="2166"/>
      <c r="F1970" s="2166"/>
      <c r="G1970" s="2166"/>
      <c r="H1970" s="2526">
        <v>-2839.3910000000001</v>
      </c>
      <c r="I1970" s="2526"/>
      <c r="J1970" s="2526"/>
      <c r="K1970" s="2166"/>
      <c r="L1970" s="2168">
        <v>-283939.07</v>
      </c>
      <c r="M1970" s="2166"/>
    </row>
    <row r="1971" spans="1:15">
      <c r="A1971" s="2520" t="s">
        <v>2649</v>
      </c>
      <c r="B1971" s="2520"/>
      <c r="C1971" s="2520"/>
      <c r="D1971" s="2166"/>
      <c r="E1971" s="2166"/>
      <c r="F1971" s="2166"/>
      <c r="G1971" s="2166"/>
      <c r="H1971" s="2521">
        <v>1300</v>
      </c>
      <c r="I1971" s="2521"/>
      <c r="J1971" s="2521"/>
      <c r="K1971" s="2166"/>
      <c r="L1971" s="2177">
        <v>130000</v>
      </c>
      <c r="M1971" s="2166"/>
    </row>
    <row r="1972" spans="1:15">
      <c r="A1972" s="2164"/>
      <c r="B1972" s="2164"/>
      <c r="C1972" s="2164"/>
      <c r="D1972" s="2164"/>
      <c r="E1972" s="2522" t="s">
        <v>2639</v>
      </c>
      <c r="F1972" s="2522"/>
      <c r="G1972" s="2164"/>
      <c r="H1972" s="2523">
        <v>0</v>
      </c>
      <c r="I1972" s="2523"/>
      <c r="J1972" s="2523"/>
      <c r="K1972" s="2163"/>
      <c r="L1972" s="2523">
        <v>0</v>
      </c>
      <c r="M1972" s="2163"/>
    </row>
    <row r="1973" spans="1:15">
      <c r="A1973" s="2164"/>
      <c r="B1973" s="2164"/>
      <c r="C1973" s="2164"/>
      <c r="D1973" s="2164"/>
      <c r="E1973" s="2164"/>
      <c r="F1973" s="2164"/>
      <c r="G1973" s="2164"/>
      <c r="H1973" s="2523"/>
      <c r="I1973" s="2523"/>
      <c r="J1973" s="2523"/>
      <c r="K1973" s="2163"/>
      <c r="L1973" s="2523"/>
      <c r="M1973" s="2163"/>
    </row>
    <row r="1974" spans="1:15">
      <c r="A1974" s="2160" t="s">
        <v>2773</v>
      </c>
      <c r="B1974" s="2161"/>
      <c r="C1974" s="2160" t="s">
        <v>2774</v>
      </c>
      <c r="D1974" s="2161"/>
      <c r="E1974" s="2160" t="s">
        <v>2722</v>
      </c>
      <c r="F1974" s="2161"/>
    </row>
    <row r="1975" spans="1:15">
      <c r="A1975" s="2163"/>
      <c r="B1975" s="2163"/>
      <c r="C1975" s="2163"/>
      <c r="D1975" s="2163"/>
      <c r="E1975" s="2163"/>
      <c r="F1975" s="2163"/>
      <c r="G1975" s="2163"/>
      <c r="H1975" s="2163"/>
      <c r="I1975" s="2163"/>
      <c r="J1975" s="2163"/>
      <c r="K1975" s="2163"/>
      <c r="L1975" s="2163"/>
      <c r="M1975" s="2163"/>
    </row>
    <row r="1976" spans="1:15">
      <c r="A1976" s="2164"/>
      <c r="H1976" s="2522" t="s">
        <v>2637</v>
      </c>
      <c r="I1976" s="2522"/>
      <c r="J1976" s="2163"/>
      <c r="K1976" s="2523">
        <v>0</v>
      </c>
      <c r="L1976" s="2523"/>
      <c r="M1976" s="2163"/>
      <c r="N1976" s="2527"/>
      <c r="O1976" s="2163"/>
    </row>
    <row r="1977" spans="1:15">
      <c r="H1977" s="2163"/>
      <c r="I1977" s="2163"/>
      <c r="J1977" s="2163"/>
      <c r="K1977" s="2523"/>
      <c r="L1977" s="2523"/>
      <c r="N1977" s="2527"/>
    </row>
    <row r="1978" spans="1:15">
      <c r="A1978" s="2165">
        <v>73000</v>
      </c>
      <c r="B1978" s="2163"/>
      <c r="C1978" s="2524" t="s">
        <v>2880</v>
      </c>
      <c r="D1978" s="2524"/>
      <c r="E1978" s="2524"/>
      <c r="F1978" s="2524"/>
      <c r="G1978" s="2524"/>
      <c r="H1978" s="2524"/>
      <c r="I1978" s="2524"/>
      <c r="J1978" s="2163"/>
      <c r="K1978" s="2163"/>
      <c r="L1978" s="2163"/>
      <c r="M1978" s="2163"/>
    </row>
    <row r="1979" spans="1:15">
      <c r="A1979" s="2163"/>
      <c r="B1979" s="2163"/>
      <c r="C1979" s="2163"/>
      <c r="D1979" s="2163"/>
      <c r="E1979" s="2163"/>
      <c r="F1979" s="2163"/>
      <c r="G1979" s="2163"/>
      <c r="H1979" s="2163"/>
      <c r="I1979" s="2163"/>
      <c r="J1979" s="2163"/>
      <c r="K1979" s="2163"/>
      <c r="L1979" s="2163"/>
      <c r="M1979" s="2163"/>
    </row>
    <row r="1980" spans="1:15">
      <c r="A1980" s="2529"/>
      <c r="B1980" s="2529"/>
      <c r="C1980" s="2529"/>
      <c r="D1980" s="2166"/>
      <c r="E1980" s="2166"/>
      <c r="F1980" s="2166"/>
      <c r="G1980" s="2166"/>
      <c r="H1980" s="2525"/>
      <c r="I1980" s="2525"/>
      <c r="J1980" s="2525"/>
      <c r="K1980" s="2166"/>
      <c r="L1980" s="2167"/>
      <c r="M1980" s="2166"/>
    </row>
    <row r="1981" spans="1:15">
      <c r="A1981" s="2164"/>
      <c r="B1981" s="2164"/>
      <c r="C1981" s="2164"/>
      <c r="D1981" s="2164"/>
      <c r="E1981" s="2522" t="s">
        <v>2639</v>
      </c>
      <c r="F1981" s="2522"/>
      <c r="G1981" s="2164"/>
      <c r="H1981" s="2523">
        <v>0</v>
      </c>
      <c r="I1981" s="2523"/>
      <c r="J1981" s="2523"/>
      <c r="K1981" s="2163"/>
      <c r="L1981" s="2523">
        <v>0</v>
      </c>
      <c r="M1981" s="2163"/>
    </row>
    <row r="1982" spans="1:15">
      <c r="A1982" s="2164"/>
      <c r="B1982" s="2164"/>
      <c r="C1982" s="2164"/>
      <c r="D1982" s="2164"/>
      <c r="E1982" s="2164"/>
      <c r="F1982" s="2164"/>
      <c r="G1982" s="2164"/>
      <c r="H1982" s="2523"/>
      <c r="I1982" s="2523"/>
      <c r="J1982" s="2523"/>
      <c r="K1982" s="2163"/>
      <c r="L1982" s="2523"/>
      <c r="M1982" s="2163"/>
    </row>
    <row r="1983" spans="1:15">
      <c r="A1983" s="2160" t="s">
        <v>2773</v>
      </c>
      <c r="B1983" s="2161"/>
      <c r="C1983" s="2160" t="s">
        <v>2774</v>
      </c>
      <c r="D1983" s="2161"/>
      <c r="E1983" s="2160" t="s">
        <v>2722</v>
      </c>
      <c r="F1983" s="2161"/>
    </row>
    <row r="1984" spans="1:15">
      <c r="A1984" s="2163"/>
      <c r="B1984" s="2163"/>
      <c r="C1984" s="2163"/>
      <c r="D1984" s="2163"/>
      <c r="E1984" s="2163"/>
      <c r="F1984" s="2163"/>
      <c r="G1984" s="2163"/>
      <c r="H1984" s="2163"/>
      <c r="I1984" s="2163"/>
      <c r="J1984" s="2163"/>
      <c r="K1984" s="2163"/>
      <c r="L1984" s="2163"/>
      <c r="M1984" s="2163"/>
    </row>
    <row r="1985" spans="1:15">
      <c r="A1985" s="2164"/>
      <c r="H1985" s="2522" t="s">
        <v>2637</v>
      </c>
      <c r="I1985" s="2522"/>
      <c r="J1985" s="2163"/>
      <c r="K1985" s="2523">
        <v>0</v>
      </c>
      <c r="L1985" s="2523"/>
      <c r="M1985" s="2163"/>
      <c r="N1985" s="2527"/>
      <c r="O1985" s="2163"/>
    </row>
    <row r="1986" spans="1:15">
      <c r="H1986" s="2163"/>
      <c r="I1986" s="2163"/>
      <c r="J1986" s="2163"/>
      <c r="K1986" s="2523"/>
      <c r="L1986" s="2523"/>
      <c r="N1986" s="2527"/>
    </row>
    <row r="1987" spans="1:15">
      <c r="A1987" s="2165">
        <v>73898</v>
      </c>
      <c r="B1987" s="2163"/>
      <c r="C1987" s="2524" t="s">
        <v>2880</v>
      </c>
      <c r="D1987" s="2524"/>
      <c r="E1987" s="2524"/>
      <c r="F1987" s="2524"/>
      <c r="G1987" s="2524"/>
      <c r="H1987" s="2524"/>
      <c r="I1987" s="2524"/>
      <c r="J1987" s="2163"/>
      <c r="K1987" s="2163"/>
      <c r="L1987" s="2163"/>
      <c r="M1987" s="2163"/>
    </row>
    <row r="1988" spans="1:15">
      <c r="A1988" s="2163"/>
      <c r="B1988" s="2163"/>
      <c r="C1988" s="2163"/>
      <c r="D1988" s="2163"/>
      <c r="E1988" s="2163"/>
      <c r="F1988" s="2163"/>
      <c r="G1988" s="2163"/>
      <c r="H1988" s="2163"/>
      <c r="I1988" s="2163"/>
      <c r="J1988" s="2163"/>
      <c r="K1988" s="2163"/>
      <c r="L1988" s="2163"/>
      <c r="M1988" s="2163"/>
    </row>
    <row r="1989" spans="1:15">
      <c r="A1989" s="2529"/>
      <c r="B1989" s="2529"/>
      <c r="C1989" s="2529"/>
      <c r="D1989" s="2166"/>
      <c r="E1989" s="2166"/>
      <c r="F1989" s="2166"/>
      <c r="G1989" s="2166"/>
      <c r="H1989" s="2525"/>
      <c r="I1989" s="2525"/>
      <c r="J1989" s="2525"/>
      <c r="K1989" s="2166"/>
      <c r="L1989" s="2167"/>
      <c r="M1989" s="2166"/>
    </row>
    <row r="1990" spans="1:15">
      <c r="A1990" s="2164"/>
      <c r="B1990" s="2164"/>
      <c r="C1990" s="2164"/>
      <c r="D1990" s="2164"/>
      <c r="E1990" s="2522" t="s">
        <v>2639</v>
      </c>
      <c r="F1990" s="2522"/>
      <c r="G1990" s="2164"/>
      <c r="H1990" s="2523">
        <v>0</v>
      </c>
      <c r="I1990" s="2523"/>
      <c r="J1990" s="2523"/>
      <c r="K1990" s="2163"/>
      <c r="L1990" s="2523">
        <v>0</v>
      </c>
      <c r="M1990" s="2163"/>
    </row>
    <row r="1991" spans="1:15">
      <c r="A1991" s="2164"/>
      <c r="B1991" s="2164"/>
      <c r="C1991" s="2164"/>
      <c r="D1991" s="2164"/>
      <c r="E1991" s="2164"/>
      <c r="F1991" s="2164"/>
      <c r="G1991" s="2164"/>
      <c r="H1991" s="2523"/>
      <c r="I1991" s="2523"/>
      <c r="J1991" s="2523"/>
      <c r="K1991" s="2163"/>
      <c r="L1991" s="2523"/>
      <c r="M1991" s="2163"/>
    </row>
    <row r="1992" spans="1:15">
      <c r="A1992" s="2160" t="s">
        <v>2773</v>
      </c>
      <c r="B1992" s="2161"/>
      <c r="C1992" s="2160" t="s">
        <v>2774</v>
      </c>
      <c r="D1992" s="2161"/>
      <c r="E1992" s="2160" t="s">
        <v>2722</v>
      </c>
      <c r="F1992" s="2161"/>
    </row>
    <row r="1993" spans="1:15">
      <c r="A1993" s="2163"/>
      <c r="B1993" s="2163"/>
      <c r="C1993" s="2163"/>
      <c r="D1993" s="2163"/>
      <c r="E1993" s="2163"/>
      <c r="F1993" s="2163"/>
      <c r="G1993" s="2163"/>
      <c r="H1993" s="2163"/>
      <c r="I1993" s="2163"/>
      <c r="J1993" s="2163"/>
      <c r="K1993" s="2163"/>
      <c r="L1993" s="2163"/>
      <c r="M1993" s="2163"/>
    </row>
    <row r="1994" spans="1:15">
      <c r="A1994" s="2164"/>
      <c r="H1994" s="2522" t="s">
        <v>2637</v>
      </c>
      <c r="I1994" s="2522"/>
      <c r="J1994" s="2163"/>
      <c r="K1994" s="2523">
        <v>0</v>
      </c>
      <c r="L1994" s="2523"/>
      <c r="M1994" s="2163"/>
      <c r="N1994" s="2527"/>
      <c r="O1994" s="2163"/>
    </row>
    <row r="1995" spans="1:15">
      <c r="H1995" s="2163"/>
      <c r="I1995" s="2163"/>
      <c r="J1995" s="2163"/>
      <c r="K1995" s="2523"/>
      <c r="L1995" s="2523"/>
      <c r="N1995" s="2527"/>
    </row>
    <row r="1996" spans="1:15">
      <c r="A1996" s="2165">
        <v>75343</v>
      </c>
      <c r="B1996" s="2163"/>
      <c r="C1996" s="2524" t="s">
        <v>2892</v>
      </c>
      <c r="D1996" s="2524"/>
      <c r="E1996" s="2524"/>
      <c r="F1996" s="2524"/>
      <c r="G1996" s="2524"/>
      <c r="H1996" s="2524"/>
      <c r="I1996" s="2524"/>
      <c r="J1996" s="2163"/>
      <c r="K1996" s="2163"/>
      <c r="L1996" s="2163"/>
      <c r="M1996" s="2163"/>
    </row>
    <row r="1997" spans="1:15">
      <c r="A1997" s="2163"/>
      <c r="B1997" s="2163"/>
      <c r="C1997" s="2163"/>
      <c r="D1997" s="2163"/>
      <c r="E1997" s="2163"/>
      <c r="F1997" s="2163"/>
      <c r="G1997" s="2163"/>
      <c r="H1997" s="2163"/>
      <c r="I1997" s="2163"/>
      <c r="J1997" s="2163"/>
      <c r="K1997" s="2163"/>
      <c r="L1997" s="2163"/>
      <c r="M1997" s="2163"/>
    </row>
    <row r="1998" spans="1:15">
      <c r="A1998" s="2520" t="s">
        <v>2647</v>
      </c>
      <c r="B1998" s="2520"/>
      <c r="C1998" s="2520"/>
      <c r="D1998" s="2166"/>
      <c r="E1998" s="2166"/>
      <c r="F1998" s="2166"/>
      <c r="G1998" s="2166"/>
      <c r="H1998" s="2526">
        <v>1905.6489999999999</v>
      </c>
      <c r="I1998" s="2526"/>
      <c r="J1998" s="2526"/>
      <c r="K1998" s="2166"/>
      <c r="L1998" s="2168">
        <v>190564.94</v>
      </c>
      <c r="M1998" s="2166"/>
    </row>
    <row r="1999" spans="1:15">
      <c r="A1999" s="2520" t="s">
        <v>2648</v>
      </c>
      <c r="B1999" s="2520"/>
      <c r="C1999" s="2520"/>
      <c r="D1999" s="2166"/>
      <c r="E1999" s="2166"/>
      <c r="F1999" s="2166"/>
      <c r="G1999" s="2166"/>
      <c r="H1999" s="2526">
        <v>-1406.731</v>
      </c>
      <c r="I1999" s="2526"/>
      <c r="J1999" s="2526"/>
      <c r="K1999" s="2166"/>
      <c r="L1999" s="2168">
        <v>-140673.04999999999</v>
      </c>
      <c r="M1999" s="2166"/>
    </row>
    <row r="2000" spans="1:15">
      <c r="A2000" s="2520" t="s">
        <v>2645</v>
      </c>
      <c r="B2000" s="2520"/>
      <c r="C2000" s="2520"/>
      <c r="D2000" s="2166"/>
      <c r="E2000" s="2166"/>
      <c r="F2000" s="2166"/>
      <c r="G2000" s="2166"/>
      <c r="H2000" s="2525"/>
      <c r="I2000" s="2525"/>
      <c r="J2000" s="2525"/>
      <c r="K2000" s="2166"/>
      <c r="L2000" s="2167"/>
      <c r="M2000" s="2166"/>
    </row>
    <row r="2001" spans="1:15">
      <c r="A2001" s="2520" t="s">
        <v>2645</v>
      </c>
      <c r="B2001" s="2520"/>
      <c r="C2001" s="2520"/>
      <c r="D2001" s="2166"/>
      <c r="E2001" s="2166"/>
      <c r="F2001" s="2166"/>
      <c r="G2001" s="2166"/>
      <c r="H2001" s="2525">
        <v>0.63100000000000001</v>
      </c>
      <c r="I2001" s="2525"/>
      <c r="J2001" s="2525"/>
      <c r="K2001" s="2166"/>
      <c r="L2001" s="2167">
        <v>63.08</v>
      </c>
      <c r="M2001" s="2166"/>
    </row>
    <row r="2002" spans="1:15">
      <c r="A2002" s="2520" t="s">
        <v>2679</v>
      </c>
      <c r="B2002" s="2520"/>
      <c r="C2002" s="2520"/>
      <c r="D2002" s="2166"/>
      <c r="E2002" s="2166"/>
      <c r="F2002" s="2166"/>
      <c r="G2002" s="2166"/>
      <c r="H2002" s="2525">
        <v>-499.48</v>
      </c>
      <c r="I2002" s="2525"/>
      <c r="J2002" s="2525"/>
      <c r="K2002" s="2166"/>
      <c r="L2002" s="2168">
        <v>-49947.99</v>
      </c>
      <c r="M2002" s="2166"/>
    </row>
    <row r="2003" spans="1:15">
      <c r="A2003" s="2164"/>
      <c r="B2003" s="2164"/>
      <c r="C2003" s="2164"/>
      <c r="D2003" s="2164"/>
      <c r="E2003" s="2522" t="s">
        <v>2639</v>
      </c>
      <c r="F2003" s="2522"/>
      <c r="G2003" s="2164"/>
      <c r="H2003" s="2523">
        <v>6.9800000000000001E-2</v>
      </c>
      <c r="I2003" s="2523"/>
      <c r="J2003" s="2523"/>
      <c r="K2003" s="2163"/>
      <c r="L2003" s="2523">
        <v>6.98</v>
      </c>
      <c r="M2003" s="2163"/>
    </row>
    <row r="2004" spans="1:15">
      <c r="A2004" s="2164"/>
      <c r="B2004" s="2164"/>
      <c r="C2004" s="2164"/>
      <c r="D2004" s="2164"/>
      <c r="E2004" s="2164"/>
      <c r="F2004" s="2164"/>
      <c r="G2004" s="2164"/>
      <c r="H2004" s="2523"/>
      <c r="I2004" s="2523"/>
      <c r="J2004" s="2523"/>
      <c r="K2004" s="2163"/>
      <c r="L2004" s="2523"/>
      <c r="M2004" s="2163"/>
    </row>
    <row r="2005" spans="1:15">
      <c r="A2005" s="2160" t="s">
        <v>2773</v>
      </c>
      <c r="B2005" s="2161"/>
      <c r="C2005" s="2160" t="s">
        <v>2774</v>
      </c>
      <c r="D2005" s="2161"/>
      <c r="E2005" s="2160" t="s">
        <v>2722</v>
      </c>
      <c r="F2005" s="2161"/>
    </row>
    <row r="2006" spans="1:15">
      <c r="A2006" s="2163"/>
      <c r="B2006" s="2163"/>
      <c r="C2006" s="2163"/>
      <c r="D2006" s="2163"/>
      <c r="E2006" s="2163"/>
      <c r="F2006" s="2163"/>
      <c r="G2006" s="2163"/>
      <c r="H2006" s="2163"/>
      <c r="I2006" s="2163"/>
      <c r="J2006" s="2163"/>
      <c r="K2006" s="2163"/>
      <c r="L2006" s="2163"/>
      <c r="M2006" s="2163"/>
    </row>
    <row r="2007" spans="1:15">
      <c r="A2007" s="2164"/>
      <c r="H2007" s="2522" t="s">
        <v>2637</v>
      </c>
      <c r="I2007" s="2522"/>
      <c r="J2007" s="2163"/>
      <c r="K2007" s="2523">
        <v>3.3927</v>
      </c>
      <c r="L2007" s="2523"/>
      <c r="M2007" s="2163"/>
      <c r="N2007" s="2527" t="s">
        <v>3162</v>
      </c>
      <c r="O2007" s="2163"/>
    </row>
    <row r="2008" spans="1:15">
      <c r="H2008" s="2163"/>
      <c r="I2008" s="2163"/>
      <c r="J2008" s="2163"/>
      <c r="K2008" s="2523"/>
      <c r="L2008" s="2523"/>
      <c r="N2008" s="2527"/>
    </row>
    <row r="2009" spans="1:15">
      <c r="A2009" s="2165">
        <v>75561</v>
      </c>
      <c r="B2009" s="2163"/>
      <c r="C2009" s="2524" t="s">
        <v>2893</v>
      </c>
      <c r="D2009" s="2524"/>
      <c r="E2009" s="2524"/>
      <c r="F2009" s="2524"/>
      <c r="G2009" s="2524"/>
      <c r="H2009" s="2524"/>
      <c r="I2009" s="2524"/>
      <c r="J2009" s="2163"/>
      <c r="K2009" s="2163"/>
      <c r="L2009" s="2163"/>
      <c r="M2009" s="2163"/>
    </row>
    <row r="2010" spans="1:15">
      <c r="A2010" s="2163"/>
      <c r="B2010" s="2163"/>
      <c r="C2010" s="2163"/>
      <c r="D2010" s="2163"/>
      <c r="E2010" s="2163"/>
      <c r="F2010" s="2163"/>
      <c r="G2010" s="2163"/>
      <c r="H2010" s="2163"/>
      <c r="I2010" s="2163"/>
      <c r="J2010" s="2163"/>
      <c r="K2010" s="2163"/>
      <c r="L2010" s="2163"/>
      <c r="M2010" s="2163"/>
    </row>
    <row r="2011" spans="1:15">
      <c r="A2011" s="2520" t="s">
        <v>2647</v>
      </c>
      <c r="B2011" s="2520"/>
      <c r="C2011" s="2520"/>
      <c r="D2011" s="2166"/>
      <c r="E2011" s="2166"/>
      <c r="F2011" s="2166"/>
      <c r="G2011" s="2166"/>
      <c r="H2011" s="2526">
        <v>47830.767</v>
      </c>
      <c r="I2011" s="2526"/>
      <c r="J2011" s="2526"/>
      <c r="K2011" s="2166"/>
      <c r="L2011" s="2168">
        <v>4783076.7</v>
      </c>
      <c r="M2011" s="2166"/>
    </row>
    <row r="2012" spans="1:15">
      <c r="A2012" s="2520" t="s">
        <v>2648</v>
      </c>
      <c r="B2012" s="2520"/>
      <c r="C2012" s="2520"/>
      <c r="D2012" s="2166"/>
      <c r="E2012" s="2166"/>
      <c r="F2012" s="2166"/>
      <c r="G2012" s="2166"/>
      <c r="H2012" s="2526">
        <v>-178157.18799999999</v>
      </c>
      <c r="I2012" s="2526"/>
      <c r="J2012" s="2526"/>
      <c r="K2012" s="2166"/>
      <c r="L2012" s="2168">
        <v>-17815718.75</v>
      </c>
      <c r="M2012" s="2166"/>
    </row>
    <row r="2013" spans="1:15">
      <c r="A2013" s="2520" t="s">
        <v>2645</v>
      </c>
      <c r="B2013" s="2520"/>
      <c r="C2013" s="2520"/>
      <c r="D2013" s="2166"/>
      <c r="E2013" s="2166"/>
      <c r="F2013" s="2166"/>
      <c r="G2013" s="2166"/>
      <c r="H2013" s="2525"/>
      <c r="I2013" s="2525"/>
      <c r="J2013" s="2525"/>
      <c r="K2013" s="2166"/>
      <c r="L2013" s="2167"/>
      <c r="M2013" s="2166"/>
    </row>
    <row r="2014" spans="1:15">
      <c r="A2014" s="2520" t="s">
        <v>2645</v>
      </c>
      <c r="B2014" s="2520"/>
      <c r="C2014" s="2520"/>
      <c r="D2014" s="2166"/>
      <c r="E2014" s="2166"/>
      <c r="F2014" s="2166"/>
      <c r="G2014" s="2166"/>
      <c r="H2014" s="2525">
        <v>674.39400000000001</v>
      </c>
      <c r="I2014" s="2525"/>
      <c r="J2014" s="2525"/>
      <c r="K2014" s="2166"/>
      <c r="L2014" s="2168">
        <v>67439.42</v>
      </c>
      <c r="M2014" s="2166"/>
    </row>
    <row r="2015" spans="1:15">
      <c r="A2015" s="2520" t="s">
        <v>2679</v>
      </c>
      <c r="B2015" s="2520"/>
      <c r="C2015" s="2520"/>
      <c r="D2015" s="2166"/>
      <c r="E2015" s="2166"/>
      <c r="F2015" s="2166"/>
      <c r="G2015" s="2166"/>
      <c r="H2015" s="2521">
        <v>-73350</v>
      </c>
      <c r="I2015" s="2521"/>
      <c r="J2015" s="2521"/>
      <c r="K2015" s="2166"/>
      <c r="L2015" s="2177">
        <v>-7335000</v>
      </c>
      <c r="M2015" s="2166"/>
    </row>
    <row r="2016" spans="1:15">
      <c r="A2016" s="2520" t="s">
        <v>2649</v>
      </c>
      <c r="B2016" s="2520"/>
      <c r="C2016" s="2520"/>
      <c r="D2016" s="2166"/>
      <c r="E2016" s="2166"/>
      <c r="F2016" s="2166"/>
      <c r="G2016" s="2166"/>
      <c r="H2016" s="2521">
        <v>208000</v>
      </c>
      <c r="I2016" s="2521"/>
      <c r="J2016" s="2521"/>
      <c r="K2016" s="2166"/>
      <c r="L2016" s="2177">
        <v>20800000</v>
      </c>
      <c r="M2016" s="2166"/>
    </row>
    <row r="2017" spans="1:15">
      <c r="A2017" s="2164"/>
      <c r="B2017" s="2164"/>
      <c r="C2017" s="2164"/>
      <c r="D2017" s="2164"/>
      <c r="E2017" s="2522" t="s">
        <v>2639</v>
      </c>
      <c r="F2017" s="2522"/>
      <c r="G2017" s="2164"/>
      <c r="H2017" s="2528">
        <v>5001.3663999999999</v>
      </c>
      <c r="I2017" s="2528"/>
      <c r="J2017" s="2528"/>
      <c r="K2017" s="2163"/>
      <c r="L2017" s="2528">
        <v>500136.64</v>
      </c>
      <c r="M2017" s="2163"/>
    </row>
    <row r="2018" spans="1:15">
      <c r="A2018" s="2164"/>
      <c r="B2018" s="2164"/>
      <c r="C2018" s="2164"/>
      <c r="D2018" s="2164"/>
      <c r="E2018" s="2164"/>
      <c r="F2018" s="2164"/>
      <c r="G2018" s="2164"/>
      <c r="H2018" s="2528"/>
      <c r="I2018" s="2528"/>
      <c r="J2018" s="2528"/>
      <c r="K2018" s="2163"/>
      <c r="L2018" s="2528"/>
      <c r="M2018" s="2163"/>
    </row>
    <row r="2019" spans="1:15">
      <c r="A2019" s="2160" t="s">
        <v>2773</v>
      </c>
      <c r="B2019" s="2161"/>
      <c r="C2019" s="2160" t="s">
        <v>2774</v>
      </c>
      <c r="D2019" s="2161"/>
      <c r="E2019" s="2160" t="s">
        <v>2722</v>
      </c>
      <c r="F2019" s="2161"/>
    </row>
    <row r="2020" spans="1:15">
      <c r="A2020" s="2163"/>
      <c r="B2020" s="2163"/>
      <c r="C2020" s="2163"/>
      <c r="D2020" s="2163"/>
      <c r="E2020" s="2163"/>
      <c r="F2020" s="2163"/>
      <c r="G2020" s="2163"/>
      <c r="H2020" s="2163"/>
      <c r="I2020" s="2163"/>
      <c r="J2020" s="2163"/>
      <c r="K2020" s="2163"/>
      <c r="L2020" s="2163"/>
      <c r="M2020" s="2163"/>
    </row>
    <row r="2021" spans="1:15">
      <c r="A2021" s="2164"/>
      <c r="H2021" s="2522" t="s">
        <v>2637</v>
      </c>
      <c r="I2021" s="2522"/>
      <c r="J2021" s="2163"/>
      <c r="K2021" s="2523">
        <v>0</v>
      </c>
      <c r="L2021" s="2523"/>
      <c r="M2021" s="2163"/>
      <c r="N2021" s="2527"/>
      <c r="O2021" s="2163"/>
    </row>
    <row r="2022" spans="1:15">
      <c r="H2022" s="2163"/>
      <c r="I2022" s="2163"/>
      <c r="J2022" s="2163"/>
      <c r="K2022" s="2523"/>
      <c r="L2022" s="2523"/>
      <c r="N2022" s="2527"/>
    </row>
    <row r="2023" spans="1:15">
      <c r="A2023" s="2165">
        <v>76847</v>
      </c>
      <c r="B2023" s="2163"/>
      <c r="C2023" s="2524" t="s">
        <v>2885</v>
      </c>
      <c r="D2023" s="2524"/>
      <c r="E2023" s="2524"/>
      <c r="F2023" s="2524"/>
      <c r="G2023" s="2524"/>
      <c r="H2023" s="2524"/>
      <c r="I2023" s="2524"/>
      <c r="J2023" s="2163"/>
      <c r="K2023" s="2163"/>
      <c r="L2023" s="2163"/>
      <c r="M2023" s="2163"/>
    </row>
    <row r="2024" spans="1:15">
      <c r="A2024" s="2163"/>
      <c r="B2024" s="2163"/>
      <c r="C2024" s="2163"/>
      <c r="D2024" s="2163"/>
      <c r="E2024" s="2163"/>
      <c r="F2024" s="2163"/>
      <c r="G2024" s="2163"/>
      <c r="H2024" s="2163"/>
      <c r="I2024" s="2163"/>
      <c r="J2024" s="2163"/>
      <c r="K2024" s="2163"/>
      <c r="L2024" s="2163"/>
      <c r="M2024" s="2163"/>
    </row>
    <row r="2025" spans="1:15">
      <c r="A2025" s="2529"/>
      <c r="B2025" s="2529"/>
      <c r="C2025" s="2529"/>
      <c r="D2025" s="2166"/>
      <c r="E2025" s="2166"/>
      <c r="F2025" s="2166"/>
      <c r="G2025" s="2166"/>
      <c r="H2025" s="2525"/>
      <c r="I2025" s="2525"/>
      <c r="J2025" s="2525"/>
      <c r="K2025" s="2166"/>
      <c r="L2025" s="2167"/>
      <c r="M2025" s="2166"/>
    </row>
    <row r="2026" spans="1:15">
      <c r="A2026" s="2164"/>
      <c r="B2026" s="2164"/>
      <c r="C2026" s="2164"/>
      <c r="D2026" s="2164"/>
      <c r="E2026" s="2522" t="s">
        <v>2639</v>
      </c>
      <c r="F2026" s="2522"/>
      <c r="G2026" s="2164"/>
      <c r="H2026" s="2523">
        <v>0</v>
      </c>
      <c r="I2026" s="2523"/>
      <c r="J2026" s="2523"/>
      <c r="K2026" s="2163"/>
      <c r="L2026" s="2523">
        <v>0</v>
      </c>
      <c r="M2026" s="2163"/>
    </row>
    <row r="2027" spans="1:15">
      <c r="A2027" s="2164"/>
      <c r="B2027" s="2164"/>
      <c r="C2027" s="2164"/>
      <c r="D2027" s="2164"/>
      <c r="E2027" s="2164"/>
      <c r="F2027" s="2164"/>
      <c r="G2027" s="2164"/>
      <c r="H2027" s="2523"/>
      <c r="I2027" s="2523"/>
      <c r="J2027" s="2523"/>
      <c r="K2027" s="2163"/>
      <c r="L2027" s="2523"/>
      <c r="M2027" s="2163"/>
    </row>
    <row r="2028" spans="1:15">
      <c r="A2028" s="2160" t="s">
        <v>2773</v>
      </c>
      <c r="B2028" s="2161"/>
      <c r="C2028" s="2160" t="s">
        <v>2774</v>
      </c>
      <c r="D2028" s="2161"/>
      <c r="E2028" s="2160" t="s">
        <v>2722</v>
      </c>
      <c r="F2028" s="2161"/>
    </row>
    <row r="2029" spans="1:15">
      <c r="A2029" s="2163"/>
      <c r="B2029" s="2163"/>
      <c r="C2029" s="2163"/>
      <c r="D2029" s="2163"/>
      <c r="E2029" s="2163"/>
      <c r="F2029" s="2163"/>
      <c r="G2029" s="2163"/>
      <c r="H2029" s="2163"/>
      <c r="I2029" s="2163"/>
      <c r="J2029" s="2163"/>
      <c r="K2029" s="2163"/>
      <c r="L2029" s="2163"/>
      <c r="M2029" s="2163"/>
    </row>
    <row r="2030" spans="1:15">
      <c r="A2030" s="2164"/>
      <c r="H2030" s="2522" t="s">
        <v>2637</v>
      </c>
      <c r="I2030" s="2522"/>
      <c r="J2030" s="2163"/>
      <c r="K2030" s="2523">
        <v>0</v>
      </c>
      <c r="L2030" s="2523"/>
      <c r="M2030" s="2163"/>
      <c r="N2030" s="2527"/>
      <c r="O2030" s="2163"/>
    </row>
    <row r="2031" spans="1:15">
      <c r="H2031" s="2163"/>
      <c r="I2031" s="2163"/>
      <c r="J2031" s="2163"/>
      <c r="K2031" s="2523"/>
      <c r="L2031" s="2523"/>
      <c r="N2031" s="2527"/>
    </row>
    <row r="2032" spans="1:15">
      <c r="A2032" s="2165">
        <v>85972</v>
      </c>
      <c r="B2032" s="2163"/>
      <c r="C2032" s="2524" t="s">
        <v>2884</v>
      </c>
      <c r="D2032" s="2524"/>
      <c r="E2032" s="2524"/>
      <c r="F2032" s="2524"/>
      <c r="G2032" s="2524"/>
      <c r="H2032" s="2524"/>
      <c r="I2032" s="2524"/>
      <c r="J2032" s="2163"/>
      <c r="K2032" s="2163"/>
      <c r="L2032" s="2163"/>
      <c r="M2032" s="2163"/>
    </row>
    <row r="2033" spans="1:13">
      <c r="A2033" s="2163"/>
      <c r="B2033" s="2163"/>
      <c r="C2033" s="2163"/>
      <c r="D2033" s="2163"/>
      <c r="E2033" s="2163"/>
      <c r="F2033" s="2163"/>
      <c r="G2033" s="2163"/>
      <c r="H2033" s="2163"/>
      <c r="I2033" s="2163"/>
      <c r="J2033" s="2163"/>
      <c r="K2033" s="2163"/>
      <c r="L2033" s="2163"/>
      <c r="M2033" s="2163"/>
    </row>
    <row r="2034" spans="1:13">
      <c r="A2034" s="2520" t="s">
        <v>2645</v>
      </c>
      <c r="B2034" s="2520"/>
      <c r="C2034" s="2520"/>
      <c r="D2034" s="2166"/>
      <c r="E2034" s="2166"/>
      <c r="F2034" s="2166"/>
      <c r="G2034" s="2166"/>
      <c r="H2034" s="2525"/>
      <c r="I2034" s="2525"/>
      <c r="J2034" s="2525"/>
      <c r="K2034" s="2166"/>
      <c r="L2034" s="2167"/>
      <c r="M2034" s="2166"/>
    </row>
    <row r="2035" spans="1:13">
      <c r="A2035" s="2520" t="s">
        <v>2645</v>
      </c>
      <c r="B2035" s="2520"/>
      <c r="C2035" s="2520"/>
      <c r="D2035" s="2166"/>
      <c r="E2035" s="2166"/>
      <c r="F2035" s="2166"/>
      <c r="G2035" s="2166"/>
      <c r="H2035" s="2525">
        <v>207.971</v>
      </c>
      <c r="I2035" s="2525"/>
      <c r="J2035" s="2525"/>
      <c r="K2035" s="2166"/>
      <c r="L2035" s="2168">
        <v>20797.060000000001</v>
      </c>
      <c r="M2035" s="2166"/>
    </row>
    <row r="2036" spans="1:13">
      <c r="A2036" s="2520" t="s">
        <v>2679</v>
      </c>
      <c r="B2036" s="2520"/>
      <c r="C2036" s="2520"/>
      <c r="D2036" s="2166"/>
      <c r="E2036" s="2166"/>
      <c r="F2036" s="2166"/>
      <c r="G2036" s="2166"/>
      <c r="H2036" s="2521">
        <v>-34500</v>
      </c>
      <c r="I2036" s="2521"/>
      <c r="J2036" s="2521"/>
      <c r="K2036" s="2166"/>
      <c r="L2036" s="2177">
        <v>-3450000</v>
      </c>
      <c r="M2036" s="2166"/>
    </row>
    <row r="2037" spans="1:13">
      <c r="A2037" s="2520" t="s">
        <v>2649</v>
      </c>
      <c r="B2037" s="2520"/>
      <c r="C2037" s="2520"/>
      <c r="D2037" s="2166"/>
      <c r="E2037" s="2166"/>
      <c r="F2037" s="2166"/>
      <c r="G2037" s="2166"/>
      <c r="H2037" s="2521">
        <v>60000</v>
      </c>
      <c r="I2037" s="2521"/>
      <c r="J2037" s="2521"/>
      <c r="K2037" s="2166"/>
      <c r="L2037" s="2177">
        <v>6000000</v>
      </c>
      <c r="M2037" s="2166"/>
    </row>
    <row r="2038" spans="1:13">
      <c r="A2038" s="2164"/>
      <c r="B2038" s="2164"/>
      <c r="C2038" s="2164"/>
      <c r="D2038" s="2164"/>
      <c r="E2038" s="2522" t="s">
        <v>2639</v>
      </c>
      <c r="F2038" s="2522"/>
      <c r="G2038" s="2164"/>
      <c r="H2038" s="2528">
        <v>25707.970600000001</v>
      </c>
      <c r="I2038" s="2528"/>
      <c r="J2038" s="2528"/>
      <c r="K2038" s="2163"/>
      <c r="L2038" s="2528">
        <v>2570797.06</v>
      </c>
      <c r="M2038" s="2163"/>
    </row>
    <row r="2039" spans="1:13">
      <c r="A2039" s="2164"/>
      <c r="B2039" s="2164"/>
      <c r="C2039" s="2164"/>
      <c r="D2039" s="2164"/>
      <c r="E2039" s="2164"/>
      <c r="F2039" s="2164"/>
      <c r="G2039" s="2164"/>
      <c r="H2039" s="2528"/>
      <c r="I2039" s="2528"/>
      <c r="J2039" s="2528"/>
      <c r="K2039" s="2163"/>
      <c r="L2039" s="2528"/>
      <c r="M2039" s="2163"/>
    </row>
  </sheetData>
  <mergeCells count="2152">
    <mergeCell ref="H3:I3"/>
    <mergeCell ref="K3:L4"/>
    <mergeCell ref="N3:N4"/>
    <mergeCell ref="C5:I5"/>
    <mergeCell ref="A7:C7"/>
    <mergeCell ref="H7:J7"/>
    <mergeCell ref="H21:I21"/>
    <mergeCell ref="K21:L22"/>
    <mergeCell ref="N21:N22"/>
    <mergeCell ref="C23:I23"/>
    <mergeCell ref="A25:C25"/>
    <mergeCell ref="H25:J25"/>
    <mergeCell ref="C14:I14"/>
    <mergeCell ref="A16:C16"/>
    <mergeCell ref="H16:J16"/>
    <mergeCell ref="E17:F17"/>
    <mergeCell ref="H17:J18"/>
    <mergeCell ref="L17:L18"/>
    <mergeCell ref="E8:F8"/>
    <mergeCell ref="H8:J9"/>
    <mergeCell ref="L8:L9"/>
    <mergeCell ref="H12:I12"/>
    <mergeCell ref="K12:L13"/>
    <mergeCell ref="N12:N13"/>
    <mergeCell ref="H39:I39"/>
    <mergeCell ref="K39:L40"/>
    <mergeCell ref="N39:N40"/>
    <mergeCell ref="C41:I41"/>
    <mergeCell ref="A43:C43"/>
    <mergeCell ref="H43:J43"/>
    <mergeCell ref="C32:I32"/>
    <mergeCell ref="A34:C34"/>
    <mergeCell ref="H34:J34"/>
    <mergeCell ref="E35:F35"/>
    <mergeCell ref="H35:J36"/>
    <mergeCell ref="L35:L36"/>
    <mergeCell ref="E26:F26"/>
    <mergeCell ref="H26:J27"/>
    <mergeCell ref="L26:L27"/>
    <mergeCell ref="H30:I30"/>
    <mergeCell ref="K30:L31"/>
    <mergeCell ref="N30:N31"/>
    <mergeCell ref="H57:I57"/>
    <mergeCell ref="K57:L58"/>
    <mergeCell ref="N57:N58"/>
    <mergeCell ref="C59:I59"/>
    <mergeCell ref="A61:C61"/>
    <mergeCell ref="H61:J61"/>
    <mergeCell ref="C50:I50"/>
    <mergeCell ref="A52:C52"/>
    <mergeCell ref="H52:J52"/>
    <mergeCell ref="E53:F53"/>
    <mergeCell ref="H53:J54"/>
    <mergeCell ref="L53:L54"/>
    <mergeCell ref="E44:F44"/>
    <mergeCell ref="H44:J45"/>
    <mergeCell ref="L44:L45"/>
    <mergeCell ref="H48:I48"/>
    <mergeCell ref="K48:L49"/>
    <mergeCell ref="N48:N49"/>
    <mergeCell ref="H75:I75"/>
    <mergeCell ref="K75:L76"/>
    <mergeCell ref="N75:N76"/>
    <mergeCell ref="C77:I77"/>
    <mergeCell ref="A79:C79"/>
    <mergeCell ref="H79:J79"/>
    <mergeCell ref="C68:I68"/>
    <mergeCell ref="A70:C70"/>
    <mergeCell ref="H70:J70"/>
    <mergeCell ref="E71:F71"/>
    <mergeCell ref="H71:J72"/>
    <mergeCell ref="L71:L72"/>
    <mergeCell ref="E62:F62"/>
    <mergeCell ref="H62:J63"/>
    <mergeCell ref="L62:L63"/>
    <mergeCell ref="H66:I66"/>
    <mergeCell ref="K66:L67"/>
    <mergeCell ref="N66:N67"/>
    <mergeCell ref="H93:I93"/>
    <mergeCell ref="K93:L94"/>
    <mergeCell ref="N93:N94"/>
    <mergeCell ref="C95:I95"/>
    <mergeCell ref="A97:C97"/>
    <mergeCell ref="H97:J97"/>
    <mergeCell ref="C86:I86"/>
    <mergeCell ref="A88:C88"/>
    <mergeCell ref="H88:J88"/>
    <mergeCell ref="E89:F89"/>
    <mergeCell ref="H89:J90"/>
    <mergeCell ref="L89:L90"/>
    <mergeCell ref="E80:F80"/>
    <mergeCell ref="H80:J81"/>
    <mergeCell ref="L80:L81"/>
    <mergeCell ref="H84:I84"/>
    <mergeCell ref="K84:L85"/>
    <mergeCell ref="N84:N85"/>
    <mergeCell ref="H111:I111"/>
    <mergeCell ref="K111:L112"/>
    <mergeCell ref="N111:N112"/>
    <mergeCell ref="C113:I113"/>
    <mergeCell ref="A115:C115"/>
    <mergeCell ref="H115:J115"/>
    <mergeCell ref="C104:I104"/>
    <mergeCell ref="A106:C106"/>
    <mergeCell ref="H106:J106"/>
    <mergeCell ref="E107:F107"/>
    <mergeCell ref="H107:J108"/>
    <mergeCell ref="L107:L108"/>
    <mergeCell ref="E98:F98"/>
    <mergeCell ref="H98:J99"/>
    <mergeCell ref="L98:L99"/>
    <mergeCell ref="H102:I102"/>
    <mergeCell ref="K102:L103"/>
    <mergeCell ref="N102:N103"/>
    <mergeCell ref="H129:I129"/>
    <mergeCell ref="K129:L130"/>
    <mergeCell ref="N129:N130"/>
    <mergeCell ref="C131:I131"/>
    <mergeCell ref="A133:C133"/>
    <mergeCell ref="H133:J133"/>
    <mergeCell ref="C122:I122"/>
    <mergeCell ref="A124:C124"/>
    <mergeCell ref="H124:J124"/>
    <mergeCell ref="E125:F125"/>
    <mergeCell ref="H125:J126"/>
    <mergeCell ref="L125:L126"/>
    <mergeCell ref="E116:F116"/>
    <mergeCell ref="H116:J117"/>
    <mergeCell ref="L116:L117"/>
    <mergeCell ref="H120:I120"/>
    <mergeCell ref="K120:L121"/>
    <mergeCell ref="N120:N121"/>
    <mergeCell ref="H147:I147"/>
    <mergeCell ref="K147:L148"/>
    <mergeCell ref="N147:N148"/>
    <mergeCell ref="C149:I149"/>
    <mergeCell ref="A151:C151"/>
    <mergeCell ref="H151:J151"/>
    <mergeCell ref="C140:I140"/>
    <mergeCell ref="A142:C142"/>
    <mergeCell ref="H142:J142"/>
    <mergeCell ref="E143:F143"/>
    <mergeCell ref="H143:J144"/>
    <mergeCell ref="L143:L144"/>
    <mergeCell ref="E134:F134"/>
    <mergeCell ref="H134:J135"/>
    <mergeCell ref="L134:L135"/>
    <mergeCell ref="H138:I138"/>
    <mergeCell ref="K138:L139"/>
    <mergeCell ref="N138:N139"/>
    <mergeCell ref="H165:I165"/>
    <mergeCell ref="K165:L166"/>
    <mergeCell ref="N165:N166"/>
    <mergeCell ref="C167:I167"/>
    <mergeCell ref="A169:C169"/>
    <mergeCell ref="H169:J169"/>
    <mergeCell ref="C158:I158"/>
    <mergeCell ref="A160:C160"/>
    <mergeCell ref="H160:J160"/>
    <mergeCell ref="E161:F161"/>
    <mergeCell ref="H161:J162"/>
    <mergeCell ref="L161:L162"/>
    <mergeCell ref="E152:F152"/>
    <mergeCell ref="H152:J153"/>
    <mergeCell ref="L152:L153"/>
    <mergeCell ref="H156:I156"/>
    <mergeCell ref="K156:L157"/>
    <mergeCell ref="N156:N157"/>
    <mergeCell ref="H183:I183"/>
    <mergeCell ref="K183:L184"/>
    <mergeCell ref="N183:N184"/>
    <mergeCell ref="C185:I185"/>
    <mergeCell ref="A187:C187"/>
    <mergeCell ref="H187:J187"/>
    <mergeCell ref="C176:I176"/>
    <mergeCell ref="A178:C178"/>
    <mergeCell ref="H178:J178"/>
    <mergeCell ref="E179:F179"/>
    <mergeCell ref="H179:J180"/>
    <mergeCell ref="L179:L180"/>
    <mergeCell ref="E170:F170"/>
    <mergeCell ref="H170:J171"/>
    <mergeCell ref="L170:L171"/>
    <mergeCell ref="H174:I174"/>
    <mergeCell ref="K174:L175"/>
    <mergeCell ref="N174:N175"/>
    <mergeCell ref="H201:I201"/>
    <mergeCell ref="K201:L202"/>
    <mergeCell ref="N201:N202"/>
    <mergeCell ref="C203:I203"/>
    <mergeCell ref="A205:C205"/>
    <mergeCell ref="H205:J205"/>
    <mergeCell ref="C194:I194"/>
    <mergeCell ref="A196:C196"/>
    <mergeCell ref="H196:J196"/>
    <mergeCell ref="E197:F197"/>
    <mergeCell ref="H197:J198"/>
    <mergeCell ref="L197:L198"/>
    <mergeCell ref="E188:F188"/>
    <mergeCell ref="H188:J189"/>
    <mergeCell ref="L188:L189"/>
    <mergeCell ref="H192:I192"/>
    <mergeCell ref="K192:L193"/>
    <mergeCell ref="N192:N193"/>
    <mergeCell ref="H219:I219"/>
    <mergeCell ref="K219:L220"/>
    <mergeCell ref="N219:N220"/>
    <mergeCell ref="C221:I221"/>
    <mergeCell ref="A223:C223"/>
    <mergeCell ref="H223:J223"/>
    <mergeCell ref="C212:I212"/>
    <mergeCell ref="A214:C214"/>
    <mergeCell ref="H214:J214"/>
    <mergeCell ref="E215:F215"/>
    <mergeCell ref="H215:J216"/>
    <mergeCell ref="L215:L216"/>
    <mergeCell ref="E206:F206"/>
    <mergeCell ref="H206:J207"/>
    <mergeCell ref="L206:L207"/>
    <mergeCell ref="H210:I210"/>
    <mergeCell ref="K210:L211"/>
    <mergeCell ref="N210:N211"/>
    <mergeCell ref="N246:N247"/>
    <mergeCell ref="H237:I237"/>
    <mergeCell ref="K237:L238"/>
    <mergeCell ref="N237:N238"/>
    <mergeCell ref="C239:I239"/>
    <mergeCell ref="A241:C241"/>
    <mergeCell ref="H241:J241"/>
    <mergeCell ref="C230:I230"/>
    <mergeCell ref="A232:C232"/>
    <mergeCell ref="H232:J232"/>
    <mergeCell ref="E233:F233"/>
    <mergeCell ref="H233:J234"/>
    <mergeCell ref="L233:L234"/>
    <mergeCell ref="E224:F224"/>
    <mergeCell ref="H224:J225"/>
    <mergeCell ref="L224:L225"/>
    <mergeCell ref="H228:I228"/>
    <mergeCell ref="K228:L229"/>
    <mergeCell ref="N228:N229"/>
    <mergeCell ref="A253:C253"/>
    <mergeCell ref="H253:J253"/>
    <mergeCell ref="A254:C254"/>
    <mergeCell ref="H254:J254"/>
    <mergeCell ref="E255:F255"/>
    <mergeCell ref="H255:J256"/>
    <mergeCell ref="C248:I248"/>
    <mergeCell ref="A250:C250"/>
    <mergeCell ref="H250:J250"/>
    <mergeCell ref="A251:C251"/>
    <mergeCell ref="H251:J251"/>
    <mergeCell ref="A252:C252"/>
    <mergeCell ref="H252:J252"/>
    <mergeCell ref="E242:F242"/>
    <mergeCell ref="H242:J243"/>
    <mergeCell ref="L242:L243"/>
    <mergeCell ref="H246:I246"/>
    <mergeCell ref="K246:L247"/>
    <mergeCell ref="C270:I270"/>
    <mergeCell ref="A272:C272"/>
    <mergeCell ref="H272:J272"/>
    <mergeCell ref="E273:F273"/>
    <mergeCell ref="H273:J274"/>
    <mergeCell ref="L273:L274"/>
    <mergeCell ref="E264:F264"/>
    <mergeCell ref="H264:J265"/>
    <mergeCell ref="L264:L265"/>
    <mergeCell ref="H268:I268"/>
    <mergeCell ref="K268:L269"/>
    <mergeCell ref="N268:N269"/>
    <mergeCell ref="L255:L256"/>
    <mergeCell ref="H259:I259"/>
    <mergeCell ref="K259:L260"/>
    <mergeCell ref="N259:N260"/>
    <mergeCell ref="C261:I261"/>
    <mergeCell ref="A263:C263"/>
    <mergeCell ref="H263:J263"/>
    <mergeCell ref="C288:I288"/>
    <mergeCell ref="A290:C290"/>
    <mergeCell ref="H290:J290"/>
    <mergeCell ref="E291:F291"/>
    <mergeCell ref="H291:J292"/>
    <mergeCell ref="L291:L292"/>
    <mergeCell ref="E282:F282"/>
    <mergeCell ref="H282:J283"/>
    <mergeCell ref="L282:L283"/>
    <mergeCell ref="H286:I286"/>
    <mergeCell ref="K286:L287"/>
    <mergeCell ref="N286:N287"/>
    <mergeCell ref="H277:I277"/>
    <mergeCell ref="K277:L278"/>
    <mergeCell ref="N277:N278"/>
    <mergeCell ref="C279:I279"/>
    <mergeCell ref="A281:C281"/>
    <mergeCell ref="H281:J281"/>
    <mergeCell ref="C306:I306"/>
    <mergeCell ref="A308:C308"/>
    <mergeCell ref="H308:J308"/>
    <mergeCell ref="A309:C309"/>
    <mergeCell ref="H309:J309"/>
    <mergeCell ref="A310:C310"/>
    <mergeCell ref="H310:J310"/>
    <mergeCell ref="E300:F300"/>
    <mergeCell ref="H300:J301"/>
    <mergeCell ref="L300:L301"/>
    <mergeCell ref="H304:I304"/>
    <mergeCell ref="K304:L305"/>
    <mergeCell ref="N304:N305"/>
    <mergeCell ref="H295:I295"/>
    <mergeCell ref="K295:L296"/>
    <mergeCell ref="N295:N296"/>
    <mergeCell ref="C297:I297"/>
    <mergeCell ref="A299:C299"/>
    <mergeCell ref="H299:J299"/>
    <mergeCell ref="L321:L322"/>
    <mergeCell ref="H325:I325"/>
    <mergeCell ref="K325:L326"/>
    <mergeCell ref="N325:N326"/>
    <mergeCell ref="C327:I327"/>
    <mergeCell ref="A329:C329"/>
    <mergeCell ref="H329:J329"/>
    <mergeCell ref="C317:I317"/>
    <mergeCell ref="A319:C319"/>
    <mergeCell ref="H319:J319"/>
    <mergeCell ref="A320:C320"/>
    <mergeCell ref="H320:J320"/>
    <mergeCell ref="E321:F321"/>
    <mergeCell ref="H321:J322"/>
    <mergeCell ref="E311:F311"/>
    <mergeCell ref="H311:J312"/>
    <mergeCell ref="L311:L312"/>
    <mergeCell ref="H315:I315"/>
    <mergeCell ref="K315:L316"/>
    <mergeCell ref="N315:N316"/>
    <mergeCell ref="C339:I339"/>
    <mergeCell ref="A341:C341"/>
    <mergeCell ref="H341:J341"/>
    <mergeCell ref="E342:F342"/>
    <mergeCell ref="H342:J343"/>
    <mergeCell ref="L342:L343"/>
    <mergeCell ref="E333:F333"/>
    <mergeCell ref="H333:J334"/>
    <mergeCell ref="L333:L334"/>
    <mergeCell ref="H337:I337"/>
    <mergeCell ref="K337:L338"/>
    <mergeCell ref="N337:N338"/>
    <mergeCell ref="A330:C330"/>
    <mergeCell ref="H330:J330"/>
    <mergeCell ref="A331:C331"/>
    <mergeCell ref="H331:J331"/>
    <mergeCell ref="A332:C332"/>
    <mergeCell ref="H332:J332"/>
    <mergeCell ref="E354:F354"/>
    <mergeCell ref="H354:J355"/>
    <mergeCell ref="L354:L355"/>
    <mergeCell ref="H358:I358"/>
    <mergeCell ref="K358:L359"/>
    <mergeCell ref="N358:N359"/>
    <mergeCell ref="A351:C351"/>
    <mergeCell ref="H351:J351"/>
    <mergeCell ref="A352:C352"/>
    <mergeCell ref="H352:J352"/>
    <mergeCell ref="A353:C353"/>
    <mergeCell ref="H353:J353"/>
    <mergeCell ref="H346:I346"/>
    <mergeCell ref="K346:L347"/>
    <mergeCell ref="N346:N347"/>
    <mergeCell ref="C348:I348"/>
    <mergeCell ref="A350:C350"/>
    <mergeCell ref="H350:J350"/>
    <mergeCell ref="N370:N371"/>
    <mergeCell ref="C372:I372"/>
    <mergeCell ref="A374:C374"/>
    <mergeCell ref="H374:J374"/>
    <mergeCell ref="E375:F375"/>
    <mergeCell ref="H375:J376"/>
    <mergeCell ref="L375:L376"/>
    <mergeCell ref="A365:C365"/>
    <mergeCell ref="H365:J365"/>
    <mergeCell ref="E366:F366"/>
    <mergeCell ref="H366:J367"/>
    <mergeCell ref="L366:L367"/>
    <mergeCell ref="H370:I370"/>
    <mergeCell ref="K370:L371"/>
    <mergeCell ref="C360:I360"/>
    <mergeCell ref="A362:C362"/>
    <mergeCell ref="H362:J362"/>
    <mergeCell ref="A363:C363"/>
    <mergeCell ref="H363:J363"/>
    <mergeCell ref="A364:C364"/>
    <mergeCell ref="H364:J364"/>
    <mergeCell ref="A387:C387"/>
    <mergeCell ref="H387:J387"/>
    <mergeCell ref="A388:C388"/>
    <mergeCell ref="H388:J388"/>
    <mergeCell ref="E389:F389"/>
    <mergeCell ref="H389:J390"/>
    <mergeCell ref="A384:C384"/>
    <mergeCell ref="H384:J384"/>
    <mergeCell ref="A385:C385"/>
    <mergeCell ref="H385:J385"/>
    <mergeCell ref="A386:C386"/>
    <mergeCell ref="H386:J386"/>
    <mergeCell ref="H379:I379"/>
    <mergeCell ref="K379:L380"/>
    <mergeCell ref="N379:N380"/>
    <mergeCell ref="C381:I381"/>
    <mergeCell ref="A383:C383"/>
    <mergeCell ref="H383:J383"/>
    <mergeCell ref="A401:C401"/>
    <mergeCell ref="H401:J401"/>
    <mergeCell ref="E402:F402"/>
    <mergeCell ref="H402:J403"/>
    <mergeCell ref="L402:L403"/>
    <mergeCell ref="H406:I406"/>
    <mergeCell ref="K406:L407"/>
    <mergeCell ref="A398:C398"/>
    <mergeCell ref="H398:J398"/>
    <mergeCell ref="A399:C399"/>
    <mergeCell ref="H399:J399"/>
    <mergeCell ref="A400:C400"/>
    <mergeCell ref="H400:J400"/>
    <mergeCell ref="L389:L390"/>
    <mergeCell ref="H393:I393"/>
    <mergeCell ref="K393:L394"/>
    <mergeCell ref="N393:N394"/>
    <mergeCell ref="C395:I395"/>
    <mergeCell ref="A397:C397"/>
    <mergeCell ref="H397:J397"/>
    <mergeCell ref="E420:F420"/>
    <mergeCell ref="H420:J421"/>
    <mergeCell ref="L420:L421"/>
    <mergeCell ref="H424:I424"/>
    <mergeCell ref="K424:L425"/>
    <mergeCell ref="N424:N425"/>
    <mergeCell ref="H415:I415"/>
    <mergeCell ref="K415:L416"/>
    <mergeCell ref="N415:N416"/>
    <mergeCell ref="C417:I417"/>
    <mergeCell ref="A419:C419"/>
    <mergeCell ref="H419:J419"/>
    <mergeCell ref="N406:N407"/>
    <mergeCell ref="C408:I408"/>
    <mergeCell ref="A410:C410"/>
    <mergeCell ref="H410:J410"/>
    <mergeCell ref="E411:F411"/>
    <mergeCell ref="H411:J412"/>
    <mergeCell ref="L411:L412"/>
    <mergeCell ref="E438:F438"/>
    <mergeCell ref="H438:J439"/>
    <mergeCell ref="L438:L439"/>
    <mergeCell ref="H442:I442"/>
    <mergeCell ref="K442:L443"/>
    <mergeCell ref="N442:N443"/>
    <mergeCell ref="H433:I433"/>
    <mergeCell ref="K433:L434"/>
    <mergeCell ref="N433:N434"/>
    <mergeCell ref="C435:I435"/>
    <mergeCell ref="A437:C437"/>
    <mergeCell ref="H437:J437"/>
    <mergeCell ref="C426:I426"/>
    <mergeCell ref="A428:C428"/>
    <mergeCell ref="H428:J428"/>
    <mergeCell ref="E429:F429"/>
    <mergeCell ref="H429:J430"/>
    <mergeCell ref="L429:L430"/>
    <mergeCell ref="E457:F457"/>
    <mergeCell ref="H457:J458"/>
    <mergeCell ref="L457:L458"/>
    <mergeCell ref="H461:I461"/>
    <mergeCell ref="K461:L462"/>
    <mergeCell ref="N461:N462"/>
    <mergeCell ref="L448:L449"/>
    <mergeCell ref="H452:I452"/>
    <mergeCell ref="K452:L453"/>
    <mergeCell ref="N452:N453"/>
    <mergeCell ref="C454:I454"/>
    <mergeCell ref="A456:C456"/>
    <mergeCell ref="H456:J456"/>
    <mergeCell ref="C444:I444"/>
    <mergeCell ref="A446:C446"/>
    <mergeCell ref="H446:J446"/>
    <mergeCell ref="A447:C447"/>
    <mergeCell ref="H447:J447"/>
    <mergeCell ref="E448:F448"/>
    <mergeCell ref="H448:J449"/>
    <mergeCell ref="A475:C475"/>
    <mergeCell ref="H475:J475"/>
    <mergeCell ref="A476:C476"/>
    <mergeCell ref="H476:J476"/>
    <mergeCell ref="E477:F477"/>
    <mergeCell ref="H477:J478"/>
    <mergeCell ref="H470:I470"/>
    <mergeCell ref="K470:L471"/>
    <mergeCell ref="N470:N471"/>
    <mergeCell ref="C472:I472"/>
    <mergeCell ref="A474:C474"/>
    <mergeCell ref="H474:J474"/>
    <mergeCell ref="C463:I463"/>
    <mergeCell ref="A465:C465"/>
    <mergeCell ref="H465:J465"/>
    <mergeCell ref="E466:F466"/>
    <mergeCell ref="H466:J467"/>
    <mergeCell ref="L466:L467"/>
    <mergeCell ref="C492:I492"/>
    <mergeCell ref="A494:C494"/>
    <mergeCell ref="H494:J494"/>
    <mergeCell ref="E495:F495"/>
    <mergeCell ref="H495:J496"/>
    <mergeCell ref="L495:L496"/>
    <mergeCell ref="E486:F486"/>
    <mergeCell ref="H486:J487"/>
    <mergeCell ref="L486:L487"/>
    <mergeCell ref="H490:I490"/>
    <mergeCell ref="K490:L491"/>
    <mergeCell ref="N490:N491"/>
    <mergeCell ref="L477:L478"/>
    <mergeCell ref="H481:I481"/>
    <mergeCell ref="K481:L482"/>
    <mergeCell ref="N481:N482"/>
    <mergeCell ref="C483:I483"/>
    <mergeCell ref="A485:C485"/>
    <mergeCell ref="H485:J485"/>
    <mergeCell ref="C510:I510"/>
    <mergeCell ref="A512:C512"/>
    <mergeCell ref="H512:J512"/>
    <mergeCell ref="A513:C513"/>
    <mergeCell ref="H513:J513"/>
    <mergeCell ref="A514:C514"/>
    <mergeCell ref="H514:J514"/>
    <mergeCell ref="E504:F504"/>
    <mergeCell ref="H504:J505"/>
    <mergeCell ref="L504:L505"/>
    <mergeCell ref="H508:I508"/>
    <mergeCell ref="K508:L509"/>
    <mergeCell ref="N508:N509"/>
    <mergeCell ref="H499:I499"/>
    <mergeCell ref="K499:L500"/>
    <mergeCell ref="N499:N500"/>
    <mergeCell ref="C501:I501"/>
    <mergeCell ref="A503:C503"/>
    <mergeCell ref="H503:J503"/>
    <mergeCell ref="H528:I528"/>
    <mergeCell ref="K528:L529"/>
    <mergeCell ref="N528:N529"/>
    <mergeCell ref="C530:I530"/>
    <mergeCell ref="A532:C532"/>
    <mergeCell ref="H532:J532"/>
    <mergeCell ref="C521:I521"/>
    <mergeCell ref="A523:C523"/>
    <mergeCell ref="H523:J523"/>
    <mergeCell ref="E524:F524"/>
    <mergeCell ref="H524:J525"/>
    <mergeCell ref="L524:L525"/>
    <mergeCell ref="E515:F515"/>
    <mergeCell ref="H515:J516"/>
    <mergeCell ref="L515:L516"/>
    <mergeCell ref="H519:I519"/>
    <mergeCell ref="K519:L520"/>
    <mergeCell ref="N519:N520"/>
    <mergeCell ref="H546:I546"/>
    <mergeCell ref="K546:L547"/>
    <mergeCell ref="N546:N547"/>
    <mergeCell ref="C548:I548"/>
    <mergeCell ref="A550:C550"/>
    <mergeCell ref="H550:J550"/>
    <mergeCell ref="C539:I539"/>
    <mergeCell ref="A541:C541"/>
    <mergeCell ref="H541:J541"/>
    <mergeCell ref="E542:F542"/>
    <mergeCell ref="H542:J543"/>
    <mergeCell ref="L542:L543"/>
    <mergeCell ref="E533:F533"/>
    <mergeCell ref="H533:J534"/>
    <mergeCell ref="L533:L534"/>
    <mergeCell ref="H537:I537"/>
    <mergeCell ref="K537:L538"/>
    <mergeCell ref="N537:N538"/>
    <mergeCell ref="H565:I565"/>
    <mergeCell ref="K565:L566"/>
    <mergeCell ref="N565:N566"/>
    <mergeCell ref="C567:I567"/>
    <mergeCell ref="A569:C569"/>
    <mergeCell ref="H569:J569"/>
    <mergeCell ref="N556:N557"/>
    <mergeCell ref="C558:I558"/>
    <mergeCell ref="A560:C560"/>
    <mergeCell ref="H560:J560"/>
    <mergeCell ref="E561:F561"/>
    <mergeCell ref="H561:J562"/>
    <mergeCell ref="L561:L562"/>
    <mergeCell ref="A551:C551"/>
    <mergeCell ref="H551:J551"/>
    <mergeCell ref="E552:F552"/>
    <mergeCell ref="H552:J553"/>
    <mergeCell ref="L552:L553"/>
    <mergeCell ref="H556:I556"/>
    <mergeCell ref="K556:L557"/>
    <mergeCell ref="H583:I583"/>
    <mergeCell ref="K583:L584"/>
    <mergeCell ref="N583:N584"/>
    <mergeCell ref="C585:I585"/>
    <mergeCell ref="A587:C587"/>
    <mergeCell ref="H587:J587"/>
    <mergeCell ref="C576:I576"/>
    <mergeCell ref="A578:C578"/>
    <mergeCell ref="H578:J578"/>
    <mergeCell ref="E579:F579"/>
    <mergeCell ref="H579:J580"/>
    <mergeCell ref="L579:L580"/>
    <mergeCell ref="E570:F570"/>
    <mergeCell ref="H570:J571"/>
    <mergeCell ref="L570:L571"/>
    <mergeCell ref="H574:I574"/>
    <mergeCell ref="K574:L575"/>
    <mergeCell ref="N574:N575"/>
    <mergeCell ref="E599:F599"/>
    <mergeCell ref="H599:J600"/>
    <mergeCell ref="L599:L600"/>
    <mergeCell ref="H603:I603"/>
    <mergeCell ref="K603:L604"/>
    <mergeCell ref="N603:N604"/>
    <mergeCell ref="C594:I594"/>
    <mergeCell ref="A596:C596"/>
    <mergeCell ref="H596:J596"/>
    <mergeCell ref="A597:C597"/>
    <mergeCell ref="H597:J597"/>
    <mergeCell ref="A598:C598"/>
    <mergeCell ref="H598:J598"/>
    <mergeCell ref="E588:F588"/>
    <mergeCell ref="H588:J589"/>
    <mergeCell ref="L588:L589"/>
    <mergeCell ref="H592:I592"/>
    <mergeCell ref="K592:L593"/>
    <mergeCell ref="N592:N593"/>
    <mergeCell ref="E617:F617"/>
    <mergeCell ref="H617:J618"/>
    <mergeCell ref="L617:L618"/>
    <mergeCell ref="H621:I621"/>
    <mergeCell ref="K621:L622"/>
    <mergeCell ref="N621:N622"/>
    <mergeCell ref="H612:I612"/>
    <mergeCell ref="K612:L613"/>
    <mergeCell ref="N612:N613"/>
    <mergeCell ref="C614:I614"/>
    <mergeCell ref="A616:C616"/>
    <mergeCell ref="H616:J616"/>
    <mergeCell ref="C605:I605"/>
    <mergeCell ref="A607:C607"/>
    <mergeCell ref="H607:J607"/>
    <mergeCell ref="E608:F608"/>
    <mergeCell ref="H608:J609"/>
    <mergeCell ref="L608:L609"/>
    <mergeCell ref="E635:F635"/>
    <mergeCell ref="H635:J636"/>
    <mergeCell ref="L635:L636"/>
    <mergeCell ref="H639:I639"/>
    <mergeCell ref="K639:L640"/>
    <mergeCell ref="N639:N640"/>
    <mergeCell ref="H630:I630"/>
    <mergeCell ref="K630:L631"/>
    <mergeCell ref="N630:N631"/>
    <mergeCell ref="C632:I632"/>
    <mergeCell ref="A634:C634"/>
    <mergeCell ref="H634:J634"/>
    <mergeCell ref="C623:I623"/>
    <mergeCell ref="A625:C625"/>
    <mergeCell ref="H625:J625"/>
    <mergeCell ref="E626:F626"/>
    <mergeCell ref="H626:J627"/>
    <mergeCell ref="L626:L627"/>
    <mergeCell ref="E653:F653"/>
    <mergeCell ref="H653:J654"/>
    <mergeCell ref="L653:L654"/>
    <mergeCell ref="H657:I657"/>
    <mergeCell ref="K657:L658"/>
    <mergeCell ref="N657:N658"/>
    <mergeCell ref="H648:I648"/>
    <mergeCell ref="K648:L649"/>
    <mergeCell ref="N648:N649"/>
    <mergeCell ref="C650:I650"/>
    <mergeCell ref="A652:C652"/>
    <mergeCell ref="H652:J652"/>
    <mergeCell ref="C641:I641"/>
    <mergeCell ref="A643:C643"/>
    <mergeCell ref="H643:J643"/>
    <mergeCell ref="E644:F644"/>
    <mergeCell ref="H644:J645"/>
    <mergeCell ref="L644:L645"/>
    <mergeCell ref="E671:F671"/>
    <mergeCell ref="H671:J672"/>
    <mergeCell ref="L671:L672"/>
    <mergeCell ref="H675:I675"/>
    <mergeCell ref="K675:L676"/>
    <mergeCell ref="N675:N676"/>
    <mergeCell ref="H666:I666"/>
    <mergeCell ref="K666:L667"/>
    <mergeCell ref="N666:N667"/>
    <mergeCell ref="C668:I668"/>
    <mergeCell ref="A670:C670"/>
    <mergeCell ref="H670:J670"/>
    <mergeCell ref="C659:I659"/>
    <mergeCell ref="A661:C661"/>
    <mergeCell ref="H661:J661"/>
    <mergeCell ref="E662:F662"/>
    <mergeCell ref="H662:J663"/>
    <mergeCell ref="L662:L663"/>
    <mergeCell ref="E689:F689"/>
    <mergeCell ref="H689:J690"/>
    <mergeCell ref="L689:L690"/>
    <mergeCell ref="H693:I693"/>
    <mergeCell ref="K693:L694"/>
    <mergeCell ref="N693:N694"/>
    <mergeCell ref="H684:I684"/>
    <mergeCell ref="K684:L685"/>
    <mergeCell ref="N684:N685"/>
    <mergeCell ref="C686:I686"/>
    <mergeCell ref="A688:C688"/>
    <mergeCell ref="H688:J688"/>
    <mergeCell ref="C677:I677"/>
    <mergeCell ref="A679:C679"/>
    <mergeCell ref="H679:J679"/>
    <mergeCell ref="E680:F680"/>
    <mergeCell ref="H680:J681"/>
    <mergeCell ref="L680:L681"/>
    <mergeCell ref="A707:C707"/>
    <mergeCell ref="H707:J707"/>
    <mergeCell ref="E708:F708"/>
    <mergeCell ref="H708:J709"/>
    <mergeCell ref="L708:L709"/>
    <mergeCell ref="H712:I712"/>
    <mergeCell ref="K712:L713"/>
    <mergeCell ref="H702:I702"/>
    <mergeCell ref="K702:L703"/>
    <mergeCell ref="N702:N703"/>
    <mergeCell ref="C704:I704"/>
    <mergeCell ref="A706:C706"/>
    <mergeCell ref="H706:J706"/>
    <mergeCell ref="C695:I695"/>
    <mergeCell ref="A697:C697"/>
    <mergeCell ref="H697:J697"/>
    <mergeCell ref="E698:F698"/>
    <mergeCell ref="H698:J699"/>
    <mergeCell ref="L698:L699"/>
    <mergeCell ref="E726:F726"/>
    <mergeCell ref="H726:J727"/>
    <mergeCell ref="L726:L727"/>
    <mergeCell ref="H730:I730"/>
    <mergeCell ref="K730:L731"/>
    <mergeCell ref="N730:N731"/>
    <mergeCell ref="H721:I721"/>
    <mergeCell ref="K721:L722"/>
    <mergeCell ref="N721:N722"/>
    <mergeCell ref="C723:I723"/>
    <mergeCell ref="A725:C725"/>
    <mergeCell ref="H725:J725"/>
    <mergeCell ref="N712:N713"/>
    <mergeCell ref="C714:I714"/>
    <mergeCell ref="A716:C716"/>
    <mergeCell ref="H716:J716"/>
    <mergeCell ref="E717:F717"/>
    <mergeCell ref="H717:J718"/>
    <mergeCell ref="L717:L718"/>
    <mergeCell ref="E744:F744"/>
    <mergeCell ref="H744:J745"/>
    <mergeCell ref="L744:L745"/>
    <mergeCell ref="H748:I748"/>
    <mergeCell ref="K748:L749"/>
    <mergeCell ref="N748:N749"/>
    <mergeCell ref="H739:I739"/>
    <mergeCell ref="K739:L740"/>
    <mergeCell ref="N739:N740"/>
    <mergeCell ref="C741:I741"/>
    <mergeCell ref="A743:C743"/>
    <mergeCell ref="H743:J743"/>
    <mergeCell ref="C732:I732"/>
    <mergeCell ref="A734:C734"/>
    <mergeCell ref="H734:J734"/>
    <mergeCell ref="E735:F735"/>
    <mergeCell ref="H735:J736"/>
    <mergeCell ref="L735:L736"/>
    <mergeCell ref="A762:C762"/>
    <mergeCell ref="H762:J762"/>
    <mergeCell ref="E763:F763"/>
    <mergeCell ref="H763:J764"/>
    <mergeCell ref="L763:L764"/>
    <mergeCell ref="H767:I767"/>
    <mergeCell ref="K767:L768"/>
    <mergeCell ref="H757:I757"/>
    <mergeCell ref="K757:L758"/>
    <mergeCell ref="N757:N758"/>
    <mergeCell ref="C759:I759"/>
    <mergeCell ref="A761:C761"/>
    <mergeCell ref="H761:J761"/>
    <mergeCell ref="C750:I750"/>
    <mergeCell ref="A752:C752"/>
    <mergeCell ref="H752:J752"/>
    <mergeCell ref="E753:F753"/>
    <mergeCell ref="H753:J754"/>
    <mergeCell ref="L753:L754"/>
    <mergeCell ref="E781:F781"/>
    <mergeCell ref="H781:J782"/>
    <mergeCell ref="L781:L782"/>
    <mergeCell ref="H785:I785"/>
    <mergeCell ref="K785:L786"/>
    <mergeCell ref="N785:N786"/>
    <mergeCell ref="H776:I776"/>
    <mergeCell ref="K776:L777"/>
    <mergeCell ref="N776:N777"/>
    <mergeCell ref="C778:I778"/>
    <mergeCell ref="A780:C780"/>
    <mergeCell ref="H780:J780"/>
    <mergeCell ref="N767:N768"/>
    <mergeCell ref="C769:I769"/>
    <mergeCell ref="A771:C771"/>
    <mergeCell ref="H771:J771"/>
    <mergeCell ref="E772:F772"/>
    <mergeCell ref="H772:J773"/>
    <mergeCell ref="L772:L773"/>
    <mergeCell ref="E799:F799"/>
    <mergeCell ref="H799:J800"/>
    <mergeCell ref="L799:L800"/>
    <mergeCell ref="H803:I803"/>
    <mergeCell ref="K803:L804"/>
    <mergeCell ref="N803:N804"/>
    <mergeCell ref="H794:I794"/>
    <mergeCell ref="K794:L795"/>
    <mergeCell ref="N794:N795"/>
    <mergeCell ref="C796:I796"/>
    <mergeCell ref="A798:C798"/>
    <mergeCell ref="H798:J798"/>
    <mergeCell ref="C787:I787"/>
    <mergeCell ref="A789:C789"/>
    <mergeCell ref="H789:J789"/>
    <mergeCell ref="E790:F790"/>
    <mergeCell ref="H790:J791"/>
    <mergeCell ref="L790:L791"/>
    <mergeCell ref="A817:C817"/>
    <mergeCell ref="H817:J817"/>
    <mergeCell ref="A818:C818"/>
    <mergeCell ref="H818:J818"/>
    <mergeCell ref="A819:C819"/>
    <mergeCell ref="H819:J819"/>
    <mergeCell ref="H812:I812"/>
    <mergeCell ref="K812:L813"/>
    <mergeCell ref="N812:N813"/>
    <mergeCell ref="C814:I814"/>
    <mergeCell ref="A816:C816"/>
    <mergeCell ref="H816:J816"/>
    <mergeCell ref="C805:I805"/>
    <mergeCell ref="A807:C807"/>
    <mergeCell ref="H807:J807"/>
    <mergeCell ref="E808:F808"/>
    <mergeCell ref="H808:J809"/>
    <mergeCell ref="L808:L809"/>
    <mergeCell ref="H833:I833"/>
    <mergeCell ref="K833:L834"/>
    <mergeCell ref="N833:N834"/>
    <mergeCell ref="C835:I835"/>
    <mergeCell ref="A837:C837"/>
    <mergeCell ref="H837:J837"/>
    <mergeCell ref="C826:I826"/>
    <mergeCell ref="A828:C828"/>
    <mergeCell ref="H828:J828"/>
    <mergeCell ref="E829:F829"/>
    <mergeCell ref="H829:J830"/>
    <mergeCell ref="L829:L830"/>
    <mergeCell ref="E820:F820"/>
    <mergeCell ref="H820:J821"/>
    <mergeCell ref="L820:L821"/>
    <mergeCell ref="H824:I824"/>
    <mergeCell ref="K824:L825"/>
    <mergeCell ref="N824:N825"/>
    <mergeCell ref="H851:I851"/>
    <mergeCell ref="K851:L852"/>
    <mergeCell ref="N851:N852"/>
    <mergeCell ref="C853:I853"/>
    <mergeCell ref="A855:C855"/>
    <mergeCell ref="H855:J855"/>
    <mergeCell ref="C844:I844"/>
    <mergeCell ref="A846:C846"/>
    <mergeCell ref="H846:J846"/>
    <mergeCell ref="E847:F847"/>
    <mergeCell ref="H847:J848"/>
    <mergeCell ref="L847:L848"/>
    <mergeCell ref="E838:F838"/>
    <mergeCell ref="H838:J839"/>
    <mergeCell ref="L838:L839"/>
    <mergeCell ref="H842:I842"/>
    <mergeCell ref="K842:L843"/>
    <mergeCell ref="N842:N843"/>
    <mergeCell ref="H869:I869"/>
    <mergeCell ref="K869:L870"/>
    <mergeCell ref="N869:N870"/>
    <mergeCell ref="C871:I871"/>
    <mergeCell ref="A873:C873"/>
    <mergeCell ref="H873:J873"/>
    <mergeCell ref="C862:I862"/>
    <mergeCell ref="A864:C864"/>
    <mergeCell ref="H864:J864"/>
    <mergeCell ref="E865:F865"/>
    <mergeCell ref="H865:J866"/>
    <mergeCell ref="L865:L866"/>
    <mergeCell ref="E856:F856"/>
    <mergeCell ref="H856:J857"/>
    <mergeCell ref="L856:L857"/>
    <mergeCell ref="H860:I860"/>
    <mergeCell ref="K860:L861"/>
    <mergeCell ref="N860:N861"/>
    <mergeCell ref="H887:I887"/>
    <mergeCell ref="K887:L888"/>
    <mergeCell ref="N887:N888"/>
    <mergeCell ref="C889:I889"/>
    <mergeCell ref="A891:C891"/>
    <mergeCell ref="H891:J891"/>
    <mergeCell ref="C880:I880"/>
    <mergeCell ref="A882:C882"/>
    <mergeCell ref="H882:J882"/>
    <mergeCell ref="E883:F883"/>
    <mergeCell ref="H883:J884"/>
    <mergeCell ref="L883:L884"/>
    <mergeCell ref="E874:F874"/>
    <mergeCell ref="H874:J875"/>
    <mergeCell ref="L874:L875"/>
    <mergeCell ref="H878:I878"/>
    <mergeCell ref="K878:L879"/>
    <mergeCell ref="N878:N879"/>
    <mergeCell ref="C901:I901"/>
    <mergeCell ref="A903:C903"/>
    <mergeCell ref="H903:J903"/>
    <mergeCell ref="E904:F904"/>
    <mergeCell ref="H904:J905"/>
    <mergeCell ref="L904:L905"/>
    <mergeCell ref="E895:F895"/>
    <mergeCell ref="H895:J896"/>
    <mergeCell ref="L895:L896"/>
    <mergeCell ref="H899:I899"/>
    <mergeCell ref="K899:L900"/>
    <mergeCell ref="N899:N900"/>
    <mergeCell ref="A892:C892"/>
    <mergeCell ref="H892:J892"/>
    <mergeCell ref="A893:C893"/>
    <mergeCell ref="H893:J893"/>
    <mergeCell ref="A894:C894"/>
    <mergeCell ref="H894:J894"/>
    <mergeCell ref="C919:I919"/>
    <mergeCell ref="A921:C921"/>
    <mergeCell ref="H921:J921"/>
    <mergeCell ref="E922:F922"/>
    <mergeCell ref="H922:J923"/>
    <mergeCell ref="L922:L923"/>
    <mergeCell ref="E913:F913"/>
    <mergeCell ref="H913:J914"/>
    <mergeCell ref="L913:L914"/>
    <mergeCell ref="H917:I917"/>
    <mergeCell ref="K917:L918"/>
    <mergeCell ref="N917:N918"/>
    <mergeCell ref="H908:I908"/>
    <mergeCell ref="K908:L909"/>
    <mergeCell ref="N908:N909"/>
    <mergeCell ref="C910:I910"/>
    <mergeCell ref="A912:C912"/>
    <mergeCell ref="H912:J912"/>
    <mergeCell ref="C937:I937"/>
    <mergeCell ref="A939:C939"/>
    <mergeCell ref="H939:J939"/>
    <mergeCell ref="E940:F940"/>
    <mergeCell ref="H940:J941"/>
    <mergeCell ref="L940:L941"/>
    <mergeCell ref="E931:F931"/>
    <mergeCell ref="H931:J932"/>
    <mergeCell ref="L931:L932"/>
    <mergeCell ref="H935:I935"/>
    <mergeCell ref="K935:L936"/>
    <mergeCell ref="N935:N936"/>
    <mergeCell ref="H926:I926"/>
    <mergeCell ref="K926:L927"/>
    <mergeCell ref="N926:N927"/>
    <mergeCell ref="C928:I928"/>
    <mergeCell ref="A930:C930"/>
    <mergeCell ref="H930:J930"/>
    <mergeCell ref="C955:I955"/>
    <mergeCell ref="A957:C957"/>
    <mergeCell ref="H957:J957"/>
    <mergeCell ref="E958:F958"/>
    <mergeCell ref="H958:J959"/>
    <mergeCell ref="L958:L959"/>
    <mergeCell ref="E949:F949"/>
    <mergeCell ref="H949:J950"/>
    <mergeCell ref="L949:L950"/>
    <mergeCell ref="H953:I953"/>
    <mergeCell ref="K953:L954"/>
    <mergeCell ref="N953:N954"/>
    <mergeCell ref="H944:I944"/>
    <mergeCell ref="K944:L945"/>
    <mergeCell ref="N944:N945"/>
    <mergeCell ref="C946:I946"/>
    <mergeCell ref="A948:C948"/>
    <mergeCell ref="H948:J948"/>
    <mergeCell ref="C973:I973"/>
    <mergeCell ref="A975:C975"/>
    <mergeCell ref="H975:J975"/>
    <mergeCell ref="E976:F976"/>
    <mergeCell ref="H976:J977"/>
    <mergeCell ref="L976:L977"/>
    <mergeCell ref="E967:F967"/>
    <mergeCell ref="H967:J968"/>
    <mergeCell ref="L967:L968"/>
    <mergeCell ref="H971:I971"/>
    <mergeCell ref="K971:L972"/>
    <mergeCell ref="N971:N972"/>
    <mergeCell ref="H962:I962"/>
    <mergeCell ref="K962:L963"/>
    <mergeCell ref="N962:N963"/>
    <mergeCell ref="C964:I964"/>
    <mergeCell ref="A966:C966"/>
    <mergeCell ref="H966:J966"/>
    <mergeCell ref="C991:I991"/>
    <mergeCell ref="A993:C993"/>
    <mergeCell ref="H993:J993"/>
    <mergeCell ref="E994:F994"/>
    <mergeCell ref="H994:J995"/>
    <mergeCell ref="L994:L995"/>
    <mergeCell ref="E985:F985"/>
    <mergeCell ref="H985:J986"/>
    <mergeCell ref="L985:L986"/>
    <mergeCell ref="H989:I989"/>
    <mergeCell ref="K989:L990"/>
    <mergeCell ref="N989:N990"/>
    <mergeCell ref="H980:I980"/>
    <mergeCell ref="K980:L981"/>
    <mergeCell ref="N980:N981"/>
    <mergeCell ref="C982:I982"/>
    <mergeCell ref="A984:C984"/>
    <mergeCell ref="H984:J984"/>
    <mergeCell ref="C1009:I1009"/>
    <mergeCell ref="A1011:C1011"/>
    <mergeCell ref="H1011:J1011"/>
    <mergeCell ref="E1012:F1012"/>
    <mergeCell ref="H1012:J1013"/>
    <mergeCell ref="L1012:L1013"/>
    <mergeCell ref="E1003:F1003"/>
    <mergeCell ref="H1003:J1004"/>
    <mergeCell ref="L1003:L1004"/>
    <mergeCell ref="H1007:I1007"/>
    <mergeCell ref="K1007:L1008"/>
    <mergeCell ref="N1007:N1008"/>
    <mergeCell ref="H998:I998"/>
    <mergeCell ref="K998:L999"/>
    <mergeCell ref="N998:N999"/>
    <mergeCell ref="C1000:I1000"/>
    <mergeCell ref="A1002:C1002"/>
    <mergeCell ref="H1002:J1002"/>
    <mergeCell ref="C1027:I1027"/>
    <mergeCell ref="A1029:C1029"/>
    <mergeCell ref="H1029:J1029"/>
    <mergeCell ref="E1030:F1030"/>
    <mergeCell ref="H1030:J1031"/>
    <mergeCell ref="L1030:L1031"/>
    <mergeCell ref="E1021:F1021"/>
    <mergeCell ref="H1021:J1022"/>
    <mergeCell ref="L1021:L1022"/>
    <mergeCell ref="H1025:I1025"/>
    <mergeCell ref="K1025:L1026"/>
    <mergeCell ref="N1025:N1026"/>
    <mergeCell ref="H1016:I1016"/>
    <mergeCell ref="K1016:L1017"/>
    <mergeCell ref="N1016:N1017"/>
    <mergeCell ref="C1018:I1018"/>
    <mergeCell ref="A1020:C1020"/>
    <mergeCell ref="H1020:J1020"/>
    <mergeCell ref="C1045:I1045"/>
    <mergeCell ref="A1047:C1047"/>
    <mergeCell ref="H1047:J1047"/>
    <mergeCell ref="E1048:F1048"/>
    <mergeCell ref="H1048:J1049"/>
    <mergeCell ref="L1048:L1049"/>
    <mergeCell ref="E1039:F1039"/>
    <mergeCell ref="H1039:J1040"/>
    <mergeCell ref="L1039:L1040"/>
    <mergeCell ref="H1043:I1043"/>
    <mergeCell ref="K1043:L1044"/>
    <mergeCell ref="N1043:N1044"/>
    <mergeCell ref="H1034:I1034"/>
    <mergeCell ref="K1034:L1035"/>
    <mergeCell ref="N1034:N1035"/>
    <mergeCell ref="C1036:I1036"/>
    <mergeCell ref="A1038:C1038"/>
    <mergeCell ref="H1038:J1038"/>
    <mergeCell ref="C1063:I1063"/>
    <mergeCell ref="A1065:C1065"/>
    <mergeCell ref="H1065:J1065"/>
    <mergeCell ref="E1066:F1066"/>
    <mergeCell ref="H1066:J1067"/>
    <mergeCell ref="L1066:L1067"/>
    <mergeCell ref="E1057:F1057"/>
    <mergeCell ref="H1057:J1058"/>
    <mergeCell ref="L1057:L1058"/>
    <mergeCell ref="H1061:I1061"/>
    <mergeCell ref="K1061:L1062"/>
    <mergeCell ref="N1061:N1062"/>
    <mergeCell ref="H1052:I1052"/>
    <mergeCell ref="K1052:L1053"/>
    <mergeCell ref="N1052:N1053"/>
    <mergeCell ref="C1054:I1054"/>
    <mergeCell ref="A1056:C1056"/>
    <mergeCell ref="H1056:J1056"/>
    <mergeCell ref="C1081:I1081"/>
    <mergeCell ref="A1083:C1083"/>
    <mergeCell ref="H1083:J1083"/>
    <mergeCell ref="E1084:F1084"/>
    <mergeCell ref="H1084:J1085"/>
    <mergeCell ref="L1084:L1085"/>
    <mergeCell ref="E1075:F1075"/>
    <mergeCell ref="H1075:J1076"/>
    <mergeCell ref="L1075:L1076"/>
    <mergeCell ref="H1079:I1079"/>
    <mergeCell ref="K1079:L1080"/>
    <mergeCell ref="N1079:N1080"/>
    <mergeCell ref="H1070:I1070"/>
    <mergeCell ref="K1070:L1071"/>
    <mergeCell ref="N1070:N1071"/>
    <mergeCell ref="C1072:I1072"/>
    <mergeCell ref="A1074:C1074"/>
    <mergeCell ref="H1074:J1074"/>
    <mergeCell ref="C1099:I1099"/>
    <mergeCell ref="A1101:C1101"/>
    <mergeCell ref="H1101:J1101"/>
    <mergeCell ref="E1102:F1102"/>
    <mergeCell ref="H1102:J1103"/>
    <mergeCell ref="L1102:L1103"/>
    <mergeCell ref="E1093:F1093"/>
    <mergeCell ref="H1093:J1094"/>
    <mergeCell ref="L1093:L1094"/>
    <mergeCell ref="H1097:I1097"/>
    <mergeCell ref="K1097:L1098"/>
    <mergeCell ref="N1097:N1098"/>
    <mergeCell ref="H1088:I1088"/>
    <mergeCell ref="K1088:L1089"/>
    <mergeCell ref="N1088:N1089"/>
    <mergeCell ref="C1090:I1090"/>
    <mergeCell ref="A1092:C1092"/>
    <mergeCell ref="H1092:J1092"/>
    <mergeCell ref="C1117:I1117"/>
    <mergeCell ref="A1119:C1119"/>
    <mergeCell ref="H1119:J1119"/>
    <mergeCell ref="A1120:C1120"/>
    <mergeCell ref="H1120:J1120"/>
    <mergeCell ref="A1121:C1121"/>
    <mergeCell ref="H1121:J1121"/>
    <mergeCell ref="E1111:F1111"/>
    <mergeCell ref="H1111:J1112"/>
    <mergeCell ref="L1111:L1112"/>
    <mergeCell ref="H1115:I1115"/>
    <mergeCell ref="K1115:L1116"/>
    <mergeCell ref="N1115:N1116"/>
    <mergeCell ref="H1106:I1106"/>
    <mergeCell ref="K1106:L1107"/>
    <mergeCell ref="N1106:N1107"/>
    <mergeCell ref="C1108:I1108"/>
    <mergeCell ref="A1110:C1110"/>
    <mergeCell ref="H1110:J1110"/>
    <mergeCell ref="H1136:I1136"/>
    <mergeCell ref="K1136:L1137"/>
    <mergeCell ref="N1136:N1137"/>
    <mergeCell ref="C1138:I1138"/>
    <mergeCell ref="A1140:C1140"/>
    <mergeCell ref="H1140:J1140"/>
    <mergeCell ref="N1127:N1128"/>
    <mergeCell ref="C1129:I1129"/>
    <mergeCell ref="A1131:C1131"/>
    <mergeCell ref="H1131:J1131"/>
    <mergeCell ref="E1132:F1132"/>
    <mergeCell ref="H1132:J1133"/>
    <mergeCell ref="L1132:L1133"/>
    <mergeCell ref="A1122:C1122"/>
    <mergeCell ref="H1122:J1122"/>
    <mergeCell ref="E1123:F1123"/>
    <mergeCell ref="H1123:J1124"/>
    <mergeCell ref="L1123:L1124"/>
    <mergeCell ref="H1127:I1127"/>
    <mergeCell ref="K1127:L1128"/>
    <mergeCell ref="E1152:F1152"/>
    <mergeCell ref="H1152:J1153"/>
    <mergeCell ref="L1152:L1153"/>
    <mergeCell ref="H1156:I1156"/>
    <mergeCell ref="K1156:L1157"/>
    <mergeCell ref="N1156:N1157"/>
    <mergeCell ref="C1147:I1147"/>
    <mergeCell ref="A1149:C1149"/>
    <mergeCell ref="H1149:J1149"/>
    <mergeCell ref="A1150:C1150"/>
    <mergeCell ref="H1150:J1150"/>
    <mergeCell ref="A1151:C1151"/>
    <mergeCell ref="H1151:J1151"/>
    <mergeCell ref="E1141:F1141"/>
    <mergeCell ref="H1141:J1142"/>
    <mergeCell ref="L1141:L1142"/>
    <mergeCell ref="H1145:I1145"/>
    <mergeCell ref="K1145:L1146"/>
    <mergeCell ref="N1145:N1146"/>
    <mergeCell ref="E1170:F1170"/>
    <mergeCell ref="H1170:J1171"/>
    <mergeCell ref="L1170:L1171"/>
    <mergeCell ref="H1174:I1174"/>
    <mergeCell ref="K1174:L1175"/>
    <mergeCell ref="N1174:N1175"/>
    <mergeCell ref="H1165:I1165"/>
    <mergeCell ref="K1165:L1166"/>
    <mergeCell ref="N1165:N1166"/>
    <mergeCell ref="C1167:I1167"/>
    <mergeCell ref="A1169:C1169"/>
    <mergeCell ref="H1169:J1169"/>
    <mergeCell ref="C1158:I1158"/>
    <mergeCell ref="A1160:C1160"/>
    <mergeCell ref="H1160:J1160"/>
    <mergeCell ref="E1161:F1161"/>
    <mergeCell ref="H1161:J1162"/>
    <mergeCell ref="L1161:L1162"/>
    <mergeCell ref="E1188:F1188"/>
    <mergeCell ref="H1188:J1189"/>
    <mergeCell ref="L1188:L1189"/>
    <mergeCell ref="H1192:I1192"/>
    <mergeCell ref="K1192:L1193"/>
    <mergeCell ref="N1192:N1193"/>
    <mergeCell ref="H1183:I1183"/>
    <mergeCell ref="K1183:L1184"/>
    <mergeCell ref="N1183:N1184"/>
    <mergeCell ref="C1185:I1185"/>
    <mergeCell ref="A1187:C1187"/>
    <mergeCell ref="H1187:J1187"/>
    <mergeCell ref="C1176:I1176"/>
    <mergeCell ref="A1178:C1178"/>
    <mergeCell ref="H1178:J1178"/>
    <mergeCell ref="E1179:F1179"/>
    <mergeCell ref="H1179:J1180"/>
    <mergeCell ref="L1179:L1180"/>
    <mergeCell ref="A1206:C1206"/>
    <mergeCell ref="H1206:J1206"/>
    <mergeCell ref="E1207:F1207"/>
    <mergeCell ref="H1207:J1208"/>
    <mergeCell ref="L1207:L1208"/>
    <mergeCell ref="H1211:I1211"/>
    <mergeCell ref="K1211:L1212"/>
    <mergeCell ref="H1201:I1201"/>
    <mergeCell ref="K1201:L1202"/>
    <mergeCell ref="N1201:N1202"/>
    <mergeCell ref="C1203:I1203"/>
    <mergeCell ref="A1205:C1205"/>
    <mergeCell ref="H1205:J1205"/>
    <mergeCell ref="C1194:I1194"/>
    <mergeCell ref="A1196:C1196"/>
    <mergeCell ref="H1196:J1196"/>
    <mergeCell ref="E1197:F1197"/>
    <mergeCell ref="H1197:J1198"/>
    <mergeCell ref="L1197:L1198"/>
    <mergeCell ref="N1222:N1223"/>
    <mergeCell ref="C1224:I1224"/>
    <mergeCell ref="A1226:C1226"/>
    <mergeCell ref="H1226:J1226"/>
    <mergeCell ref="A1227:C1227"/>
    <mergeCell ref="H1227:J1227"/>
    <mergeCell ref="A1217:C1217"/>
    <mergeCell ref="H1217:J1217"/>
    <mergeCell ref="E1218:F1218"/>
    <mergeCell ref="H1218:J1219"/>
    <mergeCell ref="L1218:L1219"/>
    <mergeCell ref="H1222:I1222"/>
    <mergeCell ref="K1222:L1223"/>
    <mergeCell ref="N1211:N1212"/>
    <mergeCell ref="C1213:I1213"/>
    <mergeCell ref="A1215:C1215"/>
    <mergeCell ref="H1215:J1215"/>
    <mergeCell ref="A1216:C1216"/>
    <mergeCell ref="H1216:J1216"/>
    <mergeCell ref="E1239:F1239"/>
    <mergeCell ref="H1239:J1240"/>
    <mergeCell ref="L1239:L1240"/>
    <mergeCell ref="H1243:I1243"/>
    <mergeCell ref="K1243:L1244"/>
    <mergeCell ref="N1243:N1244"/>
    <mergeCell ref="L1230:L1231"/>
    <mergeCell ref="H1234:I1234"/>
    <mergeCell ref="K1234:L1235"/>
    <mergeCell ref="N1234:N1235"/>
    <mergeCell ref="C1236:I1236"/>
    <mergeCell ref="A1238:C1238"/>
    <mergeCell ref="H1238:J1238"/>
    <mergeCell ref="A1228:C1228"/>
    <mergeCell ref="H1228:J1228"/>
    <mergeCell ref="A1229:C1229"/>
    <mergeCell ref="H1229:J1229"/>
    <mergeCell ref="E1230:F1230"/>
    <mergeCell ref="H1230:J1231"/>
    <mergeCell ref="E1257:F1257"/>
    <mergeCell ref="H1257:J1258"/>
    <mergeCell ref="L1257:L1258"/>
    <mergeCell ref="H1261:I1261"/>
    <mergeCell ref="K1261:L1262"/>
    <mergeCell ref="N1261:N1262"/>
    <mergeCell ref="H1252:I1252"/>
    <mergeCell ref="K1252:L1253"/>
    <mergeCell ref="N1252:N1253"/>
    <mergeCell ref="C1254:I1254"/>
    <mergeCell ref="A1256:C1256"/>
    <mergeCell ref="H1256:J1256"/>
    <mergeCell ref="C1245:I1245"/>
    <mergeCell ref="A1247:C1247"/>
    <mergeCell ref="H1247:J1247"/>
    <mergeCell ref="E1248:F1248"/>
    <mergeCell ref="H1248:J1249"/>
    <mergeCell ref="L1248:L1249"/>
    <mergeCell ref="N1273:N1274"/>
    <mergeCell ref="C1275:I1275"/>
    <mergeCell ref="A1277:C1277"/>
    <mergeCell ref="H1277:J1277"/>
    <mergeCell ref="E1278:F1278"/>
    <mergeCell ref="H1278:J1279"/>
    <mergeCell ref="L1278:L1279"/>
    <mergeCell ref="A1268:C1268"/>
    <mergeCell ref="H1268:J1268"/>
    <mergeCell ref="E1269:F1269"/>
    <mergeCell ref="H1269:J1270"/>
    <mergeCell ref="L1269:L1270"/>
    <mergeCell ref="H1273:I1273"/>
    <mergeCell ref="K1273:L1274"/>
    <mergeCell ref="C1263:I1263"/>
    <mergeCell ref="A1265:C1265"/>
    <mergeCell ref="H1265:J1265"/>
    <mergeCell ref="A1266:C1266"/>
    <mergeCell ref="H1266:J1266"/>
    <mergeCell ref="A1267:C1267"/>
    <mergeCell ref="H1267:J1267"/>
    <mergeCell ref="C1293:I1293"/>
    <mergeCell ref="A1295:C1295"/>
    <mergeCell ref="H1295:J1295"/>
    <mergeCell ref="A1296:C1296"/>
    <mergeCell ref="H1296:J1296"/>
    <mergeCell ref="A1297:C1297"/>
    <mergeCell ref="H1297:J1297"/>
    <mergeCell ref="E1287:F1287"/>
    <mergeCell ref="H1287:J1288"/>
    <mergeCell ref="L1287:L1288"/>
    <mergeCell ref="H1291:I1291"/>
    <mergeCell ref="K1291:L1292"/>
    <mergeCell ref="N1291:N1292"/>
    <mergeCell ref="H1282:I1282"/>
    <mergeCell ref="K1282:L1283"/>
    <mergeCell ref="N1282:N1283"/>
    <mergeCell ref="C1284:I1284"/>
    <mergeCell ref="A1286:C1286"/>
    <mergeCell ref="H1286:J1286"/>
    <mergeCell ref="H1311:I1311"/>
    <mergeCell ref="K1311:L1312"/>
    <mergeCell ref="N1311:N1312"/>
    <mergeCell ref="C1313:I1313"/>
    <mergeCell ref="A1315:C1315"/>
    <mergeCell ref="H1315:J1315"/>
    <mergeCell ref="C1304:I1304"/>
    <mergeCell ref="A1306:C1306"/>
    <mergeCell ref="H1306:J1306"/>
    <mergeCell ref="E1307:F1307"/>
    <mergeCell ref="H1307:J1308"/>
    <mergeCell ref="L1307:L1308"/>
    <mergeCell ref="E1298:F1298"/>
    <mergeCell ref="H1298:J1299"/>
    <mergeCell ref="L1298:L1299"/>
    <mergeCell ref="H1302:I1302"/>
    <mergeCell ref="K1302:L1303"/>
    <mergeCell ref="N1302:N1303"/>
    <mergeCell ref="E1327:F1327"/>
    <mergeCell ref="H1327:J1328"/>
    <mergeCell ref="L1327:L1328"/>
    <mergeCell ref="H1331:I1331"/>
    <mergeCell ref="K1331:L1332"/>
    <mergeCell ref="N1331:N1332"/>
    <mergeCell ref="C1322:I1322"/>
    <mergeCell ref="A1324:C1324"/>
    <mergeCell ref="H1324:J1324"/>
    <mergeCell ref="A1325:C1325"/>
    <mergeCell ref="H1325:J1325"/>
    <mergeCell ref="A1326:C1326"/>
    <mergeCell ref="H1326:J1326"/>
    <mergeCell ref="E1316:F1316"/>
    <mergeCell ref="H1316:J1317"/>
    <mergeCell ref="L1316:L1317"/>
    <mergeCell ref="H1320:I1320"/>
    <mergeCell ref="K1320:L1321"/>
    <mergeCell ref="N1320:N1321"/>
    <mergeCell ref="C1344:I1344"/>
    <mergeCell ref="A1346:C1346"/>
    <mergeCell ref="H1346:J1346"/>
    <mergeCell ref="E1347:F1347"/>
    <mergeCell ref="H1347:J1348"/>
    <mergeCell ref="L1347:L1348"/>
    <mergeCell ref="E1338:F1338"/>
    <mergeCell ref="H1338:J1339"/>
    <mergeCell ref="L1338:L1339"/>
    <mergeCell ref="H1342:I1342"/>
    <mergeCell ref="K1342:L1343"/>
    <mergeCell ref="N1342:N1343"/>
    <mergeCell ref="C1333:I1333"/>
    <mergeCell ref="A1335:C1335"/>
    <mergeCell ref="H1335:J1335"/>
    <mergeCell ref="A1336:C1336"/>
    <mergeCell ref="H1336:J1336"/>
    <mergeCell ref="A1337:C1337"/>
    <mergeCell ref="H1337:J1337"/>
    <mergeCell ref="C1362:I1362"/>
    <mergeCell ref="A1364:C1364"/>
    <mergeCell ref="H1364:J1364"/>
    <mergeCell ref="E1365:F1365"/>
    <mergeCell ref="H1365:J1366"/>
    <mergeCell ref="L1365:L1366"/>
    <mergeCell ref="E1356:F1356"/>
    <mergeCell ref="H1356:J1357"/>
    <mergeCell ref="L1356:L1357"/>
    <mergeCell ref="H1360:I1360"/>
    <mergeCell ref="K1360:L1361"/>
    <mergeCell ref="N1360:N1361"/>
    <mergeCell ref="H1351:I1351"/>
    <mergeCell ref="K1351:L1352"/>
    <mergeCell ref="N1351:N1352"/>
    <mergeCell ref="C1353:I1353"/>
    <mergeCell ref="A1355:C1355"/>
    <mergeCell ref="H1355:J1355"/>
    <mergeCell ref="C1380:I1380"/>
    <mergeCell ref="A1382:C1382"/>
    <mergeCell ref="H1382:J1382"/>
    <mergeCell ref="E1383:F1383"/>
    <mergeCell ref="H1383:J1384"/>
    <mergeCell ref="L1383:L1384"/>
    <mergeCell ref="E1374:F1374"/>
    <mergeCell ref="H1374:J1375"/>
    <mergeCell ref="L1374:L1375"/>
    <mergeCell ref="H1378:I1378"/>
    <mergeCell ref="K1378:L1379"/>
    <mergeCell ref="N1378:N1379"/>
    <mergeCell ref="H1369:I1369"/>
    <mergeCell ref="K1369:L1370"/>
    <mergeCell ref="N1369:N1370"/>
    <mergeCell ref="C1371:I1371"/>
    <mergeCell ref="A1373:C1373"/>
    <mergeCell ref="H1373:J1373"/>
    <mergeCell ref="C1398:I1398"/>
    <mergeCell ref="A1400:C1400"/>
    <mergeCell ref="H1400:J1400"/>
    <mergeCell ref="E1401:F1401"/>
    <mergeCell ref="H1401:J1402"/>
    <mergeCell ref="L1401:L1402"/>
    <mergeCell ref="E1392:F1392"/>
    <mergeCell ref="H1392:J1393"/>
    <mergeCell ref="L1392:L1393"/>
    <mergeCell ref="H1396:I1396"/>
    <mergeCell ref="K1396:L1397"/>
    <mergeCell ref="N1396:N1397"/>
    <mergeCell ref="H1387:I1387"/>
    <mergeCell ref="K1387:L1388"/>
    <mergeCell ref="N1387:N1388"/>
    <mergeCell ref="C1389:I1389"/>
    <mergeCell ref="A1391:C1391"/>
    <mergeCell ref="H1391:J1391"/>
    <mergeCell ref="C1416:I1416"/>
    <mergeCell ref="A1418:C1418"/>
    <mergeCell ref="H1418:J1418"/>
    <mergeCell ref="E1419:F1419"/>
    <mergeCell ref="H1419:J1420"/>
    <mergeCell ref="L1419:L1420"/>
    <mergeCell ref="E1410:F1410"/>
    <mergeCell ref="H1410:J1411"/>
    <mergeCell ref="L1410:L1411"/>
    <mergeCell ref="H1414:I1414"/>
    <mergeCell ref="K1414:L1415"/>
    <mergeCell ref="N1414:N1415"/>
    <mergeCell ref="H1405:I1405"/>
    <mergeCell ref="K1405:L1406"/>
    <mergeCell ref="N1405:N1406"/>
    <mergeCell ref="C1407:I1407"/>
    <mergeCell ref="A1409:C1409"/>
    <mergeCell ref="H1409:J1409"/>
    <mergeCell ref="C1434:I1434"/>
    <mergeCell ref="A1436:C1436"/>
    <mergeCell ref="H1436:J1436"/>
    <mergeCell ref="E1437:F1437"/>
    <mergeCell ref="H1437:J1438"/>
    <mergeCell ref="L1437:L1438"/>
    <mergeCell ref="E1428:F1428"/>
    <mergeCell ref="H1428:J1429"/>
    <mergeCell ref="L1428:L1429"/>
    <mergeCell ref="H1432:I1432"/>
    <mergeCell ref="K1432:L1433"/>
    <mergeCell ref="N1432:N1433"/>
    <mergeCell ref="H1423:I1423"/>
    <mergeCell ref="K1423:L1424"/>
    <mergeCell ref="N1423:N1424"/>
    <mergeCell ref="C1425:I1425"/>
    <mergeCell ref="A1427:C1427"/>
    <mergeCell ref="H1427:J1427"/>
    <mergeCell ref="C1452:I1452"/>
    <mergeCell ref="A1454:C1454"/>
    <mergeCell ref="H1454:J1454"/>
    <mergeCell ref="E1455:F1455"/>
    <mergeCell ref="H1455:J1456"/>
    <mergeCell ref="L1455:L1456"/>
    <mergeCell ref="E1446:F1446"/>
    <mergeCell ref="H1446:J1447"/>
    <mergeCell ref="L1446:L1447"/>
    <mergeCell ref="H1450:I1450"/>
    <mergeCell ref="K1450:L1451"/>
    <mergeCell ref="N1450:N1451"/>
    <mergeCell ref="H1441:I1441"/>
    <mergeCell ref="K1441:L1442"/>
    <mergeCell ref="N1441:N1442"/>
    <mergeCell ref="C1443:I1443"/>
    <mergeCell ref="A1445:C1445"/>
    <mergeCell ref="H1445:J1445"/>
    <mergeCell ref="C1470:I1470"/>
    <mergeCell ref="A1472:C1472"/>
    <mergeCell ref="H1472:J1472"/>
    <mergeCell ref="E1473:F1473"/>
    <mergeCell ref="H1473:J1474"/>
    <mergeCell ref="L1473:L1474"/>
    <mergeCell ref="E1464:F1464"/>
    <mergeCell ref="H1464:J1465"/>
    <mergeCell ref="L1464:L1465"/>
    <mergeCell ref="H1468:I1468"/>
    <mergeCell ref="K1468:L1469"/>
    <mergeCell ref="N1468:N1469"/>
    <mergeCell ref="H1459:I1459"/>
    <mergeCell ref="K1459:L1460"/>
    <mergeCell ref="N1459:N1460"/>
    <mergeCell ref="C1461:I1461"/>
    <mergeCell ref="A1463:C1463"/>
    <mergeCell ref="H1463:J1463"/>
    <mergeCell ref="C1488:I1488"/>
    <mergeCell ref="A1490:C1490"/>
    <mergeCell ref="H1490:J1490"/>
    <mergeCell ref="E1491:F1491"/>
    <mergeCell ref="H1491:J1492"/>
    <mergeCell ref="L1491:L1492"/>
    <mergeCell ref="E1482:F1482"/>
    <mergeCell ref="H1482:J1483"/>
    <mergeCell ref="L1482:L1483"/>
    <mergeCell ref="H1486:I1486"/>
    <mergeCell ref="K1486:L1487"/>
    <mergeCell ref="N1486:N1487"/>
    <mergeCell ref="H1477:I1477"/>
    <mergeCell ref="K1477:L1478"/>
    <mergeCell ref="N1477:N1478"/>
    <mergeCell ref="C1479:I1479"/>
    <mergeCell ref="A1481:C1481"/>
    <mergeCell ref="H1481:J1481"/>
    <mergeCell ref="C1506:I1506"/>
    <mergeCell ref="A1508:C1508"/>
    <mergeCell ref="H1508:J1508"/>
    <mergeCell ref="E1509:F1509"/>
    <mergeCell ref="H1509:J1510"/>
    <mergeCell ref="L1509:L1510"/>
    <mergeCell ref="E1500:F1500"/>
    <mergeCell ref="H1500:J1501"/>
    <mergeCell ref="L1500:L1501"/>
    <mergeCell ref="H1504:I1504"/>
    <mergeCell ref="K1504:L1505"/>
    <mergeCell ref="N1504:N1505"/>
    <mergeCell ref="H1495:I1495"/>
    <mergeCell ref="K1495:L1496"/>
    <mergeCell ref="N1495:N1496"/>
    <mergeCell ref="C1497:I1497"/>
    <mergeCell ref="A1499:C1499"/>
    <mergeCell ref="H1499:J1499"/>
    <mergeCell ref="C1524:I1524"/>
    <mergeCell ref="A1526:C1526"/>
    <mergeCell ref="H1526:J1526"/>
    <mergeCell ref="E1527:F1527"/>
    <mergeCell ref="H1527:J1528"/>
    <mergeCell ref="L1527:L1528"/>
    <mergeCell ref="E1518:F1518"/>
    <mergeCell ref="H1518:J1519"/>
    <mergeCell ref="L1518:L1519"/>
    <mergeCell ref="H1522:I1522"/>
    <mergeCell ref="K1522:L1523"/>
    <mergeCell ref="N1522:N1523"/>
    <mergeCell ref="H1513:I1513"/>
    <mergeCell ref="K1513:L1514"/>
    <mergeCell ref="N1513:N1514"/>
    <mergeCell ref="C1515:I1515"/>
    <mergeCell ref="A1517:C1517"/>
    <mergeCell ref="H1517:J1517"/>
    <mergeCell ref="C1542:I1542"/>
    <mergeCell ref="A1544:C1544"/>
    <mergeCell ref="H1544:J1544"/>
    <mergeCell ref="E1545:F1545"/>
    <mergeCell ref="H1545:J1546"/>
    <mergeCell ref="L1545:L1546"/>
    <mergeCell ref="E1536:F1536"/>
    <mergeCell ref="H1536:J1537"/>
    <mergeCell ref="L1536:L1537"/>
    <mergeCell ref="H1540:I1540"/>
    <mergeCell ref="K1540:L1541"/>
    <mergeCell ref="N1540:N1541"/>
    <mergeCell ref="H1531:I1531"/>
    <mergeCell ref="K1531:L1532"/>
    <mergeCell ref="N1531:N1532"/>
    <mergeCell ref="C1533:I1533"/>
    <mergeCell ref="A1535:C1535"/>
    <mergeCell ref="H1535:J1535"/>
    <mergeCell ref="C1560:I1560"/>
    <mergeCell ref="A1562:C1562"/>
    <mergeCell ref="H1562:J1562"/>
    <mergeCell ref="E1563:F1563"/>
    <mergeCell ref="H1563:J1564"/>
    <mergeCell ref="L1563:L1564"/>
    <mergeCell ref="E1554:F1554"/>
    <mergeCell ref="H1554:J1555"/>
    <mergeCell ref="L1554:L1555"/>
    <mergeCell ref="H1558:I1558"/>
    <mergeCell ref="K1558:L1559"/>
    <mergeCell ref="N1558:N1559"/>
    <mergeCell ref="H1549:I1549"/>
    <mergeCell ref="K1549:L1550"/>
    <mergeCell ref="N1549:N1550"/>
    <mergeCell ref="C1551:I1551"/>
    <mergeCell ref="A1553:C1553"/>
    <mergeCell ref="H1553:J1553"/>
    <mergeCell ref="C1578:I1578"/>
    <mergeCell ref="A1580:C1580"/>
    <mergeCell ref="H1580:J1580"/>
    <mergeCell ref="A1581:C1581"/>
    <mergeCell ref="H1581:J1581"/>
    <mergeCell ref="E1582:F1582"/>
    <mergeCell ref="H1582:J1583"/>
    <mergeCell ref="E1572:F1572"/>
    <mergeCell ref="H1572:J1573"/>
    <mergeCell ref="L1572:L1573"/>
    <mergeCell ref="H1576:I1576"/>
    <mergeCell ref="K1576:L1577"/>
    <mergeCell ref="N1576:N1577"/>
    <mergeCell ref="H1567:I1567"/>
    <mergeCell ref="K1567:L1568"/>
    <mergeCell ref="N1567:N1568"/>
    <mergeCell ref="C1569:I1569"/>
    <mergeCell ref="A1571:C1571"/>
    <mergeCell ref="H1571:J1571"/>
    <mergeCell ref="C1597:I1597"/>
    <mergeCell ref="A1599:C1599"/>
    <mergeCell ref="H1599:J1599"/>
    <mergeCell ref="E1600:F1600"/>
    <mergeCell ref="H1600:J1601"/>
    <mergeCell ref="L1600:L1601"/>
    <mergeCell ref="E1591:F1591"/>
    <mergeCell ref="H1591:J1592"/>
    <mergeCell ref="L1591:L1592"/>
    <mergeCell ref="H1595:I1595"/>
    <mergeCell ref="K1595:L1596"/>
    <mergeCell ref="N1595:N1596"/>
    <mergeCell ref="L1582:L1583"/>
    <mergeCell ref="H1586:I1586"/>
    <mergeCell ref="K1586:L1587"/>
    <mergeCell ref="N1586:N1587"/>
    <mergeCell ref="C1588:I1588"/>
    <mergeCell ref="A1590:C1590"/>
    <mergeCell ref="H1590:J1590"/>
    <mergeCell ref="C1615:I1615"/>
    <mergeCell ref="A1617:C1617"/>
    <mergeCell ref="H1617:J1617"/>
    <mergeCell ref="A1618:C1618"/>
    <mergeCell ref="H1618:J1618"/>
    <mergeCell ref="E1619:F1619"/>
    <mergeCell ref="H1619:J1620"/>
    <mergeCell ref="E1609:F1609"/>
    <mergeCell ref="H1609:J1610"/>
    <mergeCell ref="L1609:L1610"/>
    <mergeCell ref="H1613:I1613"/>
    <mergeCell ref="K1613:L1614"/>
    <mergeCell ref="N1613:N1614"/>
    <mergeCell ref="H1604:I1604"/>
    <mergeCell ref="K1604:L1605"/>
    <mergeCell ref="N1604:N1605"/>
    <mergeCell ref="C1606:I1606"/>
    <mergeCell ref="A1608:C1608"/>
    <mergeCell ref="H1608:J1608"/>
    <mergeCell ref="C1634:I1634"/>
    <mergeCell ref="A1636:C1636"/>
    <mergeCell ref="H1636:J1636"/>
    <mergeCell ref="E1637:F1637"/>
    <mergeCell ref="H1637:J1638"/>
    <mergeCell ref="L1637:L1638"/>
    <mergeCell ref="E1628:F1628"/>
    <mergeCell ref="H1628:J1629"/>
    <mergeCell ref="L1628:L1629"/>
    <mergeCell ref="H1632:I1632"/>
    <mergeCell ref="K1632:L1633"/>
    <mergeCell ref="N1632:N1633"/>
    <mergeCell ref="L1619:L1620"/>
    <mergeCell ref="H1623:I1623"/>
    <mergeCell ref="K1623:L1624"/>
    <mergeCell ref="N1623:N1624"/>
    <mergeCell ref="C1625:I1625"/>
    <mergeCell ref="A1627:C1627"/>
    <mergeCell ref="H1627:J1627"/>
    <mergeCell ref="L1648:L1649"/>
    <mergeCell ref="H1652:I1652"/>
    <mergeCell ref="K1652:L1653"/>
    <mergeCell ref="N1652:N1653"/>
    <mergeCell ref="C1654:I1654"/>
    <mergeCell ref="A1656:C1656"/>
    <mergeCell ref="H1656:J1656"/>
    <mergeCell ref="A1646:C1646"/>
    <mergeCell ref="H1646:J1646"/>
    <mergeCell ref="A1647:C1647"/>
    <mergeCell ref="H1647:J1647"/>
    <mergeCell ref="E1648:F1648"/>
    <mergeCell ref="H1648:J1649"/>
    <mergeCell ref="H1641:I1641"/>
    <mergeCell ref="K1641:L1642"/>
    <mergeCell ref="N1641:N1642"/>
    <mergeCell ref="C1643:I1643"/>
    <mergeCell ref="A1645:C1645"/>
    <mergeCell ref="H1645:J1645"/>
    <mergeCell ref="H1670:I1670"/>
    <mergeCell ref="K1670:L1671"/>
    <mergeCell ref="N1670:N1671"/>
    <mergeCell ref="C1672:I1672"/>
    <mergeCell ref="A1674:C1674"/>
    <mergeCell ref="H1674:J1674"/>
    <mergeCell ref="C1663:I1663"/>
    <mergeCell ref="A1665:C1665"/>
    <mergeCell ref="H1665:J1665"/>
    <mergeCell ref="E1666:F1666"/>
    <mergeCell ref="H1666:J1667"/>
    <mergeCell ref="L1666:L1667"/>
    <mergeCell ref="E1657:F1657"/>
    <mergeCell ref="H1657:J1658"/>
    <mergeCell ref="L1657:L1658"/>
    <mergeCell ref="H1661:I1661"/>
    <mergeCell ref="K1661:L1662"/>
    <mergeCell ref="N1661:N1662"/>
    <mergeCell ref="H1688:I1688"/>
    <mergeCell ref="K1688:L1689"/>
    <mergeCell ref="N1688:N1689"/>
    <mergeCell ref="C1690:I1690"/>
    <mergeCell ref="A1692:C1692"/>
    <mergeCell ref="H1692:J1692"/>
    <mergeCell ref="C1681:I1681"/>
    <mergeCell ref="A1683:C1683"/>
    <mergeCell ref="H1683:J1683"/>
    <mergeCell ref="E1684:F1684"/>
    <mergeCell ref="H1684:J1685"/>
    <mergeCell ref="L1684:L1685"/>
    <mergeCell ref="E1675:F1675"/>
    <mergeCell ref="H1675:J1676"/>
    <mergeCell ref="L1675:L1676"/>
    <mergeCell ref="H1679:I1679"/>
    <mergeCell ref="K1679:L1680"/>
    <mergeCell ref="N1679:N1680"/>
    <mergeCell ref="H1706:I1706"/>
    <mergeCell ref="K1706:L1707"/>
    <mergeCell ref="N1706:N1707"/>
    <mergeCell ref="C1708:I1708"/>
    <mergeCell ref="A1710:C1710"/>
    <mergeCell ref="H1710:J1710"/>
    <mergeCell ref="C1699:I1699"/>
    <mergeCell ref="A1701:C1701"/>
    <mergeCell ref="H1701:J1701"/>
    <mergeCell ref="E1702:F1702"/>
    <mergeCell ref="H1702:J1703"/>
    <mergeCell ref="L1702:L1703"/>
    <mergeCell ref="E1693:F1693"/>
    <mergeCell ref="H1693:J1694"/>
    <mergeCell ref="L1693:L1694"/>
    <mergeCell ref="H1697:I1697"/>
    <mergeCell ref="K1697:L1698"/>
    <mergeCell ref="N1697:N1698"/>
    <mergeCell ref="H1724:I1724"/>
    <mergeCell ref="K1724:L1725"/>
    <mergeCell ref="N1724:N1725"/>
    <mergeCell ref="C1726:I1726"/>
    <mergeCell ref="A1728:C1728"/>
    <mergeCell ref="H1728:J1728"/>
    <mergeCell ref="C1717:I1717"/>
    <mergeCell ref="A1719:C1719"/>
    <mergeCell ref="H1719:J1719"/>
    <mergeCell ref="E1720:F1720"/>
    <mergeCell ref="H1720:J1721"/>
    <mergeCell ref="L1720:L1721"/>
    <mergeCell ref="E1711:F1711"/>
    <mergeCell ref="H1711:J1712"/>
    <mergeCell ref="L1711:L1712"/>
    <mergeCell ref="H1715:I1715"/>
    <mergeCell ref="K1715:L1716"/>
    <mergeCell ref="N1715:N1716"/>
    <mergeCell ref="H1742:I1742"/>
    <mergeCell ref="K1742:L1743"/>
    <mergeCell ref="N1742:N1743"/>
    <mergeCell ref="C1744:I1744"/>
    <mergeCell ref="A1746:C1746"/>
    <mergeCell ref="H1746:J1746"/>
    <mergeCell ref="C1735:I1735"/>
    <mergeCell ref="A1737:C1737"/>
    <mergeCell ref="H1737:J1737"/>
    <mergeCell ref="E1738:F1738"/>
    <mergeCell ref="H1738:J1739"/>
    <mergeCell ref="L1738:L1739"/>
    <mergeCell ref="E1729:F1729"/>
    <mergeCell ref="H1729:J1730"/>
    <mergeCell ref="L1729:L1730"/>
    <mergeCell ref="H1733:I1733"/>
    <mergeCell ref="K1733:L1734"/>
    <mergeCell ref="N1733:N1734"/>
    <mergeCell ref="E1758:F1758"/>
    <mergeCell ref="H1758:J1759"/>
    <mergeCell ref="L1758:L1759"/>
    <mergeCell ref="H1762:I1762"/>
    <mergeCell ref="K1762:L1763"/>
    <mergeCell ref="N1762:N1763"/>
    <mergeCell ref="C1753:I1753"/>
    <mergeCell ref="A1755:C1755"/>
    <mergeCell ref="H1755:J1755"/>
    <mergeCell ref="A1756:C1756"/>
    <mergeCell ref="H1756:J1756"/>
    <mergeCell ref="A1757:C1757"/>
    <mergeCell ref="H1757:J1757"/>
    <mergeCell ref="E1747:F1747"/>
    <mergeCell ref="H1747:J1748"/>
    <mergeCell ref="L1747:L1748"/>
    <mergeCell ref="H1751:I1751"/>
    <mergeCell ref="K1751:L1752"/>
    <mergeCell ref="N1751:N1752"/>
    <mergeCell ref="A1776:C1776"/>
    <mergeCell ref="H1776:J1776"/>
    <mergeCell ref="E1777:F1777"/>
    <mergeCell ref="H1777:J1778"/>
    <mergeCell ref="L1777:L1778"/>
    <mergeCell ref="H1781:I1781"/>
    <mergeCell ref="K1781:L1782"/>
    <mergeCell ref="H1771:I1771"/>
    <mergeCell ref="K1771:L1772"/>
    <mergeCell ref="N1771:N1772"/>
    <mergeCell ref="C1773:I1773"/>
    <mergeCell ref="A1775:C1775"/>
    <mergeCell ref="H1775:J1775"/>
    <mergeCell ref="C1764:I1764"/>
    <mergeCell ref="A1766:C1766"/>
    <mergeCell ref="H1766:J1766"/>
    <mergeCell ref="E1767:F1767"/>
    <mergeCell ref="H1767:J1768"/>
    <mergeCell ref="L1767:L1768"/>
    <mergeCell ref="N1792:N1793"/>
    <mergeCell ref="C1794:I1794"/>
    <mergeCell ref="A1796:C1796"/>
    <mergeCell ref="H1796:J1796"/>
    <mergeCell ref="E1797:F1797"/>
    <mergeCell ref="H1797:J1798"/>
    <mergeCell ref="L1797:L1798"/>
    <mergeCell ref="A1787:C1787"/>
    <mergeCell ref="H1787:J1787"/>
    <mergeCell ref="E1788:F1788"/>
    <mergeCell ref="H1788:J1789"/>
    <mergeCell ref="L1788:L1789"/>
    <mergeCell ref="H1792:I1792"/>
    <mergeCell ref="K1792:L1793"/>
    <mergeCell ref="N1781:N1782"/>
    <mergeCell ref="C1783:I1783"/>
    <mergeCell ref="A1785:C1785"/>
    <mergeCell ref="H1785:J1785"/>
    <mergeCell ref="A1786:C1786"/>
    <mergeCell ref="H1786:J1786"/>
    <mergeCell ref="A1809:C1809"/>
    <mergeCell ref="H1809:J1809"/>
    <mergeCell ref="E1810:F1810"/>
    <mergeCell ref="H1810:J1811"/>
    <mergeCell ref="L1810:L1811"/>
    <mergeCell ref="H1814:I1814"/>
    <mergeCell ref="K1814:L1815"/>
    <mergeCell ref="A1806:C1806"/>
    <mergeCell ref="H1806:J1806"/>
    <mergeCell ref="A1807:C1807"/>
    <mergeCell ref="H1807:J1807"/>
    <mergeCell ref="A1808:C1808"/>
    <mergeCell ref="H1808:J1808"/>
    <mergeCell ref="H1801:I1801"/>
    <mergeCell ref="K1801:L1802"/>
    <mergeCell ref="N1801:N1802"/>
    <mergeCell ref="C1803:I1803"/>
    <mergeCell ref="A1805:C1805"/>
    <mergeCell ref="H1805:J1805"/>
    <mergeCell ref="A1828:C1828"/>
    <mergeCell ref="H1828:J1828"/>
    <mergeCell ref="A1829:C1829"/>
    <mergeCell ref="H1829:J1829"/>
    <mergeCell ref="A1830:C1830"/>
    <mergeCell ref="H1830:J1830"/>
    <mergeCell ref="H1823:I1823"/>
    <mergeCell ref="K1823:L1824"/>
    <mergeCell ref="N1823:N1824"/>
    <mergeCell ref="C1825:I1825"/>
    <mergeCell ref="A1827:C1827"/>
    <mergeCell ref="H1827:J1827"/>
    <mergeCell ref="N1814:N1815"/>
    <mergeCell ref="C1816:I1816"/>
    <mergeCell ref="A1818:C1818"/>
    <mergeCell ref="H1818:J1818"/>
    <mergeCell ref="E1819:F1819"/>
    <mergeCell ref="H1819:J1820"/>
    <mergeCell ref="L1819:L1820"/>
    <mergeCell ref="E1842:F1842"/>
    <mergeCell ref="H1842:J1843"/>
    <mergeCell ref="L1842:L1843"/>
    <mergeCell ref="H1846:I1846"/>
    <mergeCell ref="K1846:L1847"/>
    <mergeCell ref="N1846:N1847"/>
    <mergeCell ref="C1837:I1837"/>
    <mergeCell ref="A1839:C1839"/>
    <mergeCell ref="H1839:J1839"/>
    <mergeCell ref="A1840:C1840"/>
    <mergeCell ref="H1840:J1840"/>
    <mergeCell ref="A1841:C1841"/>
    <mergeCell ref="H1841:J1841"/>
    <mergeCell ref="E1831:F1831"/>
    <mergeCell ref="H1831:J1832"/>
    <mergeCell ref="L1831:L1832"/>
    <mergeCell ref="H1835:I1835"/>
    <mergeCell ref="K1835:L1836"/>
    <mergeCell ref="N1835:N1836"/>
    <mergeCell ref="A1860:C1860"/>
    <mergeCell ref="H1860:J1860"/>
    <mergeCell ref="A1861:C1861"/>
    <mergeCell ref="H1861:J1861"/>
    <mergeCell ref="A1862:C1862"/>
    <mergeCell ref="H1862:J1862"/>
    <mergeCell ref="H1855:I1855"/>
    <mergeCell ref="K1855:L1856"/>
    <mergeCell ref="N1855:N1856"/>
    <mergeCell ref="C1857:I1857"/>
    <mergeCell ref="A1859:C1859"/>
    <mergeCell ref="H1859:J1859"/>
    <mergeCell ref="C1848:I1848"/>
    <mergeCell ref="A1850:C1850"/>
    <mergeCell ref="H1850:J1850"/>
    <mergeCell ref="E1851:F1851"/>
    <mergeCell ref="H1851:J1852"/>
    <mergeCell ref="L1851:L1852"/>
    <mergeCell ref="H1876:I1876"/>
    <mergeCell ref="K1876:L1877"/>
    <mergeCell ref="N1876:N1877"/>
    <mergeCell ref="C1878:I1878"/>
    <mergeCell ref="A1880:C1880"/>
    <mergeCell ref="H1880:J1880"/>
    <mergeCell ref="C1869:I1869"/>
    <mergeCell ref="A1871:C1871"/>
    <mergeCell ref="H1871:J1871"/>
    <mergeCell ref="E1872:F1872"/>
    <mergeCell ref="H1872:J1873"/>
    <mergeCell ref="L1872:L1873"/>
    <mergeCell ref="E1863:F1863"/>
    <mergeCell ref="H1863:J1864"/>
    <mergeCell ref="L1863:L1864"/>
    <mergeCell ref="H1867:I1867"/>
    <mergeCell ref="K1867:L1868"/>
    <mergeCell ref="N1867:N1868"/>
    <mergeCell ref="A1892:C1892"/>
    <mergeCell ref="H1892:J1892"/>
    <mergeCell ref="A1893:C1893"/>
    <mergeCell ref="H1893:J1893"/>
    <mergeCell ref="E1894:F1894"/>
    <mergeCell ref="H1894:J1895"/>
    <mergeCell ref="N1886:N1887"/>
    <mergeCell ref="C1888:I1888"/>
    <mergeCell ref="A1890:C1890"/>
    <mergeCell ref="H1890:J1890"/>
    <mergeCell ref="A1891:C1891"/>
    <mergeCell ref="H1891:J1891"/>
    <mergeCell ref="A1881:C1881"/>
    <mergeCell ref="H1881:J1881"/>
    <mergeCell ref="E1882:F1882"/>
    <mergeCell ref="H1882:J1883"/>
    <mergeCell ref="L1882:L1883"/>
    <mergeCell ref="H1886:I1886"/>
    <mergeCell ref="K1886:L1887"/>
    <mergeCell ref="A1906:C1906"/>
    <mergeCell ref="H1906:J1906"/>
    <mergeCell ref="E1907:F1907"/>
    <mergeCell ref="H1907:J1908"/>
    <mergeCell ref="L1907:L1908"/>
    <mergeCell ref="H1911:I1911"/>
    <mergeCell ref="K1911:L1912"/>
    <mergeCell ref="A1903:C1903"/>
    <mergeCell ref="H1903:J1903"/>
    <mergeCell ref="A1904:C1904"/>
    <mergeCell ref="H1904:J1904"/>
    <mergeCell ref="A1905:C1905"/>
    <mergeCell ref="H1905:J1905"/>
    <mergeCell ref="L1894:L1895"/>
    <mergeCell ref="H1898:I1898"/>
    <mergeCell ref="K1898:L1899"/>
    <mergeCell ref="N1898:N1899"/>
    <mergeCell ref="C1900:I1900"/>
    <mergeCell ref="A1902:C1902"/>
    <mergeCell ref="H1902:J1902"/>
    <mergeCell ref="L1919:L1920"/>
    <mergeCell ref="H1923:I1923"/>
    <mergeCell ref="K1923:L1924"/>
    <mergeCell ref="N1923:N1924"/>
    <mergeCell ref="C1925:I1925"/>
    <mergeCell ref="A1927:C1927"/>
    <mergeCell ref="H1927:J1927"/>
    <mergeCell ref="A1917:C1917"/>
    <mergeCell ref="H1917:J1917"/>
    <mergeCell ref="A1918:C1918"/>
    <mergeCell ref="H1918:J1918"/>
    <mergeCell ref="E1919:F1919"/>
    <mergeCell ref="H1919:J1920"/>
    <mergeCell ref="N1911:N1912"/>
    <mergeCell ref="C1913:I1913"/>
    <mergeCell ref="A1915:C1915"/>
    <mergeCell ref="H1915:J1915"/>
    <mergeCell ref="A1916:C1916"/>
    <mergeCell ref="H1916:J1916"/>
    <mergeCell ref="C1937:I1937"/>
    <mergeCell ref="A1939:C1939"/>
    <mergeCell ref="H1939:J1939"/>
    <mergeCell ref="E1940:F1940"/>
    <mergeCell ref="H1940:J1941"/>
    <mergeCell ref="L1940:L1941"/>
    <mergeCell ref="E1931:F1931"/>
    <mergeCell ref="H1931:J1932"/>
    <mergeCell ref="L1931:L1932"/>
    <mergeCell ref="H1935:I1935"/>
    <mergeCell ref="K1935:L1936"/>
    <mergeCell ref="N1935:N1936"/>
    <mergeCell ref="A1928:C1928"/>
    <mergeCell ref="H1928:J1928"/>
    <mergeCell ref="A1929:C1929"/>
    <mergeCell ref="H1929:J1929"/>
    <mergeCell ref="A1930:C1930"/>
    <mergeCell ref="H1930:J1930"/>
    <mergeCell ref="N1954:N1955"/>
    <mergeCell ref="C1956:I1956"/>
    <mergeCell ref="A1958:C1958"/>
    <mergeCell ref="H1958:J1958"/>
    <mergeCell ref="E1959:F1959"/>
    <mergeCell ref="H1959:J1960"/>
    <mergeCell ref="L1959:L1960"/>
    <mergeCell ref="A1949:C1949"/>
    <mergeCell ref="H1949:J1949"/>
    <mergeCell ref="E1950:F1950"/>
    <mergeCell ref="H1950:J1951"/>
    <mergeCell ref="L1950:L1951"/>
    <mergeCell ref="H1954:I1954"/>
    <mergeCell ref="K1954:L1955"/>
    <mergeCell ref="H1944:I1944"/>
    <mergeCell ref="K1944:L1945"/>
    <mergeCell ref="N1944:N1945"/>
    <mergeCell ref="C1946:I1946"/>
    <mergeCell ref="A1948:C1948"/>
    <mergeCell ref="H1948:J1948"/>
    <mergeCell ref="A1971:C1971"/>
    <mergeCell ref="H1971:J1971"/>
    <mergeCell ref="E1972:F1972"/>
    <mergeCell ref="H1972:J1973"/>
    <mergeCell ref="L1972:L1973"/>
    <mergeCell ref="H1976:I1976"/>
    <mergeCell ref="K1976:L1977"/>
    <mergeCell ref="A1968:C1968"/>
    <mergeCell ref="H1968:J1968"/>
    <mergeCell ref="A1969:C1969"/>
    <mergeCell ref="H1969:J1969"/>
    <mergeCell ref="A1970:C1970"/>
    <mergeCell ref="H1970:J1970"/>
    <mergeCell ref="H1963:I1963"/>
    <mergeCell ref="K1963:L1964"/>
    <mergeCell ref="N1963:N1964"/>
    <mergeCell ref="C1965:I1965"/>
    <mergeCell ref="A1967:C1967"/>
    <mergeCell ref="H1967:J1967"/>
    <mergeCell ref="E1990:F1990"/>
    <mergeCell ref="H1990:J1991"/>
    <mergeCell ref="L1990:L1991"/>
    <mergeCell ref="H1994:I1994"/>
    <mergeCell ref="K1994:L1995"/>
    <mergeCell ref="N1994:N1995"/>
    <mergeCell ref="H1985:I1985"/>
    <mergeCell ref="K1985:L1986"/>
    <mergeCell ref="N1985:N1986"/>
    <mergeCell ref="C1987:I1987"/>
    <mergeCell ref="A1989:C1989"/>
    <mergeCell ref="H1989:J1989"/>
    <mergeCell ref="N1976:N1977"/>
    <mergeCell ref="C1978:I1978"/>
    <mergeCell ref="A1980:C1980"/>
    <mergeCell ref="H1980:J1980"/>
    <mergeCell ref="E1981:F1981"/>
    <mergeCell ref="H1981:J1982"/>
    <mergeCell ref="L1981:L1982"/>
    <mergeCell ref="L2003:L2004"/>
    <mergeCell ref="H2007:I2007"/>
    <mergeCell ref="K2007:L2008"/>
    <mergeCell ref="N2007:N2008"/>
    <mergeCell ref="C2009:I2009"/>
    <mergeCell ref="A2011:C2011"/>
    <mergeCell ref="H2011:J2011"/>
    <mergeCell ref="A2001:C2001"/>
    <mergeCell ref="H2001:J2001"/>
    <mergeCell ref="A2002:C2002"/>
    <mergeCell ref="H2002:J2002"/>
    <mergeCell ref="E2003:F2003"/>
    <mergeCell ref="H2003:J2004"/>
    <mergeCell ref="C1996:I1996"/>
    <mergeCell ref="A1998:C1998"/>
    <mergeCell ref="H1998:J1998"/>
    <mergeCell ref="A1999:C1999"/>
    <mergeCell ref="H1999:J1999"/>
    <mergeCell ref="A2000:C2000"/>
    <mergeCell ref="H2000:J2000"/>
    <mergeCell ref="N2030:N2031"/>
    <mergeCell ref="L2017:L2018"/>
    <mergeCell ref="H2021:I2021"/>
    <mergeCell ref="K2021:L2022"/>
    <mergeCell ref="N2021:N2022"/>
    <mergeCell ref="C2023:I2023"/>
    <mergeCell ref="A2025:C2025"/>
    <mergeCell ref="H2025:J2025"/>
    <mergeCell ref="A2015:C2015"/>
    <mergeCell ref="H2015:J2015"/>
    <mergeCell ref="A2016:C2016"/>
    <mergeCell ref="H2016:J2016"/>
    <mergeCell ref="E2017:F2017"/>
    <mergeCell ref="H2017:J2018"/>
    <mergeCell ref="A2012:C2012"/>
    <mergeCell ref="H2012:J2012"/>
    <mergeCell ref="A2013:C2013"/>
    <mergeCell ref="H2013:J2013"/>
    <mergeCell ref="A2014:C2014"/>
    <mergeCell ref="H2014:J2014"/>
    <mergeCell ref="A2037:C2037"/>
    <mergeCell ref="H2037:J2037"/>
    <mergeCell ref="E2038:F2038"/>
    <mergeCell ref="H2038:J2039"/>
    <mergeCell ref="L2038:L2039"/>
    <mergeCell ref="C2032:I2032"/>
    <mergeCell ref="A2034:C2034"/>
    <mergeCell ref="H2034:J2034"/>
    <mergeCell ref="A2035:C2035"/>
    <mergeCell ref="H2035:J2035"/>
    <mergeCell ref="A2036:C2036"/>
    <mergeCell ref="H2036:J2036"/>
    <mergeCell ref="E2026:F2026"/>
    <mergeCell ref="H2026:J2027"/>
    <mergeCell ref="L2026:L2027"/>
    <mergeCell ref="H2030:I2030"/>
    <mergeCell ref="K2030:L2031"/>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topLeftCell="C139" workbookViewId="0">
      <selection activeCell="D156" sqref="D156"/>
    </sheetView>
  </sheetViews>
  <sheetFormatPr defaultRowHeight="15.6"/>
  <cols>
    <col min="1" max="1" width="20.19921875" customWidth="1"/>
    <col min="2" max="2" width="97.59765625" bestFit="1" customWidth="1"/>
    <col min="3" max="3" width="16.09765625" customWidth="1"/>
    <col min="4" max="4" width="17" customWidth="1"/>
  </cols>
  <sheetData>
    <row r="1" spans="1:4" s="383" customFormat="1">
      <c r="A1" s="383" t="s">
        <v>1157</v>
      </c>
      <c r="B1" s="383" t="s">
        <v>110</v>
      </c>
      <c r="C1" s="383" t="s">
        <v>109</v>
      </c>
      <c r="D1" s="383" t="s">
        <v>108</v>
      </c>
    </row>
    <row r="2" spans="1:4">
      <c r="A2" s="1028" t="s">
        <v>907</v>
      </c>
      <c r="B2" s="383" t="s">
        <v>908</v>
      </c>
      <c r="C2" s="905">
        <v>974450918.89999998</v>
      </c>
      <c r="D2" s="905">
        <v>0</v>
      </c>
    </row>
    <row r="3" spans="1:4">
      <c r="A3" s="1028" t="s">
        <v>1113</v>
      </c>
      <c r="B3" s="383" t="s">
        <v>1130</v>
      </c>
      <c r="C3" s="905">
        <v>1235073.1299999999</v>
      </c>
      <c r="D3" s="905">
        <v>0</v>
      </c>
    </row>
    <row r="4" spans="1:4">
      <c r="A4" s="1028" t="s">
        <v>909</v>
      </c>
      <c r="B4" s="383" t="s">
        <v>910</v>
      </c>
      <c r="C4" s="905">
        <v>1280814.71</v>
      </c>
      <c r="D4" s="905">
        <v>0</v>
      </c>
    </row>
    <row r="5" spans="1:4">
      <c r="A5" s="1028" t="s">
        <v>911</v>
      </c>
      <c r="B5" s="383" t="s">
        <v>912</v>
      </c>
      <c r="C5" s="905">
        <v>2888830.5300000003</v>
      </c>
      <c r="D5" s="905">
        <v>0</v>
      </c>
    </row>
    <row r="6" spans="1:4">
      <c r="A6" s="1028" t="s">
        <v>1114</v>
      </c>
      <c r="B6" s="383" t="s">
        <v>1131</v>
      </c>
      <c r="C6" s="905">
        <v>38638794</v>
      </c>
      <c r="D6" s="905">
        <v>0</v>
      </c>
    </row>
    <row r="7" spans="1:4">
      <c r="A7" s="1028" t="s">
        <v>913</v>
      </c>
      <c r="B7" s="383" t="s">
        <v>914</v>
      </c>
      <c r="C7" s="905">
        <v>40446</v>
      </c>
      <c r="D7" s="905">
        <v>0</v>
      </c>
    </row>
    <row r="8" spans="1:4">
      <c r="A8" s="1028" t="s">
        <v>915</v>
      </c>
      <c r="B8" s="383" t="s">
        <v>916</v>
      </c>
      <c r="C8" s="905">
        <v>6075.81</v>
      </c>
      <c r="D8" s="905">
        <v>0</v>
      </c>
    </row>
    <row r="9" spans="1:4">
      <c r="A9" s="1028" t="s">
        <v>917</v>
      </c>
      <c r="B9" s="383" t="s">
        <v>918</v>
      </c>
      <c r="C9" s="905">
        <v>1495053</v>
      </c>
      <c r="D9" s="905">
        <v>0</v>
      </c>
    </row>
    <row r="10" spans="1:4">
      <c r="A10" s="1028" t="s">
        <v>919</v>
      </c>
      <c r="B10" s="383" t="s">
        <v>920</v>
      </c>
      <c r="C10" s="905">
        <v>2250518</v>
      </c>
      <c r="D10" s="905">
        <v>0</v>
      </c>
    </row>
    <row r="11" spans="1:4">
      <c r="A11" s="1028" t="s">
        <v>921</v>
      </c>
      <c r="B11" s="383" t="s">
        <v>922</v>
      </c>
      <c r="C11" s="905">
        <v>1368463</v>
      </c>
      <c r="D11" s="905">
        <v>0</v>
      </c>
    </row>
    <row r="12" spans="1:4">
      <c r="A12" s="1028" t="s">
        <v>923</v>
      </c>
      <c r="B12" s="383" t="s">
        <v>924</v>
      </c>
      <c r="C12" s="905">
        <v>1695204</v>
      </c>
      <c r="D12" s="905">
        <v>0</v>
      </c>
    </row>
    <row r="13" spans="1:4">
      <c r="A13" s="1028" t="s">
        <v>925</v>
      </c>
      <c r="B13" s="383" t="s">
        <v>926</v>
      </c>
      <c r="C13" s="905">
        <v>869007.49</v>
      </c>
      <c r="D13" s="905">
        <v>0</v>
      </c>
    </row>
    <row r="14" spans="1:4">
      <c r="A14" s="1028" t="s">
        <v>927</v>
      </c>
      <c r="B14" s="383" t="s">
        <v>928</v>
      </c>
      <c r="C14" s="905">
        <v>325430</v>
      </c>
      <c r="D14" s="905">
        <v>0</v>
      </c>
    </row>
    <row r="15" spans="1:4">
      <c r="A15" s="1028" t="s">
        <v>929</v>
      </c>
      <c r="B15" s="383" t="s">
        <v>930</v>
      </c>
      <c r="C15" s="905">
        <v>568666</v>
      </c>
      <c r="D15" s="905">
        <v>0</v>
      </c>
    </row>
    <row r="16" spans="1:4">
      <c r="A16" s="1028" t="s">
        <v>931</v>
      </c>
      <c r="B16" s="383" t="s">
        <v>932</v>
      </c>
      <c r="C16" s="905">
        <v>132770</v>
      </c>
      <c r="D16" s="905">
        <v>0</v>
      </c>
    </row>
    <row r="17" spans="1:4">
      <c r="A17" s="1028" t="s">
        <v>933</v>
      </c>
      <c r="B17" s="383" t="s">
        <v>934</v>
      </c>
      <c r="C17" s="905">
        <v>138632</v>
      </c>
      <c r="D17" s="905">
        <v>0</v>
      </c>
    </row>
    <row r="18" spans="1:4">
      <c r="A18" s="1028" t="s">
        <v>935</v>
      </c>
      <c r="B18" s="383" t="s">
        <v>936</v>
      </c>
      <c r="C18" s="905">
        <v>1413294</v>
      </c>
      <c r="D18" s="905">
        <v>0</v>
      </c>
    </row>
    <row r="19" spans="1:4">
      <c r="A19" s="1028" t="s">
        <v>937</v>
      </c>
      <c r="B19" s="383" t="s">
        <v>938</v>
      </c>
      <c r="C19" s="905">
        <v>405467</v>
      </c>
      <c r="D19" s="905">
        <v>0</v>
      </c>
    </row>
    <row r="20" spans="1:4">
      <c r="A20" s="1028" t="s">
        <v>1115</v>
      </c>
      <c r="B20" s="383" t="s">
        <v>1132</v>
      </c>
      <c r="C20" s="905">
        <v>4998558.3899999997</v>
      </c>
      <c r="D20" s="905">
        <v>0</v>
      </c>
    </row>
    <row r="21" spans="1:4">
      <c r="A21" s="1028" t="s">
        <v>1098</v>
      </c>
      <c r="B21" s="383" t="s">
        <v>1097</v>
      </c>
      <c r="C21" s="905">
        <v>1432536.6600000001</v>
      </c>
      <c r="D21" s="905">
        <v>0</v>
      </c>
    </row>
    <row r="22" spans="1:4">
      <c r="A22" s="1028" t="s">
        <v>1116</v>
      </c>
      <c r="B22" s="383" t="s">
        <v>1133</v>
      </c>
      <c r="C22" s="905">
        <v>3300057.06</v>
      </c>
      <c r="D22" s="905">
        <v>0</v>
      </c>
    </row>
    <row r="23" spans="1:4">
      <c r="A23" s="1028" t="s">
        <v>1117</v>
      </c>
      <c r="B23" s="383" t="s">
        <v>1134</v>
      </c>
      <c r="C23" s="905">
        <v>23626.959999999999</v>
      </c>
      <c r="D23" s="905">
        <v>0</v>
      </c>
    </row>
    <row r="24" spans="1:4">
      <c r="A24" s="1014" t="s">
        <v>1147</v>
      </c>
      <c r="B24" s="383" t="s">
        <v>1148</v>
      </c>
      <c r="C24" s="905">
        <v>12500</v>
      </c>
      <c r="D24" s="905">
        <v>0</v>
      </c>
    </row>
    <row r="25" spans="1:4">
      <c r="A25" s="1028" t="s">
        <v>835</v>
      </c>
      <c r="B25" s="383" t="s">
        <v>836</v>
      </c>
      <c r="C25" s="905">
        <v>8208797471.8000002</v>
      </c>
      <c r="D25" s="905">
        <v>0</v>
      </c>
    </row>
    <row r="26" spans="1:4">
      <c r="A26" s="1028" t="s">
        <v>837</v>
      </c>
      <c r="B26" s="383" t="s">
        <v>838</v>
      </c>
      <c r="C26" s="905">
        <v>0</v>
      </c>
      <c r="D26" s="905">
        <v>536318462.25999999</v>
      </c>
    </row>
    <row r="27" spans="1:4">
      <c r="A27" s="1028" t="s">
        <v>849</v>
      </c>
      <c r="B27" s="383" t="s">
        <v>850</v>
      </c>
      <c r="C27" s="905">
        <v>0</v>
      </c>
      <c r="D27" s="905">
        <v>5815</v>
      </c>
    </row>
    <row r="28" spans="1:4">
      <c r="A28" s="1028" t="s">
        <v>851</v>
      </c>
      <c r="B28" s="383" t="s">
        <v>852</v>
      </c>
      <c r="C28" s="905">
        <v>0</v>
      </c>
      <c r="D28" s="905">
        <v>69</v>
      </c>
    </row>
    <row r="29" spans="1:4">
      <c r="A29" s="1028" t="s">
        <v>853</v>
      </c>
      <c r="B29" s="383" t="s">
        <v>854</v>
      </c>
      <c r="C29" s="905">
        <v>5965.59</v>
      </c>
      <c r="D29" s="905">
        <v>0</v>
      </c>
    </row>
    <row r="30" spans="1:4">
      <c r="A30" s="1028" t="s">
        <v>839</v>
      </c>
      <c r="B30" s="383" t="s">
        <v>840</v>
      </c>
      <c r="C30" s="905">
        <v>1154883238.3199999</v>
      </c>
      <c r="D30" s="905">
        <v>0</v>
      </c>
    </row>
    <row r="31" spans="1:4">
      <c r="A31" s="1028" t="s">
        <v>841</v>
      </c>
      <c r="B31" s="383" t="s">
        <v>842</v>
      </c>
      <c r="C31" s="905">
        <v>202683840.31999999</v>
      </c>
      <c r="D31" s="905">
        <v>0</v>
      </c>
    </row>
    <row r="32" spans="1:4">
      <c r="A32" s="1028" t="s">
        <v>939</v>
      </c>
      <c r="B32" s="383" t="s">
        <v>940</v>
      </c>
      <c r="C32" s="905">
        <v>0</v>
      </c>
      <c r="D32" s="905">
        <v>0.01</v>
      </c>
    </row>
    <row r="33" spans="1:4">
      <c r="A33" s="1028" t="s">
        <v>730</v>
      </c>
      <c r="B33" s="383" t="s">
        <v>731</v>
      </c>
      <c r="C33" s="905">
        <v>2.7800000000000002</v>
      </c>
      <c r="D33" s="905">
        <v>0</v>
      </c>
    </row>
    <row r="34" spans="1:4">
      <c r="A34" s="1028" t="s">
        <v>732</v>
      </c>
      <c r="B34" s="383" t="s">
        <v>733</v>
      </c>
      <c r="C34" s="905">
        <v>114088951.66</v>
      </c>
      <c r="D34" s="905">
        <v>0</v>
      </c>
    </row>
    <row r="35" spans="1:4">
      <c r="A35" s="1028" t="s">
        <v>878</v>
      </c>
      <c r="B35" s="383" t="s">
        <v>1155</v>
      </c>
      <c r="C35" s="905">
        <v>3213035.84</v>
      </c>
      <c r="D35" s="905">
        <v>0</v>
      </c>
    </row>
    <row r="36" spans="1:4">
      <c r="A36" s="1028" t="s">
        <v>1118</v>
      </c>
      <c r="B36" s="383" t="s">
        <v>879</v>
      </c>
      <c r="C36" s="905">
        <v>7232.64</v>
      </c>
      <c r="D36" s="905">
        <v>0</v>
      </c>
    </row>
    <row r="37" spans="1:4">
      <c r="A37" s="1028" t="s">
        <v>880</v>
      </c>
      <c r="B37" s="383" t="s">
        <v>881</v>
      </c>
      <c r="C37" s="905">
        <v>205011.43</v>
      </c>
      <c r="D37" s="905">
        <v>0</v>
      </c>
    </row>
    <row r="38" spans="1:4">
      <c r="A38" s="1028" t="s">
        <v>882</v>
      </c>
      <c r="B38" s="383" t="s">
        <v>883</v>
      </c>
      <c r="C38" s="905">
        <v>18038.68</v>
      </c>
      <c r="D38" s="905">
        <v>0</v>
      </c>
    </row>
    <row r="39" spans="1:4">
      <c r="A39" s="1014" t="s">
        <v>1149</v>
      </c>
      <c r="B39" s="383" t="s">
        <v>1150</v>
      </c>
      <c r="C39" s="905">
        <v>25262</v>
      </c>
      <c r="D39" s="905">
        <v>0</v>
      </c>
    </row>
    <row r="40" spans="1:4">
      <c r="A40" s="1028" t="s">
        <v>884</v>
      </c>
      <c r="B40" s="383" t="s">
        <v>885</v>
      </c>
      <c r="C40" s="905">
        <v>3456.08</v>
      </c>
      <c r="D40" s="905">
        <v>0</v>
      </c>
    </row>
    <row r="41" spans="1:4">
      <c r="A41" s="1028" t="s">
        <v>1119</v>
      </c>
      <c r="B41" s="383" t="s">
        <v>1135</v>
      </c>
      <c r="C41" s="905">
        <v>50948.66</v>
      </c>
      <c r="D41" s="905">
        <v>0</v>
      </c>
    </row>
    <row r="42" spans="1:4">
      <c r="A42" s="1028" t="s">
        <v>902</v>
      </c>
      <c r="B42" s="383" t="s">
        <v>903</v>
      </c>
      <c r="C42" s="905">
        <v>36240919.350000001</v>
      </c>
      <c r="D42" s="905">
        <v>0</v>
      </c>
    </row>
    <row r="43" spans="1:4">
      <c r="A43" s="1028" t="s">
        <v>734</v>
      </c>
      <c r="B43" s="383" t="s">
        <v>735</v>
      </c>
      <c r="C43" s="905">
        <v>5000</v>
      </c>
      <c r="D43" s="905">
        <v>0</v>
      </c>
    </row>
    <row r="44" spans="1:4">
      <c r="A44" s="1028" t="s">
        <v>886</v>
      </c>
      <c r="B44" s="383" t="s">
        <v>887</v>
      </c>
      <c r="C44" s="905">
        <v>317363.48</v>
      </c>
      <c r="D44" s="905">
        <v>0</v>
      </c>
    </row>
    <row r="45" spans="1:4">
      <c r="A45" s="1028" t="s">
        <v>904</v>
      </c>
      <c r="B45" s="383" t="s">
        <v>905</v>
      </c>
      <c r="C45" s="905">
        <v>631922</v>
      </c>
      <c r="D45" s="905">
        <v>0</v>
      </c>
    </row>
    <row r="46" spans="1:4">
      <c r="A46" s="1028" t="s">
        <v>830</v>
      </c>
      <c r="B46" s="383" t="s">
        <v>831</v>
      </c>
      <c r="C46" s="905">
        <v>2500000</v>
      </c>
      <c r="D46" s="905">
        <v>0</v>
      </c>
    </row>
    <row r="47" spans="1:4">
      <c r="A47" s="1028" t="s">
        <v>832</v>
      </c>
      <c r="B47" s="383" t="s">
        <v>833</v>
      </c>
      <c r="C47" s="905">
        <v>250636</v>
      </c>
      <c r="D47" s="905">
        <v>0</v>
      </c>
    </row>
    <row r="48" spans="1:4">
      <c r="A48" s="1028" t="s">
        <v>834</v>
      </c>
      <c r="B48" s="383" t="s">
        <v>1156</v>
      </c>
      <c r="C48" s="905">
        <v>500000</v>
      </c>
      <c r="D48" s="905">
        <v>0</v>
      </c>
    </row>
    <row r="49" spans="1:4">
      <c r="A49" s="1028" t="s">
        <v>1120</v>
      </c>
      <c r="B49" s="383" t="s">
        <v>1136</v>
      </c>
      <c r="C49" s="905">
        <v>724</v>
      </c>
      <c r="D49" s="905">
        <v>0</v>
      </c>
    </row>
    <row r="50" spans="1:4">
      <c r="A50" s="1028" t="s">
        <v>824</v>
      </c>
      <c r="B50" s="383" t="s">
        <v>825</v>
      </c>
      <c r="C50" s="905">
        <v>0</v>
      </c>
      <c r="D50" s="905">
        <v>5.04</v>
      </c>
    </row>
    <row r="51" spans="1:4">
      <c r="A51" s="1028" t="s">
        <v>826</v>
      </c>
      <c r="B51" s="383" t="s">
        <v>827</v>
      </c>
      <c r="C51" s="905">
        <v>0</v>
      </c>
      <c r="D51" s="905">
        <v>27824.33</v>
      </c>
    </row>
    <row r="52" spans="1:4">
      <c r="A52" s="1028" t="s">
        <v>828</v>
      </c>
      <c r="B52" s="383" t="s">
        <v>829</v>
      </c>
      <c r="C52" s="905">
        <v>318373</v>
      </c>
      <c r="D52" s="905">
        <v>0</v>
      </c>
    </row>
    <row r="53" spans="1:4">
      <c r="A53" s="1028" t="s">
        <v>941</v>
      </c>
      <c r="B53" s="383" t="s">
        <v>942</v>
      </c>
      <c r="C53" s="905">
        <v>436769</v>
      </c>
      <c r="D53" s="905">
        <v>0</v>
      </c>
    </row>
    <row r="54" spans="1:4">
      <c r="A54" s="1028" t="s">
        <v>943</v>
      </c>
      <c r="B54" s="383" t="s">
        <v>944</v>
      </c>
      <c r="C54" s="905">
        <v>156790</v>
      </c>
      <c r="D54" s="905">
        <v>0</v>
      </c>
    </row>
    <row r="55" spans="1:4">
      <c r="A55" s="1028" t="s">
        <v>945</v>
      </c>
      <c r="B55" s="383" t="s">
        <v>946</v>
      </c>
      <c r="C55" s="905">
        <v>597477</v>
      </c>
      <c r="D55" s="905">
        <v>0</v>
      </c>
    </row>
    <row r="56" spans="1:4">
      <c r="A56" s="1028" t="s">
        <v>947</v>
      </c>
      <c r="B56" s="383" t="s">
        <v>948</v>
      </c>
      <c r="C56" s="905">
        <v>403493</v>
      </c>
      <c r="D56" s="905">
        <v>0</v>
      </c>
    </row>
    <row r="57" spans="1:4">
      <c r="A57" s="1028" t="s">
        <v>949</v>
      </c>
      <c r="B57" s="383" t="s">
        <v>950</v>
      </c>
      <c r="C57" s="905">
        <v>0</v>
      </c>
      <c r="D57" s="905">
        <v>90907</v>
      </c>
    </row>
    <row r="58" spans="1:4">
      <c r="A58" s="1028" t="s">
        <v>951</v>
      </c>
      <c r="B58" s="383" t="s">
        <v>952</v>
      </c>
      <c r="C58" s="905">
        <v>688501</v>
      </c>
      <c r="D58" s="905">
        <v>0</v>
      </c>
    </row>
    <row r="59" spans="1:4">
      <c r="A59" s="1028" t="s">
        <v>953</v>
      </c>
      <c r="B59" s="383" t="s">
        <v>954</v>
      </c>
      <c r="C59" s="905">
        <v>108815</v>
      </c>
      <c r="D59" s="905">
        <v>0</v>
      </c>
    </row>
    <row r="60" spans="1:4">
      <c r="A60" s="1028" t="s">
        <v>955</v>
      </c>
      <c r="B60" s="383" t="s">
        <v>956</v>
      </c>
      <c r="C60" s="905">
        <v>297661</v>
      </c>
      <c r="D60" s="905">
        <v>0</v>
      </c>
    </row>
    <row r="61" spans="1:4">
      <c r="A61" s="1028" t="s">
        <v>957</v>
      </c>
      <c r="B61" s="383" t="s">
        <v>958</v>
      </c>
      <c r="C61" s="905">
        <v>56516</v>
      </c>
      <c r="D61" s="905">
        <v>0</v>
      </c>
    </row>
    <row r="62" spans="1:4">
      <c r="A62" s="1028" t="s">
        <v>959</v>
      </c>
      <c r="B62" s="383" t="s">
        <v>960</v>
      </c>
      <c r="C62" s="905">
        <v>204392.49</v>
      </c>
      <c r="D62" s="905">
        <v>0</v>
      </c>
    </row>
    <row r="63" spans="1:4">
      <c r="A63" s="1028" t="s">
        <v>961</v>
      </c>
      <c r="B63" s="383" t="s">
        <v>107</v>
      </c>
      <c r="C63" s="905">
        <v>3188690</v>
      </c>
      <c r="D63" s="905">
        <v>0</v>
      </c>
    </row>
    <row r="64" spans="1:4">
      <c r="A64" s="1028" t="s">
        <v>962</v>
      </c>
      <c r="B64" s="383" t="s">
        <v>963</v>
      </c>
      <c r="C64" s="905">
        <v>0</v>
      </c>
      <c r="D64" s="905">
        <v>3188691</v>
      </c>
    </row>
    <row r="65" spans="1:4">
      <c r="A65" s="1028" t="s">
        <v>736</v>
      </c>
      <c r="B65" s="383" t="s">
        <v>103</v>
      </c>
      <c r="C65" s="905">
        <v>116238</v>
      </c>
      <c r="D65" s="905">
        <v>0</v>
      </c>
    </row>
    <row r="66" spans="1:4">
      <c r="A66" s="1028" t="s">
        <v>964</v>
      </c>
      <c r="B66" s="383" t="s">
        <v>965</v>
      </c>
      <c r="C66" s="905">
        <v>0</v>
      </c>
      <c r="D66" s="905">
        <v>895726329.97000003</v>
      </c>
    </row>
    <row r="67" spans="1:4">
      <c r="A67" s="1028" t="s">
        <v>966</v>
      </c>
      <c r="B67" s="383" t="s">
        <v>967</v>
      </c>
      <c r="C67" s="905">
        <v>1035600326</v>
      </c>
      <c r="D67" s="905">
        <v>0</v>
      </c>
    </row>
    <row r="68" spans="1:4">
      <c r="A68" s="1028" t="s">
        <v>968</v>
      </c>
      <c r="B68" s="383" t="s">
        <v>969</v>
      </c>
      <c r="C68" s="905">
        <v>0</v>
      </c>
      <c r="D68" s="905">
        <v>2778136387.7399998</v>
      </c>
    </row>
    <row r="69" spans="1:4">
      <c r="A69" s="1028" t="s">
        <v>970</v>
      </c>
      <c r="B69" s="383" t="s">
        <v>971</v>
      </c>
      <c r="C69" s="905">
        <v>2970505853.8400002</v>
      </c>
      <c r="D69" s="905">
        <v>0</v>
      </c>
    </row>
    <row r="70" spans="1:4">
      <c r="A70" s="1028" t="s">
        <v>972</v>
      </c>
      <c r="B70" s="383" t="s">
        <v>973</v>
      </c>
      <c r="C70" s="905">
        <v>53795219.079999998</v>
      </c>
      <c r="D70" s="905">
        <v>0</v>
      </c>
    </row>
    <row r="71" spans="1:4">
      <c r="A71" s="1028" t="s">
        <v>974</v>
      </c>
      <c r="B71" s="383" t="s">
        <v>975</v>
      </c>
      <c r="C71" s="905">
        <v>0</v>
      </c>
      <c r="D71" s="905">
        <v>197268744.49000001</v>
      </c>
    </row>
    <row r="72" spans="1:4">
      <c r="A72" s="1028" t="s">
        <v>843</v>
      </c>
      <c r="B72" s="383" t="s">
        <v>844</v>
      </c>
      <c r="C72" s="905">
        <v>332236852.69</v>
      </c>
      <c r="D72" s="905">
        <v>0</v>
      </c>
    </row>
    <row r="73" spans="1:4">
      <c r="A73" s="1028" t="s">
        <v>976</v>
      </c>
      <c r="B73" s="383" t="s">
        <v>977</v>
      </c>
      <c r="C73" s="905">
        <v>0</v>
      </c>
      <c r="D73" s="905">
        <v>11629170369.559999</v>
      </c>
    </row>
    <row r="74" spans="1:4">
      <c r="A74" s="1028" t="s">
        <v>760</v>
      </c>
      <c r="B74" s="383" t="s">
        <v>761</v>
      </c>
      <c r="C74" s="905">
        <v>0</v>
      </c>
      <c r="D74" s="905">
        <v>15967564.98</v>
      </c>
    </row>
    <row r="75" spans="1:4">
      <c r="A75" s="1028" t="s">
        <v>780</v>
      </c>
      <c r="B75" s="383" t="s">
        <v>781</v>
      </c>
      <c r="C75" s="905">
        <v>0</v>
      </c>
      <c r="D75" s="905">
        <v>328996.45</v>
      </c>
    </row>
    <row r="76" spans="1:4">
      <c r="A76" s="1028" t="s">
        <v>762</v>
      </c>
      <c r="B76" s="383" t="s">
        <v>763</v>
      </c>
      <c r="C76" s="905">
        <v>0</v>
      </c>
      <c r="D76" s="905">
        <v>2075777.54</v>
      </c>
    </row>
    <row r="77" spans="1:4">
      <c r="A77" s="1028" t="s">
        <v>764</v>
      </c>
      <c r="B77" s="383" t="s">
        <v>765</v>
      </c>
      <c r="C77" s="905">
        <v>0</v>
      </c>
      <c r="D77" s="905">
        <v>54773935.009999998</v>
      </c>
    </row>
    <row r="78" spans="1:4">
      <c r="A78" s="1028" t="s">
        <v>766</v>
      </c>
      <c r="B78" s="383" t="s">
        <v>767</v>
      </c>
      <c r="C78" s="905">
        <v>0</v>
      </c>
      <c r="D78" s="905">
        <v>115092</v>
      </c>
    </row>
    <row r="79" spans="1:4">
      <c r="A79" s="1028" t="s">
        <v>782</v>
      </c>
      <c r="B79" s="383" t="s">
        <v>783</v>
      </c>
      <c r="C79" s="905">
        <v>0</v>
      </c>
      <c r="D79" s="905">
        <v>3932683</v>
      </c>
    </row>
    <row r="80" spans="1:4">
      <c r="A80" s="1028" t="s">
        <v>768</v>
      </c>
      <c r="B80" s="383" t="s">
        <v>769</v>
      </c>
      <c r="C80" s="905">
        <v>0</v>
      </c>
      <c r="D80" s="905">
        <v>885233</v>
      </c>
    </row>
    <row r="81" spans="1:4">
      <c r="A81" s="1028" t="s">
        <v>770</v>
      </c>
      <c r="B81" s="383" t="s">
        <v>771</v>
      </c>
      <c r="C81" s="905">
        <v>0</v>
      </c>
      <c r="D81" s="905">
        <v>4667</v>
      </c>
    </row>
    <row r="82" spans="1:4">
      <c r="A82" s="1028" t="s">
        <v>772</v>
      </c>
      <c r="B82" s="383" t="s">
        <v>773</v>
      </c>
      <c r="C82" s="905">
        <v>0</v>
      </c>
      <c r="D82" s="905">
        <v>4873535</v>
      </c>
    </row>
    <row r="83" spans="1:4">
      <c r="A83" s="1028" t="s">
        <v>821</v>
      </c>
      <c r="B83" s="383" t="s">
        <v>822</v>
      </c>
      <c r="C83" s="905">
        <v>0</v>
      </c>
      <c r="D83" s="905">
        <v>75828942.650000006</v>
      </c>
    </row>
    <row r="84" spans="1:4">
      <c r="A84" s="1028" t="s">
        <v>784</v>
      </c>
      <c r="B84" s="383" t="s">
        <v>165</v>
      </c>
      <c r="C84" s="905">
        <v>0</v>
      </c>
      <c r="D84" s="905">
        <v>385570</v>
      </c>
    </row>
    <row r="85" spans="1:4">
      <c r="A85" s="1028" t="s">
        <v>785</v>
      </c>
      <c r="B85" s="383" t="s">
        <v>786</v>
      </c>
      <c r="C85" s="905">
        <v>0</v>
      </c>
      <c r="D85" s="905">
        <v>41388.300000000003</v>
      </c>
    </row>
    <row r="86" spans="1:4">
      <c r="A86" s="1028" t="s">
        <v>787</v>
      </c>
      <c r="B86" s="383" t="s">
        <v>788</v>
      </c>
      <c r="C86" s="905">
        <v>0</v>
      </c>
      <c r="D86" s="905">
        <v>132770</v>
      </c>
    </row>
    <row r="87" spans="1:4">
      <c r="A87" s="1028" t="s">
        <v>789</v>
      </c>
      <c r="B87" s="383" t="s">
        <v>790</v>
      </c>
      <c r="C87" s="905">
        <v>0</v>
      </c>
      <c r="D87" s="905">
        <v>138632</v>
      </c>
    </row>
    <row r="88" spans="1:4">
      <c r="A88" s="1028" t="s">
        <v>791</v>
      </c>
      <c r="B88" s="383" t="s">
        <v>792</v>
      </c>
      <c r="C88" s="905">
        <v>0</v>
      </c>
      <c r="D88" s="905">
        <v>326711</v>
      </c>
    </row>
    <row r="89" spans="1:4">
      <c r="A89" s="1028" t="s">
        <v>793</v>
      </c>
      <c r="B89" s="383" t="s">
        <v>794</v>
      </c>
      <c r="C89" s="905">
        <v>0</v>
      </c>
      <c r="D89" s="905">
        <v>569947</v>
      </c>
    </row>
    <row r="90" spans="1:4">
      <c r="A90" s="1028" t="s">
        <v>795</v>
      </c>
      <c r="B90" s="383" t="s">
        <v>796</v>
      </c>
      <c r="C90" s="905">
        <v>0</v>
      </c>
      <c r="D90" s="905">
        <v>1495257</v>
      </c>
    </row>
    <row r="91" spans="1:4">
      <c r="A91" s="1028" t="s">
        <v>797</v>
      </c>
      <c r="B91" s="383" t="s">
        <v>798</v>
      </c>
      <c r="C91" s="905">
        <v>0</v>
      </c>
      <c r="D91" s="905">
        <v>2250622</v>
      </c>
    </row>
    <row r="92" spans="1:4">
      <c r="A92" s="1028" t="s">
        <v>799</v>
      </c>
      <c r="B92" s="383" t="s">
        <v>800</v>
      </c>
      <c r="C92" s="905">
        <v>0</v>
      </c>
      <c r="D92" s="905">
        <v>1695204</v>
      </c>
    </row>
    <row r="93" spans="1:4">
      <c r="A93" s="1028" t="s">
        <v>801</v>
      </c>
      <c r="B93" s="383" t="s">
        <v>802</v>
      </c>
      <c r="C93" s="905">
        <v>0</v>
      </c>
      <c r="D93" s="905">
        <v>1413295</v>
      </c>
    </row>
    <row r="94" spans="1:4">
      <c r="A94" s="1028" t="s">
        <v>803</v>
      </c>
      <c r="B94" s="383" t="s">
        <v>804</v>
      </c>
      <c r="C94" s="905">
        <v>0</v>
      </c>
      <c r="D94" s="905">
        <v>1773960</v>
      </c>
    </row>
    <row r="95" spans="1:4">
      <c r="A95" s="1028" t="s">
        <v>805</v>
      </c>
      <c r="B95" s="383" t="s">
        <v>806</v>
      </c>
      <c r="C95" s="905">
        <v>0</v>
      </c>
      <c r="D95" s="905">
        <v>6824313.29</v>
      </c>
    </row>
    <row r="96" spans="1:4">
      <c r="A96" s="1028" t="s">
        <v>807</v>
      </c>
      <c r="B96" s="383" t="s">
        <v>808</v>
      </c>
      <c r="C96" s="905">
        <v>0</v>
      </c>
      <c r="D96" s="905">
        <v>26874</v>
      </c>
    </row>
    <row r="97" spans="1:4">
      <c r="A97" s="1028" t="s">
        <v>809</v>
      </c>
      <c r="B97" s="383" t="s">
        <v>810</v>
      </c>
      <c r="C97" s="905">
        <v>1807</v>
      </c>
      <c r="D97" s="905">
        <v>0</v>
      </c>
    </row>
    <row r="98" spans="1:4">
      <c r="A98" s="1028" t="s">
        <v>774</v>
      </c>
      <c r="B98" s="383" t="s">
        <v>775</v>
      </c>
      <c r="C98" s="905">
        <v>0</v>
      </c>
      <c r="D98" s="905">
        <v>57875077.630000003</v>
      </c>
    </row>
    <row r="99" spans="1:4">
      <c r="A99" s="1028" t="s">
        <v>823</v>
      </c>
      <c r="B99" s="383" t="s">
        <v>101</v>
      </c>
      <c r="C99" s="905">
        <v>0</v>
      </c>
      <c r="D99" s="905">
        <v>460184.92</v>
      </c>
    </row>
    <row r="100" spans="1:4">
      <c r="A100" s="1028" t="s">
        <v>811</v>
      </c>
      <c r="B100" s="383" t="s">
        <v>812</v>
      </c>
      <c r="C100" s="905">
        <v>0</v>
      </c>
      <c r="D100" s="905">
        <v>1200794.3799999999</v>
      </c>
    </row>
    <row r="101" spans="1:4">
      <c r="A101" s="1028" t="s">
        <v>813</v>
      </c>
      <c r="B101" s="383" t="s">
        <v>814</v>
      </c>
      <c r="C101" s="905">
        <v>1044293</v>
      </c>
      <c r="D101" s="905">
        <v>0</v>
      </c>
    </row>
    <row r="102" spans="1:4">
      <c r="A102" s="1028" t="s">
        <v>815</v>
      </c>
      <c r="B102" s="383" t="s">
        <v>816</v>
      </c>
      <c r="C102" s="905">
        <v>0</v>
      </c>
      <c r="D102" s="905">
        <v>1044293</v>
      </c>
    </row>
    <row r="103" spans="1:4">
      <c r="A103" s="1028" t="s">
        <v>817</v>
      </c>
      <c r="B103" s="383" t="s">
        <v>818</v>
      </c>
      <c r="C103" s="905">
        <v>0</v>
      </c>
      <c r="D103" s="905">
        <v>189313.5</v>
      </c>
    </row>
    <row r="104" spans="1:4">
      <c r="A104" s="1028" t="s">
        <v>819</v>
      </c>
      <c r="B104" s="383" t="s">
        <v>820</v>
      </c>
      <c r="C104" s="905">
        <v>0</v>
      </c>
      <c r="D104" s="905">
        <v>921.78</v>
      </c>
    </row>
    <row r="105" spans="1:4">
      <c r="A105" s="1028" t="s">
        <v>776</v>
      </c>
      <c r="B105" s="383" t="s">
        <v>777</v>
      </c>
      <c r="C105" s="905">
        <v>0</v>
      </c>
      <c r="D105" s="905">
        <v>90347.58</v>
      </c>
    </row>
    <row r="106" spans="1:4">
      <c r="A106" s="1028" t="s">
        <v>778</v>
      </c>
      <c r="B106" s="383" t="s">
        <v>779</v>
      </c>
      <c r="C106" s="905">
        <v>0</v>
      </c>
      <c r="D106" s="905">
        <v>3441972.5</v>
      </c>
    </row>
    <row r="107" spans="1:4">
      <c r="A107" s="1028" t="s">
        <v>1121</v>
      </c>
      <c r="B107" s="383" t="s">
        <v>1137</v>
      </c>
      <c r="C107" s="905">
        <v>0</v>
      </c>
      <c r="D107" s="905">
        <v>9687819.9800000004</v>
      </c>
    </row>
    <row r="108" spans="1:4">
      <c r="A108" s="1028" t="s">
        <v>845</v>
      </c>
      <c r="B108" s="383" t="s">
        <v>846</v>
      </c>
      <c r="C108" s="905">
        <v>619700189.84000003</v>
      </c>
      <c r="D108" s="905">
        <v>0</v>
      </c>
    </row>
    <row r="109" spans="1:4">
      <c r="A109" s="1028" t="s">
        <v>855</v>
      </c>
      <c r="B109" s="383" t="s">
        <v>856</v>
      </c>
      <c r="C109" s="905">
        <v>0</v>
      </c>
      <c r="D109" s="905">
        <v>551564.89</v>
      </c>
    </row>
    <row r="110" spans="1:4">
      <c r="A110" s="1028" t="s">
        <v>906</v>
      </c>
      <c r="B110" s="383" t="s">
        <v>142</v>
      </c>
      <c r="C110" s="905">
        <v>0</v>
      </c>
      <c r="D110" s="905">
        <v>220086486</v>
      </c>
    </row>
    <row r="111" spans="1:4">
      <c r="A111" s="1028" t="s">
        <v>847</v>
      </c>
      <c r="B111" s="383" t="s">
        <v>848</v>
      </c>
      <c r="C111" s="905">
        <v>373092427.95999998</v>
      </c>
      <c r="D111" s="905">
        <v>0</v>
      </c>
    </row>
    <row r="112" spans="1:4">
      <c r="A112" s="1028" t="s">
        <v>857</v>
      </c>
      <c r="B112" s="383" t="s">
        <v>858</v>
      </c>
      <c r="C112" s="905">
        <v>0</v>
      </c>
      <c r="D112" s="905">
        <v>22</v>
      </c>
    </row>
    <row r="113" spans="1:4">
      <c r="A113" s="1028" t="s">
        <v>888</v>
      </c>
      <c r="B113" s="383" t="s">
        <v>889</v>
      </c>
      <c r="C113" s="905">
        <v>0</v>
      </c>
      <c r="D113" s="905">
        <v>13567301</v>
      </c>
    </row>
    <row r="114" spans="1:4">
      <c r="A114" s="1028" t="s">
        <v>890</v>
      </c>
      <c r="B114" s="383" t="s">
        <v>891</v>
      </c>
      <c r="C114" s="905">
        <v>0</v>
      </c>
      <c r="D114" s="905">
        <v>160802</v>
      </c>
    </row>
    <row r="115" spans="1:4">
      <c r="A115" s="1028" t="s">
        <v>892</v>
      </c>
      <c r="B115" s="383" t="s">
        <v>893</v>
      </c>
      <c r="C115" s="905">
        <v>0</v>
      </c>
      <c r="D115" s="905">
        <v>5635785</v>
      </c>
    </row>
    <row r="116" spans="1:4">
      <c r="A116" s="1028" t="s">
        <v>894</v>
      </c>
      <c r="B116" s="383" t="s">
        <v>895</v>
      </c>
      <c r="C116" s="905">
        <v>0</v>
      </c>
      <c r="D116" s="905">
        <v>315952</v>
      </c>
    </row>
    <row r="117" spans="1:4">
      <c r="A117" s="1014" t="s">
        <v>1151</v>
      </c>
      <c r="B117" s="383" t="s">
        <v>1152</v>
      </c>
      <c r="C117" s="905">
        <v>0</v>
      </c>
      <c r="D117" s="905">
        <v>25262</v>
      </c>
    </row>
    <row r="118" spans="1:4">
      <c r="A118" s="1028" t="s">
        <v>896</v>
      </c>
      <c r="B118" s="383" t="s">
        <v>897</v>
      </c>
      <c r="C118" s="905">
        <v>0</v>
      </c>
      <c r="D118" s="905">
        <v>53</v>
      </c>
    </row>
    <row r="119" spans="1:4">
      <c r="A119" s="1028" t="s">
        <v>1122</v>
      </c>
      <c r="B119" s="383" t="s">
        <v>1138</v>
      </c>
      <c r="C119" s="905">
        <v>0</v>
      </c>
      <c r="D119" s="905">
        <v>17.28</v>
      </c>
    </row>
    <row r="120" spans="1:4">
      <c r="A120" s="1028" t="s">
        <v>898</v>
      </c>
      <c r="B120" s="383" t="s">
        <v>899</v>
      </c>
      <c r="C120" s="905">
        <v>0</v>
      </c>
      <c r="D120" s="905">
        <v>33791</v>
      </c>
    </row>
    <row r="121" spans="1:4">
      <c r="A121" s="1028" t="s">
        <v>900</v>
      </c>
      <c r="B121" s="383" t="s">
        <v>901</v>
      </c>
      <c r="C121" s="905">
        <v>0</v>
      </c>
      <c r="D121" s="905">
        <v>73266</v>
      </c>
    </row>
    <row r="122" spans="1:4">
      <c r="A122" s="1028" t="s">
        <v>1123</v>
      </c>
      <c r="B122" s="383" t="s">
        <v>1139</v>
      </c>
      <c r="C122" s="905">
        <v>0</v>
      </c>
      <c r="D122" s="905">
        <v>7263671</v>
      </c>
    </row>
    <row r="123" spans="1:4">
      <c r="A123" s="1028" t="s">
        <v>1124</v>
      </c>
      <c r="B123" s="383" t="s">
        <v>1140</v>
      </c>
      <c r="C123" s="905">
        <v>0</v>
      </c>
      <c r="D123" s="905">
        <v>466.29</v>
      </c>
    </row>
    <row r="124" spans="1:4">
      <c r="A124" s="1028" t="s">
        <v>859</v>
      </c>
      <c r="B124" s="383" t="s">
        <v>860</v>
      </c>
      <c r="C124" s="905">
        <v>0</v>
      </c>
      <c r="D124" s="905">
        <v>18106040.77</v>
      </c>
    </row>
    <row r="125" spans="1:4">
      <c r="A125" s="1028" t="s">
        <v>1125</v>
      </c>
      <c r="B125" s="383" t="s">
        <v>1141</v>
      </c>
      <c r="C125" s="905">
        <v>0</v>
      </c>
      <c r="D125" s="905">
        <v>618.66</v>
      </c>
    </row>
    <row r="126" spans="1:4">
      <c r="A126" s="1028" t="s">
        <v>978</v>
      </c>
      <c r="B126" s="383" t="s">
        <v>979</v>
      </c>
      <c r="C126" s="905">
        <v>0</v>
      </c>
      <c r="D126" s="905">
        <v>53795219.060000002</v>
      </c>
    </row>
    <row r="127" spans="1:4">
      <c r="A127" s="1028" t="s">
        <v>980</v>
      </c>
      <c r="B127" s="383" t="s">
        <v>981</v>
      </c>
      <c r="C127" s="905">
        <v>197268744.49000001</v>
      </c>
      <c r="D127" s="905">
        <v>0</v>
      </c>
    </row>
    <row r="128" spans="1:4">
      <c r="A128" s="1014" t="s">
        <v>1153</v>
      </c>
      <c r="B128" s="383" t="s">
        <v>1154</v>
      </c>
      <c r="C128" s="905">
        <v>75068730</v>
      </c>
      <c r="D128" s="905">
        <v>0</v>
      </c>
    </row>
    <row r="129" spans="1:4">
      <c r="A129" s="1028" t="s">
        <v>865</v>
      </c>
      <c r="B129" s="383" t="s">
        <v>92</v>
      </c>
      <c r="C129" s="905">
        <v>102598161</v>
      </c>
      <c r="D129" s="905">
        <v>0</v>
      </c>
    </row>
    <row r="130" spans="1:4">
      <c r="A130" s="1028" t="s">
        <v>866</v>
      </c>
      <c r="B130" s="383" t="s">
        <v>867</v>
      </c>
      <c r="C130" s="905">
        <v>13337750.93</v>
      </c>
      <c r="D130" s="905">
        <v>0</v>
      </c>
    </row>
    <row r="131" spans="1:4">
      <c r="A131" s="1028" t="s">
        <v>868</v>
      </c>
      <c r="B131" s="383" t="s">
        <v>91</v>
      </c>
      <c r="C131" s="905">
        <v>5634435</v>
      </c>
      <c r="D131" s="905">
        <v>0</v>
      </c>
    </row>
    <row r="132" spans="1:4">
      <c r="A132" s="1028" t="s">
        <v>869</v>
      </c>
      <c r="B132" s="383" t="s">
        <v>870</v>
      </c>
      <c r="C132" s="905">
        <v>732477</v>
      </c>
      <c r="D132" s="905">
        <v>0</v>
      </c>
    </row>
    <row r="133" spans="1:4">
      <c r="A133" s="1028" t="s">
        <v>871</v>
      </c>
      <c r="B133" s="383" t="s">
        <v>87</v>
      </c>
      <c r="C133" s="905">
        <v>4873560</v>
      </c>
      <c r="D133" s="905">
        <v>0</v>
      </c>
    </row>
    <row r="134" spans="1:4">
      <c r="A134" s="1028" t="s">
        <v>872</v>
      </c>
      <c r="B134" s="383" t="s">
        <v>873</v>
      </c>
      <c r="C134" s="905">
        <v>5129713.32</v>
      </c>
      <c r="D134" s="905">
        <v>0</v>
      </c>
    </row>
    <row r="135" spans="1:4">
      <c r="A135" s="1028" t="s">
        <v>874</v>
      </c>
      <c r="B135" s="383" t="s">
        <v>875</v>
      </c>
      <c r="C135" s="905">
        <v>666862</v>
      </c>
      <c r="D135" s="905">
        <v>0</v>
      </c>
    </row>
    <row r="136" spans="1:4">
      <c r="A136" s="1028" t="s">
        <v>1126</v>
      </c>
      <c r="B136" s="383" t="s">
        <v>1142</v>
      </c>
      <c r="C136" s="905">
        <v>20519171.98</v>
      </c>
      <c r="D136" s="905">
        <v>0</v>
      </c>
    </row>
    <row r="137" spans="1:4">
      <c r="A137" s="1028" t="s">
        <v>754</v>
      </c>
      <c r="B137" s="383" t="s">
        <v>755</v>
      </c>
      <c r="C137" s="905">
        <v>24721642.890000001</v>
      </c>
      <c r="D137" s="905">
        <v>0</v>
      </c>
    </row>
    <row r="138" spans="1:4">
      <c r="A138" s="1028" t="s">
        <v>756</v>
      </c>
      <c r="B138" s="383" t="s">
        <v>757</v>
      </c>
      <c r="C138" s="905">
        <v>106176</v>
      </c>
      <c r="D138" s="905">
        <v>0</v>
      </c>
    </row>
    <row r="139" spans="1:4">
      <c r="A139" s="1028" t="s">
        <v>876</v>
      </c>
      <c r="B139" s="383" t="s">
        <v>877</v>
      </c>
      <c r="C139" s="905">
        <v>1118570</v>
      </c>
      <c r="D139" s="905">
        <v>0</v>
      </c>
    </row>
    <row r="140" spans="1:4">
      <c r="A140" s="1028" t="s">
        <v>758</v>
      </c>
      <c r="B140" s="383" t="s">
        <v>759</v>
      </c>
      <c r="C140" s="905">
        <v>793308</v>
      </c>
      <c r="D140" s="905">
        <v>0</v>
      </c>
    </row>
    <row r="141" spans="1:4">
      <c r="A141" s="1028" t="s">
        <v>861</v>
      </c>
      <c r="B141" s="383" t="s">
        <v>862</v>
      </c>
      <c r="C141" s="905">
        <v>530652.27</v>
      </c>
      <c r="D141" s="905">
        <v>0</v>
      </c>
    </row>
    <row r="142" spans="1:4">
      <c r="A142" s="1028" t="s">
        <v>863</v>
      </c>
      <c r="B142" s="383" t="s">
        <v>864</v>
      </c>
      <c r="C142" s="905">
        <v>9272.0400000000009</v>
      </c>
      <c r="D142" s="905">
        <v>0</v>
      </c>
    </row>
    <row r="143" spans="1:4">
      <c r="A143" s="1028" t="s">
        <v>737</v>
      </c>
      <c r="B143" s="383" t="s">
        <v>144</v>
      </c>
      <c r="C143" s="905">
        <v>234521.02000000002</v>
      </c>
      <c r="D143" s="905">
        <v>0</v>
      </c>
    </row>
    <row r="144" spans="1:4">
      <c r="A144" s="1028" t="s">
        <v>738</v>
      </c>
      <c r="B144" s="383" t="s">
        <v>739</v>
      </c>
      <c r="C144" s="905">
        <v>112276</v>
      </c>
      <c r="D144" s="905">
        <v>0</v>
      </c>
    </row>
    <row r="145" spans="1:4">
      <c r="A145" s="1028" t="s">
        <v>740</v>
      </c>
      <c r="B145" s="383" t="s">
        <v>741</v>
      </c>
      <c r="C145" s="905">
        <v>34258</v>
      </c>
      <c r="D145" s="905">
        <v>0</v>
      </c>
    </row>
    <row r="146" spans="1:4">
      <c r="A146" s="1028" t="s">
        <v>742</v>
      </c>
      <c r="B146" s="383" t="s">
        <v>743</v>
      </c>
      <c r="C146" s="905">
        <v>0</v>
      </c>
      <c r="D146" s="905">
        <v>205918.6</v>
      </c>
    </row>
    <row r="147" spans="1:4">
      <c r="A147" s="1028" t="s">
        <v>1127</v>
      </c>
      <c r="B147" s="383" t="s">
        <v>1143</v>
      </c>
      <c r="C147" s="905">
        <v>47985</v>
      </c>
      <c r="D147" s="905">
        <v>0</v>
      </c>
    </row>
    <row r="148" spans="1:4">
      <c r="A148" s="1028" t="s">
        <v>744</v>
      </c>
      <c r="B148" s="383" t="s">
        <v>745</v>
      </c>
      <c r="C148" s="905">
        <v>1579</v>
      </c>
      <c r="D148" s="905">
        <v>0</v>
      </c>
    </row>
    <row r="149" spans="1:4">
      <c r="A149" s="1028" t="s">
        <v>1128</v>
      </c>
      <c r="B149" s="383" t="s">
        <v>1144</v>
      </c>
      <c r="C149" s="905">
        <v>1839.33</v>
      </c>
      <c r="D149" s="905">
        <v>0</v>
      </c>
    </row>
    <row r="150" spans="1:4">
      <c r="A150" s="1028" t="s">
        <v>746</v>
      </c>
      <c r="B150" s="383" t="s">
        <v>747</v>
      </c>
      <c r="C150" s="905">
        <v>42214</v>
      </c>
      <c r="D150" s="905">
        <v>0</v>
      </c>
    </row>
    <row r="151" spans="1:4">
      <c r="A151" s="1028" t="s">
        <v>748</v>
      </c>
      <c r="B151" s="383" t="s">
        <v>749</v>
      </c>
      <c r="C151" s="905">
        <v>46163.03</v>
      </c>
      <c r="D151" s="905">
        <v>0</v>
      </c>
    </row>
    <row r="152" spans="1:4">
      <c r="A152" s="1028" t="s">
        <v>750</v>
      </c>
      <c r="B152" s="383" t="s">
        <v>751</v>
      </c>
      <c r="C152" s="905">
        <v>4421.5</v>
      </c>
      <c r="D152" s="905">
        <v>0</v>
      </c>
    </row>
    <row r="153" spans="1:4">
      <c r="A153" s="1028" t="s">
        <v>752</v>
      </c>
      <c r="B153" s="383" t="s">
        <v>753</v>
      </c>
      <c r="C153" s="905">
        <v>14683.550000000001</v>
      </c>
      <c r="D153" s="905">
        <v>0</v>
      </c>
    </row>
    <row r="154" spans="1:4">
      <c r="A154" s="1028" t="s">
        <v>1129</v>
      </c>
      <c r="B154" s="383" t="s">
        <v>1145</v>
      </c>
      <c r="C154" s="905">
        <v>8105</v>
      </c>
      <c r="D154" s="905">
        <v>0</v>
      </c>
    </row>
    <row r="156" spans="1:4">
      <c r="C156" s="905">
        <f>SUM(C1:C154)</f>
        <v>16609607714.52</v>
      </c>
      <c r="D156" s="905">
        <f>SUM(D1:D154)</f>
        <v>16609607537.440001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AG157"/>
  <sheetViews>
    <sheetView topLeftCell="A65" zoomScaleSheetLayoutView="100" workbookViewId="0">
      <selection activeCell="A65" sqref="A65:H65"/>
    </sheetView>
  </sheetViews>
  <sheetFormatPr defaultColWidth="10.19921875" defaultRowHeight="11.4"/>
  <cols>
    <col min="1" max="1" width="5.09765625" style="22" customWidth="1"/>
    <col min="2" max="2" width="3.59765625" style="21" customWidth="1"/>
    <col min="3" max="3" width="36.19921875" style="21" customWidth="1"/>
    <col min="4" max="4" width="5.59765625" style="21" customWidth="1"/>
    <col min="5" max="5" width="4.19921875" style="23" customWidth="1"/>
    <col min="6" max="6" width="10.19921875" style="21" customWidth="1"/>
    <col min="7" max="7" width="4.19921875" style="21" customWidth="1"/>
    <col min="8" max="8" width="15.69921875" style="21" customWidth="1"/>
    <col min="9" max="9" width="14.19921875" style="21" hidden="1" customWidth="1"/>
    <col min="10" max="10" width="0" style="21" hidden="1" customWidth="1"/>
    <col min="11" max="11" width="10.5" style="21" hidden="1" customWidth="1"/>
    <col min="12" max="29" width="0" style="21" hidden="1" customWidth="1"/>
    <col min="30" max="30" width="0.69921875" style="21" customWidth="1"/>
    <col min="31" max="31" width="12.19921875" style="21" customWidth="1"/>
    <col min="32" max="16384" width="10.19921875" style="21"/>
  </cols>
  <sheetData>
    <row r="1" spans="1:30" ht="12">
      <c r="A1" s="18" t="str">
        <f>+UHF!A1</f>
        <v>MCB PAKISTAN STOCK MARKET FUND</v>
      </c>
      <c r="B1" s="19"/>
      <c r="C1" s="19"/>
      <c r="D1" s="19"/>
      <c r="E1" s="20"/>
    </row>
    <row r="2" spans="1:30" ht="12">
      <c r="A2" s="18" t="s">
        <v>627</v>
      </c>
      <c r="B2" s="19"/>
      <c r="C2" s="19"/>
      <c r="D2" s="19"/>
      <c r="E2" s="20"/>
    </row>
    <row r="3" spans="1:30" ht="12">
      <c r="A3" s="19" t="str">
        <f>+UHF!A3</f>
        <v>FOR THE QUARTER ENDED SEPTEMBER 30, 2021</v>
      </c>
      <c r="B3" s="19"/>
      <c r="C3" s="19"/>
      <c r="D3" s="19"/>
      <c r="E3" s="20"/>
    </row>
    <row r="4" spans="1:30" ht="12">
      <c r="A4" s="19"/>
      <c r="B4" s="19"/>
      <c r="C4" s="19"/>
      <c r="D4" s="19"/>
      <c r="E4" s="20"/>
    </row>
    <row r="5" spans="1:30" ht="12">
      <c r="A5" s="24">
        <v>1</v>
      </c>
      <c r="B5" s="19" t="s">
        <v>67</v>
      </c>
      <c r="C5" s="19"/>
      <c r="D5" s="19"/>
      <c r="E5" s="25"/>
    </row>
    <row r="6" spans="1:30" ht="10.199999999999999" customHeight="1">
      <c r="A6" s="18"/>
    </row>
    <row r="7" spans="1:30" s="61" customFormat="1" ht="12">
      <c r="A7" s="437"/>
      <c r="B7" s="2553" t="s">
        <v>464</v>
      </c>
      <c r="C7" s="2553"/>
      <c r="D7" s="2553"/>
      <c r="E7" s="2553"/>
      <c r="F7" s="2553"/>
      <c r="G7" s="2553"/>
      <c r="H7" s="2553"/>
      <c r="I7" s="2554"/>
      <c r="J7" s="2554"/>
      <c r="K7" s="2554"/>
      <c r="L7" s="2554"/>
      <c r="M7" s="2554"/>
      <c r="N7" s="2554"/>
      <c r="O7" s="2554"/>
      <c r="P7" s="2554"/>
      <c r="Q7" s="2554"/>
      <c r="R7" s="2554"/>
      <c r="W7" s="2550" t="s">
        <v>158</v>
      </c>
      <c r="X7" s="2550"/>
      <c r="Y7" s="2550"/>
      <c r="Z7" s="2550"/>
      <c r="AA7" s="2550"/>
      <c r="AB7" s="2550"/>
      <c r="AC7" s="2550"/>
      <c r="AD7" s="2550"/>
    </row>
    <row r="8" spans="1:30" s="61" customFormat="1" ht="12">
      <c r="A8" s="437"/>
      <c r="B8" s="2553"/>
      <c r="C8" s="2553"/>
      <c r="D8" s="2553"/>
      <c r="E8" s="2553"/>
      <c r="F8" s="2553"/>
      <c r="G8" s="2553"/>
      <c r="H8" s="2553"/>
      <c r="I8" s="2554"/>
      <c r="J8" s="2554"/>
      <c r="K8" s="2554"/>
      <c r="L8" s="2554"/>
      <c r="M8" s="2554"/>
      <c r="N8" s="2554"/>
      <c r="O8" s="2554"/>
      <c r="P8" s="2554"/>
      <c r="Q8" s="2554"/>
      <c r="R8" s="2554"/>
      <c r="W8" s="2550"/>
      <c r="X8" s="2550"/>
      <c r="Y8" s="2550"/>
      <c r="Z8" s="2550"/>
      <c r="AA8" s="2550"/>
      <c r="AB8" s="2550"/>
      <c r="AC8" s="2550"/>
      <c r="AD8" s="2550"/>
    </row>
    <row r="9" spans="1:30" s="61" customFormat="1" ht="12">
      <c r="A9" s="437"/>
      <c r="B9" s="2553"/>
      <c r="C9" s="2553"/>
      <c r="D9" s="2553"/>
      <c r="E9" s="2553"/>
      <c r="F9" s="2553"/>
      <c r="G9" s="2553"/>
      <c r="H9" s="2553"/>
      <c r="I9" s="717"/>
      <c r="J9" s="717"/>
      <c r="K9" s="717"/>
      <c r="L9" s="717"/>
      <c r="M9" s="717"/>
      <c r="N9" s="717"/>
      <c r="O9" s="717"/>
      <c r="P9" s="717"/>
      <c r="Q9" s="717"/>
      <c r="R9" s="717"/>
      <c r="W9" s="2550"/>
      <c r="X9" s="2550"/>
      <c r="Y9" s="2550"/>
      <c r="Z9" s="2550"/>
      <c r="AA9" s="2550"/>
      <c r="AB9" s="2550"/>
      <c r="AC9" s="2550"/>
      <c r="AD9" s="2550"/>
    </row>
    <row r="10" spans="1:30" s="61" customFormat="1" ht="12">
      <c r="A10" s="437"/>
      <c r="B10" s="2553"/>
      <c r="C10" s="2553"/>
      <c r="D10" s="2553"/>
      <c r="E10" s="2553"/>
      <c r="F10" s="2553"/>
      <c r="G10" s="2553"/>
      <c r="H10" s="2553"/>
      <c r="I10" s="717"/>
      <c r="J10" s="717"/>
      <c r="K10" s="717"/>
      <c r="L10" s="717"/>
      <c r="M10" s="717"/>
      <c r="N10" s="717"/>
      <c r="O10" s="717"/>
      <c r="P10" s="717"/>
      <c r="Q10" s="717"/>
      <c r="R10" s="717"/>
      <c r="W10" s="2550"/>
      <c r="X10" s="2550"/>
      <c r="Y10" s="2550"/>
      <c r="Z10" s="2550"/>
      <c r="AA10" s="2550"/>
      <c r="AB10" s="2550"/>
      <c r="AC10" s="2550"/>
      <c r="AD10" s="2550"/>
    </row>
    <row r="11" spans="1:30" s="61" customFormat="1" ht="12">
      <c r="A11" s="437"/>
      <c r="B11" s="2553"/>
      <c r="C11" s="2553"/>
      <c r="D11" s="2553"/>
      <c r="E11" s="2553"/>
      <c r="F11" s="2553"/>
      <c r="G11" s="2553"/>
      <c r="H11" s="2553"/>
      <c r="I11" s="717"/>
      <c r="J11" s="717"/>
      <c r="K11" s="717"/>
      <c r="L11" s="717"/>
      <c r="M11" s="717"/>
      <c r="N11" s="717"/>
      <c r="O11" s="717"/>
      <c r="P11" s="717"/>
      <c r="Q11" s="717"/>
      <c r="R11" s="717"/>
      <c r="W11" s="2550"/>
      <c r="X11" s="2550"/>
      <c r="Y11" s="2550"/>
      <c r="Z11" s="2550"/>
      <c r="AA11" s="2550"/>
      <c r="AB11" s="2550"/>
      <c r="AC11" s="2550"/>
      <c r="AD11" s="2550"/>
    </row>
    <row r="12" spans="1:30" s="61" customFormat="1" ht="9" customHeight="1">
      <c r="A12" s="437"/>
      <c r="B12" s="438"/>
      <c r="C12" s="438"/>
      <c r="D12" s="438"/>
      <c r="E12" s="438"/>
      <c r="F12" s="438"/>
      <c r="G12" s="438"/>
      <c r="H12" s="438"/>
    </row>
    <row r="13" spans="1:30" s="61" customFormat="1" ht="12">
      <c r="A13" s="437"/>
      <c r="B13" s="2550" t="s">
        <v>465</v>
      </c>
      <c r="C13" s="2550"/>
      <c r="D13" s="2550"/>
      <c r="E13" s="2550"/>
      <c r="F13" s="2550"/>
      <c r="G13" s="2550"/>
      <c r="H13" s="2550"/>
      <c r="J13" s="2550"/>
      <c r="K13" s="2550"/>
      <c r="L13" s="2550"/>
      <c r="M13" s="2550"/>
      <c r="N13" s="2550"/>
      <c r="O13" s="2550"/>
      <c r="P13" s="2550"/>
    </row>
    <row r="14" spans="1:30" s="61" customFormat="1" ht="12">
      <c r="A14" s="437"/>
      <c r="B14" s="2550"/>
      <c r="C14" s="2550"/>
      <c r="D14" s="2550"/>
      <c r="E14" s="2550"/>
      <c r="F14" s="2550"/>
      <c r="G14" s="2550"/>
      <c r="H14" s="2550"/>
      <c r="J14" s="2550"/>
      <c r="K14" s="2550"/>
      <c r="L14" s="2550"/>
      <c r="M14" s="2550"/>
      <c r="N14" s="2550"/>
      <c r="O14" s="2550"/>
      <c r="P14" s="2550"/>
    </row>
    <row r="15" spans="1:30" s="61" customFormat="1" ht="12">
      <c r="A15" s="437"/>
      <c r="B15" s="2550"/>
      <c r="C15" s="2550"/>
      <c r="D15" s="2550"/>
      <c r="E15" s="2550"/>
      <c r="F15" s="2550"/>
      <c r="G15" s="2550"/>
      <c r="H15" s="2550"/>
      <c r="J15" s="2550"/>
      <c r="K15" s="2550"/>
      <c r="L15" s="2550"/>
      <c r="M15" s="2550"/>
      <c r="N15" s="2550"/>
      <c r="O15" s="2550"/>
      <c r="P15" s="2550"/>
    </row>
    <row r="16" spans="1:30" s="61" customFormat="1" ht="12">
      <c r="A16" s="437"/>
      <c r="B16" s="2550"/>
      <c r="C16" s="2550"/>
      <c r="D16" s="2550"/>
      <c r="E16" s="2550"/>
      <c r="F16" s="2550"/>
      <c r="G16" s="2550"/>
      <c r="H16" s="2550"/>
      <c r="J16" s="2550"/>
      <c r="K16" s="2550"/>
      <c r="L16" s="2550"/>
      <c r="M16" s="2550"/>
      <c r="N16" s="2550"/>
      <c r="O16" s="2550"/>
      <c r="P16" s="2550"/>
    </row>
    <row r="17" spans="1:30" s="61" customFormat="1" ht="9" customHeight="1">
      <c r="A17" s="437"/>
      <c r="B17" s="439"/>
      <c r="C17" s="439"/>
      <c r="D17" s="440"/>
      <c r="E17" s="440"/>
      <c r="F17" s="440"/>
      <c r="G17" s="440"/>
      <c r="H17" s="440"/>
    </row>
    <row r="18" spans="1:30" s="61" customFormat="1" ht="12">
      <c r="A18" s="437"/>
      <c r="B18" s="2550" t="s">
        <v>528</v>
      </c>
      <c r="C18" s="2550"/>
      <c r="D18" s="2550"/>
      <c r="E18" s="2550"/>
      <c r="F18" s="2550"/>
      <c r="G18" s="2550"/>
      <c r="H18" s="2550"/>
    </row>
    <row r="19" spans="1:30" s="61" customFormat="1" ht="12">
      <c r="A19" s="437"/>
      <c r="B19" s="2550"/>
      <c r="C19" s="2550"/>
      <c r="D19" s="2550"/>
      <c r="E19" s="2550"/>
      <c r="F19" s="2550"/>
      <c r="G19" s="2550"/>
      <c r="H19" s="2550"/>
    </row>
    <row r="20" spans="1:30" s="61" customFormat="1" ht="12">
      <c r="A20" s="437"/>
      <c r="B20" s="2550"/>
      <c r="C20" s="2550"/>
      <c r="D20" s="2550"/>
      <c r="E20" s="2550"/>
      <c r="F20" s="2550"/>
      <c r="G20" s="2550"/>
      <c r="H20" s="2550"/>
    </row>
    <row r="21" spans="1:30" s="61" customFormat="1" ht="12">
      <c r="A21" s="437"/>
      <c r="B21" s="2550"/>
      <c r="C21" s="2550"/>
      <c r="D21" s="2550"/>
      <c r="E21" s="2550"/>
      <c r="F21" s="2550"/>
      <c r="G21" s="2550"/>
      <c r="H21" s="2550"/>
    </row>
    <row r="22" spans="1:30" s="61" customFormat="1" ht="12">
      <c r="A22" s="437"/>
      <c r="B22" s="2550"/>
      <c r="C22" s="2550"/>
      <c r="D22" s="2550"/>
      <c r="E22" s="2550"/>
      <c r="F22" s="2550"/>
      <c r="G22" s="2550"/>
      <c r="H22" s="2550"/>
    </row>
    <row r="23" spans="1:30" s="61" customFormat="1" ht="9" customHeight="1">
      <c r="A23" s="437"/>
      <c r="B23" s="439"/>
      <c r="C23" s="439"/>
      <c r="D23" s="440"/>
      <c r="E23" s="440"/>
      <c r="F23" s="440"/>
      <c r="G23" s="440"/>
      <c r="H23" s="440"/>
    </row>
    <row r="24" spans="1:30" s="61" customFormat="1" ht="12">
      <c r="A24" s="437"/>
      <c r="B24" s="2555" t="s">
        <v>466</v>
      </c>
      <c r="C24" s="2555" t="s">
        <v>379</v>
      </c>
      <c r="D24" s="2555" t="s">
        <v>379</v>
      </c>
      <c r="E24" s="2555" t="s">
        <v>379</v>
      </c>
      <c r="F24" s="2555" t="s">
        <v>379</v>
      </c>
      <c r="G24" s="2555" t="s">
        <v>379</v>
      </c>
      <c r="H24" s="2555" t="s">
        <v>379</v>
      </c>
      <c r="W24" s="2550"/>
      <c r="X24" s="2550"/>
      <c r="Y24" s="2550"/>
      <c r="Z24" s="2550"/>
      <c r="AA24" s="2550"/>
      <c r="AB24" s="2550"/>
      <c r="AC24" s="2550"/>
      <c r="AD24" s="2550"/>
    </row>
    <row r="25" spans="1:30" s="61" customFormat="1" ht="12">
      <c r="A25" s="437"/>
      <c r="B25" s="2555" t="s">
        <v>379</v>
      </c>
      <c r="C25" s="2555" t="s">
        <v>379</v>
      </c>
      <c r="D25" s="2555" t="s">
        <v>379</v>
      </c>
      <c r="E25" s="2555" t="s">
        <v>379</v>
      </c>
      <c r="F25" s="2555" t="s">
        <v>379</v>
      </c>
      <c r="G25" s="2555" t="s">
        <v>379</v>
      </c>
      <c r="H25" s="2555" t="s">
        <v>379</v>
      </c>
      <c r="W25" s="2550"/>
      <c r="X25" s="2550"/>
      <c r="Y25" s="2550"/>
      <c r="Z25" s="2550"/>
      <c r="AA25" s="2550"/>
      <c r="AB25" s="2550"/>
      <c r="AC25" s="2550"/>
      <c r="AD25" s="2550"/>
    </row>
    <row r="26" spans="1:30" s="61" customFormat="1" ht="9" customHeight="1">
      <c r="A26" s="437"/>
      <c r="B26" s="370"/>
      <c r="C26" s="370"/>
      <c r="D26" s="370"/>
      <c r="E26" s="370"/>
      <c r="F26" s="370"/>
      <c r="G26" s="370"/>
      <c r="H26" s="370"/>
      <c r="W26" s="2550"/>
      <c r="X26" s="2550"/>
      <c r="Y26" s="2550"/>
      <c r="Z26" s="2550"/>
      <c r="AA26" s="2550"/>
      <c r="AB26" s="2550"/>
      <c r="AC26" s="2550"/>
      <c r="AD26" s="2550"/>
    </row>
    <row r="27" spans="1:30" s="61" customFormat="1" ht="12">
      <c r="A27" s="437"/>
      <c r="B27" s="2550" t="s">
        <v>467</v>
      </c>
      <c r="C27" s="2550"/>
      <c r="D27" s="2550"/>
      <c r="E27" s="2550"/>
      <c r="F27" s="2550"/>
      <c r="G27" s="2550"/>
      <c r="H27" s="2550"/>
    </row>
    <row r="28" spans="1:30" s="61" customFormat="1" ht="12">
      <c r="A28" s="437"/>
      <c r="B28" s="2550"/>
      <c r="C28" s="2550"/>
      <c r="D28" s="2550"/>
      <c r="E28" s="2550"/>
      <c r="F28" s="2550"/>
      <c r="G28" s="2550"/>
      <c r="H28" s="2550"/>
    </row>
    <row r="29" spans="1:30" s="61" customFormat="1" ht="9" customHeight="1">
      <c r="A29" s="441"/>
      <c r="B29" s="442"/>
      <c r="C29" s="442"/>
      <c r="D29" s="442"/>
      <c r="E29" s="442"/>
      <c r="F29" s="229"/>
      <c r="G29" s="229"/>
      <c r="H29" s="229"/>
    </row>
    <row r="30" spans="1:30" s="26" customFormat="1" ht="12">
      <c r="A30" s="441"/>
      <c r="B30" s="2550" t="s">
        <v>468</v>
      </c>
      <c r="C30" s="2550"/>
      <c r="D30" s="2550"/>
      <c r="E30" s="2550"/>
      <c r="F30" s="2550"/>
      <c r="G30" s="2550"/>
      <c r="H30" s="2550"/>
    </row>
    <row r="31" spans="1:30" s="26" customFormat="1" ht="12">
      <c r="A31" s="441"/>
      <c r="B31" s="2550"/>
      <c r="C31" s="2550"/>
      <c r="D31" s="2550"/>
      <c r="E31" s="2550"/>
      <c r="F31" s="2550"/>
      <c r="G31" s="2550"/>
      <c r="H31" s="2550"/>
    </row>
    <row r="32" spans="1:30" s="26" customFormat="1" ht="9" customHeight="1">
      <c r="A32" s="441"/>
      <c r="B32" s="716"/>
      <c r="C32" s="716"/>
      <c r="D32" s="716"/>
      <c r="E32" s="716"/>
      <c r="F32" s="716"/>
      <c r="G32" s="716"/>
      <c r="H32" s="716"/>
    </row>
    <row r="33" spans="1:33" s="26" customFormat="1" ht="12">
      <c r="A33" s="441"/>
      <c r="B33" s="2550" t="s">
        <v>584</v>
      </c>
      <c r="C33" s="2550"/>
      <c r="D33" s="2550"/>
      <c r="E33" s="2550"/>
      <c r="F33" s="2550"/>
      <c r="G33" s="2550"/>
      <c r="H33" s="2550"/>
    </row>
    <row r="34" spans="1:33" s="26" customFormat="1" ht="12">
      <c r="A34" s="441"/>
      <c r="B34" s="2550"/>
      <c r="C34" s="2550"/>
      <c r="D34" s="2550"/>
      <c r="E34" s="2550"/>
      <c r="F34" s="2550"/>
      <c r="G34" s="2550"/>
      <c r="H34" s="2550"/>
    </row>
    <row r="35" spans="1:33" s="26" customFormat="1" ht="9" customHeight="1">
      <c r="A35" s="441"/>
      <c r="B35" s="718"/>
      <c r="C35" s="718"/>
      <c r="D35" s="718"/>
      <c r="E35" s="718"/>
      <c r="F35" s="718"/>
      <c r="G35" s="718"/>
      <c r="H35" s="718"/>
    </row>
    <row r="36" spans="1:33" s="26" customFormat="1" ht="12">
      <c r="A36" s="441"/>
      <c r="B36" s="431" t="s">
        <v>551</v>
      </c>
      <c r="C36" s="718"/>
      <c r="D36" s="718"/>
      <c r="E36" s="718"/>
      <c r="F36" s="718"/>
      <c r="G36" s="718"/>
      <c r="H36" s="718"/>
    </row>
    <row r="37" spans="1:33" s="61" customFormat="1" ht="9" customHeight="1">
      <c r="A37" s="437"/>
      <c r="B37" s="440"/>
      <c r="C37" s="440"/>
      <c r="D37" s="440"/>
      <c r="E37" s="440"/>
      <c r="F37" s="440"/>
      <c r="G37" s="440"/>
      <c r="H37" s="440"/>
    </row>
    <row r="38" spans="1:33" ht="12">
      <c r="A38" s="24">
        <f>+A5+1</f>
        <v>2</v>
      </c>
      <c r="B38" s="27" t="s">
        <v>68</v>
      </c>
      <c r="C38" s="27"/>
      <c r="F38" s="23"/>
      <c r="G38" s="23"/>
      <c r="H38" s="23"/>
    </row>
    <row r="39" spans="1:33" ht="9" customHeight="1">
      <c r="A39" s="18"/>
      <c r="F39" s="23"/>
      <c r="G39" s="23"/>
      <c r="H39" s="23"/>
    </row>
    <row r="40" spans="1:33" ht="12">
      <c r="A40" s="18">
        <f>+A38+0.1</f>
        <v>2.1</v>
      </c>
      <c r="B40" s="19" t="s">
        <v>69</v>
      </c>
      <c r="C40" s="19"/>
      <c r="F40" s="23"/>
      <c r="G40" s="23"/>
      <c r="H40" s="23"/>
    </row>
    <row r="41" spans="1:33" ht="9" customHeight="1">
      <c r="A41" s="18"/>
      <c r="F41" s="23"/>
      <c r="G41" s="23"/>
      <c r="H41" s="23"/>
    </row>
    <row r="42" spans="1:33" ht="12">
      <c r="A42" s="19"/>
      <c r="B42" s="2551" t="s">
        <v>597</v>
      </c>
      <c r="C42" s="2551"/>
      <c r="D42" s="2551"/>
      <c r="E42" s="2551"/>
      <c r="F42" s="2551"/>
      <c r="G42" s="2551"/>
      <c r="H42" s="2551"/>
      <c r="I42" s="2552"/>
    </row>
    <row r="43" spans="1:33" ht="12">
      <c r="A43" s="18"/>
      <c r="B43" s="2551"/>
      <c r="C43" s="2551"/>
      <c r="D43" s="2551"/>
      <c r="E43" s="2551"/>
      <c r="F43" s="2551"/>
      <c r="G43" s="2551"/>
      <c r="H43" s="2551"/>
      <c r="I43" s="2552"/>
    </row>
    <row r="44" spans="1:33" ht="12">
      <c r="A44" s="18"/>
      <c r="B44" s="2551"/>
      <c r="C44" s="2551"/>
      <c r="D44" s="2551"/>
      <c r="E44" s="2551"/>
      <c r="F44" s="2551"/>
      <c r="G44" s="2551"/>
      <c r="H44" s="2551"/>
      <c r="I44" s="2552"/>
    </row>
    <row r="45" spans="1:33" ht="12">
      <c r="A45" s="18"/>
      <c r="B45" s="2551"/>
      <c r="C45" s="2551"/>
      <c r="D45" s="2551"/>
      <c r="E45" s="2551"/>
      <c r="F45" s="2551"/>
      <c r="G45" s="2551"/>
      <c r="H45" s="2551"/>
      <c r="I45" s="2552"/>
      <c r="AG45" s="21" t="s">
        <v>649</v>
      </c>
    </row>
    <row r="46" spans="1:33" ht="12">
      <c r="A46" s="18"/>
      <c r="B46" s="2551"/>
      <c r="C46" s="2551"/>
      <c r="D46" s="2551"/>
      <c r="E46" s="2551"/>
      <c r="F46" s="2551"/>
      <c r="G46" s="2551"/>
      <c r="H46" s="2551"/>
      <c r="I46" s="2552"/>
    </row>
    <row r="47" spans="1:33" ht="12">
      <c r="A47" s="18"/>
      <c r="B47" s="2551"/>
      <c r="C47" s="2551"/>
      <c r="D47" s="2551"/>
      <c r="E47" s="2551"/>
      <c r="F47" s="2551"/>
      <c r="G47" s="2551"/>
      <c r="H47" s="2551"/>
      <c r="I47" s="2552"/>
    </row>
    <row r="48" spans="1:33" ht="12">
      <c r="A48" s="18"/>
      <c r="B48" s="2551"/>
      <c r="C48" s="2551"/>
      <c r="D48" s="2551"/>
      <c r="E48" s="2551"/>
      <c r="F48" s="2551"/>
      <c r="G48" s="2551"/>
      <c r="H48" s="2551"/>
      <c r="I48" s="718"/>
    </row>
    <row r="49" spans="1:14" ht="12">
      <c r="A49" s="18"/>
      <c r="B49" s="2551"/>
      <c r="C49" s="2551"/>
      <c r="D49" s="2551"/>
      <c r="E49" s="2551"/>
      <c r="F49" s="2551"/>
      <c r="G49" s="2551"/>
      <c r="H49" s="2551"/>
      <c r="I49" s="718"/>
    </row>
    <row r="50" spans="1:14" ht="12">
      <c r="A50" s="18"/>
      <c r="B50" s="2551"/>
      <c r="C50" s="2551"/>
      <c r="D50" s="2551"/>
      <c r="E50" s="2551"/>
      <c r="F50" s="2551"/>
      <c r="G50" s="2551"/>
      <c r="H50" s="2551"/>
      <c r="I50" s="718"/>
    </row>
    <row r="51" spans="1:14" ht="9" customHeight="1">
      <c r="A51" s="18"/>
      <c r="B51" s="720"/>
      <c r="C51" s="720"/>
      <c r="D51" s="720"/>
      <c r="E51" s="720"/>
      <c r="F51" s="720"/>
      <c r="G51" s="720"/>
      <c r="H51" s="720"/>
      <c r="I51" s="718"/>
    </row>
    <row r="52" spans="1:14" ht="9" customHeight="1">
      <c r="A52" s="18"/>
      <c r="B52" s="2541" t="s">
        <v>651</v>
      </c>
      <c r="C52" s="2541"/>
      <c r="D52" s="2541"/>
      <c r="E52" s="2541"/>
      <c r="F52" s="2541"/>
      <c r="G52" s="2541"/>
      <c r="H52" s="2541"/>
      <c r="I52" s="2541"/>
      <c r="J52" s="2541"/>
      <c r="K52" s="2541"/>
      <c r="L52" s="2541"/>
      <c r="M52" s="2541"/>
      <c r="N52" s="2541"/>
    </row>
    <row r="53" spans="1:14" ht="18.75" customHeight="1">
      <c r="A53" s="18"/>
      <c r="B53" s="2541"/>
      <c r="C53" s="2541"/>
      <c r="D53" s="2541"/>
      <c r="E53" s="2541"/>
      <c r="F53" s="2541"/>
      <c r="G53" s="2541"/>
      <c r="H53" s="2541"/>
      <c r="I53" s="2541"/>
      <c r="J53" s="2541"/>
      <c r="K53" s="2541"/>
      <c r="L53" s="2541"/>
      <c r="M53" s="2541"/>
      <c r="N53" s="2541"/>
    </row>
    <row r="54" spans="1:14" ht="9" customHeight="1">
      <c r="A54" s="18"/>
      <c r="B54" s="2541"/>
      <c r="C54" s="2541"/>
      <c r="D54" s="2541"/>
      <c r="E54" s="2541"/>
      <c r="F54" s="2541"/>
      <c r="G54" s="2541"/>
      <c r="H54" s="2541"/>
      <c r="I54" s="2541"/>
      <c r="J54" s="2541"/>
      <c r="K54" s="2541"/>
      <c r="L54" s="2541"/>
      <c r="M54" s="2541"/>
      <c r="N54" s="2541"/>
    </row>
    <row r="55" spans="1:14" ht="14.25" customHeight="1">
      <c r="A55" s="18"/>
      <c r="B55" s="2541"/>
      <c r="C55" s="2541"/>
      <c r="D55" s="2541"/>
      <c r="E55" s="2541"/>
      <c r="F55" s="2541"/>
      <c r="G55" s="2541"/>
      <c r="H55" s="2541"/>
      <c r="I55" s="2541"/>
      <c r="J55" s="2541"/>
      <c r="K55" s="2541"/>
      <c r="L55" s="2541"/>
      <c r="M55" s="2541"/>
      <c r="N55" s="2541"/>
    </row>
    <row r="56" spans="1:14" ht="9" customHeight="1">
      <c r="A56" s="18"/>
      <c r="B56" s="2541"/>
      <c r="C56" s="2541"/>
      <c r="D56" s="2541"/>
      <c r="E56" s="2541"/>
      <c r="F56" s="2541"/>
      <c r="G56" s="2541"/>
      <c r="H56" s="2541"/>
      <c r="I56" s="2541"/>
      <c r="J56" s="2541"/>
      <c r="K56" s="2541"/>
      <c r="L56" s="2541"/>
      <c r="M56" s="2541"/>
      <c r="N56" s="2541"/>
    </row>
    <row r="57" spans="1:14" ht="9" customHeight="1">
      <c r="A57" s="24"/>
      <c r="E57" s="21"/>
    </row>
    <row r="58" spans="1:14" ht="12">
      <c r="A58" s="18">
        <v>3</v>
      </c>
      <c r="B58" s="2545" t="s">
        <v>652</v>
      </c>
      <c r="C58" s="2545"/>
      <c r="D58" s="2545"/>
      <c r="E58" s="2545"/>
      <c r="F58" s="2545"/>
      <c r="G58" s="2545"/>
      <c r="H58" s="2545"/>
      <c r="I58" s="2545"/>
      <c r="J58" s="2545"/>
      <c r="K58" s="2545"/>
      <c r="L58" s="2545"/>
      <c r="M58" s="2545"/>
      <c r="N58" s="2545"/>
    </row>
    <row r="59" spans="1:14" ht="9" customHeight="1">
      <c r="A59" s="18"/>
      <c r="B59" s="2545"/>
      <c r="C59" s="2545"/>
      <c r="D59" s="2545"/>
      <c r="E59" s="2545"/>
      <c r="F59" s="2545"/>
      <c r="G59" s="2545"/>
      <c r="H59" s="2545"/>
      <c r="I59" s="2545"/>
      <c r="J59" s="2545"/>
      <c r="K59" s="2545"/>
      <c r="L59" s="2545"/>
      <c r="M59" s="2545"/>
      <c r="N59" s="2545"/>
    </row>
    <row r="60" spans="1:14" ht="21" customHeight="1">
      <c r="A60" s="18"/>
      <c r="B60" s="2546" t="s">
        <v>653</v>
      </c>
      <c r="C60" s="2546"/>
      <c r="D60" s="2546"/>
      <c r="E60" s="2546"/>
      <c r="F60" s="2546"/>
      <c r="G60" s="2546"/>
      <c r="H60" s="2546"/>
      <c r="I60" s="722"/>
      <c r="J60" s="722"/>
      <c r="K60" s="722"/>
      <c r="L60" s="722"/>
      <c r="M60" s="722"/>
      <c r="N60" s="722"/>
    </row>
    <row r="61" spans="1:14" ht="9" customHeight="1">
      <c r="A61" s="18"/>
      <c r="B61" s="2546"/>
      <c r="C61" s="2546"/>
      <c r="D61" s="2546"/>
      <c r="E61" s="2546"/>
      <c r="F61" s="2546"/>
      <c r="G61" s="2546"/>
      <c r="H61" s="2546"/>
      <c r="I61" s="722"/>
      <c r="J61" s="722"/>
      <c r="K61" s="722"/>
      <c r="L61" s="722"/>
      <c r="M61" s="722"/>
      <c r="N61" s="722"/>
    </row>
    <row r="62" spans="1:14" ht="9" customHeight="1">
      <c r="A62" s="18"/>
      <c r="B62" s="2546"/>
      <c r="C62" s="2546"/>
      <c r="D62" s="2546"/>
      <c r="E62" s="2546"/>
      <c r="F62" s="2546"/>
      <c r="G62" s="2546"/>
      <c r="H62" s="2546"/>
      <c r="I62" s="722"/>
      <c r="J62" s="722"/>
      <c r="K62" s="722"/>
      <c r="L62" s="722"/>
      <c r="M62" s="722"/>
      <c r="N62" s="722"/>
    </row>
    <row r="63" spans="1:14" ht="9" customHeight="1">
      <c r="A63" s="18"/>
      <c r="B63" s="723"/>
      <c r="C63" s="723"/>
      <c r="D63" s="723"/>
      <c r="E63" s="723"/>
      <c r="F63" s="723"/>
      <c r="G63" s="723"/>
      <c r="H63" s="723"/>
      <c r="I63" s="722"/>
      <c r="J63" s="722"/>
      <c r="K63" s="722"/>
      <c r="L63" s="722"/>
      <c r="M63" s="722"/>
      <c r="N63" s="722"/>
    </row>
    <row r="64" spans="1:14" ht="9" customHeight="1">
      <c r="A64" s="18"/>
      <c r="B64" s="723"/>
      <c r="C64" s="723"/>
      <c r="D64" s="723"/>
      <c r="E64" s="723"/>
      <c r="F64" s="723"/>
      <c r="G64" s="723"/>
      <c r="H64" s="723"/>
      <c r="I64" s="722"/>
      <c r="J64" s="722"/>
      <c r="K64" s="722"/>
      <c r="L64" s="722"/>
      <c r="M64" s="722"/>
      <c r="N64" s="722"/>
    </row>
    <row r="65" spans="1:31" ht="12" customHeight="1">
      <c r="A65" s="2547">
        <v>2</v>
      </c>
      <c r="B65" s="2547"/>
      <c r="C65" s="2547"/>
      <c r="D65" s="2547"/>
      <c r="E65" s="2547"/>
      <c r="F65" s="2547"/>
      <c r="G65" s="2547"/>
      <c r="H65" s="2547"/>
      <c r="I65" s="19"/>
      <c r="J65" s="19"/>
      <c r="K65" s="19"/>
      <c r="L65" s="19"/>
      <c r="M65" s="19"/>
      <c r="N65" s="19"/>
      <c r="O65" s="19"/>
      <c r="P65" s="19"/>
      <c r="Q65" s="19"/>
      <c r="R65" s="19"/>
      <c r="S65" s="19"/>
      <c r="T65" s="19"/>
      <c r="U65" s="19"/>
      <c r="V65" s="19"/>
      <c r="W65" s="19"/>
      <c r="X65" s="19"/>
      <c r="Y65" s="19"/>
      <c r="Z65" s="19"/>
      <c r="AA65" s="19"/>
      <c r="AB65" s="19"/>
      <c r="AC65" s="19"/>
      <c r="AD65" s="19"/>
      <c r="AE65" s="19"/>
    </row>
    <row r="66" spans="1:31" ht="9" customHeight="1">
      <c r="A66" s="18"/>
      <c r="B66" s="722"/>
      <c r="C66" s="722"/>
      <c r="D66" s="722"/>
      <c r="E66" s="722"/>
      <c r="F66" s="722"/>
      <c r="G66" s="722"/>
      <c r="H66" s="722"/>
      <c r="I66" s="722"/>
      <c r="J66" s="722"/>
      <c r="K66" s="722"/>
      <c r="L66" s="722"/>
      <c r="M66" s="722"/>
      <c r="N66" s="722"/>
    </row>
    <row r="67" spans="1:31" ht="9" customHeight="1">
      <c r="A67" s="18"/>
      <c r="B67" s="2548" t="s">
        <v>654</v>
      </c>
      <c r="C67" s="2548"/>
      <c r="D67" s="2548"/>
      <c r="E67" s="2548"/>
      <c r="F67" s="2548"/>
      <c r="G67" s="2548"/>
      <c r="H67" s="2548"/>
      <c r="I67" s="2548"/>
      <c r="J67" s="2548"/>
      <c r="K67" s="2548"/>
      <c r="L67" s="2548"/>
      <c r="M67" s="722"/>
      <c r="N67" s="722"/>
    </row>
    <row r="68" spans="1:31" ht="18" customHeight="1">
      <c r="A68" s="18"/>
      <c r="B68" s="2548"/>
      <c r="C68" s="2548"/>
      <c r="D68" s="2548"/>
      <c r="E68" s="2548"/>
      <c r="F68" s="2548"/>
      <c r="G68" s="2548"/>
      <c r="H68" s="2548"/>
      <c r="I68" s="2548"/>
      <c r="J68" s="2548"/>
      <c r="K68" s="2548"/>
      <c r="L68" s="2548"/>
      <c r="M68" s="722"/>
      <c r="N68" s="722"/>
    </row>
    <row r="69" spans="1:31" ht="9" customHeight="1">
      <c r="A69" s="18"/>
      <c r="B69" s="2548"/>
      <c r="C69" s="2548"/>
      <c r="D69" s="2548"/>
      <c r="E69" s="2548"/>
      <c r="F69" s="2548"/>
      <c r="G69" s="2548"/>
      <c r="H69" s="2548"/>
      <c r="I69" s="2548"/>
      <c r="J69" s="2548"/>
      <c r="K69" s="2548"/>
      <c r="L69" s="2548"/>
      <c r="M69" s="722"/>
      <c r="N69" s="722"/>
    </row>
    <row r="70" spans="1:31" ht="9" customHeight="1">
      <c r="A70" s="18"/>
      <c r="B70" s="2548"/>
      <c r="C70" s="2548"/>
      <c r="D70" s="2548"/>
      <c r="E70" s="2548"/>
      <c r="F70" s="2548"/>
      <c r="G70" s="2548"/>
      <c r="H70" s="2548"/>
      <c r="I70" s="2548"/>
      <c r="J70" s="2548"/>
      <c r="K70" s="2548"/>
      <c r="L70" s="2548"/>
      <c r="M70" s="722"/>
      <c r="N70" s="722"/>
    </row>
    <row r="71" spans="1:31" ht="9" customHeight="1">
      <c r="A71" s="18"/>
      <c r="B71" s="2548"/>
      <c r="C71" s="2548"/>
      <c r="D71" s="2548"/>
      <c r="E71" s="2548"/>
      <c r="F71" s="2548"/>
      <c r="G71" s="2548"/>
      <c r="H71" s="2548"/>
      <c r="I71" s="2548"/>
      <c r="J71" s="2548"/>
      <c r="K71" s="2548"/>
      <c r="L71" s="2548"/>
      <c r="M71" s="722"/>
      <c r="N71" s="722"/>
    </row>
    <row r="72" spans="1:31" ht="36" customHeight="1">
      <c r="A72" s="18"/>
      <c r="B72" s="2548"/>
      <c r="C72" s="2548"/>
      <c r="D72" s="2548"/>
      <c r="E72" s="2548"/>
      <c r="F72" s="2548"/>
      <c r="G72" s="2548"/>
      <c r="H72" s="2548"/>
      <c r="I72" s="2548"/>
      <c r="J72" s="2548"/>
      <c r="K72" s="2548"/>
      <c r="L72" s="2548"/>
      <c r="M72" s="722"/>
      <c r="N72" s="722"/>
    </row>
    <row r="73" spans="1:31" ht="9" customHeight="1">
      <c r="A73" s="18"/>
      <c r="B73" s="2548"/>
      <c r="C73" s="2548"/>
      <c r="D73" s="2548"/>
      <c r="E73" s="2548"/>
      <c r="F73" s="2548"/>
      <c r="G73" s="2548"/>
      <c r="H73" s="2548"/>
      <c r="I73" s="2548"/>
      <c r="J73" s="2548"/>
      <c r="K73" s="2548"/>
      <c r="L73" s="2548"/>
      <c r="M73" s="722"/>
      <c r="N73" s="722"/>
    </row>
    <row r="74" spans="1:31" ht="9" customHeight="1">
      <c r="A74" s="18"/>
      <c r="B74" s="722"/>
      <c r="C74" s="722"/>
      <c r="D74" s="722"/>
      <c r="E74" s="722"/>
      <c r="F74" s="722"/>
      <c r="G74" s="722"/>
      <c r="H74" s="722"/>
      <c r="I74" s="722"/>
      <c r="J74" s="722"/>
      <c r="K74" s="722"/>
      <c r="L74" s="722"/>
      <c r="M74" s="722"/>
      <c r="N74" s="722"/>
    </row>
    <row r="75" spans="1:31" ht="15.75" customHeight="1">
      <c r="A75" s="18"/>
      <c r="B75" s="2549" t="s">
        <v>655</v>
      </c>
      <c r="C75" s="2549"/>
      <c r="D75" s="2549"/>
      <c r="E75" s="2549"/>
      <c r="F75" s="2549"/>
      <c r="G75" s="2549"/>
      <c r="H75" s="2549"/>
      <c r="I75" s="2549"/>
      <c r="J75" s="2549"/>
      <c r="K75" s="2549"/>
      <c r="L75" s="2549"/>
      <c r="M75" s="722"/>
      <c r="N75" s="722"/>
    </row>
    <row r="76" spans="1:31" ht="13.5" customHeight="1">
      <c r="A76" s="18"/>
      <c r="B76" s="2549"/>
      <c r="C76" s="2549"/>
      <c r="D76" s="2549"/>
      <c r="E76" s="2549"/>
      <c r="F76" s="2549"/>
      <c r="G76" s="2549"/>
      <c r="H76" s="2549"/>
      <c r="I76" s="2549"/>
      <c r="J76" s="2549"/>
      <c r="K76" s="2549"/>
      <c r="L76" s="2549"/>
      <c r="M76" s="722"/>
      <c r="N76" s="722"/>
    </row>
    <row r="77" spans="1:31" ht="9" customHeight="1">
      <c r="A77" s="18"/>
      <c r="B77" s="2549"/>
      <c r="C77" s="2549"/>
      <c r="D77" s="2549"/>
      <c r="E77" s="2549"/>
      <c r="F77" s="2549"/>
      <c r="G77" s="2549"/>
      <c r="H77" s="2549"/>
      <c r="I77" s="2549"/>
      <c r="J77" s="2549"/>
      <c r="K77" s="2549"/>
      <c r="L77" s="2549"/>
      <c r="M77" s="722"/>
      <c r="N77" s="722"/>
    </row>
    <row r="78" spans="1:31" ht="9" customHeight="1">
      <c r="A78" s="18"/>
      <c r="B78" s="722"/>
      <c r="C78" s="722"/>
      <c r="D78" s="722"/>
      <c r="E78" s="722"/>
      <c r="F78" s="722"/>
      <c r="G78" s="722"/>
      <c r="H78" s="722"/>
      <c r="I78" s="722"/>
      <c r="J78" s="722"/>
      <c r="K78" s="722"/>
      <c r="L78" s="722"/>
      <c r="M78" s="722"/>
      <c r="N78" s="722"/>
    </row>
    <row r="79" spans="1:31" ht="18" customHeight="1">
      <c r="A79" s="18"/>
      <c r="B79" s="2549" t="s">
        <v>656</v>
      </c>
      <c r="C79" s="2549"/>
      <c r="D79" s="2549"/>
      <c r="E79" s="2549"/>
      <c r="F79" s="2549"/>
      <c r="G79" s="2549"/>
      <c r="H79" s="2549"/>
      <c r="I79" s="2549"/>
      <c r="J79" s="2549"/>
      <c r="K79" s="2549"/>
      <c r="L79" s="2549"/>
      <c r="M79" s="722"/>
      <c r="N79" s="722"/>
    </row>
    <row r="80" spans="1:31" ht="9" customHeight="1">
      <c r="A80" s="18"/>
      <c r="B80" s="2549"/>
      <c r="C80" s="2549"/>
      <c r="D80" s="2549"/>
      <c r="E80" s="2549"/>
      <c r="F80" s="2549"/>
      <c r="G80" s="2549"/>
      <c r="H80" s="2549"/>
      <c r="I80" s="2549"/>
      <c r="J80" s="2549"/>
      <c r="K80" s="2549"/>
      <c r="L80" s="2549"/>
      <c r="M80" s="722"/>
      <c r="N80" s="722"/>
    </row>
    <row r="81" spans="1:32" ht="9" customHeight="1">
      <c r="A81" s="18"/>
      <c r="B81" s="722"/>
      <c r="C81" s="722"/>
      <c r="D81" s="722"/>
      <c r="E81" s="722"/>
      <c r="F81" s="722"/>
      <c r="G81" s="722"/>
      <c r="H81" s="722"/>
      <c r="I81" s="722"/>
      <c r="J81" s="722"/>
      <c r="K81" s="722"/>
      <c r="L81" s="722"/>
      <c r="M81" s="722"/>
      <c r="N81" s="722"/>
    </row>
    <row r="82" spans="1:32" ht="14.25" customHeight="1">
      <c r="A82" s="18"/>
      <c r="B82" s="2549" t="s">
        <v>657</v>
      </c>
      <c r="C82" s="2549"/>
      <c r="D82" s="2549"/>
      <c r="E82" s="2549"/>
      <c r="F82" s="2549"/>
      <c r="G82" s="2549"/>
      <c r="H82" s="2549"/>
      <c r="I82" s="2549"/>
      <c r="J82" s="2549"/>
      <c r="K82" s="2549"/>
      <c r="L82" s="2549"/>
      <c r="M82" s="722"/>
      <c r="N82" s="722"/>
    </row>
    <row r="83" spans="1:32" ht="9" customHeight="1">
      <c r="A83" s="18"/>
      <c r="B83" s="2549"/>
      <c r="C83" s="2549"/>
      <c r="D83" s="2549"/>
      <c r="E83" s="2549"/>
      <c r="F83" s="2549"/>
      <c r="G83" s="2549"/>
      <c r="H83" s="2549"/>
      <c r="I83" s="2549"/>
      <c r="J83" s="2549"/>
      <c r="K83" s="2549"/>
      <c r="L83" s="2549"/>
      <c r="M83" s="722"/>
      <c r="N83" s="722"/>
    </row>
    <row r="84" spans="1:32" ht="12.75" customHeight="1">
      <c r="A84" s="18"/>
      <c r="B84" s="2549"/>
      <c r="C84" s="2549"/>
      <c r="D84" s="2549"/>
      <c r="E84" s="2549"/>
      <c r="F84" s="2549"/>
      <c r="G84" s="2549"/>
      <c r="H84" s="2549"/>
      <c r="I84" s="2549"/>
      <c r="J84" s="2549"/>
      <c r="K84" s="2549"/>
      <c r="L84" s="2549"/>
      <c r="M84" s="722"/>
      <c r="N84" s="722"/>
    </row>
    <row r="85" spans="1:32" ht="12">
      <c r="A85" s="28"/>
      <c r="B85" s="458"/>
      <c r="C85" s="458"/>
      <c r="D85" s="458"/>
      <c r="E85" s="458"/>
      <c r="F85" s="458"/>
      <c r="G85" s="2542" t="s">
        <v>631</v>
      </c>
      <c r="H85" s="2542"/>
      <c r="I85" s="458"/>
      <c r="J85" s="458"/>
      <c r="K85" s="458"/>
      <c r="L85" s="458"/>
      <c r="M85" s="458"/>
      <c r="AE85" s="461" t="s">
        <v>630</v>
      </c>
    </row>
    <row r="86" spans="1:32" s="30" customFormat="1" ht="12">
      <c r="A86" s="462"/>
      <c r="B86" s="35"/>
      <c r="C86" s="35"/>
      <c r="F86" s="463" t="s">
        <v>51</v>
      </c>
      <c r="G86" s="355"/>
      <c r="H86" s="464" t="s">
        <v>628</v>
      </c>
      <c r="I86" s="355"/>
      <c r="AE86" s="464" t="s">
        <v>391</v>
      </c>
    </row>
    <row r="87" spans="1:32" s="30" customFormat="1" ht="15.75" customHeight="1">
      <c r="A87" s="465">
        <f>[126]Statement!F9</f>
        <v>4</v>
      </c>
      <c r="B87" s="466" t="s">
        <v>36</v>
      </c>
      <c r="C87" s="466"/>
      <c r="G87" s="2543" t="s">
        <v>52</v>
      </c>
      <c r="H87" s="2543"/>
      <c r="I87" s="2543"/>
      <c r="J87" s="2543"/>
      <c r="K87" s="2543"/>
      <c r="L87" s="2543"/>
      <c r="M87" s="2543"/>
      <c r="N87" s="2543"/>
      <c r="O87" s="2543"/>
      <c r="P87" s="2543"/>
      <c r="Q87" s="2543"/>
      <c r="R87" s="2543"/>
      <c r="S87" s="2543"/>
      <c r="T87" s="2543"/>
      <c r="U87" s="2543"/>
      <c r="V87" s="2543"/>
      <c r="W87" s="2543"/>
      <c r="X87" s="2543"/>
      <c r="Y87" s="2543"/>
      <c r="Z87" s="2543"/>
      <c r="AA87" s="2543"/>
      <c r="AB87" s="2543"/>
      <c r="AC87" s="2543"/>
      <c r="AD87" s="2543"/>
      <c r="AE87" s="2543"/>
    </row>
    <row r="88" spans="1:32" s="30" customFormat="1" ht="10.199999999999999" customHeight="1">
      <c r="A88" s="462"/>
      <c r="B88" s="37"/>
      <c r="C88" s="37"/>
      <c r="F88" s="37"/>
      <c r="G88" s="38"/>
      <c r="H88" s="38"/>
      <c r="I88" s="38"/>
    </row>
    <row r="89" spans="1:32" s="30" customFormat="1" ht="15.75" customHeight="1">
      <c r="A89" s="462"/>
      <c r="B89" s="37" t="s">
        <v>549</v>
      </c>
      <c r="C89" s="37"/>
      <c r="F89" s="35">
        <f>A93</f>
        <v>4.0999999999999996</v>
      </c>
      <c r="G89" s="2544" t="e">
        <f>#REF!</f>
        <v>#REF!</v>
      </c>
      <c r="H89" s="2544"/>
      <c r="I89" s="39"/>
      <c r="AE89" s="52">
        <v>120875</v>
      </c>
    </row>
    <row r="90" spans="1:32" s="30" customFormat="1" ht="15.75" customHeight="1">
      <c r="A90" s="462"/>
      <c r="B90" s="37" t="s">
        <v>228</v>
      </c>
      <c r="C90" s="37"/>
      <c r="F90" s="35">
        <f>$A$95</f>
        <v>4.1999999999999993</v>
      </c>
      <c r="G90" s="2544" t="e">
        <f>#REF!</f>
        <v>#REF!</v>
      </c>
      <c r="H90" s="2544"/>
      <c r="I90" s="39"/>
      <c r="AE90" s="52">
        <v>12946</v>
      </c>
    </row>
    <row r="91" spans="1:32" s="30" customFormat="1" ht="15.75" customHeight="1" thickBot="1">
      <c r="A91" s="462"/>
      <c r="B91" s="37"/>
      <c r="C91" s="37"/>
      <c r="F91" s="35"/>
      <c r="G91" s="2540" t="e">
        <f>SUM(G89:H90)</f>
        <v>#REF!</v>
      </c>
      <c r="H91" s="2540"/>
      <c r="I91" s="39"/>
      <c r="AE91" s="40">
        <f>SUM(AE89:AF90)</f>
        <v>133821</v>
      </c>
      <c r="AF91" s="42"/>
    </row>
    <row r="92" spans="1:32" s="30" customFormat="1" ht="10.199999999999999" customHeight="1" thickTop="1">
      <c r="A92" s="462"/>
      <c r="B92" s="37"/>
      <c r="C92" s="37"/>
      <c r="F92" s="35"/>
      <c r="G92" s="42"/>
      <c r="H92" s="42"/>
      <c r="I92" s="39"/>
    </row>
    <row r="93" spans="1:32" s="30" customFormat="1" ht="12">
      <c r="A93" s="462">
        <f>A87+0.1</f>
        <v>4.0999999999999996</v>
      </c>
      <c r="B93" s="37" t="s">
        <v>658</v>
      </c>
      <c r="C93" s="37"/>
      <c r="F93" s="35"/>
      <c r="G93" s="42"/>
      <c r="H93" s="42"/>
      <c r="I93" s="39"/>
    </row>
    <row r="94" spans="1:32" s="30" customFormat="1" ht="10.199999999999999" customHeight="1">
      <c r="A94" s="462"/>
      <c r="B94" s="37"/>
      <c r="C94" s="37"/>
      <c r="F94" s="35"/>
      <c r="G94" s="42"/>
      <c r="H94" s="42"/>
      <c r="I94" s="39"/>
    </row>
    <row r="95" spans="1:32" s="30" customFormat="1" ht="12">
      <c r="A95" s="462">
        <f>A93+0.1</f>
        <v>4.1999999999999993</v>
      </c>
      <c r="B95" s="2541" t="s">
        <v>659</v>
      </c>
      <c r="C95" s="2541"/>
      <c r="D95" s="2541"/>
      <c r="E95" s="2541"/>
      <c r="F95" s="2541"/>
      <c r="G95" s="2541"/>
      <c r="H95" s="2541"/>
      <c r="I95" s="39"/>
    </row>
    <row r="96" spans="1:32" s="30" customFormat="1" ht="12">
      <c r="A96" s="462"/>
      <c r="B96" s="2541"/>
      <c r="C96" s="2541"/>
      <c r="D96" s="2541"/>
      <c r="E96" s="2541"/>
      <c r="F96" s="2541"/>
      <c r="G96" s="2541"/>
      <c r="H96" s="2541"/>
      <c r="I96" s="39"/>
    </row>
    <row r="97" spans="1:31" s="30" customFormat="1" ht="8.25" customHeight="1">
      <c r="A97" s="462"/>
      <c r="B97" s="719"/>
      <c r="C97" s="719"/>
      <c r="D97" s="719"/>
      <c r="E97" s="719"/>
      <c r="F97" s="719"/>
      <c r="G97" s="719"/>
      <c r="H97" s="719"/>
      <c r="I97" s="39"/>
    </row>
    <row r="98" spans="1:31" s="30" customFormat="1" ht="15" customHeight="1">
      <c r="A98" s="462"/>
      <c r="B98" s="719"/>
      <c r="C98" s="719"/>
      <c r="D98" s="719"/>
      <c r="E98" s="719"/>
      <c r="F98" s="719"/>
      <c r="G98" s="2542" t="s">
        <v>629</v>
      </c>
      <c r="H98" s="2542"/>
      <c r="I98" s="2542"/>
      <c r="AE98" s="461" t="s">
        <v>630</v>
      </c>
    </row>
    <row r="99" spans="1:31" s="30" customFormat="1" ht="15.75" customHeight="1">
      <c r="A99" s="462"/>
      <c r="B99" s="719"/>
      <c r="C99" s="719"/>
      <c r="D99" s="719"/>
      <c r="E99" s="719"/>
      <c r="F99" s="463" t="s">
        <v>51</v>
      </c>
      <c r="G99" s="355"/>
      <c r="H99" s="464" t="s">
        <v>628</v>
      </c>
      <c r="I99" s="39"/>
      <c r="AE99" s="464" t="s">
        <v>391</v>
      </c>
    </row>
    <row r="100" spans="1:31" s="43" customFormat="1" ht="12">
      <c r="A100" s="465">
        <f>'Note 1-5 (2)'!A87+1</f>
        <v>5</v>
      </c>
      <c r="B100" s="466" t="s">
        <v>234</v>
      </c>
      <c r="C100" s="466"/>
      <c r="F100" s="30"/>
      <c r="G100" s="467"/>
      <c r="H100" s="2543" t="s">
        <v>52</v>
      </c>
      <c r="I100" s="2543"/>
      <c r="J100" s="2543"/>
      <c r="K100" s="2543"/>
      <c r="L100" s="2543"/>
      <c r="M100" s="2543"/>
      <c r="N100" s="2543"/>
      <c r="O100" s="2543"/>
      <c r="P100" s="2543"/>
      <c r="Q100" s="2543"/>
      <c r="R100" s="2543"/>
      <c r="S100" s="2543"/>
      <c r="T100" s="2543"/>
      <c r="U100" s="2543"/>
      <c r="V100" s="2543"/>
      <c r="W100" s="2543"/>
      <c r="X100" s="2543"/>
      <c r="Y100" s="2543"/>
      <c r="Z100" s="2543"/>
      <c r="AA100" s="2543"/>
      <c r="AB100" s="2543"/>
      <c r="AC100" s="2543"/>
      <c r="AD100" s="2543"/>
      <c r="AE100" s="2543"/>
    </row>
    <row r="101" spans="1:31" s="43" customFormat="1" ht="10.199999999999999" customHeight="1"/>
    <row r="102" spans="1:31" s="43" customFormat="1" ht="12">
      <c r="B102" s="468" t="s">
        <v>529</v>
      </c>
      <c r="C102" s="468"/>
    </row>
    <row r="103" spans="1:31" s="43" customFormat="1">
      <c r="B103" s="469" t="s">
        <v>469</v>
      </c>
      <c r="C103" s="469"/>
      <c r="F103" s="35">
        <f>'5.1-5.3'!A3</f>
        <v>5.0999999999999996</v>
      </c>
      <c r="G103" s="42"/>
      <c r="H103" s="42">
        <f>'5.1-5.3'!I124</f>
        <v>1763907</v>
      </c>
      <c r="AE103" s="42">
        <v>1060929</v>
      </c>
    </row>
    <row r="104" spans="1:31" s="43" customFormat="1" ht="10.199999999999999" customHeight="1">
      <c r="B104" s="469"/>
      <c r="C104" s="469"/>
      <c r="F104" s="35"/>
      <c r="G104" s="42"/>
      <c r="H104" s="42"/>
      <c r="AE104" s="42"/>
    </row>
    <row r="105" spans="1:31" s="43" customFormat="1" ht="12">
      <c r="B105" s="468" t="s">
        <v>72</v>
      </c>
      <c r="C105" s="469"/>
      <c r="F105" s="35"/>
      <c r="G105" s="42"/>
      <c r="H105" s="42"/>
      <c r="AE105" s="42"/>
    </row>
    <row r="106" spans="1:31" s="43" customFormat="1">
      <c r="B106" s="469" t="s">
        <v>530</v>
      </c>
      <c r="C106" s="469"/>
      <c r="F106" s="35" t="e">
        <f>#REF!</f>
        <v>#REF!</v>
      </c>
      <c r="G106" s="42"/>
      <c r="H106" s="42">
        <v>0</v>
      </c>
      <c r="AE106" s="42">
        <v>877</v>
      </c>
    </row>
    <row r="107" spans="1:31" s="43" customFormat="1" ht="12" thickBot="1">
      <c r="B107" s="469"/>
      <c r="C107" s="469"/>
      <c r="F107" s="35"/>
      <c r="G107" s="42"/>
      <c r="H107" s="40">
        <f>SUM(H103:H106)</f>
        <v>1763907</v>
      </c>
      <c r="AE107" s="40">
        <f>SUM(AE103:AE106)</f>
        <v>1061806</v>
      </c>
    </row>
    <row r="108" spans="1:31" ht="10.199999999999999" customHeight="1" thickTop="1">
      <c r="A108" s="28"/>
      <c r="B108" s="720"/>
      <c r="C108" s="720"/>
      <c r="E108" s="21"/>
    </row>
    <row r="152" spans="1:8" hidden="1">
      <c r="A152" s="21"/>
      <c r="B152" s="2541" t="s">
        <v>229</v>
      </c>
      <c r="C152" s="2541"/>
      <c r="D152" s="2541"/>
      <c r="E152" s="2541"/>
      <c r="F152" s="2541"/>
      <c r="G152" s="2541"/>
      <c r="H152" s="2541"/>
    </row>
    <row r="153" spans="1:8" hidden="1">
      <c r="A153" s="21"/>
      <c r="B153" s="2541"/>
      <c r="C153" s="2541"/>
      <c r="D153" s="2541"/>
      <c r="E153" s="2541"/>
      <c r="F153" s="2541"/>
      <c r="G153" s="2541"/>
      <c r="H153" s="2541"/>
    </row>
    <row r="154" spans="1:8" hidden="1">
      <c r="A154" s="21"/>
      <c r="B154" s="2541"/>
      <c r="C154" s="2541"/>
      <c r="D154" s="2541"/>
      <c r="E154" s="2541"/>
      <c r="F154" s="2541"/>
      <c r="G154" s="2541"/>
      <c r="H154" s="2541"/>
    </row>
    <row r="155" spans="1:8" hidden="1">
      <c r="A155" s="21"/>
      <c r="B155" s="2541"/>
      <c r="C155" s="2541"/>
      <c r="D155" s="2541"/>
      <c r="E155" s="2541"/>
      <c r="F155" s="2541"/>
      <c r="G155" s="2541"/>
      <c r="H155" s="2541"/>
    </row>
    <row r="156" spans="1:8" hidden="1">
      <c r="A156" s="21"/>
      <c r="B156" s="2541"/>
      <c r="C156" s="2541"/>
      <c r="D156" s="2541"/>
      <c r="E156" s="2541"/>
      <c r="F156" s="2541"/>
      <c r="G156" s="2541"/>
      <c r="H156" s="2541"/>
    </row>
    <row r="157" spans="1:8" hidden="1">
      <c r="A157" s="21"/>
      <c r="B157" s="2541"/>
      <c r="C157" s="2541"/>
      <c r="D157" s="2541"/>
      <c r="E157" s="2541"/>
      <c r="F157" s="2541"/>
      <c r="G157" s="2541"/>
      <c r="H157" s="2541"/>
    </row>
  </sheetData>
  <mergeCells count="32">
    <mergeCell ref="W7:AD11"/>
    <mergeCell ref="B13:H16"/>
    <mergeCell ref="J13:P16"/>
    <mergeCell ref="B18:H22"/>
    <mergeCell ref="B42:H50"/>
    <mergeCell ref="I42:I43"/>
    <mergeCell ref="I44:I45"/>
    <mergeCell ref="I46:I47"/>
    <mergeCell ref="B7:H11"/>
    <mergeCell ref="I7:R8"/>
    <mergeCell ref="B24:H25"/>
    <mergeCell ref="W24:AD26"/>
    <mergeCell ref="B27:H28"/>
    <mergeCell ref="B30:H31"/>
    <mergeCell ref="B33:H34"/>
    <mergeCell ref="G90:H90"/>
    <mergeCell ref="B52:N56"/>
    <mergeCell ref="B58:N59"/>
    <mergeCell ref="B60:H62"/>
    <mergeCell ref="A65:H65"/>
    <mergeCell ref="B67:L73"/>
    <mergeCell ref="B75:L77"/>
    <mergeCell ref="B79:L80"/>
    <mergeCell ref="B82:L84"/>
    <mergeCell ref="G85:H85"/>
    <mergeCell ref="G87:AE87"/>
    <mergeCell ref="G89:H89"/>
    <mergeCell ref="G91:H91"/>
    <mergeCell ref="B95:H96"/>
    <mergeCell ref="G98:I98"/>
    <mergeCell ref="H100:AE100"/>
    <mergeCell ref="B152:H157"/>
  </mergeCells>
  <printOptions horizontalCentered="1"/>
  <pageMargins left="0.75" right="0.5" top="0.5" bottom="0.4" header="0.28999999999999998" footer="0.5"/>
  <pageSetup paperSize="9" scale="64" orientation="portrait" r:id="rId1"/>
  <headerFooter alignWithMargins="0"/>
  <rowBreaks count="2" manualBreakCount="2">
    <brk id="63" max="25" man="1"/>
    <brk id="6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2060"/>
  </sheetPr>
  <dimension ref="A1:R131"/>
  <sheetViews>
    <sheetView view="pageBreakPreview" topLeftCell="A25" zoomScale="108" zoomScaleSheetLayoutView="108" workbookViewId="0">
      <selection activeCell="B145" sqref="B145"/>
    </sheetView>
  </sheetViews>
  <sheetFormatPr defaultColWidth="10.19921875" defaultRowHeight="10.199999999999999"/>
  <cols>
    <col min="1" max="1" width="5.09765625" style="317" customWidth="1"/>
    <col min="2" max="2" width="4.19921875" style="317" customWidth="1"/>
    <col min="3" max="3" width="15.69921875" style="317" customWidth="1"/>
    <col min="4" max="7" width="6.19921875" style="317" customWidth="1"/>
    <col min="8" max="8" width="6.69921875" style="317" customWidth="1"/>
    <col min="9" max="10" width="6.19921875" style="317" customWidth="1"/>
    <col min="11" max="11" width="6.5" style="317" customWidth="1"/>
    <col min="12" max="12" width="7.09765625" style="317" customWidth="1"/>
    <col min="13" max="13" width="13" style="317" customWidth="1"/>
    <col min="14" max="14" width="11.19921875" style="317" customWidth="1"/>
    <col min="15" max="15" width="9.19921875" style="317" customWidth="1"/>
    <col min="16" max="16" width="10.19921875" style="230" customWidth="1"/>
    <col min="17" max="39" width="10.19921875" style="317" customWidth="1"/>
    <col min="40" max="16384" width="10.19921875" style="317"/>
  </cols>
  <sheetData>
    <row r="1" spans="1:17" s="846" customFormat="1" ht="11.4">
      <c r="A1" s="471" t="e">
        <f>'10.2-10.3'!#REF!+1</f>
        <v>#REF!</v>
      </c>
      <c r="B1" s="471"/>
      <c r="C1" s="471"/>
      <c r="D1" s="471"/>
      <c r="E1" s="471"/>
      <c r="F1" s="471"/>
      <c r="G1" s="471"/>
      <c r="H1" s="471"/>
      <c r="I1" s="471"/>
      <c r="J1" s="471"/>
      <c r="K1" s="471"/>
      <c r="L1" s="471"/>
    </row>
    <row r="2" spans="1:17" s="846" customFormat="1" ht="11.4">
      <c r="A2" s="721"/>
      <c r="B2" s="721"/>
      <c r="C2" s="721"/>
      <c r="D2" s="721"/>
      <c r="E2" s="721"/>
      <c r="F2" s="721"/>
      <c r="J2" s="721"/>
      <c r="L2" s="63"/>
    </row>
    <row r="3" spans="1:17" s="846" customFormat="1" ht="12">
      <c r="A3" s="470">
        <v>5.0999999999999996</v>
      </c>
      <c r="B3" s="472" t="s">
        <v>307</v>
      </c>
      <c r="C3" s="472"/>
      <c r="D3" s="472"/>
      <c r="E3" s="473"/>
      <c r="F3" s="473"/>
      <c r="G3" s="473"/>
      <c r="H3" s="473"/>
      <c r="I3" s="474"/>
      <c r="J3" s="475"/>
      <c r="K3" s="475"/>
      <c r="L3" s="473"/>
      <c r="P3" s="17"/>
    </row>
    <row r="4" spans="1:17" s="846" customFormat="1" ht="12">
      <c r="A4" s="470"/>
      <c r="B4" s="472"/>
      <c r="C4" s="472"/>
      <c r="D4" s="472"/>
      <c r="E4" s="473"/>
      <c r="F4" s="473"/>
      <c r="G4" s="473"/>
      <c r="H4" s="473"/>
      <c r="I4" s="474"/>
      <c r="J4" s="475"/>
      <c r="K4" s="475"/>
      <c r="L4" s="473"/>
      <c r="P4" s="17"/>
    </row>
    <row r="5" spans="1:17" s="846" customFormat="1" ht="12">
      <c r="A5" s="470"/>
      <c r="B5" s="2571" t="s">
        <v>534</v>
      </c>
      <c r="C5" s="2571"/>
      <c r="D5" s="2571"/>
      <c r="E5" s="2571"/>
      <c r="F5" s="2571"/>
      <c r="G5" s="2571"/>
      <c r="H5" s="2571"/>
      <c r="I5" s="2571"/>
      <c r="J5" s="2571"/>
      <c r="K5" s="2571"/>
      <c r="L5" s="2571"/>
      <c r="P5" s="17"/>
    </row>
    <row r="6" spans="1:17" s="846" customFormat="1" ht="12">
      <c r="A6" s="470"/>
      <c r="B6" s="2571"/>
      <c r="C6" s="2571"/>
      <c r="D6" s="2571"/>
      <c r="E6" s="2571"/>
      <c r="F6" s="2571"/>
      <c r="G6" s="2571"/>
      <c r="H6" s="2571"/>
      <c r="I6" s="2571"/>
      <c r="J6" s="2571"/>
      <c r="K6" s="2571"/>
      <c r="L6" s="2571"/>
      <c r="P6" s="17"/>
    </row>
    <row r="7" spans="1:17" s="846" customFormat="1" ht="11.4">
      <c r="A7" s="721"/>
      <c r="E7" s="473"/>
      <c r="F7" s="473"/>
      <c r="G7" s="473"/>
      <c r="H7" s="473"/>
      <c r="I7" s="476"/>
      <c r="J7" s="475"/>
      <c r="K7" s="475"/>
      <c r="L7" s="473"/>
      <c r="P7" s="17"/>
    </row>
    <row r="8" spans="1:17" s="503" customFormat="1">
      <c r="A8" s="314"/>
      <c r="B8" s="2572" t="s">
        <v>116</v>
      </c>
      <c r="C8" s="2573"/>
      <c r="D8" s="2563" t="s">
        <v>633</v>
      </c>
      <c r="E8" s="2563" t="s">
        <v>130</v>
      </c>
      <c r="F8" s="2563" t="s">
        <v>119</v>
      </c>
      <c r="G8" s="2563" t="s">
        <v>120</v>
      </c>
      <c r="H8" s="2563" t="s">
        <v>634</v>
      </c>
      <c r="I8" s="2563" t="s">
        <v>635</v>
      </c>
      <c r="J8" s="2559" t="s">
        <v>308</v>
      </c>
      <c r="K8" s="2560"/>
      <c r="L8" s="2567" t="s">
        <v>708</v>
      </c>
      <c r="N8" s="868"/>
      <c r="O8" s="869" t="s">
        <v>166</v>
      </c>
      <c r="P8" s="870">
        <f>BS!F29</f>
        <v>11812275.018000003</v>
      </c>
      <c r="Q8" s="868"/>
    </row>
    <row r="9" spans="1:17" s="503" customFormat="1">
      <c r="A9" s="314"/>
      <c r="B9" s="2574"/>
      <c r="C9" s="2575"/>
      <c r="D9" s="2564"/>
      <c r="E9" s="2564"/>
      <c r="F9" s="2564"/>
      <c r="G9" s="2564"/>
      <c r="H9" s="2564"/>
      <c r="I9" s="2564"/>
      <c r="J9" s="2561"/>
      <c r="K9" s="2562"/>
      <c r="L9" s="2568"/>
      <c r="N9" s="868"/>
      <c r="O9" s="869"/>
      <c r="P9" s="870"/>
      <c r="Q9" s="868"/>
    </row>
    <row r="10" spans="1:17" s="503" customFormat="1">
      <c r="A10" s="314"/>
      <c r="B10" s="2574"/>
      <c r="C10" s="2575"/>
      <c r="D10" s="2565"/>
      <c r="E10" s="2565"/>
      <c r="F10" s="2565"/>
      <c r="G10" s="2565"/>
      <c r="H10" s="2565"/>
      <c r="I10" s="2565"/>
      <c r="J10" s="2568" t="s">
        <v>121</v>
      </c>
      <c r="K10" s="2568" t="s">
        <v>295</v>
      </c>
      <c r="L10" s="2568"/>
      <c r="N10" s="868"/>
      <c r="O10" s="869"/>
      <c r="P10" s="870"/>
      <c r="Q10" s="868"/>
    </row>
    <row r="11" spans="1:17" s="503" customFormat="1">
      <c r="A11" s="314"/>
      <c r="B11" s="2574"/>
      <c r="C11" s="2575"/>
      <c r="D11" s="2565"/>
      <c r="E11" s="2565"/>
      <c r="F11" s="2565"/>
      <c r="G11" s="2565"/>
      <c r="H11" s="2565"/>
      <c r="I11" s="2565"/>
      <c r="J11" s="2568"/>
      <c r="K11" s="2568"/>
      <c r="L11" s="2568"/>
      <c r="O11" s="503" t="s">
        <v>167</v>
      </c>
      <c r="P11" s="493">
        <f>BS!F12</f>
        <v>11260226.018000003</v>
      </c>
    </row>
    <row r="12" spans="1:17" s="503" customFormat="1">
      <c r="A12" s="314"/>
      <c r="B12" s="2574"/>
      <c r="C12" s="2575"/>
      <c r="D12" s="2565"/>
      <c r="E12" s="2565"/>
      <c r="F12" s="2565"/>
      <c r="G12" s="2565"/>
      <c r="H12" s="2565"/>
      <c r="I12" s="2565"/>
      <c r="J12" s="2568"/>
      <c r="K12" s="2568"/>
      <c r="L12" s="2568"/>
      <c r="P12" s="493"/>
    </row>
    <row r="13" spans="1:17" s="503" customFormat="1">
      <c r="A13" s="314"/>
      <c r="B13" s="2574"/>
      <c r="C13" s="2575"/>
      <c r="D13" s="2565"/>
      <c r="E13" s="2565"/>
      <c r="F13" s="2565"/>
      <c r="G13" s="2565"/>
      <c r="H13" s="2565"/>
      <c r="I13" s="2565"/>
      <c r="J13" s="2568"/>
      <c r="K13" s="2568"/>
      <c r="L13" s="2568"/>
      <c r="P13" s="493"/>
    </row>
    <row r="14" spans="1:17" s="503" customFormat="1">
      <c r="A14" s="314"/>
      <c r="B14" s="2576"/>
      <c r="C14" s="2577"/>
      <c r="D14" s="2566"/>
      <c r="E14" s="2566"/>
      <c r="F14" s="2566"/>
      <c r="G14" s="2566"/>
      <c r="H14" s="2566"/>
      <c r="I14" s="2566"/>
      <c r="J14" s="2569"/>
      <c r="K14" s="2569"/>
      <c r="L14" s="2569"/>
      <c r="P14" s="493"/>
    </row>
    <row r="15" spans="1:17" s="503" customFormat="1" ht="20.399999999999999">
      <c r="A15" s="314"/>
      <c r="B15" s="478"/>
      <c r="C15" s="478"/>
      <c r="D15" s="2556" t="s">
        <v>707</v>
      </c>
      <c r="E15" s="2556"/>
      <c r="F15" s="2556"/>
      <c r="G15" s="2556"/>
      <c r="H15" s="2556"/>
      <c r="I15" s="479" t="s">
        <v>52</v>
      </c>
      <c r="J15" s="2557" t="s">
        <v>2</v>
      </c>
      <c r="K15" s="2558"/>
      <c r="L15" s="2558"/>
      <c r="P15" s="493"/>
    </row>
    <row r="16" spans="1:17" s="503" customFormat="1">
      <c r="A16" s="314"/>
      <c r="B16" s="878" t="s">
        <v>470</v>
      </c>
      <c r="C16" s="879"/>
      <c r="D16" s="879"/>
      <c r="E16" s="880"/>
      <c r="F16" s="881"/>
      <c r="G16" s="881"/>
      <c r="H16" s="882"/>
      <c r="I16" s="881"/>
      <c r="J16" s="883"/>
      <c r="K16" s="883"/>
      <c r="L16" s="883"/>
      <c r="M16" s="870"/>
      <c r="N16" s="870"/>
      <c r="O16" s="871"/>
      <c r="P16" s="493"/>
    </row>
    <row r="17" spans="1:17" s="503" customFormat="1">
      <c r="A17" s="314"/>
      <c r="B17" s="879" t="s">
        <v>471</v>
      </c>
      <c r="C17" s="879"/>
      <c r="D17" s="884">
        <v>69400</v>
      </c>
      <c r="E17" s="881">
        <v>276300</v>
      </c>
      <c r="F17" s="881"/>
      <c r="G17" s="881">
        <v>225300</v>
      </c>
      <c r="H17" s="882">
        <f t="shared" ref="H17:H25" si="0">D17+E17+F17-G17</f>
        <v>120400</v>
      </c>
      <c r="I17" s="885">
        <v>25510</v>
      </c>
      <c r="J17" s="886">
        <f t="shared" ref="J17:J25" si="1">ROUND(I17/$P$8*100,4)</f>
        <v>0.216</v>
      </c>
      <c r="K17" s="886">
        <f>ROUND(I17/$P$11*100,4)</f>
        <v>0.22650000000000001</v>
      </c>
      <c r="L17" s="887">
        <v>0.14116047037857737</v>
      </c>
      <c r="M17" s="872">
        <v>829440000</v>
      </c>
      <c r="N17" s="870">
        <v>1.2667999999999999</v>
      </c>
      <c r="O17" s="871">
        <v>1.4931164450003107</v>
      </c>
      <c r="P17" s="493"/>
      <c r="Q17" s="503">
        <v>8.1366583424196601E-2</v>
      </c>
    </row>
    <row r="18" spans="1:17" s="503" customFormat="1">
      <c r="A18" s="314"/>
      <c r="B18" s="879" t="s">
        <v>472</v>
      </c>
      <c r="C18" s="879"/>
      <c r="D18" s="884">
        <v>59700</v>
      </c>
      <c r="E18" s="881">
        <v>0</v>
      </c>
      <c r="F18" s="881">
        <v>0</v>
      </c>
      <c r="G18" s="881">
        <v>59700</v>
      </c>
      <c r="H18" s="882">
        <f t="shared" si="0"/>
        <v>0</v>
      </c>
      <c r="I18" s="888">
        <v>0</v>
      </c>
      <c r="J18" s="889">
        <f t="shared" si="1"/>
        <v>0</v>
      </c>
      <c r="K18" s="889">
        <f t="shared" ref="K18:K25" si="2">ROUND(I18/$P$11*100,4)</f>
        <v>0</v>
      </c>
      <c r="L18" s="887">
        <f>H18/M18*100</f>
        <v>0</v>
      </c>
      <c r="M18" s="872">
        <v>799666000</v>
      </c>
      <c r="N18" s="870">
        <v>1.107</v>
      </c>
      <c r="O18" s="871">
        <v>1.3047581196565099</v>
      </c>
      <c r="P18" s="493"/>
      <c r="Q18" s="503">
        <v>7.4656168950536853E-2</v>
      </c>
    </row>
    <row r="19" spans="1:17" s="503" customFormat="1">
      <c r="A19" s="314"/>
      <c r="B19" s="879" t="s">
        <v>329</v>
      </c>
      <c r="C19" s="879"/>
      <c r="D19" s="884">
        <v>67600</v>
      </c>
      <c r="E19" s="881">
        <v>0</v>
      </c>
      <c r="F19" s="881">
        <v>0</v>
      </c>
      <c r="G19" s="881">
        <v>26100</v>
      </c>
      <c r="H19" s="882">
        <f t="shared" si="0"/>
        <v>41500</v>
      </c>
      <c r="I19" s="888">
        <v>20963</v>
      </c>
      <c r="J19" s="889">
        <f t="shared" si="1"/>
        <v>0.17749999999999999</v>
      </c>
      <c r="K19" s="889">
        <f t="shared" si="2"/>
        <v>0.1862</v>
      </c>
      <c r="L19" s="887">
        <v>5.0033757716049385E-2</v>
      </c>
      <c r="M19" s="872">
        <v>829440000</v>
      </c>
      <c r="N19" s="870">
        <v>3.0638000000000001</v>
      </c>
      <c r="O19" s="871">
        <v>3.6112058134913534</v>
      </c>
      <c r="P19" s="493"/>
      <c r="Q19" s="503">
        <v>8.150077160493828E-2</v>
      </c>
    </row>
    <row r="20" spans="1:17" s="503" customFormat="1">
      <c r="A20" s="314"/>
      <c r="B20" s="890" t="s">
        <v>473</v>
      </c>
      <c r="C20" s="890"/>
      <c r="D20" s="884">
        <v>148640</v>
      </c>
      <c r="E20" s="881">
        <v>0</v>
      </c>
      <c r="F20" s="891">
        <v>208</v>
      </c>
      <c r="G20" s="891">
        <v>147600</v>
      </c>
      <c r="H20" s="882">
        <f t="shared" si="0"/>
        <v>1248</v>
      </c>
      <c r="I20" s="888">
        <v>180</v>
      </c>
      <c r="J20" s="889">
        <f t="shared" si="1"/>
        <v>1.5E-3</v>
      </c>
      <c r="K20" s="889">
        <f t="shared" si="2"/>
        <v>1.6000000000000001E-3</v>
      </c>
      <c r="L20" s="887">
        <f>H20/M20*100</f>
        <v>1.2409760754131615E-4</v>
      </c>
      <c r="M20" s="872">
        <v>1005660000</v>
      </c>
      <c r="N20" s="503">
        <v>1.36</v>
      </c>
      <c r="O20" s="503">
        <v>1.6030235278384188</v>
      </c>
      <c r="P20" s="493"/>
      <c r="Q20" s="503">
        <v>0.14780343257164449</v>
      </c>
    </row>
    <row r="21" spans="1:17" s="503" customFormat="1">
      <c r="A21" s="314"/>
      <c r="B21" s="892" t="s">
        <v>123</v>
      </c>
      <c r="C21" s="893"/>
      <c r="D21" s="884">
        <v>118200</v>
      </c>
      <c r="E21" s="891">
        <v>239400</v>
      </c>
      <c r="F21" s="881">
        <v>0</v>
      </c>
      <c r="G21" s="881">
        <v>146500</v>
      </c>
      <c r="H21" s="882">
        <f t="shared" si="0"/>
        <v>211100</v>
      </c>
      <c r="I21" s="888">
        <v>56579</v>
      </c>
      <c r="J21" s="889">
        <f t="shared" si="1"/>
        <v>0.47899999999999998</v>
      </c>
      <c r="K21" s="889">
        <f t="shared" si="2"/>
        <v>0.50249999999999995</v>
      </c>
      <c r="L21" s="887">
        <v>8.9242722025619559E-2</v>
      </c>
      <c r="M21" s="872">
        <v>2365459000</v>
      </c>
      <c r="N21" s="870">
        <v>3.8140000000000001</v>
      </c>
      <c r="O21" s="871">
        <v>4.4953597926551554</v>
      </c>
      <c r="P21" s="493"/>
      <c r="Q21" s="503">
        <v>4.9967259185922597E-2</v>
      </c>
    </row>
    <row r="22" spans="1:17" s="503" customFormat="1">
      <c r="A22" s="314"/>
      <c r="B22" s="890" t="s">
        <v>124</v>
      </c>
      <c r="C22" s="890"/>
      <c r="D22" s="884">
        <v>167400</v>
      </c>
      <c r="E22" s="881">
        <v>649300</v>
      </c>
      <c r="F22" s="881">
        <v>0</v>
      </c>
      <c r="G22" s="881">
        <v>85800</v>
      </c>
      <c r="H22" s="882">
        <f t="shared" si="0"/>
        <v>730900</v>
      </c>
      <c r="I22" s="888">
        <v>89031</v>
      </c>
      <c r="J22" s="889">
        <f t="shared" si="1"/>
        <v>0.75370000000000004</v>
      </c>
      <c r="K22" s="889">
        <f t="shared" si="2"/>
        <v>0.79069999999999996</v>
      </c>
      <c r="L22" s="887">
        <v>3.706924061462008E-2</v>
      </c>
      <c r="M22" s="872">
        <v>19717156000</v>
      </c>
      <c r="N22" s="870">
        <v>2.1970999999999998</v>
      </c>
      <c r="O22" s="871">
        <v>2.5896444359892485</v>
      </c>
      <c r="P22" s="493"/>
      <c r="Q22" s="503">
        <v>8.490068243107678E-3</v>
      </c>
    </row>
    <row r="23" spans="1:17" s="503" customFormat="1">
      <c r="A23" s="314"/>
      <c r="B23" s="890" t="s">
        <v>169</v>
      </c>
      <c r="C23" s="890"/>
      <c r="D23" s="884">
        <v>150600</v>
      </c>
      <c r="E23" s="881">
        <v>172300</v>
      </c>
      <c r="F23" s="881">
        <v>0</v>
      </c>
      <c r="G23" s="881">
        <v>72000</v>
      </c>
      <c r="H23" s="882">
        <f t="shared" si="0"/>
        <v>250900</v>
      </c>
      <c r="I23" s="888">
        <v>81736</v>
      </c>
      <c r="J23" s="889">
        <f t="shared" si="1"/>
        <v>0.69199999999999995</v>
      </c>
      <c r="K23" s="889">
        <f t="shared" si="2"/>
        <v>0.72589999999999999</v>
      </c>
      <c r="L23" s="887">
        <v>9.234929011774258E-2</v>
      </c>
      <c r="M23" s="872">
        <v>2716859000</v>
      </c>
      <c r="N23" s="870">
        <v>4.6424000000000003</v>
      </c>
      <c r="O23" s="871">
        <v>5.47180935123742</v>
      </c>
      <c r="P23" s="493"/>
      <c r="Q23" s="503">
        <v>6.0106174078227839E-2</v>
      </c>
    </row>
    <row r="24" spans="1:17" s="503" customFormat="1">
      <c r="A24" s="314"/>
      <c r="B24" s="890" t="s">
        <v>330</v>
      </c>
      <c r="C24" s="890"/>
      <c r="D24" s="884">
        <v>139200</v>
      </c>
      <c r="E24" s="881">
        <v>76300</v>
      </c>
      <c r="F24" s="881">
        <v>0</v>
      </c>
      <c r="G24" s="881">
        <v>47900</v>
      </c>
      <c r="H24" s="882">
        <f t="shared" si="0"/>
        <v>167600</v>
      </c>
      <c r="I24" s="888">
        <v>38253</v>
      </c>
      <c r="J24" s="889">
        <f t="shared" si="1"/>
        <v>0.32379999999999998</v>
      </c>
      <c r="K24" s="889">
        <f t="shared" si="2"/>
        <v>0.3397</v>
      </c>
      <c r="L24" s="887">
        <v>0.15661751032357962</v>
      </c>
      <c r="M24" s="872">
        <v>1070123000</v>
      </c>
      <c r="N24" s="870">
        <v>2.8136000000000001</v>
      </c>
      <c r="O24" s="871">
        <v>3.3162366760029607</v>
      </c>
      <c r="P24" s="493"/>
      <c r="Q24" s="503">
        <v>0.13007850499428569</v>
      </c>
    </row>
    <row r="25" spans="1:17" s="503" customFormat="1">
      <c r="A25" s="314"/>
      <c r="B25" s="890" t="s">
        <v>527</v>
      </c>
      <c r="C25" s="890"/>
      <c r="D25" s="884">
        <v>4000</v>
      </c>
      <c r="E25" s="881">
        <v>159800</v>
      </c>
      <c r="F25" s="881">
        <v>0</v>
      </c>
      <c r="G25" s="881">
        <v>0</v>
      </c>
      <c r="H25" s="882">
        <f t="shared" si="0"/>
        <v>163800</v>
      </c>
      <c r="I25" s="894">
        <v>114192</v>
      </c>
      <c r="J25" s="895">
        <f t="shared" si="1"/>
        <v>0.9667</v>
      </c>
      <c r="K25" s="895">
        <f t="shared" si="2"/>
        <v>1.0141</v>
      </c>
      <c r="L25" s="887">
        <v>0.14857142857142858</v>
      </c>
      <c r="M25" s="872">
        <v>1102500000</v>
      </c>
      <c r="N25" s="870">
        <v>0.2198</v>
      </c>
      <c r="O25" s="871">
        <v>0.2590868765103983</v>
      </c>
      <c r="P25" s="493"/>
      <c r="Q25" s="503">
        <v>8.3174603174603179E-2</v>
      </c>
    </row>
    <row r="26" spans="1:17" s="503" customFormat="1">
      <c r="A26" s="314"/>
      <c r="B26" s="896"/>
      <c r="C26" s="896"/>
      <c r="D26" s="896"/>
      <c r="E26" s="881"/>
      <c r="F26" s="881"/>
      <c r="G26" s="881"/>
      <c r="H26" s="881"/>
      <c r="I26" s="881">
        <f>SUM(I17:I25)</f>
        <v>426444</v>
      </c>
      <c r="J26" s="897">
        <f>SUM(J17:J25)</f>
        <v>3.6101999999999999</v>
      </c>
      <c r="K26" s="897">
        <f>SUM(K17:K25)</f>
        <v>3.7871999999999999</v>
      </c>
      <c r="L26" s="898"/>
      <c r="M26" s="870"/>
      <c r="N26" s="870"/>
      <c r="O26" s="870"/>
      <c r="P26" s="493"/>
    </row>
    <row r="27" spans="1:17" s="503" customFormat="1">
      <c r="A27" s="314"/>
      <c r="B27" s="480" t="s">
        <v>474</v>
      </c>
      <c r="C27" s="480"/>
      <c r="D27" s="480"/>
      <c r="E27" s="493"/>
      <c r="F27" s="493"/>
      <c r="G27" s="493"/>
      <c r="H27" s="493"/>
      <c r="I27" s="493"/>
      <c r="J27" s="1"/>
      <c r="K27" s="1"/>
      <c r="L27" s="492"/>
      <c r="M27" s="870"/>
      <c r="N27" s="870"/>
      <c r="O27" s="870"/>
      <c r="P27" s="493"/>
    </row>
    <row r="28" spans="1:17" s="503" customFormat="1">
      <c r="A28" s="314"/>
      <c r="B28" s="488" t="s">
        <v>475</v>
      </c>
      <c r="C28" s="488"/>
      <c r="D28" s="494">
        <v>408000</v>
      </c>
      <c r="E28" s="482">
        <v>0</v>
      </c>
      <c r="F28" s="482">
        <v>121500</v>
      </c>
      <c r="G28" s="482">
        <v>60000</v>
      </c>
      <c r="H28" s="483">
        <f>D28+E28+F28-G28</f>
        <v>469500</v>
      </c>
      <c r="I28" s="482">
        <v>14775</v>
      </c>
      <c r="J28" s="502">
        <f>ROUND(I28/$P$8*100,4)</f>
        <v>0.12509999999999999</v>
      </c>
      <c r="K28" s="502">
        <f>ROUND(I28/$P$11*100,4)</f>
        <v>0.13120000000000001</v>
      </c>
      <c r="L28" s="829">
        <v>0.93900000000000006</v>
      </c>
      <c r="M28" s="317">
        <v>500000000</v>
      </c>
      <c r="N28" s="870">
        <v>1.5254000000000001</v>
      </c>
      <c r="O28" s="871">
        <v>1.7978802154065807</v>
      </c>
      <c r="P28" s="493"/>
      <c r="Q28" s="503">
        <v>0.81600000000000006</v>
      </c>
    </row>
    <row r="29" spans="1:17" s="503" customFormat="1">
      <c r="A29" s="314"/>
      <c r="B29" s="488"/>
      <c r="C29" s="488"/>
      <c r="D29" s="488"/>
      <c r="E29" s="482"/>
      <c r="F29" s="482"/>
      <c r="G29" s="482"/>
      <c r="H29" s="482"/>
      <c r="I29" s="482"/>
      <c r="J29" s="502"/>
      <c r="K29" s="502"/>
      <c r="L29" s="492"/>
      <c r="M29" s="870"/>
      <c r="N29" s="870"/>
      <c r="O29" s="871"/>
      <c r="P29" s="493"/>
    </row>
    <row r="30" spans="1:17" s="503" customFormat="1">
      <c r="A30" s="314"/>
      <c r="B30" s="480" t="s">
        <v>476</v>
      </c>
      <c r="C30" s="481"/>
      <c r="D30" s="481"/>
      <c r="E30" s="482"/>
      <c r="F30" s="482"/>
      <c r="G30" s="482"/>
      <c r="H30" s="482"/>
      <c r="I30" s="482"/>
      <c r="J30" s="502"/>
      <c r="K30" s="502"/>
      <c r="L30" s="492"/>
      <c r="M30" s="870"/>
      <c r="N30" s="870"/>
      <c r="O30" s="871"/>
      <c r="P30" s="493"/>
    </row>
    <row r="31" spans="1:17" s="503" customFormat="1">
      <c r="A31" s="314"/>
      <c r="B31" s="481" t="s">
        <v>477</v>
      </c>
      <c r="C31" s="481"/>
      <c r="D31" s="494">
        <v>291500</v>
      </c>
      <c r="E31" s="482">
        <v>1287000</v>
      </c>
      <c r="F31" s="482">
        <v>0</v>
      </c>
      <c r="G31" s="482">
        <v>448000</v>
      </c>
      <c r="H31" s="483">
        <f>D31+E31+F31-G31</f>
        <v>1130500</v>
      </c>
      <c r="I31" s="854">
        <v>95109</v>
      </c>
      <c r="J31" s="856">
        <f>ROUND(I31/$P$8*100,4)</f>
        <v>0.80520000000000003</v>
      </c>
      <c r="K31" s="856">
        <f>ROUND(I31/$P$11*100,4)</f>
        <v>0.84460000000000002</v>
      </c>
      <c r="L31" s="829">
        <v>8.4940458654433434E-2</v>
      </c>
      <c r="M31" s="872">
        <v>13309323000</v>
      </c>
      <c r="N31" s="870">
        <v>2.0657999999999999</v>
      </c>
      <c r="O31" s="871">
        <v>2.4348138925566443</v>
      </c>
      <c r="P31" s="493"/>
      <c r="Q31" s="503">
        <v>2.190194046684418E-2</v>
      </c>
    </row>
    <row r="32" spans="1:17" s="503" customFormat="1">
      <c r="A32" s="314"/>
      <c r="B32" s="488" t="s">
        <v>332</v>
      </c>
      <c r="C32" s="488"/>
      <c r="D32" s="494">
        <v>342500</v>
      </c>
      <c r="E32" s="482">
        <v>283600</v>
      </c>
      <c r="F32" s="482">
        <v>0</v>
      </c>
      <c r="G32" s="482">
        <v>214400</v>
      </c>
      <c r="H32" s="483">
        <f>D32+E32+F32-G32</f>
        <v>411700</v>
      </c>
      <c r="I32" s="852">
        <v>115025</v>
      </c>
      <c r="J32" s="3">
        <f>ROUND(I32/$P$8*100,4)</f>
        <v>0.9738</v>
      </c>
      <c r="K32" s="3">
        <f>ROUND(I32/$P$11*100,4)</f>
        <v>1.0215000000000001</v>
      </c>
      <c r="L32" s="829">
        <v>7.8600997700009181E-2</v>
      </c>
      <c r="M32" s="872">
        <v>21000000000</v>
      </c>
      <c r="N32" s="870">
        <v>8.1225000000000005</v>
      </c>
      <c r="O32" s="871">
        <v>9.5736886022493746</v>
      </c>
      <c r="P32" s="493"/>
      <c r="Q32" s="503">
        <v>6.5389462502436602E-2</v>
      </c>
    </row>
    <row r="33" spans="1:17" s="503" customFormat="1">
      <c r="A33" s="314"/>
      <c r="B33" s="488" t="s">
        <v>333</v>
      </c>
      <c r="C33" s="488"/>
      <c r="D33" s="494">
        <v>348000</v>
      </c>
      <c r="E33" s="482">
        <v>400000</v>
      </c>
      <c r="F33" s="482">
        <v>0</v>
      </c>
      <c r="G33" s="482">
        <v>0</v>
      </c>
      <c r="H33" s="483">
        <f>D33+E33+F33-G33</f>
        <v>748000</v>
      </c>
      <c r="I33" s="852">
        <v>33458</v>
      </c>
      <c r="J33" s="3">
        <f>ROUND(I33/$P$8*100,4)</f>
        <v>0.28320000000000001</v>
      </c>
      <c r="K33" s="3">
        <f>ROUND(I33/$P$11*100,4)</f>
        <v>0.29709999999999998</v>
      </c>
      <c r="L33" s="829">
        <v>3.561904761904762E-2</v>
      </c>
      <c r="M33" s="872">
        <v>21000000000</v>
      </c>
      <c r="N33" s="870">
        <v>1.0864</v>
      </c>
      <c r="O33" s="871">
        <v>1.2804598956871593</v>
      </c>
      <c r="P33" s="493"/>
      <c r="Q33" s="503">
        <v>1.657142857142857E-2</v>
      </c>
    </row>
    <row r="34" spans="1:17" s="503" customFormat="1">
      <c r="A34" s="314"/>
      <c r="B34" s="488" t="s">
        <v>478</v>
      </c>
      <c r="C34" s="488"/>
      <c r="D34" s="494">
        <v>71500</v>
      </c>
      <c r="E34" s="482">
        <v>0</v>
      </c>
      <c r="F34" s="482">
        <v>0</v>
      </c>
      <c r="G34" s="482">
        <v>37200</v>
      </c>
      <c r="H34" s="483">
        <f>D34+E34+F34-G34</f>
        <v>34300</v>
      </c>
      <c r="I34" s="852">
        <v>4087</v>
      </c>
      <c r="J34" s="3">
        <f>ROUND(I34/$P$8*100,4)</f>
        <v>3.4599999999999999E-2</v>
      </c>
      <c r="K34" s="3">
        <f>ROUND(I34/$P$11*100,4)</f>
        <v>3.6299999999999999E-2</v>
      </c>
      <c r="L34" s="829">
        <v>7.1267233216930192E-3</v>
      </c>
      <c r="M34" s="872">
        <v>4812871000</v>
      </c>
      <c r="N34" s="870">
        <v>0.66710000000000003</v>
      </c>
      <c r="O34" s="871">
        <v>0.78630182914769742</v>
      </c>
      <c r="P34" s="493"/>
      <c r="Q34" s="503">
        <v>1.4855997594782823E-2</v>
      </c>
    </row>
    <row r="35" spans="1:17" s="503" customFormat="1">
      <c r="A35" s="314"/>
      <c r="B35" s="488" t="s">
        <v>479</v>
      </c>
      <c r="C35" s="488"/>
      <c r="D35" s="494">
        <v>0</v>
      </c>
      <c r="E35" s="482">
        <v>198400</v>
      </c>
      <c r="F35" s="482">
        <v>0</v>
      </c>
      <c r="G35" s="482">
        <v>198400</v>
      </c>
      <c r="H35" s="483">
        <f>D35+E35+F35-G35</f>
        <v>0</v>
      </c>
      <c r="I35" s="853">
        <v>0</v>
      </c>
      <c r="J35" s="2">
        <f>ROUND(I35/$P$8*100,4)</f>
        <v>0</v>
      </c>
      <c r="K35" s="2">
        <f>ROUND(I35/$P$11*100,4)</f>
        <v>0</v>
      </c>
      <c r="L35" s="829">
        <f>H35/M35*100</f>
        <v>0</v>
      </c>
      <c r="M35" s="872">
        <v>1272238200</v>
      </c>
      <c r="N35" s="870">
        <v>0</v>
      </c>
      <c r="O35" s="871">
        <v>0</v>
      </c>
      <c r="P35" s="493"/>
      <c r="Q35" s="503">
        <v>0</v>
      </c>
    </row>
    <row r="36" spans="1:17" s="503" customFormat="1">
      <c r="A36" s="314"/>
      <c r="B36" s="478"/>
      <c r="C36" s="478"/>
      <c r="D36" s="478"/>
      <c r="E36" s="482"/>
      <c r="F36" s="482"/>
      <c r="G36" s="489"/>
      <c r="H36" s="482"/>
      <c r="I36" s="482">
        <f>SUM(I31:I35)</f>
        <v>247679</v>
      </c>
      <c r="J36" s="502">
        <f>SUM(J31:J35)</f>
        <v>2.0968</v>
      </c>
      <c r="K36" s="502">
        <f>SUM(K31:K35)</f>
        <v>2.1995000000000005</v>
      </c>
      <c r="L36" s="492"/>
      <c r="M36" s="870"/>
      <c r="N36" s="870"/>
      <c r="O36" s="870"/>
      <c r="P36" s="493"/>
    </row>
    <row r="37" spans="1:17" s="503" customFormat="1">
      <c r="A37" s="314"/>
      <c r="B37" s="480" t="s">
        <v>480</v>
      </c>
      <c r="C37" s="480"/>
      <c r="D37" s="480"/>
      <c r="E37" s="489"/>
      <c r="F37" s="489"/>
      <c r="G37" s="489"/>
      <c r="H37" s="489"/>
      <c r="I37" s="489"/>
      <c r="J37" s="498"/>
      <c r="K37" s="498"/>
      <c r="L37" s="492"/>
      <c r="O37" s="870"/>
      <c r="P37" s="493"/>
    </row>
    <row r="38" spans="1:17" s="503" customFormat="1">
      <c r="A38" s="314"/>
      <c r="B38" s="481" t="s">
        <v>481</v>
      </c>
      <c r="C38" s="481"/>
      <c r="D38" s="485">
        <v>377500</v>
      </c>
      <c r="E38" s="482">
        <v>313900</v>
      </c>
      <c r="F38" s="482">
        <v>0</v>
      </c>
      <c r="G38" s="482">
        <v>95200</v>
      </c>
      <c r="H38" s="483">
        <f t="shared" ref="H38:H45" si="3">D38+E38+F38-G38</f>
        <v>596200</v>
      </c>
      <c r="I38" s="854">
        <v>87993</v>
      </c>
      <c r="J38" s="857">
        <f t="shared" ref="J38:J45" si="4">ROUND(I38/$P$8*100,4)</f>
        <v>0.74490000000000001</v>
      </c>
      <c r="K38" s="855">
        <f>ROUND(I38/$P$11*100,4)</f>
        <v>0.78139999999999998</v>
      </c>
      <c r="L38" s="829">
        <v>0.13608171841857614</v>
      </c>
      <c r="M38" s="872">
        <v>4381191000</v>
      </c>
      <c r="N38" s="870">
        <v>4.3064999999999998</v>
      </c>
      <c r="O38" s="871">
        <v>5.0758801513647507</v>
      </c>
      <c r="P38" s="493"/>
      <c r="Q38" s="503">
        <v>8.616378514426784E-2</v>
      </c>
    </row>
    <row r="39" spans="1:17" s="503" customFormat="1">
      <c r="A39" s="314"/>
      <c r="B39" s="481" t="s">
        <v>334</v>
      </c>
      <c r="C39" s="481"/>
      <c r="D39" s="485">
        <v>58300</v>
      </c>
      <c r="E39" s="482">
        <v>41200</v>
      </c>
      <c r="F39" s="482">
        <v>0</v>
      </c>
      <c r="G39" s="482">
        <v>98700</v>
      </c>
      <c r="H39" s="483">
        <f t="shared" si="3"/>
        <v>800</v>
      </c>
      <c r="I39" s="852">
        <v>193</v>
      </c>
      <c r="J39" s="858">
        <f t="shared" si="4"/>
        <v>1.6000000000000001E-3</v>
      </c>
      <c r="K39" s="859">
        <f t="shared" ref="K39:K45" si="5">ROUND(I39/$P$11*100,4)</f>
        <v>1.6999999999999999E-3</v>
      </c>
      <c r="L39" s="829">
        <f>H39/M39*100</f>
        <v>5.1777053186683467E-5</v>
      </c>
      <c r="M39" s="872">
        <v>1545086000</v>
      </c>
      <c r="N39" s="870">
        <v>0.93100000000000005</v>
      </c>
      <c r="O39" s="871">
        <v>1.0972814242903128</v>
      </c>
      <c r="P39" s="493"/>
      <c r="Q39" s="503">
        <v>3.7732527509795576E-2</v>
      </c>
    </row>
    <row r="40" spans="1:17" s="503" customFormat="1">
      <c r="A40" s="314"/>
      <c r="B40" s="488" t="s">
        <v>125</v>
      </c>
      <c r="C40" s="488"/>
      <c r="D40" s="485">
        <v>142600</v>
      </c>
      <c r="E40" s="482">
        <v>75400</v>
      </c>
      <c r="F40" s="482">
        <v>0</v>
      </c>
      <c r="G40" s="482">
        <v>114600</v>
      </c>
      <c r="H40" s="483">
        <f t="shared" si="3"/>
        <v>103400</v>
      </c>
      <c r="I40" s="852">
        <v>51187</v>
      </c>
      <c r="J40" s="858">
        <f t="shared" si="4"/>
        <v>0.43330000000000002</v>
      </c>
      <c r="K40" s="859">
        <f t="shared" si="5"/>
        <v>0.4546</v>
      </c>
      <c r="L40" s="829">
        <v>3.1975260919984538E-2</v>
      </c>
      <c r="M40" s="872">
        <v>3233750000</v>
      </c>
      <c r="N40" s="870">
        <v>5.9207000000000001</v>
      </c>
      <c r="O40" s="870">
        <v>6.9784875956624841</v>
      </c>
      <c r="P40" s="493"/>
      <c r="Q40" s="503">
        <v>4.4097410127560882E-2</v>
      </c>
    </row>
    <row r="41" spans="1:17" s="503" customFormat="1">
      <c r="A41" s="314"/>
      <c r="B41" s="481" t="s">
        <v>170</v>
      </c>
      <c r="C41" s="480"/>
      <c r="D41" s="485">
        <v>375500</v>
      </c>
      <c r="E41" s="489">
        <v>485000</v>
      </c>
      <c r="F41" s="489">
        <v>0</v>
      </c>
      <c r="G41" s="489">
        <v>358500</v>
      </c>
      <c r="H41" s="483">
        <f t="shared" si="3"/>
        <v>502000</v>
      </c>
      <c r="I41" s="852">
        <v>37439</v>
      </c>
      <c r="J41" s="858">
        <f t="shared" si="4"/>
        <v>0.31690000000000002</v>
      </c>
      <c r="K41" s="859">
        <f t="shared" si="5"/>
        <v>0.33250000000000002</v>
      </c>
      <c r="L41" s="829">
        <v>9.5123697757525147E-2</v>
      </c>
      <c r="M41" s="872">
        <v>5277339000</v>
      </c>
      <c r="N41" s="503">
        <v>2.3571</v>
      </c>
      <c r="O41" s="503">
        <v>2.778191119658393</v>
      </c>
      <c r="P41" s="493"/>
      <c r="Q41" s="503">
        <v>7.1153283880379864E-2</v>
      </c>
    </row>
    <row r="42" spans="1:17" s="503" customFormat="1">
      <c r="A42" s="314"/>
      <c r="B42" s="481" t="s">
        <v>482</v>
      </c>
      <c r="C42" s="481"/>
      <c r="D42" s="485">
        <v>47000</v>
      </c>
      <c r="E42" s="482">
        <v>393500</v>
      </c>
      <c r="F42" s="482">
        <v>0</v>
      </c>
      <c r="G42" s="482">
        <v>62500</v>
      </c>
      <c r="H42" s="483">
        <f t="shared" si="3"/>
        <v>378000</v>
      </c>
      <c r="I42" s="852">
        <v>34345</v>
      </c>
      <c r="J42" s="858">
        <f t="shared" si="4"/>
        <v>0.2908</v>
      </c>
      <c r="K42" s="859">
        <f t="shared" si="5"/>
        <v>0.30499999999999999</v>
      </c>
      <c r="L42" s="829">
        <v>0.16641074044855181</v>
      </c>
      <c r="M42" s="872">
        <v>2271488000</v>
      </c>
      <c r="N42" s="870">
        <v>0.32029999999999997</v>
      </c>
      <c r="O42" s="871">
        <v>0.37756426315164915</v>
      </c>
      <c r="P42" s="493"/>
      <c r="Q42" s="503">
        <v>2.0691282542544799E-2</v>
      </c>
    </row>
    <row r="43" spans="1:17" s="503" customFormat="1">
      <c r="A43" s="314"/>
      <c r="B43" s="481" t="s">
        <v>483</v>
      </c>
      <c r="C43" s="481"/>
      <c r="D43" s="485">
        <v>63900</v>
      </c>
      <c r="E43" s="482">
        <v>59000</v>
      </c>
      <c r="F43" s="482">
        <v>0</v>
      </c>
      <c r="G43" s="482">
        <v>1300</v>
      </c>
      <c r="H43" s="483">
        <f t="shared" si="3"/>
        <v>121600</v>
      </c>
      <c r="I43" s="852">
        <v>20398</v>
      </c>
      <c r="J43" s="858">
        <f t="shared" si="4"/>
        <v>0.17269999999999999</v>
      </c>
      <c r="K43" s="859">
        <f t="shared" si="5"/>
        <v>0.1812</v>
      </c>
      <c r="L43" s="829">
        <v>0.11</v>
      </c>
      <c r="M43" s="872">
        <v>1145225000</v>
      </c>
      <c r="N43" s="870">
        <v>0.97309999999999997</v>
      </c>
      <c r="O43" s="871">
        <v>1.1470080221810766</v>
      </c>
      <c r="P43" s="493"/>
      <c r="Q43" s="503">
        <v>5.5796895806500907E-2</v>
      </c>
    </row>
    <row r="44" spans="1:17" s="503" customFormat="1">
      <c r="A44" s="314"/>
      <c r="B44" s="481" t="s">
        <v>484</v>
      </c>
      <c r="C44" s="481"/>
      <c r="D44" s="485">
        <v>225000</v>
      </c>
      <c r="E44" s="482">
        <v>412500</v>
      </c>
      <c r="F44" s="482">
        <v>0</v>
      </c>
      <c r="G44" s="482">
        <v>0</v>
      </c>
      <c r="H44" s="483">
        <f t="shared" si="3"/>
        <v>637500</v>
      </c>
      <c r="I44" s="852">
        <v>49763</v>
      </c>
      <c r="J44" s="858">
        <f t="shared" si="4"/>
        <v>0.42130000000000001</v>
      </c>
      <c r="K44" s="859">
        <f t="shared" si="5"/>
        <v>0.44190000000000002</v>
      </c>
      <c r="L44" s="829">
        <v>1.2709330143540671</v>
      </c>
      <c r="M44" s="872">
        <v>501600000</v>
      </c>
      <c r="N44" s="870">
        <v>1.25</v>
      </c>
      <c r="O44" s="871">
        <v>1.4733388208392115</v>
      </c>
      <c r="P44" s="493"/>
      <c r="Q44" s="503">
        <v>0.44856459330143539</v>
      </c>
    </row>
    <row r="45" spans="1:17" s="503" customFormat="1">
      <c r="A45" s="314"/>
      <c r="B45" s="481" t="s">
        <v>640</v>
      </c>
      <c r="C45" s="481"/>
      <c r="D45" s="485">
        <v>0</v>
      </c>
      <c r="E45" s="482">
        <v>2165000</v>
      </c>
      <c r="F45" s="482">
        <v>0</v>
      </c>
      <c r="G45" s="482">
        <v>319500</v>
      </c>
      <c r="H45" s="483">
        <f t="shared" si="3"/>
        <v>1845500</v>
      </c>
      <c r="I45" s="853">
        <v>67951</v>
      </c>
      <c r="J45" s="860">
        <f t="shared" si="4"/>
        <v>0.57530000000000003</v>
      </c>
      <c r="K45" s="861">
        <f t="shared" si="5"/>
        <v>0.60350000000000004</v>
      </c>
      <c r="L45" s="829">
        <v>0.13864308424556301</v>
      </c>
      <c r="M45" s="872">
        <v>13311158000</v>
      </c>
      <c r="N45" s="870"/>
      <c r="O45" s="871"/>
      <c r="P45" s="493"/>
    </row>
    <row r="46" spans="1:17" s="503" customFormat="1">
      <c r="A46" s="314"/>
      <c r="B46" s="481"/>
      <c r="C46" s="481"/>
      <c r="D46" s="481"/>
      <c r="E46" s="482"/>
      <c r="F46" s="482"/>
      <c r="G46" s="482"/>
      <c r="H46" s="482"/>
      <c r="I46" s="482">
        <f>SUM(I38:I45)</f>
        <v>349269</v>
      </c>
      <c r="J46" s="502">
        <f>SUM(J38:J45)</f>
        <v>2.9567999999999999</v>
      </c>
      <c r="K46" s="502">
        <f>SUM(K38:K45)</f>
        <v>3.1017999999999999</v>
      </c>
      <c r="L46" s="492"/>
      <c r="M46" s="870"/>
      <c r="N46" s="870"/>
      <c r="O46" s="871"/>
      <c r="P46" s="493"/>
    </row>
    <row r="47" spans="1:17" s="503" customFormat="1">
      <c r="A47" s="314"/>
      <c r="B47" s="495" t="s">
        <v>485</v>
      </c>
      <c r="C47" s="488"/>
      <c r="D47" s="488"/>
      <c r="E47" s="482"/>
      <c r="F47" s="482"/>
      <c r="G47" s="489"/>
      <c r="H47" s="482"/>
      <c r="I47" s="482"/>
      <c r="J47" s="502"/>
      <c r="K47" s="502"/>
      <c r="L47" s="492"/>
      <c r="M47" s="870"/>
      <c r="N47" s="870"/>
      <c r="O47" s="870"/>
      <c r="P47" s="493"/>
    </row>
    <row r="48" spans="1:17" s="503" customFormat="1">
      <c r="A48" s="314"/>
      <c r="B48" s="481" t="s">
        <v>721</v>
      </c>
      <c r="C48" s="480"/>
      <c r="D48" s="485">
        <v>19400</v>
      </c>
      <c r="E48" s="482">
        <v>0</v>
      </c>
      <c r="F48" s="482">
        <v>0</v>
      </c>
      <c r="G48" s="489">
        <v>0</v>
      </c>
      <c r="H48" s="483">
        <f>D48+E48+F48-G48</f>
        <v>19400</v>
      </c>
      <c r="I48" s="482">
        <v>4915</v>
      </c>
      <c r="J48" s="502">
        <f>ROUND(I48/$P$8*100,4)</f>
        <v>4.1599999999999998E-2</v>
      </c>
      <c r="K48" s="502">
        <f>ROUND(I48/$P$11*100,4)</f>
        <v>4.36E-2</v>
      </c>
      <c r="L48" s="829">
        <v>2.3941749969147229E-2</v>
      </c>
      <c r="M48" s="872">
        <v>405150000</v>
      </c>
      <c r="N48" s="870">
        <v>0.44240000000000002</v>
      </c>
      <c r="O48" s="870">
        <v>0.52147002371431317</v>
      </c>
      <c r="P48" s="493"/>
      <c r="Q48" s="503">
        <v>2.3941749969147229E-2</v>
      </c>
    </row>
    <row r="49" spans="1:17" s="503" customFormat="1">
      <c r="A49" s="314"/>
      <c r="B49" s="481" t="s">
        <v>639</v>
      </c>
      <c r="C49" s="480"/>
      <c r="D49" s="485">
        <v>0</v>
      </c>
      <c r="E49" s="482">
        <v>328500</v>
      </c>
      <c r="F49" s="482">
        <v>0</v>
      </c>
      <c r="G49" s="489">
        <v>0</v>
      </c>
      <c r="H49" s="483">
        <f>D49+E49+F49-G49</f>
        <v>328500</v>
      </c>
      <c r="I49" s="482">
        <v>4399</v>
      </c>
      <c r="J49" s="502">
        <f>ROUND(I49/$P$8*100,4)</f>
        <v>3.7199999999999997E-2</v>
      </c>
      <c r="K49" s="502">
        <f>ROUND(I49/$P$11*100,4)</f>
        <v>3.9100000000000003E-2</v>
      </c>
      <c r="L49" s="829">
        <v>1.4296905601253427</v>
      </c>
      <c r="M49" s="872">
        <v>229770000</v>
      </c>
      <c r="N49" s="870"/>
      <c r="O49" s="870"/>
      <c r="P49" s="493"/>
    </row>
    <row r="50" spans="1:17" s="503" customFormat="1">
      <c r="A50" s="314"/>
      <c r="B50" s="481"/>
      <c r="C50" s="481"/>
      <c r="D50" s="481"/>
      <c r="E50" s="482"/>
      <c r="F50" s="482"/>
      <c r="G50" s="489"/>
      <c r="H50" s="482"/>
      <c r="I50" s="482"/>
      <c r="J50" s="502"/>
      <c r="K50" s="502"/>
      <c r="L50" s="492"/>
      <c r="M50" s="870"/>
      <c r="N50" s="870"/>
      <c r="O50" s="871"/>
      <c r="P50" s="493"/>
    </row>
    <row r="51" spans="1:17" s="503" customFormat="1">
      <c r="A51" s="314"/>
      <c r="B51" s="495" t="s">
        <v>486</v>
      </c>
      <c r="C51" s="488"/>
      <c r="D51" s="488"/>
      <c r="E51" s="482"/>
      <c r="F51" s="482"/>
      <c r="G51" s="489"/>
      <c r="H51" s="482"/>
      <c r="I51" s="482"/>
      <c r="J51" s="502"/>
      <c r="K51" s="502"/>
      <c r="L51" s="492"/>
      <c r="M51" s="870"/>
      <c r="N51" s="870"/>
      <c r="O51" s="871"/>
      <c r="P51" s="493"/>
    </row>
    <row r="52" spans="1:17" s="503" customFormat="1">
      <c r="A52" s="314"/>
      <c r="B52" s="488" t="s">
        <v>487</v>
      </c>
      <c r="C52" s="488"/>
      <c r="D52" s="494">
        <v>9000</v>
      </c>
      <c r="E52" s="482">
        <v>1000</v>
      </c>
      <c r="F52" s="482">
        <v>0</v>
      </c>
      <c r="G52" s="489">
        <v>0</v>
      </c>
      <c r="H52" s="483">
        <f t="shared" ref="H52:H57" si="6">D52+E52+F52-G52</f>
        <v>10000</v>
      </c>
      <c r="I52" s="854">
        <v>612</v>
      </c>
      <c r="J52" s="857">
        <f t="shared" ref="J52:J57" si="7">ROUND(I52/$P$8*100,4)</f>
        <v>5.1999999999999998E-3</v>
      </c>
      <c r="K52" s="855">
        <f t="shared" ref="K52:K57" si="8">ROUND(I52/$P$11*100,4)</f>
        <v>5.4000000000000003E-3</v>
      </c>
      <c r="L52" s="829">
        <v>7.4994562894190181E-2</v>
      </c>
      <c r="M52" s="872">
        <v>133342999.99999999</v>
      </c>
      <c r="N52" s="870">
        <v>4.1799999999999997E-2</v>
      </c>
      <c r="O52" s="870">
        <v>4.9255702077403971E-2</v>
      </c>
      <c r="P52" s="493"/>
      <c r="Q52" s="503">
        <v>6.7495106604771163E-2</v>
      </c>
    </row>
    <row r="53" spans="1:17" s="503" customFormat="1">
      <c r="A53" s="314"/>
      <c r="B53" s="496" t="s">
        <v>335</v>
      </c>
      <c r="C53" s="497"/>
      <c r="D53" s="494">
        <v>49150</v>
      </c>
      <c r="E53" s="482">
        <v>6000</v>
      </c>
      <c r="F53" s="482">
        <v>0</v>
      </c>
      <c r="G53" s="489">
        <v>29500</v>
      </c>
      <c r="H53" s="483">
        <f t="shared" si="6"/>
        <v>25650</v>
      </c>
      <c r="I53" s="852">
        <v>25950</v>
      </c>
      <c r="J53" s="858">
        <f t="shared" si="7"/>
        <v>0.21970000000000001</v>
      </c>
      <c r="K53" s="859">
        <f t="shared" si="8"/>
        <v>0.23050000000000001</v>
      </c>
      <c r="L53" s="829">
        <v>3.2633587786259542E-2</v>
      </c>
      <c r="M53" s="872">
        <v>786000000</v>
      </c>
      <c r="N53" s="870">
        <v>4.9051</v>
      </c>
      <c r="O53" s="870">
        <v>5.7814704381026285</v>
      </c>
      <c r="P53" s="493"/>
      <c r="Q53" s="503">
        <v>6.2531806615776078E-2</v>
      </c>
    </row>
    <row r="54" spans="1:17" s="503" customFormat="1">
      <c r="A54" s="314"/>
      <c r="B54" s="488" t="s">
        <v>0</v>
      </c>
      <c r="C54" s="488"/>
      <c r="D54" s="494">
        <v>40300</v>
      </c>
      <c r="E54" s="482">
        <v>99800</v>
      </c>
      <c r="F54" s="482">
        <v>0</v>
      </c>
      <c r="G54" s="489">
        <v>34700</v>
      </c>
      <c r="H54" s="483">
        <f t="shared" si="6"/>
        <v>105400</v>
      </c>
      <c r="I54" s="852">
        <v>52205</v>
      </c>
      <c r="J54" s="858">
        <f t="shared" si="7"/>
        <v>0.442</v>
      </c>
      <c r="K54" s="859">
        <f t="shared" si="8"/>
        <v>0.46360000000000001</v>
      </c>
      <c r="L54" s="829">
        <v>0.12806819935382668</v>
      </c>
      <c r="M54" s="872">
        <v>822999000</v>
      </c>
      <c r="N54" s="870">
        <v>1.4036999999999999</v>
      </c>
      <c r="O54" s="871">
        <v>1.6544453506572763</v>
      </c>
      <c r="P54" s="493"/>
      <c r="Q54" s="503">
        <v>4.8967252694110203E-2</v>
      </c>
    </row>
    <row r="55" spans="1:17" s="503" customFormat="1">
      <c r="A55" s="314"/>
      <c r="B55" s="488" t="s">
        <v>488</v>
      </c>
      <c r="C55" s="488"/>
      <c r="D55" s="494">
        <v>78500</v>
      </c>
      <c r="E55" s="482">
        <v>76000</v>
      </c>
      <c r="F55" s="482">
        <v>0</v>
      </c>
      <c r="G55" s="489">
        <v>154500</v>
      </c>
      <c r="H55" s="483">
        <f t="shared" si="6"/>
        <v>0</v>
      </c>
      <c r="I55" s="852">
        <v>0</v>
      </c>
      <c r="J55" s="858">
        <f t="shared" si="7"/>
        <v>0</v>
      </c>
      <c r="K55" s="859">
        <f t="shared" si="8"/>
        <v>0</v>
      </c>
      <c r="L55" s="829">
        <f>H55/M55*100</f>
        <v>0</v>
      </c>
      <c r="M55" s="872">
        <v>45002500</v>
      </c>
      <c r="N55" s="870">
        <v>0.62029999999999996</v>
      </c>
      <c r="O55" s="870">
        <v>0.73111283982196373</v>
      </c>
      <c r="P55" s="493"/>
      <c r="Q55" s="503">
        <v>0.17443475362479863</v>
      </c>
    </row>
    <row r="56" spans="1:17" s="503" customFormat="1">
      <c r="A56" s="314"/>
      <c r="B56" s="481" t="s">
        <v>489</v>
      </c>
      <c r="C56" s="480"/>
      <c r="D56" s="494">
        <v>83000</v>
      </c>
      <c r="E56" s="489">
        <v>0</v>
      </c>
      <c r="F56" s="489">
        <v>0</v>
      </c>
      <c r="G56" s="489">
        <v>0</v>
      </c>
      <c r="H56" s="483">
        <f t="shared" si="6"/>
        <v>83000</v>
      </c>
      <c r="I56" s="852">
        <v>2656</v>
      </c>
      <c r="J56" s="858">
        <f t="shared" si="7"/>
        <v>2.2499999999999999E-2</v>
      </c>
      <c r="K56" s="859">
        <f t="shared" si="8"/>
        <v>2.3599999999999999E-2</v>
      </c>
      <c r="L56" s="829">
        <v>0.46181923393648039</v>
      </c>
      <c r="M56" s="317">
        <v>179724000</v>
      </c>
      <c r="N56" s="503">
        <v>0.25540000000000002</v>
      </c>
      <c r="O56" s="503">
        <v>0.30099660389939409</v>
      </c>
      <c r="P56" s="493"/>
      <c r="Q56" s="503">
        <v>0.46181923393648039</v>
      </c>
    </row>
    <row r="57" spans="1:17" s="503" customFormat="1">
      <c r="A57" s="314"/>
      <c r="B57" s="481" t="s">
        <v>490</v>
      </c>
      <c r="C57" s="481"/>
      <c r="D57" s="494">
        <v>188900</v>
      </c>
      <c r="E57" s="489">
        <v>16000</v>
      </c>
      <c r="F57" s="489">
        <v>0</v>
      </c>
      <c r="G57" s="489">
        <v>204900</v>
      </c>
      <c r="H57" s="483">
        <f t="shared" si="6"/>
        <v>0</v>
      </c>
      <c r="I57" s="853">
        <v>0</v>
      </c>
      <c r="J57" s="860">
        <f t="shared" si="7"/>
        <v>0</v>
      </c>
      <c r="K57" s="861">
        <f t="shared" si="8"/>
        <v>0</v>
      </c>
      <c r="L57" s="829">
        <f>H57/M57*100</f>
        <v>0</v>
      </c>
      <c r="M57" s="872">
        <v>142800000</v>
      </c>
      <c r="N57" s="870">
        <v>3.3007</v>
      </c>
      <c r="O57" s="871">
        <v>3.8904470308135384</v>
      </c>
      <c r="P57" s="493"/>
      <c r="Q57" s="503">
        <v>0.13228291316526611</v>
      </c>
    </row>
    <row r="58" spans="1:17" s="503" customFormat="1">
      <c r="A58" s="314"/>
      <c r="B58" s="481"/>
      <c r="C58" s="481"/>
      <c r="D58" s="481"/>
      <c r="E58" s="489"/>
      <c r="F58" s="489"/>
      <c r="G58" s="489"/>
      <c r="H58" s="489"/>
      <c r="I58" s="482">
        <f>SUM(I52:I57)</f>
        <v>81423</v>
      </c>
      <c r="J58" s="502">
        <f>SUM(J52:J57)</f>
        <v>0.68940000000000001</v>
      </c>
      <c r="K58" s="502">
        <f>SUM(K52:K57)</f>
        <v>0.72309999999999997</v>
      </c>
      <c r="L58" s="492"/>
      <c r="M58" s="873"/>
      <c r="N58" s="870"/>
      <c r="O58" s="871"/>
      <c r="P58" s="493"/>
    </row>
    <row r="59" spans="1:17" s="503" customFormat="1">
      <c r="A59" s="314"/>
      <c r="B59" s="480" t="s">
        <v>491</v>
      </c>
      <c r="C59" s="481"/>
      <c r="D59" s="481"/>
      <c r="E59" s="482"/>
      <c r="F59" s="482"/>
      <c r="G59" s="482"/>
      <c r="H59" s="482"/>
      <c r="I59" s="489"/>
      <c r="J59" s="498"/>
      <c r="K59" s="498"/>
      <c r="L59" s="492"/>
      <c r="M59" s="870"/>
      <c r="N59" s="870"/>
      <c r="O59" s="493"/>
      <c r="P59" s="493"/>
    </row>
    <row r="60" spans="1:17" s="503" customFormat="1">
      <c r="A60" s="314"/>
      <c r="B60" s="481" t="s">
        <v>375</v>
      </c>
      <c r="C60" s="480"/>
      <c r="D60" s="494">
        <v>157500</v>
      </c>
      <c r="E60" s="482">
        <v>544000</v>
      </c>
      <c r="F60" s="482">
        <v>0</v>
      </c>
      <c r="G60" s="482">
        <v>24000</v>
      </c>
      <c r="H60" s="483">
        <f>D60+E60+F60-G60</f>
        <v>677500</v>
      </c>
      <c r="I60" s="489">
        <v>47323</v>
      </c>
      <c r="J60" s="502">
        <f>ROUND(I60/$P$8*100,4)</f>
        <v>0.40060000000000001</v>
      </c>
      <c r="K60" s="502">
        <f>ROUND(I60/$P$11*100,4)</f>
        <v>0.42030000000000001</v>
      </c>
      <c r="L60" s="829">
        <v>0.92229573361648831</v>
      </c>
      <c r="M60" s="317">
        <v>734580000</v>
      </c>
      <c r="N60" s="870">
        <v>0.73609999999999998</v>
      </c>
      <c r="O60" s="493">
        <v>0.86757844653354754</v>
      </c>
      <c r="P60" s="493"/>
      <c r="Q60" s="503">
        <v>0.21440823327615782</v>
      </c>
    </row>
    <row r="61" spans="1:17" s="503" customFormat="1">
      <c r="A61" s="314"/>
      <c r="B61" s="481"/>
      <c r="C61" s="480"/>
      <c r="D61" s="480"/>
      <c r="E61" s="482"/>
      <c r="F61" s="482"/>
      <c r="G61" s="482"/>
      <c r="H61" s="482"/>
      <c r="I61" s="489"/>
      <c r="J61" s="498"/>
      <c r="K61" s="498"/>
      <c r="L61" s="484"/>
      <c r="M61" s="870"/>
      <c r="N61" s="870"/>
      <c r="O61" s="493"/>
      <c r="P61" s="493"/>
    </row>
    <row r="62" spans="1:17" s="503" customFormat="1">
      <c r="A62" s="314"/>
      <c r="B62" s="480" t="s">
        <v>492</v>
      </c>
      <c r="C62" s="480"/>
      <c r="D62" s="480"/>
      <c r="E62" s="482"/>
      <c r="F62" s="482"/>
      <c r="G62" s="482"/>
      <c r="H62" s="482"/>
      <c r="I62" s="489"/>
      <c r="J62" s="498"/>
      <c r="K62" s="498"/>
      <c r="L62" s="484"/>
      <c r="M62" s="870"/>
      <c r="N62" s="870"/>
      <c r="O62" s="493"/>
      <c r="P62" s="493"/>
    </row>
    <row r="63" spans="1:17" s="503" customFormat="1">
      <c r="A63" s="314"/>
      <c r="B63" s="481" t="s">
        <v>493</v>
      </c>
      <c r="C63" s="481"/>
      <c r="D63" s="494">
        <v>345000</v>
      </c>
      <c r="E63" s="482">
        <v>1008000</v>
      </c>
      <c r="F63" s="482">
        <v>0</v>
      </c>
      <c r="G63" s="482">
        <v>541000</v>
      </c>
      <c r="H63" s="483">
        <f>D63+E63+F63-G63</f>
        <v>812000</v>
      </c>
      <c r="I63" s="489">
        <v>50783</v>
      </c>
      <c r="J63" s="502">
        <f>ROUND(I63/$P$8*100,4)</f>
        <v>0.4299</v>
      </c>
      <c r="K63" s="502">
        <f>ROUND(I63/$P$11*100,4)</f>
        <v>0.45100000000000001</v>
      </c>
      <c r="L63" s="829">
        <v>0.20394574741721044</v>
      </c>
      <c r="M63" s="317">
        <v>3981451000</v>
      </c>
      <c r="N63" s="870">
        <v>2.2808999999999999</v>
      </c>
      <c r="O63" s="871">
        <v>2.6883441984693999</v>
      </c>
      <c r="P63" s="493"/>
      <c r="Q63" s="503">
        <v>8.6651826180957639E-2</v>
      </c>
    </row>
    <row r="64" spans="1:17" s="503" customFormat="1">
      <c r="A64" s="314"/>
      <c r="B64" s="481"/>
      <c r="C64" s="481"/>
      <c r="D64" s="481"/>
      <c r="E64" s="482"/>
      <c r="F64" s="482"/>
      <c r="G64" s="482"/>
      <c r="H64" s="482"/>
      <c r="I64" s="489"/>
      <c r="J64" s="498"/>
      <c r="K64" s="498"/>
      <c r="L64" s="498"/>
      <c r="M64" s="870"/>
      <c r="N64" s="870"/>
      <c r="O64" s="871"/>
      <c r="P64" s="493"/>
    </row>
    <row r="65" spans="1:17" s="503" customFormat="1">
      <c r="A65" s="314"/>
      <c r="B65" s="499" t="s">
        <v>446</v>
      </c>
      <c r="C65" s="480"/>
      <c r="D65" s="480"/>
      <c r="E65" s="482"/>
      <c r="F65" s="482"/>
      <c r="G65" s="482"/>
      <c r="H65" s="500">
        <f>SUM(H17:H64)</f>
        <v>10727898</v>
      </c>
      <c r="I65" s="500">
        <f>I63+I60+I58+I49+I48+I46+I36+I28+I26</f>
        <v>1227010</v>
      </c>
      <c r="J65" s="501">
        <f>J63+J60+J58+J49+J48+J46+J36+J28+J26</f>
        <v>10.387599999999999</v>
      </c>
      <c r="K65" s="501">
        <f>K63+K60+K58+K49+K48+K46+K36+K28+K26</f>
        <v>10.896800000000001</v>
      </c>
      <c r="L65" s="498"/>
      <c r="M65" s="870"/>
      <c r="N65" s="870"/>
      <c r="O65" s="493"/>
      <c r="P65" s="493"/>
    </row>
    <row r="66" spans="1:17" s="503" customFormat="1">
      <c r="A66" s="314"/>
      <c r="B66" s="499"/>
      <c r="C66" s="480"/>
      <c r="D66" s="480"/>
      <c r="E66" s="482"/>
      <c r="F66" s="482"/>
      <c r="G66" s="482"/>
      <c r="H66" s="482"/>
      <c r="I66" s="482"/>
      <c r="J66" s="502"/>
      <c r="K66" s="502"/>
      <c r="L66" s="498"/>
      <c r="M66" s="870"/>
      <c r="N66" s="870"/>
      <c r="O66" s="493"/>
      <c r="P66" s="493"/>
    </row>
    <row r="67" spans="1:17" s="503" customFormat="1">
      <c r="A67" s="314"/>
      <c r="C67" s="480"/>
      <c r="D67" s="480"/>
      <c r="E67" s="482"/>
      <c r="F67" s="482"/>
      <c r="G67" s="482"/>
      <c r="H67" s="482"/>
      <c r="I67" s="489"/>
      <c r="J67" s="498"/>
      <c r="K67" s="498"/>
      <c r="L67" s="498"/>
      <c r="M67" s="870"/>
      <c r="N67" s="870"/>
      <c r="O67" s="493"/>
      <c r="P67" s="493"/>
    </row>
    <row r="68" spans="1:17" s="846" customFormat="1" ht="11.4">
      <c r="A68" s="5" t="e">
        <f>A1+1</f>
        <v>#REF!</v>
      </c>
      <c r="B68" s="504"/>
      <c r="C68" s="504"/>
      <c r="D68" s="504"/>
      <c r="E68" s="505"/>
      <c r="F68" s="505"/>
      <c r="G68" s="505"/>
      <c r="H68" s="505"/>
      <c r="I68" s="505"/>
      <c r="J68" s="506"/>
      <c r="K68" s="506"/>
      <c r="L68" s="506"/>
      <c r="M68" s="52"/>
      <c r="N68" s="52"/>
      <c r="O68" s="874"/>
      <c r="P68" s="17"/>
    </row>
    <row r="69" spans="1:17" s="846" customFormat="1" ht="11.4">
      <c r="A69" s="314"/>
      <c r="B69" s="507"/>
      <c r="C69" s="507"/>
      <c r="D69" s="507"/>
      <c r="E69" s="508"/>
      <c r="F69" s="508"/>
      <c r="G69" s="508"/>
      <c r="H69" s="508"/>
      <c r="I69" s="508"/>
      <c r="J69" s="509"/>
      <c r="K69" s="509"/>
      <c r="L69" s="509"/>
      <c r="M69" s="52"/>
      <c r="N69" s="52"/>
      <c r="O69" s="874"/>
      <c r="P69" s="17"/>
    </row>
    <row r="70" spans="1:17" s="503" customFormat="1">
      <c r="A70" s="314"/>
      <c r="B70" s="2572" t="s">
        <v>116</v>
      </c>
      <c r="C70" s="2573"/>
      <c r="D70" s="2563" t="s">
        <v>633</v>
      </c>
      <c r="E70" s="2563" t="s">
        <v>130</v>
      </c>
      <c r="F70" s="2563" t="s">
        <v>119</v>
      </c>
      <c r="G70" s="2563" t="s">
        <v>120</v>
      </c>
      <c r="H70" s="2563" t="s">
        <v>634</v>
      </c>
      <c r="I70" s="2563" t="s">
        <v>635</v>
      </c>
      <c r="J70" s="2559" t="s">
        <v>308</v>
      </c>
      <c r="K70" s="2560"/>
      <c r="L70" s="2567" t="s">
        <v>708</v>
      </c>
      <c r="N70" s="868"/>
      <c r="O70" s="869" t="s">
        <v>166</v>
      </c>
      <c r="P70" s="870">
        <f>BS!F82</f>
        <v>0</v>
      </c>
      <c r="Q70" s="868"/>
    </row>
    <row r="71" spans="1:17" s="503" customFormat="1">
      <c r="A71" s="314"/>
      <c r="B71" s="2574"/>
      <c r="C71" s="2575"/>
      <c r="D71" s="2564"/>
      <c r="E71" s="2564"/>
      <c r="F71" s="2564"/>
      <c r="G71" s="2564"/>
      <c r="H71" s="2564"/>
      <c r="I71" s="2564"/>
      <c r="J71" s="2561"/>
      <c r="K71" s="2562"/>
      <c r="L71" s="2568"/>
      <c r="N71" s="868"/>
      <c r="O71" s="869"/>
      <c r="P71" s="870"/>
      <c r="Q71" s="868"/>
    </row>
    <row r="72" spans="1:17" s="503" customFormat="1">
      <c r="A72" s="314"/>
      <c r="B72" s="2574"/>
      <c r="C72" s="2575"/>
      <c r="D72" s="2565"/>
      <c r="E72" s="2565"/>
      <c r="F72" s="2565"/>
      <c r="G72" s="2565"/>
      <c r="H72" s="2565"/>
      <c r="I72" s="2565"/>
      <c r="J72" s="2568" t="s">
        <v>121</v>
      </c>
      <c r="K72" s="2568" t="s">
        <v>295</v>
      </c>
      <c r="L72" s="2568"/>
      <c r="N72" s="868"/>
      <c r="O72" s="869"/>
      <c r="P72" s="870"/>
      <c r="Q72" s="868"/>
    </row>
    <row r="73" spans="1:17" s="503" customFormat="1">
      <c r="A73" s="314"/>
      <c r="B73" s="2574"/>
      <c r="C73" s="2575"/>
      <c r="D73" s="2565"/>
      <c r="E73" s="2565"/>
      <c r="F73" s="2565"/>
      <c r="G73" s="2565"/>
      <c r="H73" s="2565"/>
      <c r="I73" s="2565"/>
      <c r="J73" s="2568"/>
      <c r="K73" s="2568"/>
      <c r="L73" s="2568"/>
      <c r="O73" s="503" t="s">
        <v>167</v>
      </c>
      <c r="P73" s="493">
        <f>BS!F67</f>
        <v>0</v>
      </c>
    </row>
    <row r="74" spans="1:17" s="503" customFormat="1">
      <c r="A74" s="314"/>
      <c r="B74" s="2574"/>
      <c r="C74" s="2575"/>
      <c r="D74" s="2565"/>
      <c r="E74" s="2565"/>
      <c r="F74" s="2565"/>
      <c r="G74" s="2565"/>
      <c r="H74" s="2565"/>
      <c r="I74" s="2565"/>
      <c r="J74" s="2568"/>
      <c r="K74" s="2568"/>
      <c r="L74" s="2568"/>
      <c r="P74" s="493"/>
    </row>
    <row r="75" spans="1:17" s="503" customFormat="1">
      <c r="A75" s="314"/>
      <c r="B75" s="2574"/>
      <c r="C75" s="2575"/>
      <c r="D75" s="2565"/>
      <c r="E75" s="2565"/>
      <c r="F75" s="2565"/>
      <c r="G75" s="2565"/>
      <c r="H75" s="2565"/>
      <c r="I75" s="2565"/>
      <c r="J75" s="2568"/>
      <c r="K75" s="2568"/>
      <c r="L75" s="2568"/>
      <c r="P75" s="493"/>
    </row>
    <row r="76" spans="1:17" s="503" customFormat="1">
      <c r="A76" s="314"/>
      <c r="B76" s="2576"/>
      <c r="C76" s="2577"/>
      <c r="D76" s="2566"/>
      <c r="E76" s="2566"/>
      <c r="F76" s="2566"/>
      <c r="G76" s="2566"/>
      <c r="H76" s="2566"/>
      <c r="I76" s="2566"/>
      <c r="J76" s="2569"/>
      <c r="K76" s="2569"/>
      <c r="L76" s="2569"/>
      <c r="P76" s="493"/>
    </row>
    <row r="77" spans="1:17" s="503" customFormat="1" ht="20.399999999999999">
      <c r="A77" s="314"/>
      <c r="B77" s="478"/>
      <c r="C77" s="478"/>
      <c r="D77" s="2556" t="s">
        <v>707</v>
      </c>
      <c r="E77" s="2556"/>
      <c r="F77" s="2556"/>
      <c r="G77" s="2556"/>
      <c r="H77" s="2556"/>
      <c r="I77" s="479" t="s">
        <v>52</v>
      </c>
      <c r="J77" s="2557" t="s">
        <v>2</v>
      </c>
      <c r="K77" s="2558"/>
      <c r="L77" s="2558"/>
      <c r="P77" s="493"/>
    </row>
    <row r="78" spans="1:17" s="503" customFormat="1">
      <c r="A78" s="314"/>
      <c r="B78" s="478"/>
      <c r="C78" s="478"/>
      <c r="D78" s="478"/>
      <c r="F78" s="510"/>
      <c r="G78" s="510"/>
      <c r="H78" s="510"/>
      <c r="I78" s="511"/>
      <c r="J78" s="866"/>
      <c r="K78" s="867"/>
      <c r="L78" s="867"/>
      <c r="P78" s="493"/>
    </row>
    <row r="79" spans="1:17" s="503" customFormat="1">
      <c r="A79" s="314"/>
      <c r="B79" s="499" t="s">
        <v>445</v>
      </c>
      <c r="C79" s="478"/>
      <c r="D79" s="478"/>
      <c r="F79" s="510"/>
      <c r="G79" s="510"/>
      <c r="H79" s="512">
        <f>H65</f>
        <v>10727898</v>
      </c>
      <c r="I79" s="512">
        <f>I65</f>
        <v>1227010</v>
      </c>
      <c r="J79" s="513">
        <f>J65</f>
        <v>10.387599999999999</v>
      </c>
      <c r="K79" s="513">
        <f>K65</f>
        <v>10.896800000000001</v>
      </c>
      <c r="L79" s="867"/>
      <c r="M79" s="503">
        <v>80584</v>
      </c>
      <c r="N79" s="528">
        <f>D82+E82+M79-G82</f>
        <v>345084</v>
      </c>
      <c r="P79" s="493"/>
    </row>
    <row r="80" spans="1:17" s="503" customFormat="1">
      <c r="A80" s="314"/>
      <c r="B80" s="514"/>
      <c r="C80" s="478"/>
      <c r="D80" s="478"/>
      <c r="F80" s="510"/>
      <c r="G80" s="510"/>
      <c r="H80" s="482"/>
      <c r="I80" s="482"/>
      <c r="J80" s="502"/>
      <c r="K80" s="502"/>
      <c r="L80" s="867"/>
      <c r="M80" s="533"/>
      <c r="P80" s="493"/>
    </row>
    <row r="81" spans="1:18" s="503" customFormat="1">
      <c r="A81" s="314"/>
      <c r="B81" s="480" t="s">
        <v>494</v>
      </c>
      <c r="C81" s="481"/>
      <c r="D81" s="481"/>
      <c r="E81" s="482"/>
      <c r="F81" s="482"/>
      <c r="G81" s="482"/>
      <c r="H81" s="482"/>
      <c r="I81" s="489"/>
      <c r="J81" s="498"/>
      <c r="K81" s="498"/>
      <c r="L81" s="498"/>
      <c r="M81" s="522"/>
      <c r="N81" s="870"/>
      <c r="O81" s="493"/>
      <c r="P81" s="493"/>
    </row>
    <row r="82" spans="1:18" s="503" customFormat="1">
      <c r="A82" s="314"/>
      <c r="B82" s="496" t="s">
        <v>552</v>
      </c>
      <c r="C82" s="497"/>
      <c r="D82" s="515">
        <v>448500</v>
      </c>
      <c r="E82" s="489">
        <v>229000</v>
      </c>
      <c r="F82" s="489">
        <v>84825</v>
      </c>
      <c r="G82" s="489">
        <v>413000</v>
      </c>
      <c r="H82" s="483">
        <f>D82+E82+F82-G82</f>
        <v>349325</v>
      </c>
      <c r="I82" s="489">
        <v>24348</v>
      </c>
      <c r="J82" s="484">
        <f>ROUND(I82/$P$8*100,4)</f>
        <v>0.20610000000000001</v>
      </c>
      <c r="K82" s="502">
        <f>ROUND(I82/$P$11*100,4)</f>
        <v>0.2162</v>
      </c>
      <c r="L82" s="829">
        <v>0.27768327135655224</v>
      </c>
      <c r="M82" s="317">
        <v>1257998000</v>
      </c>
      <c r="N82" s="503">
        <v>2.0154999999999998</v>
      </c>
      <c r="O82" s="503">
        <v>2.3755751992360183</v>
      </c>
      <c r="P82" s="493"/>
      <c r="Q82" s="503">
        <v>0.40999679132945915</v>
      </c>
    </row>
    <row r="83" spans="1:18" s="503" customFormat="1">
      <c r="A83" s="314"/>
      <c r="B83" s="488"/>
      <c r="C83" s="488"/>
      <c r="D83" s="488"/>
      <c r="E83" s="489"/>
      <c r="F83" s="489"/>
      <c r="G83" s="489"/>
      <c r="H83" s="489"/>
      <c r="I83" s="489"/>
      <c r="J83" s="484"/>
      <c r="K83" s="484"/>
      <c r="L83" s="492"/>
      <c r="M83" s="533"/>
      <c r="P83" s="493"/>
    </row>
    <row r="84" spans="1:18" s="503" customFormat="1">
      <c r="A84" s="314"/>
      <c r="B84" s="516" t="s">
        <v>495</v>
      </c>
      <c r="C84" s="517"/>
      <c r="D84" s="517"/>
      <c r="E84" s="482"/>
      <c r="F84" s="482"/>
      <c r="G84" s="482"/>
      <c r="H84" s="482"/>
      <c r="I84" s="482"/>
      <c r="J84" s="484"/>
      <c r="K84" s="484"/>
      <c r="L84" s="492"/>
      <c r="M84" s="522"/>
      <c r="N84" s="870"/>
      <c r="O84" s="871"/>
      <c r="P84" s="493"/>
    </row>
    <row r="85" spans="1:18" s="503" customFormat="1">
      <c r="A85" s="314"/>
      <c r="B85" s="518" t="s">
        <v>336</v>
      </c>
      <c r="C85" s="518"/>
      <c r="D85" s="515">
        <v>816000</v>
      </c>
      <c r="E85" s="482">
        <v>77000</v>
      </c>
      <c r="F85" s="482">
        <v>0</v>
      </c>
      <c r="G85" s="482">
        <v>74000</v>
      </c>
      <c r="H85" s="483">
        <f>D85+E85+F85-G85</f>
        <v>819000</v>
      </c>
      <c r="I85" s="486">
        <v>58559</v>
      </c>
      <c r="J85" s="4">
        <f>ROUND(I85/$P$8*100,4)</f>
        <v>0.49569999999999997</v>
      </c>
      <c r="K85" s="856">
        <f>ROUND(I85/$P$11*100,4)</f>
        <v>0.52010000000000001</v>
      </c>
      <c r="L85" s="829">
        <v>0.3335692891430731</v>
      </c>
      <c r="M85" s="872">
        <v>2455262000</v>
      </c>
      <c r="N85" s="870">
        <v>4.2355</v>
      </c>
      <c r="O85" s="870">
        <v>4.9921548757494305</v>
      </c>
      <c r="P85" s="493"/>
      <c r="Q85" s="503">
        <v>0.33234742361507652</v>
      </c>
    </row>
    <row r="86" spans="1:18" s="503" customFormat="1">
      <c r="A86" s="314"/>
      <c r="B86" s="496" t="s">
        <v>576</v>
      </c>
      <c r="C86" s="497"/>
      <c r="D86" s="515">
        <v>60000</v>
      </c>
      <c r="E86" s="482">
        <v>562500</v>
      </c>
      <c r="F86" s="482">
        <v>0</v>
      </c>
      <c r="G86" s="482">
        <v>0</v>
      </c>
      <c r="H86" s="483">
        <f>D86+E86+F86-G86</f>
        <v>622500</v>
      </c>
      <c r="I86" s="487">
        <v>59057</v>
      </c>
      <c r="J86" s="3">
        <f>ROUND(I86/$P$8*100,4)</f>
        <v>0.5</v>
      </c>
      <c r="K86" s="3">
        <f>ROUND(I86/$P$11*100,4)</f>
        <v>0.52449999999999997</v>
      </c>
      <c r="L86" s="829">
        <v>0.17704788227979651</v>
      </c>
      <c r="M86" s="872">
        <v>3515998000</v>
      </c>
      <c r="N86" s="870">
        <v>0.54769999999999996</v>
      </c>
      <c r="O86" s="870">
        <v>0.64550398095320616</v>
      </c>
      <c r="P86" s="493"/>
      <c r="Q86" s="503">
        <v>1.7064856123353879E-2</v>
      </c>
    </row>
    <row r="87" spans="1:18" s="503" customFormat="1">
      <c r="A87" s="314"/>
      <c r="B87" s="496" t="s">
        <v>646</v>
      </c>
      <c r="C87" s="497"/>
      <c r="D87" s="515">
        <v>0</v>
      </c>
      <c r="E87" s="482">
        <v>10150</v>
      </c>
      <c r="F87" s="482">
        <v>0</v>
      </c>
      <c r="G87" s="482">
        <v>0</v>
      </c>
      <c r="H87" s="483">
        <f>D87+E87+F87-G87</f>
        <v>10150</v>
      </c>
      <c r="I87" s="491">
        <v>8628</v>
      </c>
      <c r="J87" s="2">
        <f>ROUND(I87/$P$8*100,4)</f>
        <v>7.2999999999999995E-2</v>
      </c>
      <c r="K87" s="2">
        <f>ROUND(I87/$P$11*100,4)</f>
        <v>7.6600000000000001E-2</v>
      </c>
      <c r="L87" s="829">
        <v>8.4380819366852877E-2</v>
      </c>
      <c r="M87" s="872">
        <v>120288000</v>
      </c>
      <c r="N87" s="870"/>
      <c r="O87" s="870"/>
      <c r="P87" s="493"/>
    </row>
    <row r="88" spans="1:18" s="503" customFormat="1">
      <c r="A88" s="314"/>
      <c r="B88" s="488"/>
      <c r="C88" s="488"/>
      <c r="D88" s="488"/>
      <c r="E88" s="482"/>
      <c r="F88" s="482"/>
      <c r="G88" s="482"/>
      <c r="H88" s="482"/>
      <c r="I88" s="482">
        <f>SUM(I85:I87)</f>
        <v>126244</v>
      </c>
      <c r="J88" s="502">
        <f>SUM(J85:J87)</f>
        <v>1.0687</v>
      </c>
      <c r="K88" s="502">
        <f>SUM(K85:K87)</f>
        <v>1.1212</v>
      </c>
      <c r="L88" s="492"/>
      <c r="M88" s="522"/>
      <c r="N88" s="870"/>
      <c r="O88" s="871"/>
      <c r="P88" s="493"/>
    </row>
    <row r="89" spans="1:18" s="503" customFormat="1">
      <c r="A89" s="314"/>
      <c r="B89" s="519" t="s">
        <v>496</v>
      </c>
      <c r="C89" s="518"/>
      <c r="D89" s="518"/>
      <c r="E89" s="482"/>
      <c r="F89" s="482"/>
      <c r="G89" s="482"/>
      <c r="H89" s="482"/>
      <c r="I89" s="482"/>
      <c r="J89" s="502"/>
      <c r="K89" s="502"/>
      <c r="L89" s="492"/>
      <c r="M89" s="522"/>
      <c r="N89" s="870"/>
      <c r="O89" s="870"/>
      <c r="P89" s="493"/>
    </row>
    <row r="90" spans="1:18" s="503" customFormat="1">
      <c r="A90" s="314"/>
      <c r="B90" s="481" t="s">
        <v>337</v>
      </c>
      <c r="C90" s="480"/>
      <c r="D90" s="515">
        <v>15500</v>
      </c>
      <c r="E90" s="489">
        <v>14450</v>
      </c>
      <c r="F90" s="489">
        <v>0</v>
      </c>
      <c r="G90" s="489">
        <v>2000</v>
      </c>
      <c r="H90" s="483">
        <f>D90+E90+F90-G90</f>
        <v>27950</v>
      </c>
      <c r="I90" s="486">
        <v>30938</v>
      </c>
      <c r="J90" s="857">
        <f>ROUND(I90/$P$8*100,4)</f>
        <v>0.26190000000000002</v>
      </c>
      <c r="K90" s="856">
        <f>ROUND(I90/$P$11*100,4)</f>
        <v>0.27479999999999999</v>
      </c>
      <c r="L90" s="829">
        <v>9.2590138736136335E-2</v>
      </c>
      <c r="M90" s="872">
        <v>301868000</v>
      </c>
      <c r="N90" s="503">
        <v>0.79210000000000003</v>
      </c>
      <c r="O90" s="503">
        <v>0.93359803956654974</v>
      </c>
      <c r="P90" s="493"/>
      <c r="Q90" s="503">
        <v>5.1346946347410126E-2</v>
      </c>
      <c r="R90" s="503">
        <v>3.5</v>
      </c>
    </row>
    <row r="91" spans="1:18" s="503" customFormat="1">
      <c r="A91" s="314"/>
      <c r="B91" s="481" t="s">
        <v>497</v>
      </c>
      <c r="C91" s="481"/>
      <c r="D91" s="515">
        <v>6000</v>
      </c>
      <c r="E91" s="482">
        <v>0</v>
      </c>
      <c r="F91" s="482">
        <v>0</v>
      </c>
      <c r="G91" s="482">
        <v>0</v>
      </c>
      <c r="H91" s="483">
        <f>D91+E91+F91-G91</f>
        <v>6000</v>
      </c>
      <c r="I91" s="487">
        <v>3810</v>
      </c>
      <c r="J91" s="858">
        <f>ROUND(I91/$P$8*100,4)</f>
        <v>3.2300000000000002E-2</v>
      </c>
      <c r="K91" s="3">
        <f>ROUND(I91/$P$11*100,4)</f>
        <v>3.3799999999999997E-2</v>
      </c>
      <c r="L91" s="829">
        <v>6.1286839774750438E-3</v>
      </c>
      <c r="M91" s="872">
        <v>979003000</v>
      </c>
      <c r="N91" s="870">
        <v>0.31990000000000002</v>
      </c>
      <c r="O91" s="871">
        <v>0.37709336733828963</v>
      </c>
      <c r="P91" s="493"/>
      <c r="Q91" s="503">
        <v>6.1286839774750438E-3</v>
      </c>
    </row>
    <row r="92" spans="1:18" s="503" customFormat="1">
      <c r="A92" s="314"/>
      <c r="B92" s="488" t="s">
        <v>498</v>
      </c>
      <c r="C92" s="488"/>
      <c r="D92" s="515">
        <v>37000</v>
      </c>
      <c r="E92" s="482">
        <v>26000</v>
      </c>
      <c r="F92" s="482">
        <f>5640+2820</f>
        <v>8460</v>
      </c>
      <c r="G92" s="482">
        <v>16800</v>
      </c>
      <c r="H92" s="483">
        <f>D92+E92+F92-G92</f>
        <v>54660</v>
      </c>
      <c r="I92" s="491">
        <v>21631</v>
      </c>
      <c r="J92" s="860">
        <f>ROUND(I92/$P$8*100,4)</f>
        <v>0.18310000000000001</v>
      </c>
      <c r="K92" s="2">
        <f>ROUND(I92/$P$11*100,4)</f>
        <v>0.19209999999999999</v>
      </c>
      <c r="L92" s="829">
        <v>5.3063376077212746E-2</v>
      </c>
      <c r="M92" s="317">
        <v>1030089000</v>
      </c>
      <c r="N92" s="870">
        <v>0.94810000000000005</v>
      </c>
      <c r="O92" s="871">
        <v>1.1175299442647715</v>
      </c>
      <c r="P92" s="493"/>
      <c r="Q92" s="503">
        <v>4.3103096782761557E-2</v>
      </c>
    </row>
    <row r="93" spans="1:18" s="503" customFormat="1">
      <c r="A93" s="314"/>
      <c r="B93" s="488"/>
      <c r="C93" s="488"/>
      <c r="D93" s="488"/>
      <c r="E93" s="482"/>
      <c r="F93" s="482"/>
      <c r="G93" s="482"/>
      <c r="H93" s="482"/>
      <c r="I93" s="482">
        <f>SUM(I90:I92)</f>
        <v>56379</v>
      </c>
      <c r="J93" s="502">
        <f>SUM(J90:J92)</f>
        <v>0.47730000000000006</v>
      </c>
      <c r="K93" s="502">
        <f>SUM(K90:K92)</f>
        <v>0.50069999999999992</v>
      </c>
      <c r="L93" s="492"/>
      <c r="M93" s="522"/>
      <c r="N93" s="870"/>
      <c r="O93" s="871"/>
      <c r="P93" s="493"/>
    </row>
    <row r="94" spans="1:18" s="503" customFormat="1">
      <c r="A94" s="314"/>
      <c r="B94" s="495" t="s">
        <v>499</v>
      </c>
      <c r="C94" s="488"/>
      <c r="D94" s="488"/>
      <c r="E94" s="482"/>
      <c r="F94" s="482"/>
      <c r="G94" s="482"/>
      <c r="H94" s="482"/>
      <c r="I94" s="482"/>
      <c r="J94" s="502"/>
      <c r="K94" s="502"/>
      <c r="L94" s="492"/>
      <c r="M94" s="522"/>
      <c r="N94" s="870"/>
      <c r="O94" s="871"/>
      <c r="P94" s="493"/>
    </row>
    <row r="95" spans="1:18" s="503" customFormat="1">
      <c r="A95" s="314"/>
      <c r="B95" s="488" t="s">
        <v>338</v>
      </c>
      <c r="C95" s="488"/>
      <c r="D95" s="494">
        <v>386000</v>
      </c>
      <c r="E95" s="482">
        <v>823500</v>
      </c>
      <c r="F95" s="482">
        <v>0</v>
      </c>
      <c r="G95" s="482">
        <v>177500</v>
      </c>
      <c r="H95" s="483">
        <f>D95+E95+F95-G95</f>
        <v>1032000</v>
      </c>
      <c r="I95" s="482">
        <v>42106</v>
      </c>
      <c r="J95" s="502">
        <f>ROUND(I95/$P$8*100,4)</f>
        <v>0.35649999999999998</v>
      </c>
      <c r="K95" s="502">
        <f>ROUND(I95/$P$11*100,4)</f>
        <v>0.37390000000000001</v>
      </c>
      <c r="L95" s="829">
        <v>0.97635462108074522</v>
      </c>
      <c r="M95" s="872">
        <v>1056992999.9999999</v>
      </c>
      <c r="N95" s="870">
        <v>1.0311999999999999</v>
      </c>
      <c r="O95" s="871">
        <v>1.2153820942808762</v>
      </c>
      <c r="P95" s="493"/>
      <c r="Q95" s="503">
        <v>0.36518690284609268</v>
      </c>
    </row>
    <row r="96" spans="1:18" s="503" customFormat="1">
      <c r="A96" s="314"/>
      <c r="B96" s="488" t="s">
        <v>643</v>
      </c>
      <c r="C96" s="488"/>
      <c r="D96" s="494">
        <v>0</v>
      </c>
      <c r="E96" s="482">
        <v>2152000</v>
      </c>
      <c r="F96" s="482">
        <v>0</v>
      </c>
      <c r="G96" s="482">
        <v>652000</v>
      </c>
      <c r="H96" s="483">
        <f>D96+E96+F96-G96</f>
        <v>1500000</v>
      </c>
      <c r="I96" s="482">
        <v>24735</v>
      </c>
      <c r="J96" s="502">
        <f>ROUND(I96/$P$8*100,4)</f>
        <v>0.2094</v>
      </c>
      <c r="K96" s="502">
        <f>ROUND(I96/$P$11*100,4)</f>
        <v>0.21970000000000001</v>
      </c>
      <c r="L96" s="829">
        <v>3.9745627980922099E-2</v>
      </c>
      <c r="M96" s="872">
        <v>37740000000</v>
      </c>
      <c r="N96" s="870"/>
      <c r="O96" s="871"/>
      <c r="P96" s="493"/>
    </row>
    <row r="97" spans="1:17" s="503" customFormat="1">
      <c r="A97" s="314"/>
      <c r="B97" s="480"/>
      <c r="C97" s="480"/>
      <c r="D97" s="480"/>
      <c r="E97" s="482"/>
      <c r="F97" s="482"/>
      <c r="G97" s="482"/>
      <c r="H97" s="482"/>
      <c r="I97" s="482"/>
      <c r="J97" s="502"/>
      <c r="K97" s="502"/>
      <c r="L97" s="492"/>
      <c r="M97" s="522"/>
      <c r="N97" s="870"/>
      <c r="O97" s="871"/>
      <c r="P97" s="493"/>
    </row>
    <row r="98" spans="1:17" s="503" customFormat="1">
      <c r="A98" s="314"/>
      <c r="B98" s="480" t="s">
        <v>500</v>
      </c>
      <c r="C98" s="481"/>
      <c r="D98" s="481"/>
      <c r="E98" s="482"/>
      <c r="F98" s="482"/>
      <c r="G98" s="482"/>
      <c r="H98" s="482"/>
      <c r="I98" s="482"/>
      <c r="J98" s="502"/>
      <c r="K98" s="502"/>
      <c r="L98" s="492"/>
      <c r="M98" s="522"/>
      <c r="N98" s="870"/>
      <c r="O98" s="871"/>
      <c r="P98" s="493"/>
    </row>
    <row r="99" spans="1:17" s="503" customFormat="1">
      <c r="A99" s="314"/>
      <c r="B99" s="488" t="s">
        <v>126</v>
      </c>
      <c r="C99" s="488"/>
      <c r="D99" s="515">
        <v>644500</v>
      </c>
      <c r="E99" s="482">
        <v>318500</v>
      </c>
      <c r="F99" s="482">
        <v>0</v>
      </c>
      <c r="G99" s="482">
        <v>405000</v>
      </c>
      <c r="H99" s="483">
        <f>D99+E99+F99-G99</f>
        <v>558000</v>
      </c>
      <c r="I99" s="486">
        <v>57250</v>
      </c>
      <c r="J99" s="857">
        <f>ROUND(I99/$P$8*100,4)</f>
        <v>0.48470000000000002</v>
      </c>
      <c r="K99" s="856">
        <f>ROUND(I99/$P$11*100,4)</f>
        <v>0.50839999999999996</v>
      </c>
      <c r="L99" s="829">
        <v>4.8221741195470541E-2</v>
      </c>
      <c r="M99" s="872">
        <v>11571544000</v>
      </c>
      <c r="N99" s="870">
        <v>4.8186999999999998</v>
      </c>
      <c r="O99" s="871">
        <v>5.6795685840916326</v>
      </c>
      <c r="P99" s="493"/>
      <c r="Q99" s="503">
        <v>5.5696975269678789E-2</v>
      </c>
    </row>
    <row r="100" spans="1:17" s="503" customFormat="1">
      <c r="A100" s="314"/>
      <c r="B100" s="488" t="s">
        <v>181</v>
      </c>
      <c r="C100" s="488"/>
      <c r="D100" s="515">
        <v>556000</v>
      </c>
      <c r="E100" s="482">
        <v>75000</v>
      </c>
      <c r="F100" s="482">
        <v>0</v>
      </c>
      <c r="G100" s="482">
        <v>73500</v>
      </c>
      <c r="H100" s="483">
        <f>D100+E100+F100-G100</f>
        <v>557500</v>
      </c>
      <c r="I100" s="487">
        <v>45157</v>
      </c>
      <c r="J100" s="858">
        <f>ROUND(I100/$P$8*100,4)</f>
        <v>0.38229999999999997</v>
      </c>
      <c r="K100" s="3">
        <f>ROUND(I100/$P$11*100,4)</f>
        <v>0.40100000000000002</v>
      </c>
      <c r="L100" s="829">
        <v>6.3334049793854763E-2</v>
      </c>
      <c r="M100" s="872">
        <v>8802532000</v>
      </c>
      <c r="N100" s="870">
        <v>3.8224</v>
      </c>
      <c r="O100" s="871">
        <v>4.5053427838983771</v>
      </c>
      <c r="P100" s="493"/>
      <c r="Q100" s="503">
        <v>6.3163644278714348E-2</v>
      </c>
    </row>
    <row r="101" spans="1:17" s="503" customFormat="1">
      <c r="A101" s="314"/>
      <c r="B101" s="496" t="s">
        <v>709</v>
      </c>
      <c r="C101" s="496"/>
      <c r="D101" s="515">
        <v>500000</v>
      </c>
      <c r="E101" s="482">
        <v>2506500</v>
      </c>
      <c r="F101" s="512">
        <v>0</v>
      </c>
      <c r="G101" s="512">
        <v>0</v>
      </c>
      <c r="H101" s="483">
        <f>D101+E101+F101-G101</f>
        <v>3006500</v>
      </c>
      <c r="I101" s="520">
        <v>22367</v>
      </c>
      <c r="J101" s="862">
        <f>ROUND(I101/$P$8*100,4)</f>
        <v>0.18940000000000001</v>
      </c>
      <c r="K101" s="3">
        <f>ROUND(I101/$P$11*100,4)</f>
        <v>0.1986</v>
      </c>
      <c r="L101" s="829">
        <v>1.0887122502199333E-2</v>
      </c>
      <c r="M101" s="872">
        <v>96653179000</v>
      </c>
      <c r="N101" s="870">
        <v>0.33639999999999998</v>
      </c>
      <c r="O101" s="870">
        <v>0.3964942748487012</v>
      </c>
      <c r="P101" s="493"/>
      <c r="Q101" s="503">
        <v>1.8105974558788179E-3</v>
      </c>
    </row>
    <row r="102" spans="1:17" s="503" customFormat="1">
      <c r="A102" s="314"/>
      <c r="B102" s="490" t="s">
        <v>339</v>
      </c>
      <c r="C102" s="521"/>
      <c r="D102" s="515">
        <v>281500</v>
      </c>
      <c r="E102" s="522">
        <v>0</v>
      </c>
      <c r="F102" s="522">
        <v>0</v>
      </c>
      <c r="G102" s="522">
        <v>281500</v>
      </c>
      <c r="H102" s="483">
        <f>D102+E102+F102-G102</f>
        <v>0</v>
      </c>
      <c r="I102" s="520">
        <v>0</v>
      </c>
      <c r="J102" s="862">
        <f>ROUND(I102/$P$8*100,4)</f>
        <v>0</v>
      </c>
      <c r="K102" s="3">
        <f>ROUND(I102/$P$11*100,4)</f>
        <v>0</v>
      </c>
      <c r="L102" s="829">
        <f>H102/M102*100</f>
        <v>0</v>
      </c>
      <c r="M102" s="872">
        <v>379838700</v>
      </c>
      <c r="N102" s="870">
        <v>0.68610000000000004</v>
      </c>
      <c r="O102" s="870">
        <v>0.80862229070093783</v>
      </c>
      <c r="P102" s="493"/>
      <c r="Q102" s="503">
        <v>7.4110405285190792E-2</v>
      </c>
    </row>
    <row r="103" spans="1:17" s="503" customFormat="1">
      <c r="A103" s="314"/>
      <c r="B103" s="490" t="s">
        <v>501</v>
      </c>
      <c r="C103" s="521"/>
      <c r="D103" s="515">
        <v>0</v>
      </c>
      <c r="E103" s="523">
        <v>956000</v>
      </c>
      <c r="F103" s="523">
        <v>0</v>
      </c>
      <c r="G103" s="493">
        <v>283500</v>
      </c>
      <c r="H103" s="483">
        <f>E103+F103-G103</f>
        <v>672500</v>
      </c>
      <c r="I103" s="524">
        <v>19792</v>
      </c>
      <c r="J103" s="863">
        <f>ROUND(I103/$P$8*100,4)</f>
        <v>0.1676</v>
      </c>
      <c r="K103" s="2">
        <f>ROUND(I103/$P$11*100,4)</f>
        <v>0.17580000000000001</v>
      </c>
      <c r="L103" s="829">
        <v>0.1807399722910169</v>
      </c>
      <c r="M103" s="872">
        <v>3720815000</v>
      </c>
      <c r="N103" s="503">
        <v>0</v>
      </c>
      <c r="O103" s="503">
        <v>0</v>
      </c>
      <c r="P103" s="493"/>
      <c r="Q103" s="503">
        <v>0</v>
      </c>
    </row>
    <row r="104" spans="1:17" s="503" customFormat="1">
      <c r="A104" s="317"/>
      <c r="B104" s="477"/>
      <c r="C104" s="477"/>
      <c r="D104" s="477"/>
      <c r="E104" s="493"/>
      <c r="F104" s="493"/>
      <c r="G104" s="493"/>
      <c r="H104" s="493"/>
      <c r="I104" s="493">
        <f>SUM(I99:I103)</f>
        <v>144566</v>
      </c>
      <c r="J104" s="525">
        <f>SUM(J99:J103)</f>
        <v>1.224</v>
      </c>
      <c r="K104" s="526">
        <f>SUM(K99:K103)</f>
        <v>1.2838000000000001</v>
      </c>
      <c r="L104" s="526"/>
      <c r="M104" s="533"/>
      <c r="P104" s="493"/>
    </row>
    <row r="105" spans="1:17" s="503" customFormat="1">
      <c r="A105" s="317"/>
      <c r="B105" s="527" t="s">
        <v>502</v>
      </c>
      <c r="E105" s="493"/>
      <c r="F105" s="493"/>
      <c r="G105" s="493"/>
      <c r="H105" s="493"/>
      <c r="I105" s="493"/>
      <c r="J105" s="525"/>
      <c r="K105" s="526"/>
      <c r="L105" s="526"/>
      <c r="M105" s="533"/>
      <c r="P105" s="493"/>
    </row>
    <row r="106" spans="1:17" s="503" customFormat="1">
      <c r="A106" s="317"/>
      <c r="B106" s="503" t="s">
        <v>340</v>
      </c>
      <c r="D106" s="528">
        <v>69500</v>
      </c>
      <c r="E106" s="493">
        <v>240000</v>
      </c>
      <c r="F106" s="493">
        <v>0</v>
      </c>
      <c r="G106" s="493">
        <v>0</v>
      </c>
      <c r="H106" s="483">
        <f>D106+E106+F106-G106</f>
        <v>309500</v>
      </c>
      <c r="I106" s="493">
        <v>14159</v>
      </c>
      <c r="J106" s="484">
        <f>ROUND(I106/$P$8*100,4)</f>
        <v>0.11990000000000001</v>
      </c>
      <c r="K106" s="492" t="e">
        <f>I106/'10.2-10.3'!#REF!*100</f>
        <v>#REF!</v>
      </c>
      <c r="L106" s="829">
        <v>3.0865493365714008E-2</v>
      </c>
      <c r="M106" s="872">
        <v>10027379000</v>
      </c>
      <c r="N106" s="503">
        <v>0.22770000000000001</v>
      </c>
      <c r="O106" s="503">
        <v>0.26841061361491647</v>
      </c>
      <c r="P106" s="493"/>
      <c r="Q106" s="503">
        <v>6.9310235506207553E-3</v>
      </c>
    </row>
    <row r="107" spans="1:17" s="503" customFormat="1">
      <c r="A107" s="317"/>
      <c r="E107" s="493"/>
      <c r="F107" s="493"/>
      <c r="G107" s="493"/>
      <c r="H107" s="493"/>
      <c r="I107" s="493"/>
      <c r="J107" s="525"/>
      <c r="K107" s="526"/>
      <c r="L107" s="526"/>
      <c r="M107" s="533"/>
      <c r="P107" s="493"/>
    </row>
    <row r="108" spans="1:17" s="503" customFormat="1">
      <c r="A108" s="317"/>
      <c r="B108" s="527" t="s">
        <v>503</v>
      </c>
      <c r="E108" s="493"/>
      <c r="F108" s="493"/>
      <c r="G108" s="493"/>
      <c r="H108" s="493"/>
      <c r="I108" s="493"/>
      <c r="J108" s="525"/>
      <c r="K108" s="525"/>
      <c r="L108" s="526"/>
      <c r="M108" s="533"/>
      <c r="P108" s="493"/>
    </row>
    <row r="109" spans="1:17" s="503" customFormat="1">
      <c r="A109" s="317"/>
      <c r="B109" s="503" t="s">
        <v>575</v>
      </c>
      <c r="D109" s="528">
        <v>500000</v>
      </c>
      <c r="E109" s="493">
        <v>1300500</v>
      </c>
      <c r="F109" s="493">
        <v>0</v>
      </c>
      <c r="G109" s="493">
        <v>1800500</v>
      </c>
      <c r="H109" s="483">
        <f>D109+E109+F109-G109</f>
        <v>0</v>
      </c>
      <c r="I109" s="493">
        <v>0</v>
      </c>
      <c r="J109" s="484">
        <f>ROUND(I109/$P$8*100,4)</f>
        <v>0</v>
      </c>
      <c r="K109" s="492" t="e">
        <f>I109/'10.2-10.3'!#REF!*100</f>
        <v>#REF!</v>
      </c>
      <c r="L109" s="829">
        <f>H109/M109*100</f>
        <v>0</v>
      </c>
      <c r="M109" s="872">
        <v>634216600</v>
      </c>
      <c r="N109" s="503">
        <v>1.0643</v>
      </c>
      <c r="O109" s="503">
        <v>1.2544664467897149</v>
      </c>
      <c r="P109" s="493"/>
      <c r="Q109" s="503">
        <v>7.8837419266540809E-2</v>
      </c>
    </row>
    <row r="110" spans="1:17" s="503" customFormat="1">
      <c r="A110" s="317"/>
      <c r="E110" s="493"/>
      <c r="F110" s="493"/>
      <c r="G110" s="493"/>
      <c r="H110" s="493"/>
      <c r="I110" s="493"/>
      <c r="J110" s="525"/>
      <c r="K110" s="525"/>
      <c r="L110" s="526"/>
      <c r="M110" s="533"/>
      <c r="P110" s="493"/>
    </row>
    <row r="111" spans="1:17" s="503" customFormat="1">
      <c r="A111" s="317"/>
      <c r="B111" s="527" t="s">
        <v>504</v>
      </c>
      <c r="E111" s="493"/>
      <c r="F111" s="493"/>
      <c r="G111" s="493"/>
      <c r="H111" s="493"/>
      <c r="I111" s="493"/>
      <c r="J111" s="525"/>
      <c r="K111" s="525"/>
      <c r="L111" s="526"/>
      <c r="M111" s="533"/>
      <c r="P111" s="493"/>
    </row>
    <row r="112" spans="1:17" s="503" customFormat="1">
      <c r="A112" s="317"/>
      <c r="B112" s="503" t="s">
        <v>505</v>
      </c>
      <c r="D112" s="528">
        <v>0</v>
      </c>
      <c r="E112" s="493">
        <v>291500</v>
      </c>
      <c r="F112" s="493">
        <v>0</v>
      </c>
      <c r="G112" s="493">
        <v>29000</v>
      </c>
      <c r="H112" s="483">
        <f>D112+E112+F112-G112</f>
        <v>262500</v>
      </c>
      <c r="I112" s="493">
        <v>32646</v>
      </c>
      <c r="J112" s="484">
        <f>ROUND(I112/$P$8*100,4)</f>
        <v>0.27639999999999998</v>
      </c>
      <c r="K112" s="502">
        <f>ROUND(I112/$P$11*100,4)</f>
        <v>0.28989999999999999</v>
      </c>
      <c r="L112" s="829">
        <v>0.33813201704442991</v>
      </c>
      <c r="M112" s="872">
        <v>776324000</v>
      </c>
      <c r="N112" s="503">
        <v>0</v>
      </c>
      <c r="O112" s="503">
        <v>0</v>
      </c>
      <c r="P112" s="493"/>
      <c r="Q112" s="503">
        <v>0</v>
      </c>
    </row>
    <row r="113" spans="1:16" s="503" customFormat="1">
      <c r="A113" s="317"/>
      <c r="J113" s="525"/>
      <c r="K113" s="525"/>
      <c r="L113" s="526"/>
      <c r="M113" s="872"/>
      <c r="N113" s="528">
        <f>SUM(N17:N112)</f>
        <v>345168.84240000002</v>
      </c>
      <c r="O113" s="528">
        <f>SUM(O17:O112)</f>
        <v>99.999999999999972</v>
      </c>
      <c r="P113" s="493"/>
    </row>
    <row r="114" spans="1:16" s="503" customFormat="1">
      <c r="A114" s="317"/>
      <c r="B114" s="527" t="s">
        <v>637</v>
      </c>
      <c r="J114" s="525"/>
      <c r="K114" s="525"/>
      <c r="L114" s="526"/>
      <c r="M114" s="533"/>
      <c r="N114" s="528"/>
      <c r="O114" s="528"/>
      <c r="P114" s="493"/>
    </row>
    <row r="115" spans="1:16" s="503" customFormat="1">
      <c r="A115" s="317"/>
      <c r="B115" s="503" t="s">
        <v>638</v>
      </c>
      <c r="D115" s="493">
        <v>0</v>
      </c>
      <c r="E115" s="493">
        <v>485000</v>
      </c>
      <c r="F115" s="493">
        <v>169750</v>
      </c>
      <c r="G115" s="493">
        <v>0</v>
      </c>
      <c r="H115" s="483">
        <f>D115+E115+F115-G115</f>
        <v>654750</v>
      </c>
      <c r="I115" s="493">
        <v>40712</v>
      </c>
      <c r="J115" s="484">
        <f>ROUND(I115/$P$8*100,4)</f>
        <v>0.34470000000000001</v>
      </c>
      <c r="K115" s="502">
        <f>ROUND(I115/$P$11*100,4)</f>
        <v>0.36159999999999998</v>
      </c>
      <c r="L115" s="829">
        <v>0.52294902751569028</v>
      </c>
      <c r="M115" s="872">
        <v>1235804000</v>
      </c>
      <c r="N115" s="528"/>
      <c r="O115" s="875">
        <f>F115/100*95</f>
        <v>161262.5</v>
      </c>
      <c r="P115" s="493"/>
    </row>
    <row r="116" spans="1:16" s="503" customFormat="1">
      <c r="A116" s="317"/>
      <c r="D116" s="493"/>
      <c r="E116" s="493"/>
      <c r="F116" s="493"/>
      <c r="G116" s="493"/>
      <c r="H116" s="483"/>
      <c r="J116" s="525"/>
      <c r="K116" s="525"/>
      <c r="L116" s="526"/>
      <c r="M116" s="533"/>
      <c r="N116" s="528"/>
      <c r="O116" s="528">
        <f>O115+E115</f>
        <v>646262.5</v>
      </c>
      <c r="P116" s="493"/>
    </row>
    <row r="117" spans="1:16" s="503" customFormat="1">
      <c r="A117" s="317"/>
      <c r="B117" s="527" t="s">
        <v>641</v>
      </c>
      <c r="D117" s="493"/>
      <c r="E117" s="493"/>
      <c r="F117" s="493"/>
      <c r="G117" s="493"/>
      <c r="H117" s="483"/>
      <c r="J117" s="525"/>
      <c r="K117" s="492"/>
      <c r="L117" s="526"/>
      <c r="M117" s="533"/>
      <c r="N117" s="528"/>
      <c r="O117" s="528"/>
      <c r="P117" s="493"/>
    </row>
    <row r="118" spans="1:16" s="503" customFormat="1" ht="11.4">
      <c r="A118" s="317"/>
      <c r="B118" s="503" t="s">
        <v>642</v>
      </c>
      <c r="D118" s="493">
        <v>0</v>
      </c>
      <c r="E118" s="493">
        <v>206800</v>
      </c>
      <c r="F118" s="493">
        <v>0</v>
      </c>
      <c r="G118" s="493">
        <v>2800</v>
      </c>
      <c r="H118" s="483">
        <f>D118+E118+F118-G118</f>
        <v>204000</v>
      </c>
      <c r="I118" s="493">
        <v>18156</v>
      </c>
      <c r="J118" s="484">
        <f>ROUND(I118/$P$8*100,4)</f>
        <v>0.1537</v>
      </c>
      <c r="K118" s="502">
        <f>ROUND(I118/$P$11*100,4)</f>
        <v>0.16120000000000001</v>
      </c>
      <c r="L118" s="829">
        <v>0.15447126153044674</v>
      </c>
      <c r="M118" s="876">
        <v>1320634000</v>
      </c>
      <c r="N118" s="528"/>
      <c r="O118" s="528"/>
      <c r="P118" s="493"/>
    </row>
    <row r="119" spans="1:16" s="503" customFormat="1">
      <c r="A119" s="317"/>
      <c r="D119" s="493"/>
      <c r="E119" s="493"/>
      <c r="F119" s="493"/>
      <c r="G119" s="493"/>
      <c r="H119" s="483"/>
      <c r="J119" s="525"/>
      <c r="K119" s="525"/>
      <c r="L119" s="526"/>
      <c r="M119" s="533"/>
      <c r="N119" s="528"/>
      <c r="O119" s="528"/>
      <c r="P119" s="493"/>
    </row>
    <row r="120" spans="1:16" s="503" customFormat="1">
      <c r="A120" s="317"/>
      <c r="B120" s="527" t="s">
        <v>644</v>
      </c>
      <c r="D120" s="493"/>
      <c r="E120" s="493"/>
      <c r="F120" s="493"/>
      <c r="G120" s="493"/>
      <c r="H120" s="483"/>
      <c r="J120" s="525"/>
      <c r="K120" s="525"/>
      <c r="L120" s="526"/>
      <c r="M120" s="533"/>
      <c r="N120" s="528"/>
      <c r="O120" s="528"/>
      <c r="P120" s="493"/>
    </row>
    <row r="121" spans="1:16" s="503" customFormat="1" ht="11.4">
      <c r="A121" s="317"/>
      <c r="B121" s="503" t="s">
        <v>645</v>
      </c>
      <c r="D121" s="493">
        <v>0</v>
      </c>
      <c r="E121" s="493">
        <v>21000</v>
      </c>
      <c r="F121" s="493">
        <v>0</v>
      </c>
      <c r="G121" s="493">
        <v>0</v>
      </c>
      <c r="H121" s="483">
        <f>D121+E121+F121-G121</f>
        <v>21000</v>
      </c>
      <c r="I121" s="493">
        <v>12846</v>
      </c>
      <c r="J121" s="484">
        <f>ROUND(I121/$P$8*100,4)</f>
        <v>0.10879999999999999</v>
      </c>
      <c r="K121" s="502">
        <f>ROUND(I121/$P$11*100,4)</f>
        <v>0.11409999999999999</v>
      </c>
      <c r="L121" s="829">
        <v>0.26296018031555224</v>
      </c>
      <c r="M121" s="876">
        <v>79860000</v>
      </c>
      <c r="N121" s="528"/>
      <c r="O121" s="528"/>
      <c r="P121" s="493"/>
    </row>
    <row r="122" spans="1:16" s="503" customFormat="1">
      <c r="A122" s="317"/>
      <c r="D122" s="493"/>
      <c r="E122" s="493"/>
      <c r="F122" s="493"/>
      <c r="G122" s="493"/>
      <c r="H122" s="483"/>
      <c r="J122" s="525"/>
      <c r="K122" s="525"/>
      <c r="L122" s="526"/>
      <c r="M122" s="533"/>
      <c r="N122" s="528"/>
      <c r="O122" s="528"/>
      <c r="P122" s="493"/>
    </row>
    <row r="123" spans="1:16" s="503" customFormat="1">
      <c r="A123" s="317"/>
      <c r="J123" s="525"/>
      <c r="K123" s="525"/>
      <c r="L123" s="526"/>
      <c r="M123" s="533"/>
      <c r="N123" s="528"/>
      <c r="O123" s="528"/>
      <c r="P123" s="493"/>
    </row>
    <row r="124" spans="1:16" s="503" customFormat="1" ht="10.8" thickBot="1">
      <c r="A124" s="315"/>
      <c r="B124" s="521" t="s">
        <v>722</v>
      </c>
      <c r="H124" s="529">
        <f>SUM(H79:H122)</f>
        <v>21395733</v>
      </c>
      <c r="I124" s="864">
        <f>I121+I118+I115+I112+I106+I104+I96+I95+I93+I88+I82+I79</f>
        <v>1763907</v>
      </c>
      <c r="J124" s="530">
        <f>J121+J118+J115+J112+J106+J104+J96+J95+J93+J88+J82+J79</f>
        <v>14.9331</v>
      </c>
      <c r="K124" s="530" t="e">
        <f>K121+K118+K115+K112+K106+K104+K96+K95+K93+K88+K82+K79</f>
        <v>#REF!</v>
      </c>
      <c r="L124" s="492"/>
      <c r="P124" s="493"/>
    </row>
    <row r="125" spans="1:16" s="503" customFormat="1" ht="10.8" thickTop="1">
      <c r="A125" s="315"/>
      <c r="B125" s="521"/>
      <c r="H125" s="531"/>
      <c r="I125" s="531"/>
      <c r="J125" s="532"/>
      <c r="K125" s="532"/>
      <c r="L125" s="533"/>
      <c r="N125" s="503">
        <v>1763907</v>
      </c>
      <c r="O125" s="528">
        <f>I124-N125</f>
        <v>0</v>
      </c>
      <c r="P125" s="493"/>
    </row>
    <row r="126" spans="1:16" s="503" customFormat="1" ht="10.8" thickBot="1">
      <c r="A126" s="315"/>
      <c r="B126" s="521" t="s">
        <v>723</v>
      </c>
      <c r="I126" s="534">
        <v>1772797</v>
      </c>
      <c r="J126" s="535"/>
      <c r="N126" s="528"/>
      <c r="P126" s="493"/>
    </row>
    <row r="127" spans="1:16" s="473" customFormat="1" ht="12.6" thickTop="1">
      <c r="A127" s="346"/>
      <c r="B127" s="57"/>
      <c r="C127" s="436"/>
      <c r="D127" s="436"/>
      <c r="E127" s="58"/>
      <c r="F127" s="58"/>
      <c r="G127" s="58"/>
      <c r="H127" s="59"/>
      <c r="I127" s="23"/>
    </row>
    <row r="128" spans="1:16" s="473" customFormat="1" ht="12">
      <c r="A128" s="842">
        <v>5.2</v>
      </c>
      <c r="B128" s="2570" t="s">
        <v>648</v>
      </c>
      <c r="C128" s="2570"/>
      <c r="D128" s="2570"/>
      <c r="E128" s="2570"/>
      <c r="F128" s="2570"/>
      <c r="G128" s="2570"/>
      <c r="H128" s="2570"/>
      <c r="I128" s="2570"/>
      <c r="J128" s="2570"/>
      <c r="K128" s="2570"/>
      <c r="L128" s="2570"/>
    </row>
    <row r="129" spans="1:12" s="473" customFormat="1" ht="11.4">
      <c r="A129" s="346"/>
      <c r="B129" s="2570"/>
      <c r="C129" s="2570"/>
      <c r="D129" s="2570"/>
      <c r="E129" s="2570"/>
      <c r="F129" s="2570"/>
      <c r="G129" s="2570"/>
      <c r="H129" s="2570"/>
      <c r="I129" s="2570"/>
      <c r="J129" s="2570"/>
      <c r="K129" s="2570"/>
      <c r="L129" s="2570"/>
    </row>
    <row r="130" spans="1:12" s="473" customFormat="1" ht="11.4">
      <c r="A130" s="346"/>
      <c r="B130" s="2570"/>
      <c r="C130" s="2570"/>
      <c r="D130" s="2570"/>
      <c r="E130" s="2570"/>
      <c r="F130" s="2570"/>
      <c r="G130" s="2570"/>
      <c r="H130" s="2570"/>
      <c r="I130" s="2570"/>
      <c r="J130" s="2570"/>
      <c r="K130" s="2570"/>
      <c r="L130" s="2570"/>
    </row>
    <row r="131" spans="1:12" s="473" customFormat="1" ht="11.4">
      <c r="A131" s="346"/>
      <c r="B131" s="865"/>
      <c r="C131" s="865"/>
      <c r="D131" s="865"/>
      <c r="E131" s="865"/>
      <c r="F131" s="865"/>
      <c r="G131" s="865"/>
      <c r="H131" s="865"/>
      <c r="I131" s="865"/>
      <c r="J131" s="865"/>
      <c r="K131" s="865"/>
      <c r="L131" s="865"/>
    </row>
  </sheetData>
  <mergeCells count="28">
    <mergeCell ref="B128:L130"/>
    <mergeCell ref="L8:L14"/>
    <mergeCell ref="B5:L6"/>
    <mergeCell ref="K10:K14"/>
    <mergeCell ref="J10:J14"/>
    <mergeCell ref="I8:I14"/>
    <mergeCell ref="B8:C14"/>
    <mergeCell ref="D8:D14"/>
    <mergeCell ref="J8:K9"/>
    <mergeCell ref="B70:C76"/>
    <mergeCell ref="D70:D76"/>
    <mergeCell ref="E70:E76"/>
    <mergeCell ref="F70:F76"/>
    <mergeCell ref="G70:G76"/>
    <mergeCell ref="H70:H76"/>
    <mergeCell ref="I70:I76"/>
    <mergeCell ref="D77:H77"/>
    <mergeCell ref="J77:L77"/>
    <mergeCell ref="J70:K71"/>
    <mergeCell ref="F8:F14"/>
    <mergeCell ref="G8:G14"/>
    <mergeCell ref="H8:H14"/>
    <mergeCell ref="D15:H15"/>
    <mergeCell ref="E8:E14"/>
    <mergeCell ref="J15:L15"/>
    <mergeCell ref="L70:L76"/>
    <mergeCell ref="J72:J76"/>
    <mergeCell ref="K72:K76"/>
  </mergeCells>
  <phoneticPr fontId="39" type="noConversion"/>
  <printOptions horizontalCentered="1"/>
  <pageMargins left="0.75" right="0.5" top="0.5" bottom="0.25" header="0.28999999999999998" footer="0.5"/>
  <pageSetup paperSize="9" fitToWidth="2" fitToHeight="2" orientation="portrait" r:id="rId1"/>
  <headerFooter alignWithMargins="0"/>
  <rowBreaks count="1" manualBreakCount="1">
    <brk id="67" max="11" man="1"/>
  </rowBreaks>
  <cellWatches>
    <cellWatch r="O125"/>
  </cellWatch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sheetPr>
  <dimension ref="A1:Q67"/>
  <sheetViews>
    <sheetView view="pageBreakPreview" zoomScaleSheetLayoutView="100" workbookViewId="0">
      <selection activeCell="G39" sqref="G39"/>
    </sheetView>
  </sheetViews>
  <sheetFormatPr defaultColWidth="10.19921875" defaultRowHeight="11.4"/>
  <cols>
    <col min="1" max="1" width="5.09765625" style="7" customWidth="1"/>
    <col min="2" max="2" width="15.5" style="7" customWidth="1"/>
    <col min="3" max="8" width="8.19921875" style="7" customWidth="1"/>
    <col min="9" max="9" width="9.765625E-2" style="7" hidden="1" customWidth="1"/>
    <col min="10" max="10" width="11.19921875" style="7" customWidth="1"/>
    <col min="11" max="11" width="13" style="7" hidden="1" customWidth="1"/>
    <col min="12" max="12" width="11.19921875" style="7" hidden="1" customWidth="1"/>
    <col min="13" max="13" width="9.19921875" style="7" hidden="1" customWidth="1"/>
    <col min="14" max="15" width="10.19921875" style="7" hidden="1" customWidth="1"/>
    <col min="16" max="17" width="10.19921875" style="7" customWidth="1"/>
    <col min="18" max="16384" width="10.19921875" style="7"/>
  </cols>
  <sheetData>
    <row r="1" spans="1:17">
      <c r="A1" s="327" t="e">
        <f>'5.1-5.3'!A1+1</f>
        <v>#REF!</v>
      </c>
      <c r="B1" s="77"/>
      <c r="C1" s="77"/>
      <c r="D1" s="77"/>
      <c r="E1" s="77"/>
      <c r="F1" s="77"/>
      <c r="G1" s="77"/>
      <c r="H1" s="77"/>
      <c r="I1" s="77"/>
      <c r="J1" s="77"/>
    </row>
    <row r="3" spans="1:17" s="44" customFormat="1" ht="12">
      <c r="A3" s="324">
        <v>5.3</v>
      </c>
      <c r="B3" s="325" t="s">
        <v>37</v>
      </c>
      <c r="N3" s="39"/>
      <c r="O3" s="326"/>
      <c r="P3" s="326"/>
      <c r="Q3" s="326"/>
    </row>
    <row r="4" spans="1:17" s="44" customFormat="1">
      <c r="N4" s="39"/>
      <c r="O4" s="326"/>
      <c r="P4" s="326"/>
      <c r="Q4" s="326"/>
    </row>
    <row r="5" spans="1:17" s="334" customFormat="1" ht="9.6">
      <c r="B5" s="2578" t="s">
        <v>128</v>
      </c>
      <c r="C5" s="2578" t="s">
        <v>129</v>
      </c>
      <c r="D5" s="2582" t="s">
        <v>182</v>
      </c>
      <c r="E5" s="2583"/>
      <c r="F5" s="2583"/>
      <c r="G5" s="2578" t="s">
        <v>7</v>
      </c>
      <c r="H5" s="2585" t="s">
        <v>118</v>
      </c>
      <c r="I5" s="2586"/>
      <c r="J5" s="2587"/>
      <c r="K5" s="335"/>
      <c r="L5" s="335"/>
      <c r="M5" s="336" t="s">
        <v>166</v>
      </c>
      <c r="N5" s="337">
        <v>282721.80248000001</v>
      </c>
    </row>
    <row r="6" spans="1:17" s="334" customFormat="1" ht="9.6">
      <c r="B6" s="2578"/>
      <c r="C6" s="2578"/>
      <c r="D6" s="2578" t="s">
        <v>130</v>
      </c>
      <c r="E6" s="2578" t="s">
        <v>131</v>
      </c>
      <c r="F6" s="2578" t="s">
        <v>168</v>
      </c>
      <c r="G6" s="2578"/>
      <c r="H6" s="2578" t="s">
        <v>121</v>
      </c>
      <c r="I6" s="338"/>
      <c r="J6" s="2578" t="s">
        <v>38</v>
      </c>
      <c r="K6" s="339"/>
      <c r="L6" s="340"/>
      <c r="M6" s="340"/>
      <c r="N6" s="341"/>
    </row>
    <row r="7" spans="1:17" s="334" customFormat="1" ht="9.6">
      <c r="B7" s="2579"/>
      <c r="C7" s="2579"/>
      <c r="D7" s="2579"/>
      <c r="E7" s="2579"/>
      <c r="F7" s="2579"/>
      <c r="G7" s="2579"/>
      <c r="H7" s="2579"/>
      <c r="I7" s="338"/>
      <c r="J7" s="2579"/>
      <c r="K7" s="339"/>
      <c r="L7" s="340"/>
      <c r="M7" s="340"/>
      <c r="N7" s="341"/>
    </row>
    <row r="8" spans="1:17" s="334" customFormat="1" ht="9.6">
      <c r="B8" s="2579"/>
      <c r="C8" s="2579"/>
      <c r="D8" s="2579"/>
      <c r="E8" s="2579"/>
      <c r="F8" s="2579"/>
      <c r="G8" s="2579"/>
      <c r="H8" s="2579"/>
      <c r="I8" s="338"/>
      <c r="J8" s="2579"/>
      <c r="K8" s="339"/>
      <c r="L8" s="340"/>
      <c r="M8" s="340"/>
      <c r="N8" s="341"/>
    </row>
    <row r="9" spans="1:17" s="334" customFormat="1" ht="9.6">
      <c r="B9" s="2579"/>
      <c r="C9" s="2579"/>
      <c r="D9" s="2579"/>
      <c r="E9" s="2579"/>
      <c r="F9" s="2579"/>
      <c r="G9" s="2579"/>
      <c r="H9" s="2579"/>
      <c r="I9" s="338"/>
      <c r="J9" s="2579"/>
      <c r="K9" s="339"/>
      <c r="L9" s="340"/>
      <c r="M9" s="340"/>
      <c r="N9" s="341"/>
    </row>
    <row r="10" spans="1:17" s="334" customFormat="1" ht="9.6">
      <c r="D10" s="2581" t="s">
        <v>39</v>
      </c>
      <c r="E10" s="2581"/>
      <c r="F10" s="2581"/>
      <c r="G10" s="2581"/>
      <c r="H10" s="2584" t="s">
        <v>2</v>
      </c>
      <c r="I10" s="2584"/>
      <c r="J10" s="2584"/>
      <c r="N10" s="341"/>
      <c r="O10" s="340"/>
    </row>
    <row r="11" spans="1:17" s="301" customFormat="1" ht="10.199999999999999">
      <c r="B11" s="300" t="s">
        <v>235</v>
      </c>
      <c r="N11" s="303"/>
      <c r="O11" s="314"/>
    </row>
    <row r="12" spans="1:17" s="301" customFormat="1" ht="10.199999999999999">
      <c r="B12" s="300"/>
      <c r="N12" s="303"/>
      <c r="O12" s="314"/>
    </row>
    <row r="13" spans="1:17" s="301" customFormat="1" ht="10.199999999999999">
      <c r="B13" s="305">
        <v>40447</v>
      </c>
      <c r="C13" s="302" t="s">
        <v>183</v>
      </c>
      <c r="D13" s="303">
        <v>10000</v>
      </c>
      <c r="E13" s="303">
        <v>10000</v>
      </c>
      <c r="F13" s="303">
        <f t="shared" ref="F13:F32" si="0">D13-E13</f>
        <v>0</v>
      </c>
      <c r="G13" s="304">
        <v>0</v>
      </c>
      <c r="H13" s="304">
        <f t="shared" ref="H13:H32" si="1">G13/$N$5*100</f>
        <v>0</v>
      </c>
      <c r="I13" s="304"/>
      <c r="J13" s="304">
        <f>G13/'5.1-5.3'!$P$8*100</f>
        <v>0</v>
      </c>
      <c r="N13" s="303"/>
      <c r="O13" s="314"/>
    </row>
    <row r="14" spans="1:17" s="301" customFormat="1" ht="10.199999999999999">
      <c r="B14" s="305">
        <v>40290</v>
      </c>
      <c r="C14" s="302" t="s">
        <v>184</v>
      </c>
      <c r="D14" s="303">
        <v>65000</v>
      </c>
      <c r="E14" s="303">
        <v>65000</v>
      </c>
      <c r="F14" s="303">
        <f t="shared" si="0"/>
        <v>0</v>
      </c>
      <c r="G14" s="303">
        <v>0</v>
      </c>
      <c r="H14" s="304">
        <f t="shared" si="1"/>
        <v>0</v>
      </c>
      <c r="I14" s="304"/>
      <c r="J14" s="304">
        <f>G14/'5.1-5.3'!$P$8*100</f>
        <v>0</v>
      </c>
      <c r="N14" s="303"/>
      <c r="O14" s="314"/>
    </row>
    <row r="15" spans="1:17" s="301" customFormat="1" ht="10.199999999999999">
      <c r="B15" s="305">
        <v>40403</v>
      </c>
      <c r="C15" s="302" t="s">
        <v>132</v>
      </c>
      <c r="D15" s="303">
        <v>15000</v>
      </c>
      <c r="E15" s="303">
        <v>15000</v>
      </c>
      <c r="F15" s="303">
        <f t="shared" si="0"/>
        <v>0</v>
      </c>
      <c r="G15" s="303">
        <v>0</v>
      </c>
      <c r="H15" s="304">
        <f t="shared" si="1"/>
        <v>0</v>
      </c>
      <c r="I15" s="304"/>
      <c r="J15" s="304">
        <f>G15/'5.1-5.3'!$P$8*100</f>
        <v>0</v>
      </c>
      <c r="N15" s="303"/>
      <c r="O15" s="314"/>
    </row>
    <row r="16" spans="1:17" s="301" customFormat="1" ht="10.199999999999999">
      <c r="B16" s="305">
        <v>40472</v>
      </c>
      <c r="C16" s="302" t="s">
        <v>184</v>
      </c>
      <c r="D16" s="303">
        <v>25000</v>
      </c>
      <c r="E16" s="303">
        <v>25000</v>
      </c>
      <c r="F16" s="303">
        <f t="shared" si="0"/>
        <v>0</v>
      </c>
      <c r="G16" s="303">
        <v>0</v>
      </c>
      <c r="H16" s="304">
        <f t="shared" si="1"/>
        <v>0</v>
      </c>
      <c r="I16" s="304"/>
      <c r="J16" s="304">
        <f>G16/'5.1-5.3'!$P$8*100</f>
        <v>0</v>
      </c>
      <c r="N16" s="303"/>
      <c r="O16" s="314"/>
    </row>
    <row r="17" spans="2:15" s="301" customFormat="1" ht="10.199999999999999">
      <c r="B17" s="305">
        <v>40472</v>
      </c>
      <c r="C17" s="302" t="s">
        <v>132</v>
      </c>
      <c r="D17" s="303">
        <v>5000</v>
      </c>
      <c r="E17" s="303">
        <v>5000</v>
      </c>
      <c r="F17" s="303">
        <f t="shared" si="0"/>
        <v>0</v>
      </c>
      <c r="G17" s="303">
        <v>0</v>
      </c>
      <c r="H17" s="304">
        <f t="shared" si="1"/>
        <v>0</v>
      </c>
      <c r="I17" s="304"/>
      <c r="J17" s="304">
        <f>G17/'5.1-5.3'!$P$8*100</f>
        <v>0</v>
      </c>
      <c r="N17" s="303"/>
      <c r="O17" s="314"/>
    </row>
    <row r="18" spans="2:15" s="301" customFormat="1" ht="10.199999999999999">
      <c r="B18" s="305">
        <v>40393</v>
      </c>
      <c r="C18" s="302" t="s">
        <v>184</v>
      </c>
      <c r="D18" s="303">
        <v>20000</v>
      </c>
      <c r="E18" s="303">
        <v>20000</v>
      </c>
      <c r="F18" s="303">
        <f t="shared" si="0"/>
        <v>0</v>
      </c>
      <c r="G18" s="303"/>
      <c r="H18" s="304">
        <f t="shared" si="1"/>
        <v>0</v>
      </c>
      <c r="I18" s="304"/>
      <c r="J18" s="304"/>
      <c r="N18" s="303"/>
      <c r="O18" s="314"/>
    </row>
    <row r="19" spans="2:15" s="301" customFormat="1" ht="10.199999999999999">
      <c r="B19" s="305">
        <v>40403</v>
      </c>
      <c r="C19" s="302" t="s">
        <v>132</v>
      </c>
      <c r="D19" s="303">
        <f>20000+25000</f>
        <v>45000</v>
      </c>
      <c r="E19" s="303">
        <f>20000+25000</f>
        <v>45000</v>
      </c>
      <c r="F19" s="303">
        <f t="shared" si="0"/>
        <v>0</v>
      </c>
      <c r="G19" s="303">
        <v>0</v>
      </c>
      <c r="H19" s="304">
        <f t="shared" si="1"/>
        <v>0</v>
      </c>
      <c r="I19" s="304"/>
      <c r="J19" s="304">
        <f>G19/'5.1-5.3'!$P$8*100</f>
        <v>0</v>
      </c>
      <c r="N19" s="303"/>
      <c r="O19" s="314"/>
    </row>
    <row r="20" spans="2:15" s="301" customFormat="1" ht="10.199999999999999">
      <c r="B20" s="305">
        <v>40486</v>
      </c>
      <c r="C20" s="302" t="s">
        <v>132</v>
      </c>
      <c r="D20" s="303">
        <f>20000+15000</f>
        <v>35000</v>
      </c>
      <c r="E20" s="303">
        <v>35000</v>
      </c>
      <c r="F20" s="303">
        <f t="shared" si="0"/>
        <v>0</v>
      </c>
      <c r="G20" s="303">
        <v>0</v>
      </c>
      <c r="H20" s="304">
        <f t="shared" si="1"/>
        <v>0</v>
      </c>
      <c r="I20" s="304"/>
      <c r="J20" s="304">
        <f>G20/'5.1-5.3'!$P$8*100</f>
        <v>0</v>
      </c>
      <c r="N20" s="303"/>
      <c r="O20" s="314"/>
    </row>
    <row r="21" spans="2:15" s="301" customFormat="1" ht="10.199999999999999">
      <c r="B21" s="305">
        <v>40486</v>
      </c>
      <c r="C21" s="302" t="s">
        <v>184</v>
      </c>
      <c r="D21" s="303">
        <v>10000</v>
      </c>
      <c r="E21" s="303">
        <v>10000</v>
      </c>
      <c r="F21" s="303">
        <f t="shared" si="0"/>
        <v>0</v>
      </c>
      <c r="G21" s="303">
        <v>0</v>
      </c>
      <c r="H21" s="304">
        <f t="shared" si="1"/>
        <v>0</v>
      </c>
      <c r="I21" s="304"/>
      <c r="J21" s="304">
        <f>G21/'5.1-5.3'!$P$8*100</f>
        <v>0</v>
      </c>
      <c r="N21" s="303"/>
      <c r="O21" s="314"/>
    </row>
    <row r="22" spans="2:15" s="301" customFormat="1" ht="10.199999999999999">
      <c r="B22" s="305">
        <v>40498</v>
      </c>
      <c r="C22" s="302" t="s">
        <v>132</v>
      </c>
      <c r="D22" s="303">
        <v>5000</v>
      </c>
      <c r="E22" s="303">
        <v>5000</v>
      </c>
      <c r="F22" s="303">
        <f t="shared" si="0"/>
        <v>0</v>
      </c>
      <c r="G22" s="303">
        <v>0</v>
      </c>
      <c r="H22" s="304">
        <f t="shared" si="1"/>
        <v>0</v>
      </c>
      <c r="I22" s="304"/>
      <c r="J22" s="304">
        <f>G22/'5.1-5.3'!$P$8*100</f>
        <v>0</v>
      </c>
      <c r="N22" s="303"/>
      <c r="O22" s="314"/>
    </row>
    <row r="23" spans="2:15" s="301" customFormat="1" ht="10.199999999999999">
      <c r="B23" s="305">
        <v>40514</v>
      </c>
      <c r="C23" s="302" t="s">
        <v>132</v>
      </c>
      <c r="D23" s="303">
        <f>20000+50000</f>
        <v>70000</v>
      </c>
      <c r="E23" s="303">
        <f>20000+50000</f>
        <v>70000</v>
      </c>
      <c r="F23" s="303">
        <f t="shared" si="0"/>
        <v>0</v>
      </c>
      <c r="G23" s="303">
        <v>0</v>
      </c>
      <c r="H23" s="304">
        <f t="shared" si="1"/>
        <v>0</v>
      </c>
      <c r="I23" s="304"/>
      <c r="J23" s="304">
        <f>G23/'5.1-5.3'!$P$8*100</f>
        <v>0</v>
      </c>
      <c r="N23" s="303"/>
      <c r="O23" s="314"/>
    </row>
    <row r="24" spans="2:15" s="301" customFormat="1" ht="10.199999999999999">
      <c r="B24" s="305">
        <v>40530</v>
      </c>
      <c r="C24" s="302" t="s">
        <v>132</v>
      </c>
      <c r="D24" s="303">
        <v>70000</v>
      </c>
      <c r="E24" s="303">
        <v>70000</v>
      </c>
      <c r="F24" s="303">
        <f t="shared" si="0"/>
        <v>0</v>
      </c>
      <c r="G24" s="303">
        <v>0</v>
      </c>
      <c r="H24" s="304">
        <f t="shared" si="1"/>
        <v>0</v>
      </c>
      <c r="I24" s="304"/>
      <c r="J24" s="304">
        <f>G24/'5.1-5.3'!$P$8*100</f>
        <v>0</v>
      </c>
      <c r="N24" s="303"/>
      <c r="O24" s="314"/>
    </row>
    <row r="25" spans="2:15" s="301" customFormat="1" ht="10.199999999999999">
      <c r="B25" s="305">
        <v>40556</v>
      </c>
      <c r="C25" s="302" t="s">
        <v>132</v>
      </c>
      <c r="D25" s="303">
        <v>70000</v>
      </c>
      <c r="E25" s="303">
        <v>70000</v>
      </c>
      <c r="F25" s="303">
        <f t="shared" si="0"/>
        <v>0</v>
      </c>
      <c r="G25" s="303">
        <v>0</v>
      </c>
      <c r="H25" s="304">
        <f t="shared" si="1"/>
        <v>0</v>
      </c>
      <c r="I25" s="304"/>
      <c r="J25" s="304">
        <f>G25/'5.1-5.3'!$P$8*100</f>
        <v>0</v>
      </c>
      <c r="N25" s="303"/>
      <c r="O25" s="314"/>
    </row>
    <row r="26" spans="2:15" s="301" customFormat="1" ht="10.199999999999999">
      <c r="B26" s="305">
        <v>40570</v>
      </c>
      <c r="C26" s="302" t="s">
        <v>132</v>
      </c>
      <c r="D26" s="303">
        <v>70000</v>
      </c>
      <c r="E26" s="303">
        <v>70000</v>
      </c>
      <c r="F26" s="303">
        <f t="shared" si="0"/>
        <v>0</v>
      </c>
      <c r="G26" s="303">
        <v>0</v>
      </c>
      <c r="H26" s="304">
        <f t="shared" si="1"/>
        <v>0</v>
      </c>
      <c r="I26" s="304"/>
      <c r="J26" s="304">
        <f>G26/'5.1-5.3'!$P$8*100</f>
        <v>0</v>
      </c>
      <c r="N26" s="303"/>
      <c r="O26" s="314"/>
    </row>
    <row r="27" spans="2:15" s="301" customFormat="1" ht="10.199999999999999">
      <c r="B27" s="305">
        <v>40584</v>
      </c>
      <c r="C27" s="302" t="s">
        <v>132</v>
      </c>
      <c r="D27" s="303">
        <v>35000</v>
      </c>
      <c r="E27" s="303">
        <v>35000</v>
      </c>
      <c r="F27" s="303">
        <f t="shared" si="0"/>
        <v>0</v>
      </c>
      <c r="G27" s="303">
        <v>0</v>
      </c>
      <c r="H27" s="304">
        <f t="shared" si="1"/>
        <v>0</v>
      </c>
      <c r="I27" s="304"/>
      <c r="J27" s="306">
        <f>G27/'5.1-5.3'!$P$8*100</f>
        <v>0</v>
      </c>
      <c r="N27" s="303"/>
      <c r="O27" s="314"/>
    </row>
    <row r="28" spans="2:15" s="301" customFormat="1" ht="10.199999999999999">
      <c r="B28" s="305">
        <v>40570</v>
      </c>
      <c r="C28" s="302" t="s">
        <v>132</v>
      </c>
      <c r="D28" s="303">
        <v>70000</v>
      </c>
      <c r="E28" s="303">
        <v>70000</v>
      </c>
      <c r="F28" s="303">
        <f t="shared" si="0"/>
        <v>0</v>
      </c>
      <c r="G28" s="303">
        <v>0</v>
      </c>
      <c r="H28" s="304">
        <f t="shared" si="1"/>
        <v>0</v>
      </c>
      <c r="I28" s="304"/>
      <c r="J28" s="306">
        <f>G28/'5.1-5.3'!$P$8*100</f>
        <v>0</v>
      </c>
      <c r="L28" s="301">
        <v>198352</v>
      </c>
      <c r="N28" s="303"/>
      <c r="O28" s="314"/>
    </row>
    <row r="29" spans="2:15" s="301" customFormat="1" ht="10.199999999999999">
      <c r="B29" s="305">
        <v>40598</v>
      </c>
      <c r="C29" s="302" t="s">
        <v>132</v>
      </c>
      <c r="D29" s="303">
        <v>45000</v>
      </c>
      <c r="E29" s="303">
        <v>45000</v>
      </c>
      <c r="F29" s="303">
        <f t="shared" si="0"/>
        <v>0</v>
      </c>
      <c r="G29" s="303">
        <v>0</v>
      </c>
      <c r="H29" s="304">
        <f t="shared" si="1"/>
        <v>0</v>
      </c>
      <c r="I29" s="304"/>
      <c r="J29" s="306">
        <f>G29/'5.1-5.3'!$P$8*100</f>
        <v>0</v>
      </c>
      <c r="N29" s="303"/>
      <c r="O29" s="314"/>
    </row>
    <row r="30" spans="2:15" s="301" customFormat="1" ht="10.199999999999999">
      <c r="B30" s="305">
        <v>40654</v>
      </c>
      <c r="C30" s="302" t="s">
        <v>132</v>
      </c>
      <c r="D30" s="303">
        <v>70000</v>
      </c>
      <c r="E30" s="303">
        <v>0</v>
      </c>
      <c r="F30" s="303">
        <f t="shared" si="0"/>
        <v>70000</v>
      </c>
      <c r="G30" s="303">
        <v>69645</v>
      </c>
      <c r="H30" s="304">
        <f t="shared" si="1"/>
        <v>24.633756360168491</v>
      </c>
      <c r="I30" s="304"/>
      <c r="J30" s="306">
        <f>G30/$L$28*100</f>
        <v>35.111821408405255</v>
      </c>
      <c r="N30" s="303"/>
      <c r="O30" s="314"/>
    </row>
    <row r="31" spans="2:15" s="301" customFormat="1" ht="10.199999999999999">
      <c r="B31" s="305">
        <v>40332</v>
      </c>
      <c r="C31" s="302" t="s">
        <v>183</v>
      </c>
      <c r="D31" s="303">
        <v>20000</v>
      </c>
      <c r="E31" s="303">
        <v>20000</v>
      </c>
      <c r="F31" s="303">
        <f t="shared" si="0"/>
        <v>0</v>
      </c>
      <c r="G31" s="303">
        <v>0</v>
      </c>
      <c r="H31" s="304">
        <f t="shared" si="1"/>
        <v>0</v>
      </c>
      <c r="I31" s="304"/>
      <c r="J31" s="306">
        <f>G31/'5.1-5.3'!$P$8*100</f>
        <v>0</v>
      </c>
      <c r="N31" s="303"/>
      <c r="O31" s="314"/>
    </row>
    <row r="32" spans="2:15" s="301" customFormat="1" ht="10.199999999999999">
      <c r="B32" s="305">
        <v>40612</v>
      </c>
      <c r="C32" s="302" t="s">
        <v>132</v>
      </c>
      <c r="D32" s="303">
        <v>25000</v>
      </c>
      <c r="E32" s="303">
        <v>25000</v>
      </c>
      <c r="F32" s="303">
        <f t="shared" si="0"/>
        <v>0</v>
      </c>
      <c r="G32" s="303">
        <v>0</v>
      </c>
      <c r="H32" s="304">
        <f t="shared" si="1"/>
        <v>0</v>
      </c>
      <c r="I32" s="304"/>
      <c r="J32" s="306">
        <f>G32/'5.1-5.3'!$P$8*100</f>
        <v>0</v>
      </c>
      <c r="N32" s="303"/>
      <c r="O32" s="314"/>
    </row>
    <row r="33" spans="1:17" s="301" customFormat="1" ht="10.199999999999999">
      <c r="B33" s="307"/>
      <c r="C33" s="302"/>
      <c r="D33" s="303"/>
      <c r="E33" s="303"/>
      <c r="F33" s="303"/>
      <c r="G33" s="308"/>
      <c r="H33" s="309"/>
      <c r="I33" s="309"/>
      <c r="J33" s="309"/>
      <c r="K33" s="309"/>
      <c r="N33" s="303"/>
    </row>
    <row r="34" spans="1:17" s="301" customFormat="1" ht="10.8" thickBot="1">
      <c r="B34" s="302"/>
      <c r="C34" s="310">
        <f>SUM(C11:C33)</f>
        <v>0</v>
      </c>
      <c r="D34" s="310">
        <f>SUM(D11:D33)</f>
        <v>780000</v>
      </c>
      <c r="E34" s="310">
        <f>SUM(E13:E33)</f>
        <v>710000</v>
      </c>
      <c r="F34" s="310">
        <f>SUM(F13:F33)</f>
        <v>70000</v>
      </c>
      <c r="G34" s="310">
        <f>SUM(G13:G33)</f>
        <v>69645</v>
      </c>
      <c r="H34" s="311">
        <f>SUM(H13:H33)</f>
        <v>24.633756360168491</v>
      </c>
      <c r="I34" s="312"/>
      <c r="J34" s="313">
        <f>SUM(J13:J33)</f>
        <v>35.111821408405255</v>
      </c>
      <c r="K34" s="321"/>
      <c r="N34" s="303"/>
    </row>
    <row r="35" spans="1:17" s="314" customFormat="1" ht="10.8" thickTop="1">
      <c r="N35" s="320"/>
    </row>
    <row r="36" spans="1:17" s="86" customFormat="1" ht="10.8" thickBot="1">
      <c r="A36" s="322"/>
      <c r="B36" s="315" t="s">
        <v>1</v>
      </c>
      <c r="C36" s="316"/>
      <c r="G36" s="333">
        <v>69679</v>
      </c>
      <c r="J36" s="317"/>
      <c r="K36" s="317"/>
      <c r="L36" s="317"/>
      <c r="M36" s="320"/>
      <c r="N36" s="303"/>
    </row>
    <row r="37" spans="1:17" ht="12" thickTop="1"/>
    <row r="38" spans="1:17">
      <c r="A38" s="43"/>
      <c r="B38" s="85"/>
      <c r="C38" s="85"/>
      <c r="D38" s="85"/>
      <c r="E38" s="85"/>
      <c r="F38" s="85"/>
      <c r="G38" s="85"/>
      <c r="H38" s="85"/>
      <c r="I38" s="85"/>
      <c r="J38" s="85"/>
      <c r="K38" s="85"/>
      <c r="L38" s="85"/>
      <c r="N38" s="16"/>
    </row>
    <row r="39" spans="1:17" s="30" customFormat="1" ht="12">
      <c r="A39" s="56"/>
      <c r="B39" s="57"/>
      <c r="C39" s="41"/>
      <c r="D39" s="58"/>
      <c r="E39" s="58"/>
      <c r="F39" s="58"/>
      <c r="G39" s="41"/>
      <c r="H39" s="83" t="s">
        <v>51</v>
      </c>
      <c r="I39" s="64"/>
      <c r="J39" s="323" t="s">
        <v>266</v>
      </c>
      <c r="K39" s="23"/>
    </row>
    <row r="40" spans="1:17" s="47" customFormat="1" ht="12">
      <c r="A40" s="65">
        <v>5.4</v>
      </c>
      <c r="B40" s="46" t="s">
        <v>84</v>
      </c>
      <c r="C40" s="64"/>
      <c r="D40" s="64"/>
      <c r="E40" s="64"/>
      <c r="F40" s="64"/>
      <c r="H40" s="328"/>
      <c r="I40" s="64"/>
      <c r="J40" s="71" t="s">
        <v>52</v>
      </c>
      <c r="K40" s="64"/>
      <c r="L40" s="64"/>
      <c r="O40" s="36"/>
    </row>
    <row r="41" spans="1:17" s="47" customFormat="1" ht="12">
      <c r="A41" s="43"/>
      <c r="B41" s="84" t="s">
        <v>233</v>
      </c>
      <c r="C41" s="64"/>
      <c r="D41" s="64"/>
      <c r="E41" s="64"/>
      <c r="F41" s="64"/>
      <c r="H41" s="83"/>
      <c r="I41" s="64"/>
      <c r="J41" s="71"/>
      <c r="K41" s="64"/>
      <c r="L41" s="64"/>
      <c r="O41" s="36"/>
    </row>
    <row r="42" spans="1:17" s="47" customFormat="1" ht="12">
      <c r="A42" s="43"/>
      <c r="B42" s="66"/>
      <c r="C42" s="64"/>
      <c r="D42" s="64"/>
      <c r="E42" s="64"/>
      <c r="F42" s="64"/>
      <c r="H42" s="83"/>
      <c r="I42" s="64"/>
      <c r="J42" s="71"/>
      <c r="K42" s="64"/>
      <c r="L42" s="64"/>
      <c r="O42" s="36"/>
    </row>
    <row r="43" spans="1:17" s="43" customFormat="1">
      <c r="B43" s="68" t="s">
        <v>159</v>
      </c>
      <c r="J43" s="63">
        <f>'5.1-5.3'!I124</f>
        <v>1763907</v>
      </c>
      <c r="O43" s="67"/>
    </row>
    <row r="44" spans="1:17" s="43" customFormat="1">
      <c r="B44" s="68" t="s">
        <v>133</v>
      </c>
      <c r="J44" s="63">
        <f>-'5.1-5.3'!I126</f>
        <v>-1772797</v>
      </c>
      <c r="O44" s="67"/>
    </row>
    <row r="45" spans="1:17" s="43" customFormat="1" ht="12" thickBot="1">
      <c r="J45" s="69">
        <f>J43+J44</f>
        <v>-8890</v>
      </c>
      <c r="O45" s="80"/>
    </row>
    <row r="46" spans="1:17" s="47" customFormat="1" ht="12.6" thickTop="1">
      <c r="A46" s="48" t="e">
        <f>+'10.2-10.3'!#REF!+1</f>
        <v>#REF!</v>
      </c>
      <c r="B46" s="70" t="s">
        <v>8</v>
      </c>
      <c r="C46" s="64"/>
      <c r="D46" s="64"/>
      <c r="E46" s="64"/>
      <c r="F46" s="64"/>
      <c r="H46" s="37"/>
      <c r="I46" s="64"/>
      <c r="J46" s="79"/>
      <c r="K46" s="64"/>
      <c r="L46" s="64"/>
      <c r="O46" s="36"/>
      <c r="P46" s="37"/>
      <c r="Q46" s="37"/>
    </row>
    <row r="47" spans="1:17" s="47" customFormat="1" ht="12">
      <c r="A47" s="48"/>
      <c r="B47" s="70"/>
      <c r="C47" s="64"/>
      <c r="D47" s="64"/>
      <c r="E47" s="64"/>
      <c r="F47" s="64"/>
      <c r="H47" s="37"/>
      <c r="I47" s="64"/>
      <c r="J47" s="79"/>
      <c r="K47" s="64"/>
      <c r="L47" s="64"/>
      <c r="O47" s="36"/>
      <c r="P47" s="37"/>
      <c r="Q47" s="37"/>
    </row>
    <row r="48" spans="1:17" s="47" customFormat="1" ht="12">
      <c r="A48" s="48"/>
      <c r="B48" s="72" t="s">
        <v>40</v>
      </c>
      <c r="C48" s="64"/>
      <c r="D48" s="64"/>
      <c r="E48" s="64"/>
      <c r="F48" s="64"/>
      <c r="H48" s="37"/>
      <c r="I48" s="64"/>
      <c r="J48" s="39">
        <v>3151</v>
      </c>
      <c r="K48" s="64"/>
      <c r="L48" s="64"/>
      <c r="O48" s="36"/>
      <c r="P48" s="37"/>
      <c r="Q48" s="37"/>
    </row>
    <row r="49" spans="1:17" s="47" customFormat="1">
      <c r="A49" s="49"/>
      <c r="B49" s="72" t="s">
        <v>41</v>
      </c>
      <c r="C49" s="17"/>
      <c r="D49" s="17"/>
      <c r="E49" s="17"/>
      <c r="F49" s="17"/>
      <c r="H49" s="37"/>
      <c r="I49" s="17"/>
      <c r="J49" s="39">
        <v>2297</v>
      </c>
      <c r="K49" s="17"/>
      <c r="L49" s="17"/>
      <c r="O49" s="36"/>
      <c r="P49" s="37"/>
      <c r="Q49" s="37"/>
    </row>
    <row r="50" spans="1:17" s="47" customFormat="1" ht="12" thickBot="1">
      <c r="A50" s="49"/>
      <c r="B50" s="73"/>
      <c r="C50" s="17"/>
      <c r="D50" s="17"/>
      <c r="E50" s="17"/>
      <c r="F50" s="17"/>
      <c r="H50" s="37"/>
      <c r="I50" s="17"/>
      <c r="J50" s="40">
        <f>SUM(J48:J49)</f>
        <v>5448</v>
      </c>
      <c r="K50" s="17"/>
      <c r="L50" s="17"/>
      <c r="O50" s="81"/>
      <c r="P50" s="37"/>
      <c r="Q50" s="37"/>
    </row>
    <row r="51" spans="1:17" s="47" customFormat="1" ht="12.6" thickTop="1">
      <c r="A51" s="51" t="e">
        <f>+'5.4-8'!A46+1</f>
        <v>#REF!</v>
      </c>
      <c r="B51" s="75" t="s">
        <v>236</v>
      </c>
      <c r="C51" s="64"/>
      <c r="D51" s="64"/>
      <c r="E51" s="64"/>
      <c r="F51" s="64"/>
      <c r="H51" s="37"/>
      <c r="I51" s="64"/>
      <c r="J51" s="38"/>
      <c r="K51" s="8"/>
      <c r="L51" s="64"/>
      <c r="O51" s="36"/>
      <c r="Q51" s="50"/>
    </row>
    <row r="52" spans="1:17" s="47" customFormat="1" ht="12">
      <c r="A52" s="51"/>
      <c r="B52" s="75"/>
      <c r="C52" s="64"/>
      <c r="D52" s="64"/>
      <c r="E52" s="64"/>
      <c r="F52" s="64"/>
      <c r="H52" s="37"/>
      <c r="I52" s="64"/>
      <c r="J52" s="38"/>
      <c r="K52" s="64"/>
      <c r="L52" s="64"/>
      <c r="O52" s="36"/>
      <c r="Q52" s="50"/>
    </row>
    <row r="53" spans="1:17" s="47" customFormat="1">
      <c r="A53" s="76"/>
      <c r="B53" s="49" t="s">
        <v>155</v>
      </c>
      <c r="C53" s="64"/>
      <c r="D53" s="64"/>
      <c r="E53" s="64"/>
      <c r="F53" s="64"/>
      <c r="H53" s="37"/>
      <c r="I53" s="64"/>
      <c r="J53" s="39">
        <v>2500</v>
      </c>
      <c r="K53" s="64"/>
      <c r="L53" s="64"/>
      <c r="O53" s="36"/>
    </row>
    <row r="54" spans="1:17" s="47" customFormat="1">
      <c r="A54" s="76"/>
      <c r="B54" s="49" t="s">
        <v>247</v>
      </c>
      <c r="C54" s="64"/>
      <c r="D54" s="64"/>
      <c r="E54" s="64"/>
      <c r="F54" s="64"/>
      <c r="H54" s="37"/>
      <c r="I54" s="64"/>
      <c r="J54" s="39" t="e">
        <f>ROUND(#REF!/1000,0)</f>
        <v>#REF!</v>
      </c>
      <c r="K54" s="64"/>
      <c r="L54" s="64"/>
      <c r="O54" s="36"/>
    </row>
    <row r="55" spans="1:17" s="47" customFormat="1">
      <c r="A55" s="76"/>
      <c r="B55" s="49" t="s">
        <v>267</v>
      </c>
      <c r="C55" s="64"/>
      <c r="D55" s="64"/>
      <c r="E55" s="64"/>
      <c r="F55" s="64"/>
      <c r="H55" s="37"/>
      <c r="I55" s="64"/>
      <c r="J55" s="39">
        <v>217</v>
      </c>
      <c r="K55" s="64"/>
      <c r="L55" s="64"/>
      <c r="O55" s="36"/>
    </row>
    <row r="56" spans="1:17" s="47" customFormat="1">
      <c r="A56" s="76"/>
      <c r="B56" s="49" t="s">
        <v>268</v>
      </c>
      <c r="C56" s="64"/>
      <c r="D56" s="64"/>
      <c r="E56" s="64"/>
      <c r="F56" s="64"/>
      <c r="H56" s="37"/>
      <c r="I56" s="64"/>
      <c r="J56" s="39">
        <v>8111</v>
      </c>
      <c r="K56" s="64"/>
      <c r="L56" s="64"/>
      <c r="O56" s="36"/>
    </row>
    <row r="57" spans="1:17" s="47" customFormat="1" ht="12" thickBot="1">
      <c r="A57" s="49"/>
      <c r="B57" s="37"/>
      <c r="C57" s="37"/>
      <c r="D57" s="37"/>
      <c r="E57" s="37"/>
      <c r="F57" s="37"/>
      <c r="H57" s="37"/>
      <c r="I57" s="37"/>
      <c r="J57" s="40" t="e">
        <f>SUM(J53:J56)</f>
        <v>#REF!</v>
      </c>
      <c r="K57" s="37"/>
      <c r="L57" s="37"/>
      <c r="O57" s="81"/>
    </row>
    <row r="58" spans="1:17" s="30" customFormat="1" ht="12.6" thickTop="1">
      <c r="A58" s="48" t="e">
        <f>'5.4-8'!A51+1</f>
        <v>#REF!</v>
      </c>
      <c r="B58" s="29" t="s">
        <v>134</v>
      </c>
      <c r="C58" s="17"/>
      <c r="D58" s="17"/>
      <c r="E58" s="17"/>
      <c r="F58" s="17"/>
      <c r="I58" s="17"/>
      <c r="K58" s="17"/>
      <c r="L58" s="17"/>
      <c r="O58" s="41"/>
    </row>
    <row r="59" spans="1:17" s="30" customFormat="1">
      <c r="A59" s="49"/>
      <c r="C59" s="17"/>
      <c r="D59" s="17"/>
      <c r="E59" s="17"/>
      <c r="F59" s="17"/>
      <c r="I59" s="17"/>
      <c r="K59" s="17"/>
      <c r="L59" s="17"/>
      <c r="O59" s="41"/>
    </row>
    <row r="60" spans="1:17" s="30" customFormat="1">
      <c r="A60" s="49"/>
      <c r="B60" s="30" t="s">
        <v>135</v>
      </c>
      <c r="C60" s="17"/>
      <c r="D60" s="17"/>
      <c r="E60" s="17"/>
      <c r="F60" s="17"/>
      <c r="H60" s="74" t="e">
        <f>'5.4-8'!A64</f>
        <v>#REF!</v>
      </c>
      <c r="I60" s="17"/>
      <c r="J60" s="52">
        <v>2322</v>
      </c>
      <c r="K60" s="17"/>
      <c r="L60" s="17"/>
      <c r="O60" s="41"/>
    </row>
    <row r="61" spans="1:17" s="30" customFormat="1">
      <c r="A61" s="49"/>
      <c r="B61" s="30" t="s">
        <v>136</v>
      </c>
      <c r="C61" s="17"/>
      <c r="D61" s="17"/>
      <c r="E61" s="17"/>
      <c r="F61" s="17"/>
      <c r="H61" s="17"/>
      <c r="I61" s="17"/>
      <c r="J61" s="52">
        <v>-372</v>
      </c>
      <c r="K61" s="17"/>
      <c r="L61" s="17"/>
      <c r="O61" s="41"/>
    </row>
    <row r="62" spans="1:17" s="30" customFormat="1" ht="12" thickBot="1">
      <c r="A62" s="49"/>
      <c r="B62" s="30" t="s">
        <v>75</v>
      </c>
      <c r="C62" s="17"/>
      <c r="D62" s="17"/>
      <c r="E62" s="17"/>
      <c r="F62" s="17"/>
      <c r="G62" s="17"/>
      <c r="H62" s="17"/>
      <c r="I62" s="17"/>
      <c r="J62" s="53">
        <f>J60+J61</f>
        <v>1950</v>
      </c>
      <c r="K62" s="17"/>
      <c r="L62" s="17"/>
      <c r="O62" s="82"/>
    </row>
    <row r="63" spans="1:17" s="30" customFormat="1" ht="12" thickTop="1">
      <c r="A63" s="49"/>
      <c r="C63" s="17"/>
      <c r="D63" s="17"/>
      <c r="E63" s="17"/>
      <c r="F63" s="17"/>
      <c r="G63" s="17"/>
      <c r="H63" s="17"/>
      <c r="I63" s="17"/>
      <c r="J63" s="62"/>
      <c r="K63" s="17"/>
      <c r="L63" s="17"/>
      <c r="O63" s="33"/>
    </row>
    <row r="64" spans="1:17" s="30" customFormat="1" ht="12">
      <c r="A64" s="54" t="e">
        <f>'5.4-8'!A58+0.1</f>
        <v>#REF!</v>
      </c>
      <c r="B64" s="2580" t="s">
        <v>42</v>
      </c>
      <c r="C64" s="2580"/>
      <c r="D64" s="2580"/>
      <c r="E64" s="2580"/>
      <c r="F64" s="2580"/>
      <c r="G64" s="2580"/>
      <c r="H64" s="2580"/>
      <c r="I64" s="2580"/>
      <c r="J64" s="2580"/>
      <c r="N64" s="45"/>
      <c r="O64" s="45"/>
      <c r="P64" s="45"/>
      <c r="Q64" s="45"/>
    </row>
    <row r="65" spans="1:17" s="30" customFormat="1" ht="12">
      <c r="A65" s="28"/>
      <c r="B65" s="2580"/>
      <c r="C65" s="2580"/>
      <c r="D65" s="2580"/>
      <c r="E65" s="2580"/>
      <c r="F65" s="2580"/>
      <c r="G65" s="2580"/>
      <c r="H65" s="2580"/>
      <c r="I65" s="2580"/>
      <c r="J65" s="2580"/>
      <c r="N65" s="45"/>
      <c r="O65" s="45"/>
      <c r="P65" s="45"/>
      <c r="Q65" s="45"/>
    </row>
    <row r="66" spans="1:17" s="30" customFormat="1" ht="12">
      <c r="A66" s="28"/>
      <c r="B66" s="2580"/>
      <c r="C66" s="2580"/>
      <c r="D66" s="2580"/>
      <c r="E66" s="2580"/>
      <c r="F66" s="2580"/>
      <c r="G66" s="2580"/>
      <c r="H66" s="2580"/>
      <c r="I66" s="2580"/>
      <c r="J66" s="2580"/>
      <c r="N66" s="45"/>
      <c r="O66" s="45"/>
      <c r="P66" s="45"/>
      <c r="Q66" s="45"/>
    </row>
    <row r="67" spans="1:17" ht="10.199999999999999" customHeight="1">
      <c r="N67" s="45"/>
      <c r="O67" s="45"/>
      <c r="P67" s="45"/>
      <c r="Q67" s="45"/>
    </row>
  </sheetData>
  <mergeCells count="13">
    <mergeCell ref="C5:C9"/>
    <mergeCell ref="D6:D9"/>
    <mergeCell ref="E6:E9"/>
    <mergeCell ref="B64:J66"/>
    <mergeCell ref="F6:F9"/>
    <mergeCell ref="G5:G9"/>
    <mergeCell ref="H6:H9"/>
    <mergeCell ref="J6:J9"/>
    <mergeCell ref="B5:B9"/>
    <mergeCell ref="D10:G10"/>
    <mergeCell ref="D5:F5"/>
    <mergeCell ref="H10:J10"/>
    <mergeCell ref="H5:J5"/>
  </mergeCells>
  <phoneticPr fontId="39" type="noConversion"/>
  <printOptions horizontalCentered="1"/>
  <pageMargins left="0.75" right="0.5" top="0.5" bottom="0.25" header="0.28999999999999998" footer="0.5"/>
  <pageSetup paperSize="9" scale="97"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Q178"/>
  <sheetViews>
    <sheetView view="pageBreakPreview" zoomScale="108" zoomScaleSheetLayoutView="108" workbookViewId="0">
      <selection activeCell="A6" sqref="A6"/>
    </sheetView>
  </sheetViews>
  <sheetFormatPr defaultColWidth="10.19921875" defaultRowHeight="11.4"/>
  <cols>
    <col min="1" max="1" width="15.69921875" style="414" customWidth="1"/>
    <col min="2" max="2" width="23.69921875" style="414" customWidth="1"/>
    <col min="3" max="3" width="8.69921875" style="414" customWidth="1"/>
    <col min="4" max="4" width="10" style="414" customWidth="1"/>
    <col min="5" max="5" width="8.19921875" style="414" customWidth="1"/>
    <col min="6" max="6" width="10" style="414" customWidth="1"/>
    <col min="7" max="7" width="11.5" style="414" customWidth="1"/>
    <col min="8" max="8" width="10.5" style="414" customWidth="1"/>
    <col min="9" max="9" width="7.09765625" style="414" customWidth="1"/>
    <col min="10" max="10" width="7.5" style="414" customWidth="1"/>
    <col min="11" max="11" width="4.5" style="414" customWidth="1"/>
    <col min="12" max="12" width="13" style="414" customWidth="1"/>
    <col min="13" max="13" width="11.19921875" style="414" customWidth="1"/>
    <col min="14" max="14" width="9.19921875" style="414" customWidth="1"/>
    <col min="15" max="15" width="10.19921875" style="405" customWidth="1"/>
    <col min="16" max="38" width="10.19921875" style="414" customWidth="1"/>
    <col min="39" max="16384" width="10.19921875" style="414"/>
  </cols>
  <sheetData>
    <row r="1" spans="1:16">
      <c r="A1" s="815" t="s">
        <v>401</v>
      </c>
      <c r="B1" s="2590" t="s">
        <v>663</v>
      </c>
      <c r="C1" s="2591"/>
      <c r="D1" s="2591"/>
      <c r="E1" s="2591"/>
    </row>
    <row r="2" spans="1:16">
      <c r="A2" s="815" t="s">
        <v>402</v>
      </c>
      <c r="B2" s="2592">
        <v>42369</v>
      </c>
      <c r="C2" s="2593"/>
      <c r="D2" s="2593"/>
      <c r="E2" s="2594"/>
    </row>
    <row r="3" spans="1:16">
      <c r="A3" s="815" t="s">
        <v>403</v>
      </c>
      <c r="B3" s="2590" t="s">
        <v>664</v>
      </c>
      <c r="C3" s="2591"/>
      <c r="D3" s="2591"/>
      <c r="E3" s="2591"/>
    </row>
    <row r="4" spans="1:16">
      <c r="A4" s="815" t="s">
        <v>404</v>
      </c>
      <c r="B4" s="2590" t="s">
        <v>660</v>
      </c>
      <c r="C4" s="2591"/>
      <c r="D4" s="2591"/>
      <c r="E4" s="2591"/>
    </row>
    <row r="5" spans="1:16">
      <c r="A5" s="815" t="s">
        <v>406</v>
      </c>
      <c r="B5" s="2590" t="s">
        <v>661</v>
      </c>
      <c r="C5" s="2591"/>
      <c r="D5" s="2591"/>
      <c r="E5" s="2591"/>
    </row>
    <row r="6" spans="1:16">
      <c r="A6" s="815" t="s">
        <v>662</v>
      </c>
      <c r="B6" s="2590" t="s">
        <v>112</v>
      </c>
      <c r="C6" s="2591"/>
      <c r="D6" s="2591"/>
      <c r="E6" s="2591"/>
    </row>
    <row r="7" spans="1:16" s="724" customFormat="1">
      <c r="A7" s="725"/>
      <c r="B7" s="725"/>
      <c r="C7" s="725"/>
      <c r="D7" s="725"/>
      <c r="E7" s="725"/>
      <c r="F7" s="414"/>
      <c r="G7" s="414"/>
      <c r="H7" s="414"/>
      <c r="I7" s="725"/>
      <c r="J7" s="414"/>
      <c r="K7" s="726"/>
    </row>
    <row r="8" spans="1:16" s="724" customFormat="1">
      <c r="A8" s="727" t="s">
        <v>307</v>
      </c>
      <c r="B8" s="727"/>
      <c r="C8" s="727"/>
      <c r="D8" s="728"/>
      <c r="E8" s="728"/>
      <c r="F8" s="728"/>
      <c r="G8" s="728"/>
      <c r="H8" s="729"/>
      <c r="I8" s="730"/>
      <c r="J8" s="730"/>
      <c r="K8" s="728"/>
      <c r="O8" s="538"/>
    </row>
    <row r="9" spans="1:16" s="724" customFormat="1">
      <c r="A9" s="727"/>
      <c r="B9" s="727"/>
      <c r="C9" s="727"/>
      <c r="D9" s="728"/>
      <c r="E9" s="728"/>
      <c r="F9" s="728"/>
      <c r="G9" s="728"/>
      <c r="H9" s="729"/>
      <c r="I9" s="730"/>
      <c r="J9" s="730"/>
      <c r="K9" s="728"/>
      <c r="O9" s="538"/>
    </row>
    <row r="10" spans="1:16" s="724" customFormat="1">
      <c r="A10" s="2616" t="s">
        <v>534</v>
      </c>
      <c r="B10" s="2616"/>
      <c r="C10" s="2616"/>
      <c r="D10" s="2616"/>
      <c r="E10" s="2616"/>
      <c r="F10" s="2616"/>
      <c r="G10" s="2616"/>
      <c r="H10" s="2616"/>
      <c r="I10" s="2616"/>
      <c r="J10" s="2616"/>
      <c r="K10" s="2616"/>
      <c r="O10" s="538"/>
    </row>
    <row r="11" spans="1:16" s="724" customFormat="1">
      <c r="A11" s="2616"/>
      <c r="B11" s="2616"/>
      <c r="C11" s="2616"/>
      <c r="D11" s="2616"/>
      <c r="E11" s="2616"/>
      <c r="F11" s="2616"/>
      <c r="G11" s="2616"/>
      <c r="H11" s="2616"/>
      <c r="I11" s="2616"/>
      <c r="J11" s="2616"/>
      <c r="K11" s="2616"/>
      <c r="O11" s="538"/>
    </row>
    <row r="12" spans="1:16" s="724" customFormat="1">
      <c r="A12" s="414"/>
      <c r="B12" s="414"/>
      <c r="C12" s="414"/>
      <c r="D12" s="728"/>
      <c r="E12" s="728"/>
      <c r="F12" s="728"/>
      <c r="G12" s="728"/>
      <c r="H12" s="731"/>
      <c r="I12" s="730"/>
      <c r="J12" s="730"/>
      <c r="K12" s="728"/>
      <c r="O12" s="538"/>
    </row>
    <row r="13" spans="1:16" s="724" customFormat="1" ht="9.75" customHeight="1">
      <c r="A13" s="2601" t="s">
        <v>116</v>
      </c>
      <c r="B13" s="2602"/>
      <c r="C13" s="2607" t="s">
        <v>117</v>
      </c>
      <c r="D13" s="2608"/>
      <c r="E13" s="2608"/>
      <c r="F13" s="2608"/>
      <c r="G13" s="2609"/>
      <c r="H13" s="2610" t="s">
        <v>635</v>
      </c>
      <c r="I13" s="2613" t="s">
        <v>308</v>
      </c>
      <c r="J13" s="2614"/>
      <c r="K13" s="2615"/>
      <c r="M13" s="747"/>
      <c r="N13" s="748" t="s">
        <v>166</v>
      </c>
      <c r="O13" s="735">
        <v>1898793</v>
      </c>
      <c r="P13" s="747"/>
    </row>
    <row r="14" spans="1:16" s="724" customFormat="1" ht="12.75" customHeight="1">
      <c r="A14" s="2603"/>
      <c r="B14" s="2604"/>
      <c r="C14" s="2617" t="s">
        <v>633</v>
      </c>
      <c r="D14" s="2595" t="s">
        <v>130</v>
      </c>
      <c r="E14" s="2595" t="s">
        <v>119</v>
      </c>
      <c r="F14" s="2595" t="s">
        <v>120</v>
      </c>
      <c r="G14" s="2597" t="s">
        <v>634</v>
      </c>
      <c r="H14" s="2611"/>
      <c r="I14" s="2599" t="s">
        <v>121</v>
      </c>
      <c r="J14" s="2599" t="s">
        <v>295</v>
      </c>
      <c r="K14" s="2599" t="s">
        <v>122</v>
      </c>
      <c r="M14" s="747"/>
      <c r="N14" s="748"/>
      <c r="O14" s="735"/>
      <c r="P14" s="747"/>
    </row>
    <row r="15" spans="1:16" s="724" customFormat="1">
      <c r="A15" s="2603"/>
      <c r="B15" s="2604"/>
      <c r="C15" s="2595"/>
      <c r="D15" s="2595"/>
      <c r="E15" s="2595"/>
      <c r="F15" s="2595"/>
      <c r="G15" s="2597"/>
      <c r="H15" s="2611"/>
      <c r="I15" s="2599"/>
      <c r="J15" s="2599"/>
      <c r="K15" s="2599"/>
      <c r="N15" s="724" t="s">
        <v>167</v>
      </c>
      <c r="O15" s="538">
        <v>946823</v>
      </c>
    </row>
    <row r="16" spans="1:16" s="724" customFormat="1">
      <c r="A16" s="2603"/>
      <c r="B16" s="2604"/>
      <c r="C16" s="2595"/>
      <c r="D16" s="2595"/>
      <c r="E16" s="2595"/>
      <c r="F16" s="2595"/>
      <c r="G16" s="2597"/>
      <c r="H16" s="2611"/>
      <c r="I16" s="2599"/>
      <c r="J16" s="2599"/>
      <c r="K16" s="2599"/>
      <c r="O16" s="538"/>
    </row>
    <row r="17" spans="1:16" s="724" customFormat="1">
      <c r="A17" s="2603"/>
      <c r="B17" s="2604"/>
      <c r="C17" s="2595"/>
      <c r="D17" s="2595"/>
      <c r="E17" s="2595"/>
      <c r="F17" s="2595"/>
      <c r="G17" s="2597"/>
      <c r="H17" s="2611"/>
      <c r="I17" s="2599"/>
      <c r="J17" s="2599"/>
      <c r="K17" s="2599"/>
      <c r="O17" s="538"/>
    </row>
    <row r="18" spans="1:16" s="724" customFormat="1">
      <c r="A18" s="2603"/>
      <c r="B18" s="2604"/>
      <c r="C18" s="2595"/>
      <c r="D18" s="2595"/>
      <c r="E18" s="2595"/>
      <c r="F18" s="2595"/>
      <c r="G18" s="2597"/>
      <c r="H18" s="2611"/>
      <c r="I18" s="2599"/>
      <c r="J18" s="2599"/>
      <c r="K18" s="2599"/>
      <c r="O18" s="538"/>
    </row>
    <row r="19" spans="1:16" s="724" customFormat="1">
      <c r="A19" s="2605"/>
      <c r="B19" s="2606"/>
      <c r="C19" s="2596"/>
      <c r="D19" s="2596"/>
      <c r="E19" s="2596"/>
      <c r="F19" s="2596"/>
      <c r="G19" s="2598"/>
      <c r="H19" s="2612"/>
      <c r="I19" s="2600"/>
      <c r="J19" s="2600"/>
      <c r="K19" s="2600"/>
      <c r="O19" s="538"/>
    </row>
    <row r="20" spans="1:16" s="724" customFormat="1" ht="22.8">
      <c r="A20" s="749"/>
      <c r="B20" s="749"/>
      <c r="C20" s="749"/>
      <c r="D20" s="414"/>
      <c r="E20" s="750"/>
      <c r="F20" s="750"/>
      <c r="G20" s="750"/>
      <c r="H20" s="751" t="s">
        <v>52</v>
      </c>
      <c r="I20" s="2588" t="s">
        <v>2</v>
      </c>
      <c r="J20" s="2589"/>
      <c r="K20" s="2589"/>
      <c r="O20" s="538"/>
    </row>
    <row r="21" spans="1:16" s="724" customFormat="1" ht="12" customHeight="1">
      <c r="A21" s="752" t="s">
        <v>470</v>
      </c>
      <c r="B21" s="737"/>
      <c r="C21" s="737"/>
      <c r="D21" s="414"/>
      <c r="E21" s="738"/>
      <c r="F21" s="738"/>
      <c r="G21" s="753"/>
      <c r="H21" s="738"/>
      <c r="I21" s="754"/>
      <c r="J21" s="754"/>
      <c r="K21" s="754"/>
      <c r="L21" s="735"/>
      <c r="M21" s="735"/>
      <c r="N21" s="736"/>
      <c r="O21" s="538"/>
    </row>
    <row r="22" spans="1:16" s="724" customFormat="1" ht="12" customHeight="1">
      <c r="A22" s="737" t="s">
        <v>471</v>
      </c>
      <c r="B22" s="737"/>
      <c r="C22" s="755">
        <v>69400</v>
      </c>
      <c r="D22" s="738">
        <v>276300</v>
      </c>
      <c r="E22" s="738"/>
      <c r="F22" s="738">
        <v>225300</v>
      </c>
      <c r="G22" s="753">
        <f>C22+D22+E22-F22</f>
        <v>120400</v>
      </c>
      <c r="H22" s="756">
        <v>25510.400000000001</v>
      </c>
      <c r="I22" s="757">
        <f t="shared" ref="I22:I30" si="0">ROUND(H22/$O$13*100,4)</f>
        <v>1.3434999999999999</v>
      </c>
      <c r="J22" s="758" t="e">
        <f>H22/'10.2-10.3'!#REF!*100</f>
        <v>#REF!</v>
      </c>
      <c r="K22" s="759">
        <f>G22/L22*100</f>
        <v>0.14116047037857737</v>
      </c>
      <c r="L22" s="760">
        <v>85293000</v>
      </c>
      <c r="M22" s="735">
        <v>1.2667999999999999</v>
      </c>
      <c r="N22" s="736">
        <v>1.4931164450003107</v>
      </c>
      <c r="O22" s="538"/>
      <c r="P22" s="724">
        <v>8.1366583424196601E-2</v>
      </c>
    </row>
    <row r="23" spans="1:16" s="724" customFormat="1" ht="12" customHeight="1">
      <c r="A23" s="737" t="s">
        <v>472</v>
      </c>
      <c r="B23" s="737"/>
      <c r="C23" s="755">
        <v>59700</v>
      </c>
      <c r="D23" s="738">
        <v>0</v>
      </c>
      <c r="E23" s="738">
        <v>0</v>
      </c>
      <c r="F23" s="738">
        <v>59700</v>
      </c>
      <c r="G23" s="753">
        <f t="shared" ref="G23:G30" si="1">C23+D23+E23-F23</f>
        <v>0</v>
      </c>
      <c r="H23" s="761">
        <v>0</v>
      </c>
      <c r="I23" s="762">
        <f t="shared" si="0"/>
        <v>0</v>
      </c>
      <c r="J23" s="763" t="e">
        <f>H23/'10.2-10.3'!#REF!*100</f>
        <v>#REF!</v>
      </c>
      <c r="K23" s="759">
        <f t="shared" ref="K23:K30" si="2">G23/L23*100</f>
        <v>0</v>
      </c>
      <c r="L23" s="760">
        <v>79966600</v>
      </c>
      <c r="M23" s="735">
        <v>1.107</v>
      </c>
      <c r="N23" s="736">
        <v>1.3047581196565099</v>
      </c>
      <c r="O23" s="538"/>
      <c r="P23" s="724">
        <v>7.4656168950536853E-2</v>
      </c>
    </row>
    <row r="24" spans="1:16" s="724" customFormat="1" ht="12" customHeight="1">
      <c r="A24" s="737" t="s">
        <v>329</v>
      </c>
      <c r="B24" s="737"/>
      <c r="C24" s="755">
        <v>67600</v>
      </c>
      <c r="D24" s="738">
        <v>0</v>
      </c>
      <c r="E24" s="738">
        <v>0</v>
      </c>
      <c r="F24" s="738">
        <v>26100</v>
      </c>
      <c r="G24" s="753">
        <f t="shared" si="1"/>
        <v>41500</v>
      </c>
      <c r="H24" s="761">
        <v>20962.5</v>
      </c>
      <c r="I24" s="762">
        <f t="shared" si="0"/>
        <v>1.1040000000000001</v>
      </c>
      <c r="J24" s="763" t="e">
        <f>H24/'10.2-10.3'!#REF!*100</f>
        <v>#REF!</v>
      </c>
      <c r="K24" s="759">
        <f t="shared" si="2"/>
        <v>5.0033757716049385E-2</v>
      </c>
      <c r="L24" s="760">
        <v>82944000</v>
      </c>
      <c r="M24" s="735">
        <v>3.0638000000000001</v>
      </c>
      <c r="N24" s="736">
        <v>3.6112058134913534</v>
      </c>
      <c r="O24" s="538"/>
      <c r="P24" s="724">
        <v>8.150077160493828E-2</v>
      </c>
    </row>
    <row r="25" spans="1:16" s="724" customFormat="1" ht="12" customHeight="1">
      <c r="A25" s="764" t="s">
        <v>473</v>
      </c>
      <c r="B25" s="764"/>
      <c r="C25" s="755">
        <v>148640</v>
      </c>
      <c r="D25" s="738">
        <v>0</v>
      </c>
      <c r="E25" s="765">
        <v>208</v>
      </c>
      <c r="F25" s="765">
        <v>147600</v>
      </c>
      <c r="G25" s="753">
        <f t="shared" si="1"/>
        <v>1248</v>
      </c>
      <c r="H25" s="761">
        <v>180</v>
      </c>
      <c r="I25" s="762">
        <f t="shared" si="0"/>
        <v>9.4999999999999998E-3</v>
      </c>
      <c r="J25" s="763" t="e">
        <f>H25/'10.2-10.3'!#REF!*100</f>
        <v>#REF!</v>
      </c>
      <c r="K25" s="759">
        <f t="shared" si="2"/>
        <v>1.034146729510968E-3</v>
      </c>
      <c r="L25" s="760">
        <v>120679200</v>
      </c>
      <c r="M25" s="724">
        <v>1.36</v>
      </c>
      <c r="N25" s="724">
        <v>1.6030235278384188</v>
      </c>
      <c r="O25" s="538"/>
      <c r="P25" s="724">
        <v>0.14780343257164449</v>
      </c>
    </row>
    <row r="26" spans="1:16" s="724" customFormat="1" ht="12" customHeight="1">
      <c r="A26" s="766" t="s">
        <v>123</v>
      </c>
      <c r="B26" s="767"/>
      <c r="C26" s="755">
        <v>118200</v>
      </c>
      <c r="D26" s="765">
        <v>239400</v>
      </c>
      <c r="E26" s="738">
        <v>0</v>
      </c>
      <c r="F26" s="738">
        <v>146500</v>
      </c>
      <c r="G26" s="753">
        <f t="shared" si="1"/>
        <v>211100</v>
      </c>
      <c r="H26" s="761">
        <v>56579</v>
      </c>
      <c r="I26" s="762">
        <f t="shared" si="0"/>
        <v>2.9796999999999998</v>
      </c>
      <c r="J26" s="763" t="e">
        <f>H26/'10.2-10.3'!#REF!*100</f>
        <v>#REF!</v>
      </c>
      <c r="K26" s="759">
        <f t="shared" si="2"/>
        <v>8.9242722025619559E-2</v>
      </c>
      <c r="L26" s="760">
        <v>236545900</v>
      </c>
      <c r="M26" s="735">
        <v>3.8140000000000001</v>
      </c>
      <c r="N26" s="736">
        <v>4.4953597926551554</v>
      </c>
      <c r="O26" s="538"/>
      <c r="P26" s="724">
        <v>4.9967259185922597E-2</v>
      </c>
    </row>
    <row r="27" spans="1:16" s="724" customFormat="1" ht="12" customHeight="1">
      <c r="A27" s="764" t="s">
        <v>124</v>
      </c>
      <c r="B27" s="764"/>
      <c r="C27" s="755">
        <v>167400</v>
      </c>
      <c r="D27" s="738">
        <v>649300</v>
      </c>
      <c r="E27" s="738">
        <v>0</v>
      </c>
      <c r="F27" s="738">
        <v>85800</v>
      </c>
      <c r="G27" s="753">
        <f t="shared" si="1"/>
        <v>730900</v>
      </c>
      <c r="H27" s="761">
        <v>89030.900000000009</v>
      </c>
      <c r="I27" s="762">
        <f t="shared" si="0"/>
        <v>4.6887999999999996</v>
      </c>
      <c r="J27" s="763" t="e">
        <f>H27/'10.2-10.3'!#REF!*100</f>
        <v>#REF!</v>
      </c>
      <c r="K27" s="759">
        <f t="shared" si="2"/>
        <v>3.706924061462008E-2</v>
      </c>
      <c r="L27" s="760">
        <v>1971715600</v>
      </c>
      <c r="M27" s="735">
        <v>2.1970999999999998</v>
      </c>
      <c r="N27" s="736">
        <v>2.5896444359892485</v>
      </c>
      <c r="O27" s="538"/>
      <c r="P27" s="724">
        <v>8.490068243107678E-3</v>
      </c>
    </row>
    <row r="28" spans="1:16" s="724" customFormat="1" ht="12" customHeight="1">
      <c r="A28" s="764" t="s">
        <v>169</v>
      </c>
      <c r="B28" s="764"/>
      <c r="C28" s="755">
        <v>150600</v>
      </c>
      <c r="D28" s="738">
        <v>172300</v>
      </c>
      <c r="E28" s="738">
        <v>0</v>
      </c>
      <c r="F28" s="738">
        <v>72000</v>
      </c>
      <c r="G28" s="753">
        <f t="shared" si="1"/>
        <v>250900</v>
      </c>
      <c r="H28" s="761">
        <v>81735.7</v>
      </c>
      <c r="I28" s="762">
        <f t="shared" si="0"/>
        <v>4.3045999999999998</v>
      </c>
      <c r="J28" s="763" t="e">
        <f>H28/'10.2-10.3'!#REF!*100</f>
        <v>#REF!</v>
      </c>
      <c r="K28" s="759">
        <f t="shared" si="2"/>
        <v>9.234929011774258E-2</v>
      </c>
      <c r="L28" s="760">
        <v>271685900</v>
      </c>
      <c r="M28" s="735">
        <v>4.6424000000000003</v>
      </c>
      <c r="N28" s="736">
        <v>5.47180935123742</v>
      </c>
      <c r="O28" s="538"/>
      <c r="P28" s="724">
        <v>6.0106174078227839E-2</v>
      </c>
    </row>
    <row r="29" spans="1:16" s="724" customFormat="1" ht="12" customHeight="1">
      <c r="A29" s="764" t="s">
        <v>330</v>
      </c>
      <c r="B29" s="764"/>
      <c r="C29" s="755">
        <v>139200</v>
      </c>
      <c r="D29" s="738">
        <v>76300</v>
      </c>
      <c r="E29" s="738">
        <v>0</v>
      </c>
      <c r="F29" s="738">
        <v>47900</v>
      </c>
      <c r="G29" s="753">
        <f t="shared" si="1"/>
        <v>167600</v>
      </c>
      <c r="H29" s="761">
        <v>38253</v>
      </c>
      <c r="I29" s="762">
        <f t="shared" si="0"/>
        <v>2.0146000000000002</v>
      </c>
      <c r="J29" s="763" t="e">
        <f>H29/'10.2-10.3'!#REF!*100</f>
        <v>#REF!</v>
      </c>
      <c r="K29" s="759">
        <f t="shared" si="2"/>
        <v>0.15661746641718763</v>
      </c>
      <c r="L29" s="768">
        <v>107012330</v>
      </c>
      <c r="M29" s="735">
        <v>2.8136000000000001</v>
      </c>
      <c r="N29" s="736">
        <v>3.3162366760029607</v>
      </c>
      <c r="O29" s="538"/>
      <c r="P29" s="724">
        <v>0.13007850499428569</v>
      </c>
    </row>
    <row r="30" spans="1:16" s="724" customFormat="1" ht="12" customHeight="1">
      <c r="A30" s="764" t="s">
        <v>527</v>
      </c>
      <c r="B30" s="764"/>
      <c r="C30" s="755">
        <v>4000</v>
      </c>
      <c r="D30" s="738">
        <v>159800</v>
      </c>
      <c r="E30" s="738">
        <v>0</v>
      </c>
      <c r="F30" s="738">
        <v>0</v>
      </c>
      <c r="G30" s="753">
        <f t="shared" si="1"/>
        <v>163800</v>
      </c>
      <c r="H30" s="769">
        <v>114191.5</v>
      </c>
      <c r="I30" s="770">
        <f t="shared" si="0"/>
        <v>6.0138999999999996</v>
      </c>
      <c r="J30" s="771" t="e">
        <f>H30/'10.2-10.3'!#REF!*100</f>
        <v>#REF!</v>
      </c>
      <c r="K30" s="759">
        <f t="shared" si="2"/>
        <v>0.14857142857142858</v>
      </c>
      <c r="L30" s="768">
        <v>110250000</v>
      </c>
      <c r="M30" s="735">
        <v>0.2198</v>
      </c>
      <c r="N30" s="736">
        <v>0.2590868765103983</v>
      </c>
      <c r="O30" s="538"/>
      <c r="P30" s="724">
        <v>8.3174603174603179E-2</v>
      </c>
    </row>
    <row r="31" spans="1:16" s="724" customFormat="1" ht="12" customHeight="1">
      <c r="A31" s="749"/>
      <c r="B31" s="749"/>
      <c r="C31" s="749"/>
      <c r="D31" s="738"/>
      <c r="E31" s="738"/>
      <c r="F31" s="738"/>
      <c r="G31" s="738"/>
      <c r="H31" s="738">
        <f>SUM(H22:H30)</f>
        <v>426443</v>
      </c>
      <c r="I31" s="772">
        <f>SUM(I22:I30)</f>
        <v>22.458600000000001</v>
      </c>
      <c r="J31" s="772" t="e">
        <f>SUM(J22:J30)</f>
        <v>#REF!</v>
      </c>
      <c r="K31" s="772"/>
      <c r="L31" s="735"/>
      <c r="M31" s="735"/>
      <c r="N31" s="735"/>
      <c r="O31" s="538"/>
    </row>
    <row r="32" spans="1:16" s="724" customFormat="1" ht="12" customHeight="1">
      <c r="A32" s="752" t="s">
        <v>474</v>
      </c>
      <c r="B32" s="752"/>
      <c r="C32" s="752"/>
      <c r="D32" s="405"/>
      <c r="E32" s="405"/>
      <c r="F32" s="405"/>
      <c r="G32" s="405"/>
      <c r="H32" s="405"/>
      <c r="I32" s="754"/>
      <c r="J32" s="754"/>
      <c r="K32" s="772"/>
      <c r="L32" s="735"/>
      <c r="M32" s="735"/>
      <c r="N32" s="735"/>
      <c r="O32" s="538"/>
    </row>
    <row r="33" spans="1:16" s="724" customFormat="1" ht="12" customHeight="1">
      <c r="A33" s="764" t="s">
        <v>475</v>
      </c>
      <c r="B33" s="764"/>
      <c r="C33" s="773">
        <v>408000</v>
      </c>
      <c r="D33" s="738">
        <v>0</v>
      </c>
      <c r="E33" s="738">
        <v>121500</v>
      </c>
      <c r="F33" s="738">
        <v>60000</v>
      </c>
      <c r="G33" s="753">
        <f>C33+D33+E33-F33</f>
        <v>469500</v>
      </c>
      <c r="H33" s="738">
        <v>14775</v>
      </c>
      <c r="I33" s="754">
        <f>ROUND(H33/$O$13*100,4)</f>
        <v>0.77810000000000001</v>
      </c>
      <c r="J33" s="772" t="e">
        <f>H33/'10.2-10.3'!#REF!*100</f>
        <v>#REF!</v>
      </c>
      <c r="K33" s="759">
        <f>G33/L33*100</f>
        <v>0.93900000000000006</v>
      </c>
      <c r="L33" s="407">
        <v>50000000</v>
      </c>
      <c r="M33" s="735">
        <v>1.5254000000000001</v>
      </c>
      <c r="N33" s="736">
        <v>1.7978802154065807</v>
      </c>
      <c r="O33" s="538"/>
      <c r="P33" s="724">
        <v>0.81600000000000006</v>
      </c>
    </row>
    <row r="34" spans="1:16" s="724" customFormat="1" ht="12" customHeight="1">
      <c r="A34" s="764"/>
      <c r="B34" s="764"/>
      <c r="C34" s="764"/>
      <c r="D34" s="738"/>
      <c r="E34" s="738"/>
      <c r="F34" s="738"/>
      <c r="G34" s="738"/>
      <c r="H34" s="738"/>
      <c r="I34" s="754"/>
      <c r="J34" s="754"/>
      <c r="K34" s="772"/>
      <c r="L34" s="735"/>
      <c r="M34" s="735"/>
      <c r="N34" s="736"/>
      <c r="O34" s="538"/>
    </row>
    <row r="35" spans="1:16" s="724" customFormat="1" ht="12" customHeight="1">
      <c r="A35" s="752" t="s">
        <v>476</v>
      </c>
      <c r="B35" s="737"/>
      <c r="C35" s="737"/>
      <c r="D35" s="738"/>
      <c r="E35" s="738"/>
      <c r="F35" s="738"/>
      <c r="G35" s="738"/>
      <c r="H35" s="738"/>
      <c r="I35" s="754"/>
      <c r="J35" s="754"/>
      <c r="K35" s="772"/>
      <c r="L35" s="735"/>
      <c r="M35" s="735"/>
      <c r="N35" s="736"/>
      <c r="O35" s="538"/>
    </row>
    <row r="36" spans="1:16" s="724" customFormat="1" ht="12" customHeight="1">
      <c r="A36" s="737" t="s">
        <v>477</v>
      </c>
      <c r="B36" s="737"/>
      <c r="C36" s="773">
        <v>291500</v>
      </c>
      <c r="D36" s="738">
        <v>1287000</v>
      </c>
      <c r="E36" s="738">
        <v>0</v>
      </c>
      <c r="F36" s="738">
        <v>448000</v>
      </c>
      <c r="G36" s="753">
        <f>C36+D36+E36-F36</f>
        <v>1130500</v>
      </c>
      <c r="H36" s="756">
        <v>95109</v>
      </c>
      <c r="I36" s="757">
        <v>2.0699999999999998</v>
      </c>
      <c r="J36" s="758">
        <v>2.4300000000000002</v>
      </c>
      <c r="K36" s="759">
        <f>G36/L36*100</f>
        <v>8.4940459164995596E-2</v>
      </c>
      <c r="L36" s="760">
        <v>1330932292</v>
      </c>
      <c r="M36" s="735">
        <v>2.0657999999999999</v>
      </c>
      <c r="N36" s="736">
        <v>2.4348138925566443</v>
      </c>
      <c r="O36" s="538"/>
      <c r="P36" s="724">
        <v>2.190194046684418E-2</v>
      </c>
    </row>
    <row r="37" spans="1:16" s="724" customFormat="1" ht="12" customHeight="1">
      <c r="A37" s="764" t="s">
        <v>332</v>
      </c>
      <c r="B37" s="764"/>
      <c r="C37" s="773">
        <v>342500</v>
      </c>
      <c r="D37" s="738">
        <v>283600</v>
      </c>
      <c r="E37" s="738">
        <v>0</v>
      </c>
      <c r="F37" s="738">
        <v>214400</v>
      </c>
      <c r="G37" s="753">
        <f>C37+D37+E37-F37</f>
        <v>411700</v>
      </c>
      <c r="H37" s="761">
        <v>115024.90000000001</v>
      </c>
      <c r="I37" s="762">
        <v>8.1199999999999992</v>
      </c>
      <c r="J37" s="763">
        <v>9.57</v>
      </c>
      <c r="K37" s="759">
        <f>G37/L37*100</f>
        <v>7.8600997700009181E-2</v>
      </c>
      <c r="L37" s="760">
        <v>523784700</v>
      </c>
      <c r="M37" s="735">
        <v>8.1225000000000005</v>
      </c>
      <c r="N37" s="736">
        <v>9.5736886022493746</v>
      </c>
      <c r="O37" s="538"/>
      <c r="P37" s="724">
        <v>6.5389462502436602E-2</v>
      </c>
    </row>
    <row r="38" spans="1:16" s="724" customFormat="1" ht="12" customHeight="1">
      <c r="A38" s="764" t="s">
        <v>333</v>
      </c>
      <c r="B38" s="764"/>
      <c r="C38" s="773">
        <v>348000</v>
      </c>
      <c r="D38" s="738">
        <v>400000</v>
      </c>
      <c r="E38" s="738">
        <v>0</v>
      </c>
      <c r="F38" s="738">
        <v>0</v>
      </c>
      <c r="G38" s="753">
        <f>C38+D38+E38-F38</f>
        <v>748000</v>
      </c>
      <c r="H38" s="761">
        <v>33458</v>
      </c>
      <c r="I38" s="762">
        <v>1.0900000000000001</v>
      </c>
      <c r="J38" s="763">
        <v>1.28</v>
      </c>
      <c r="K38" s="759">
        <f>G38/L38*100</f>
        <v>3.561904761904762E-2</v>
      </c>
      <c r="L38" s="768">
        <v>2100000000</v>
      </c>
      <c r="M38" s="735">
        <v>1.0864</v>
      </c>
      <c r="N38" s="736">
        <v>1.2804598956871593</v>
      </c>
      <c r="O38" s="538"/>
      <c r="P38" s="724">
        <v>1.657142857142857E-2</v>
      </c>
    </row>
    <row r="39" spans="1:16" s="724" customFormat="1" ht="12" customHeight="1">
      <c r="A39" s="764" t="s">
        <v>478</v>
      </c>
      <c r="B39" s="764"/>
      <c r="C39" s="773">
        <v>71500</v>
      </c>
      <c r="D39" s="738">
        <v>0</v>
      </c>
      <c r="E39" s="738">
        <v>0</v>
      </c>
      <c r="F39" s="738">
        <v>37200</v>
      </c>
      <c r="G39" s="753">
        <f>C39+D39+E39-F39</f>
        <v>34300</v>
      </c>
      <c r="H39" s="761">
        <v>4086.5</v>
      </c>
      <c r="I39" s="762">
        <v>0.67</v>
      </c>
      <c r="J39" s="763">
        <v>0.79</v>
      </c>
      <c r="K39" s="759">
        <f>G39/L39*100</f>
        <v>7.1267233216930192E-3</v>
      </c>
      <c r="L39" s="760">
        <v>481287100</v>
      </c>
      <c r="M39" s="735">
        <v>0.66710000000000003</v>
      </c>
      <c r="N39" s="736">
        <v>0.78630182914769742</v>
      </c>
      <c r="O39" s="538"/>
      <c r="P39" s="724">
        <v>1.4855997594782823E-2</v>
      </c>
    </row>
    <row r="40" spans="1:16" s="724" customFormat="1" ht="12" customHeight="1">
      <c r="A40" s="764" t="s">
        <v>479</v>
      </c>
      <c r="B40" s="764"/>
      <c r="C40" s="773">
        <v>0</v>
      </c>
      <c r="D40" s="738">
        <v>198400</v>
      </c>
      <c r="E40" s="738">
        <v>0</v>
      </c>
      <c r="F40" s="738">
        <v>198400</v>
      </c>
      <c r="G40" s="753">
        <f>C40+D40+E40-F40</f>
        <v>0</v>
      </c>
      <c r="H40" s="769">
        <v>0</v>
      </c>
      <c r="I40" s="770">
        <f>ROUND(H40/$O$13*100,4)</f>
        <v>0</v>
      </c>
      <c r="J40" s="771" t="e">
        <f>H40/'10.2-10.3'!#REF!*100</f>
        <v>#REF!</v>
      </c>
      <c r="K40" s="759">
        <f>G40/L40*100</f>
        <v>0</v>
      </c>
      <c r="L40" s="760">
        <v>1272238200</v>
      </c>
      <c r="M40" s="735">
        <v>0</v>
      </c>
      <c r="N40" s="736">
        <v>0</v>
      </c>
      <c r="O40" s="538"/>
      <c r="P40" s="724">
        <v>0</v>
      </c>
    </row>
    <row r="41" spans="1:16" s="724" customFormat="1" ht="12" customHeight="1">
      <c r="A41" s="749"/>
      <c r="B41" s="749"/>
      <c r="C41" s="749"/>
      <c r="D41" s="738"/>
      <c r="E41" s="738"/>
      <c r="F41" s="765"/>
      <c r="G41" s="738"/>
      <c r="H41" s="738">
        <f>SUM(H36:H40)</f>
        <v>247678.40000000002</v>
      </c>
      <c r="I41" s="772">
        <f>SUM(I36:I40)</f>
        <v>11.95</v>
      </c>
      <c r="J41" s="772" t="e">
        <f>SUM(J36:J40)</f>
        <v>#REF!</v>
      </c>
      <c r="K41" s="772"/>
      <c r="L41" s="735"/>
      <c r="M41" s="735"/>
      <c r="N41" s="735"/>
      <c r="O41" s="538"/>
    </row>
    <row r="42" spans="1:16" s="724" customFormat="1" ht="12" customHeight="1">
      <c r="A42" s="752" t="s">
        <v>480</v>
      </c>
      <c r="B42" s="752"/>
      <c r="C42" s="752"/>
      <c r="D42" s="765"/>
      <c r="E42" s="765"/>
      <c r="F42" s="765"/>
      <c r="G42" s="765"/>
      <c r="H42" s="765"/>
      <c r="I42" s="754"/>
      <c r="J42" s="754"/>
      <c r="K42" s="772"/>
      <c r="N42" s="735"/>
      <c r="O42" s="538"/>
    </row>
    <row r="43" spans="1:16" s="724" customFormat="1" ht="12" customHeight="1">
      <c r="A43" s="737" t="s">
        <v>481</v>
      </c>
      <c r="B43" s="737"/>
      <c r="C43" s="755">
        <v>377500</v>
      </c>
      <c r="D43" s="738">
        <v>313900</v>
      </c>
      <c r="E43" s="738">
        <v>0</v>
      </c>
      <c r="F43" s="738">
        <v>95200</v>
      </c>
      <c r="G43" s="753">
        <f t="shared" ref="G43:G50" si="3">C43+D43+E43-F43</f>
        <v>596200</v>
      </c>
      <c r="H43" s="756">
        <v>87993.2</v>
      </c>
      <c r="I43" s="757">
        <f t="shared" ref="I43:I50" si="4">ROUND(H43/$O$13*100,4)</f>
        <v>4.6341999999999999</v>
      </c>
      <c r="J43" s="758">
        <v>5.08</v>
      </c>
      <c r="K43" s="759">
        <f t="shared" ref="K43:K50" si="5">G43/L43*100</f>
        <v>0.13608171841857614</v>
      </c>
      <c r="L43" s="760">
        <v>438119100</v>
      </c>
      <c r="M43" s="735">
        <v>4.3064999999999998</v>
      </c>
      <c r="N43" s="736">
        <v>5.0758801513647507</v>
      </c>
      <c r="O43" s="538"/>
      <c r="P43" s="724">
        <v>8.616378514426784E-2</v>
      </c>
    </row>
    <row r="44" spans="1:16" s="724" customFormat="1" ht="12" customHeight="1">
      <c r="A44" s="737" t="s">
        <v>334</v>
      </c>
      <c r="B44" s="737"/>
      <c r="C44" s="755">
        <v>58300</v>
      </c>
      <c r="D44" s="738">
        <v>41200</v>
      </c>
      <c r="E44" s="738">
        <v>0</v>
      </c>
      <c r="F44" s="738">
        <v>98700</v>
      </c>
      <c r="G44" s="753">
        <f t="shared" si="3"/>
        <v>800</v>
      </c>
      <c r="H44" s="761">
        <v>192.70000000000002</v>
      </c>
      <c r="I44" s="762">
        <f t="shared" si="4"/>
        <v>1.01E-2</v>
      </c>
      <c r="J44" s="763">
        <v>1.1000000000000001</v>
      </c>
      <c r="K44" s="759">
        <f t="shared" si="5"/>
        <v>5.1777053186683462E-4</v>
      </c>
      <c r="L44" s="760">
        <v>154508600</v>
      </c>
      <c r="M44" s="735">
        <v>0.93100000000000005</v>
      </c>
      <c r="N44" s="736">
        <v>1.0972814242903128</v>
      </c>
      <c r="O44" s="538"/>
      <c r="P44" s="724">
        <v>3.7732527509795576E-2</v>
      </c>
    </row>
    <row r="45" spans="1:16" s="724" customFormat="1" ht="12" customHeight="1">
      <c r="A45" s="764" t="s">
        <v>125</v>
      </c>
      <c r="B45" s="764"/>
      <c r="C45" s="755">
        <v>142600</v>
      </c>
      <c r="D45" s="738">
        <v>75400</v>
      </c>
      <c r="E45" s="738">
        <v>0</v>
      </c>
      <c r="F45" s="738">
        <v>114600</v>
      </c>
      <c r="G45" s="753">
        <f t="shared" si="3"/>
        <v>103400</v>
      </c>
      <c r="H45" s="761">
        <v>51187.1</v>
      </c>
      <c r="I45" s="762">
        <f t="shared" si="4"/>
        <v>2.6958000000000002</v>
      </c>
      <c r="J45" s="763">
        <v>6.98</v>
      </c>
      <c r="K45" s="759">
        <f t="shared" si="5"/>
        <v>3.1975260919984538E-2</v>
      </c>
      <c r="L45" s="760">
        <v>323375000</v>
      </c>
      <c r="M45" s="735">
        <v>5.9207000000000001</v>
      </c>
      <c r="N45" s="735">
        <v>6.9784875956624841</v>
      </c>
      <c r="O45" s="538"/>
      <c r="P45" s="724">
        <v>4.4097410127560882E-2</v>
      </c>
    </row>
    <row r="46" spans="1:16" s="724" customFormat="1" ht="12" customHeight="1">
      <c r="A46" s="737" t="s">
        <v>170</v>
      </c>
      <c r="B46" s="752"/>
      <c r="C46" s="755">
        <v>375500</v>
      </c>
      <c r="D46" s="765">
        <v>485000</v>
      </c>
      <c r="E46" s="765">
        <v>0</v>
      </c>
      <c r="F46" s="765">
        <v>358500</v>
      </c>
      <c r="G46" s="753">
        <f t="shared" si="3"/>
        <v>502000</v>
      </c>
      <c r="H46" s="761">
        <v>37439.199999999997</v>
      </c>
      <c r="I46" s="762">
        <f t="shared" si="4"/>
        <v>1.9717</v>
      </c>
      <c r="J46" s="763">
        <v>2.78</v>
      </c>
      <c r="K46" s="759">
        <f t="shared" si="5"/>
        <v>9.5123697757525147E-2</v>
      </c>
      <c r="L46" s="760">
        <v>527733900</v>
      </c>
      <c r="M46" s="724">
        <v>2.3571</v>
      </c>
      <c r="N46" s="724">
        <v>2.778191119658393</v>
      </c>
      <c r="O46" s="538"/>
      <c r="P46" s="724">
        <v>7.1153283880379864E-2</v>
      </c>
    </row>
    <row r="47" spans="1:16" s="724" customFormat="1" ht="12" customHeight="1">
      <c r="A47" s="737" t="s">
        <v>482</v>
      </c>
      <c r="B47" s="737"/>
      <c r="C47" s="755">
        <v>47000</v>
      </c>
      <c r="D47" s="738">
        <v>393500</v>
      </c>
      <c r="E47" s="738">
        <v>0</v>
      </c>
      <c r="F47" s="738">
        <v>62500</v>
      </c>
      <c r="G47" s="753">
        <f t="shared" si="3"/>
        <v>378000</v>
      </c>
      <c r="H47" s="761">
        <v>34345.100000000006</v>
      </c>
      <c r="I47" s="762">
        <f t="shared" si="4"/>
        <v>1.8088</v>
      </c>
      <c r="J47" s="763">
        <v>0.38</v>
      </c>
      <c r="K47" s="759">
        <f t="shared" si="5"/>
        <v>0.16641074044855181</v>
      </c>
      <c r="L47" s="760">
        <v>227148800</v>
      </c>
      <c r="M47" s="735">
        <v>0.32029999999999997</v>
      </c>
      <c r="N47" s="736">
        <v>0.37756426315164915</v>
      </c>
      <c r="O47" s="538"/>
      <c r="P47" s="724">
        <v>2.0691282542544799E-2</v>
      </c>
    </row>
    <row r="48" spans="1:16" s="724" customFormat="1" ht="12" customHeight="1">
      <c r="A48" s="737" t="s">
        <v>483</v>
      </c>
      <c r="B48" s="737"/>
      <c r="C48" s="755">
        <v>63900</v>
      </c>
      <c r="D48" s="738">
        <v>59000</v>
      </c>
      <c r="E48" s="738">
        <v>0</v>
      </c>
      <c r="F48" s="738">
        <v>1300</v>
      </c>
      <c r="G48" s="753">
        <f t="shared" si="3"/>
        <v>121600</v>
      </c>
      <c r="H48" s="761">
        <v>20398.399999999998</v>
      </c>
      <c r="I48" s="762">
        <f t="shared" si="4"/>
        <v>1.0743</v>
      </c>
      <c r="J48" s="763">
        <v>1.1499999999999999</v>
      </c>
      <c r="K48" s="759">
        <f t="shared" si="5"/>
        <v>0.10618000829531314</v>
      </c>
      <c r="L48" s="760">
        <v>114522500</v>
      </c>
      <c r="M48" s="735">
        <v>0.97309999999999997</v>
      </c>
      <c r="N48" s="736">
        <v>1.1470080221810766</v>
      </c>
      <c r="O48" s="538"/>
      <c r="P48" s="724">
        <v>5.5796895806500907E-2</v>
      </c>
    </row>
    <row r="49" spans="1:16" s="724" customFormat="1" ht="12" customHeight="1">
      <c r="A49" s="737" t="s">
        <v>484</v>
      </c>
      <c r="B49" s="737"/>
      <c r="C49" s="755">
        <v>225000</v>
      </c>
      <c r="D49" s="738">
        <v>412500</v>
      </c>
      <c r="E49" s="738">
        <v>0</v>
      </c>
      <c r="F49" s="738">
        <v>0</v>
      </c>
      <c r="G49" s="753">
        <f t="shared" si="3"/>
        <v>637500</v>
      </c>
      <c r="H49" s="761">
        <v>49763.3</v>
      </c>
      <c r="I49" s="762">
        <f t="shared" si="4"/>
        <v>2.6208</v>
      </c>
      <c r="J49" s="763">
        <v>1.47</v>
      </c>
      <c r="K49" s="759">
        <f t="shared" si="5"/>
        <v>1.2709330143540671</v>
      </c>
      <c r="L49" s="760">
        <v>50160000</v>
      </c>
      <c r="M49" s="735">
        <v>1.25</v>
      </c>
      <c r="N49" s="736">
        <v>1.4733388208392115</v>
      </c>
      <c r="O49" s="538"/>
      <c r="P49" s="724">
        <v>0.44856459330143539</v>
      </c>
    </row>
    <row r="50" spans="1:16" s="724" customFormat="1" ht="12" customHeight="1">
      <c r="A50" s="737" t="s">
        <v>640</v>
      </c>
      <c r="B50" s="737"/>
      <c r="C50" s="755">
        <v>0</v>
      </c>
      <c r="D50" s="738">
        <v>2165000</v>
      </c>
      <c r="E50" s="738">
        <v>0</v>
      </c>
      <c r="F50" s="738">
        <v>319500</v>
      </c>
      <c r="G50" s="753">
        <f t="shared" si="3"/>
        <v>1845500</v>
      </c>
      <c r="H50" s="769">
        <v>67951.3</v>
      </c>
      <c r="I50" s="770">
        <f t="shared" si="4"/>
        <v>3.5787</v>
      </c>
      <c r="J50" s="771">
        <v>1.47</v>
      </c>
      <c r="K50" s="759">
        <f t="shared" si="5"/>
        <v>0.13864308018349708</v>
      </c>
      <c r="L50" s="760">
        <v>1331115839</v>
      </c>
      <c r="M50" s="735"/>
      <c r="N50" s="736"/>
      <c r="O50" s="538"/>
    </row>
    <row r="51" spans="1:16" s="724" customFormat="1" ht="12" customHeight="1">
      <c r="A51" s="737"/>
      <c r="B51" s="737"/>
      <c r="C51" s="737"/>
      <c r="D51" s="738"/>
      <c r="E51" s="738"/>
      <c r="F51" s="738"/>
      <c r="G51" s="738"/>
      <c r="H51" s="738">
        <f>SUM(H43:H50)</f>
        <v>349270.3</v>
      </c>
      <c r="I51" s="738">
        <f>SUM(I43:I50)</f>
        <v>18.394400000000001</v>
      </c>
      <c r="J51" s="738">
        <f>SUM(J43:J50)</f>
        <v>20.409999999999997</v>
      </c>
      <c r="K51" s="772"/>
      <c r="L51" s="735"/>
      <c r="M51" s="735"/>
      <c r="N51" s="736"/>
      <c r="O51" s="538"/>
    </row>
    <row r="52" spans="1:16" s="724" customFormat="1" ht="12" customHeight="1">
      <c r="A52" s="774" t="s">
        <v>485</v>
      </c>
      <c r="B52" s="764"/>
      <c r="C52" s="764"/>
      <c r="D52" s="738"/>
      <c r="E52" s="738"/>
      <c r="F52" s="765"/>
      <c r="G52" s="738"/>
      <c r="H52" s="738"/>
      <c r="I52" s="754"/>
      <c r="J52" s="754"/>
      <c r="K52" s="772"/>
      <c r="L52" s="735"/>
      <c r="M52" s="735"/>
      <c r="N52" s="735"/>
      <c r="O52" s="538"/>
    </row>
    <row r="53" spans="1:16" s="724" customFormat="1" ht="12" customHeight="1">
      <c r="A53" s="737" t="s">
        <v>518</v>
      </c>
      <c r="B53" s="752"/>
      <c r="C53" s="755">
        <v>19400</v>
      </c>
      <c r="D53" s="738">
        <v>0</v>
      </c>
      <c r="E53" s="738">
        <v>0</v>
      </c>
      <c r="F53" s="765">
        <v>0</v>
      </c>
      <c r="G53" s="753">
        <f>C53+D53+E53-F53</f>
        <v>19400</v>
      </c>
      <c r="H53" s="738">
        <v>4914.6000000000004</v>
      </c>
      <c r="I53" s="754">
        <f>ROUND(H53/$O$13*100,4)</f>
        <v>0.25879999999999997</v>
      </c>
      <c r="J53" s="772" t="e">
        <f>H53/'10.2-10.3'!#REF!*100</f>
        <v>#REF!</v>
      </c>
      <c r="K53" s="759">
        <f>G53/L53*100</f>
        <v>2.3941749969147229E-2</v>
      </c>
      <c r="L53" s="760">
        <v>81030000</v>
      </c>
      <c r="M53" s="735">
        <v>0.44240000000000002</v>
      </c>
      <c r="N53" s="735">
        <v>0.52147002371431317</v>
      </c>
      <c r="O53" s="538"/>
      <c r="P53" s="724">
        <v>2.3941749969147229E-2</v>
      </c>
    </row>
    <row r="54" spans="1:16" s="724" customFormat="1" ht="12" customHeight="1">
      <c r="A54" s="737" t="s">
        <v>639</v>
      </c>
      <c r="B54" s="752"/>
      <c r="C54" s="755">
        <v>0</v>
      </c>
      <c r="D54" s="738">
        <v>328500</v>
      </c>
      <c r="E54" s="738">
        <v>0</v>
      </c>
      <c r="F54" s="765">
        <v>0</v>
      </c>
      <c r="G54" s="753">
        <f>C54+D54+E54-F54</f>
        <v>328500</v>
      </c>
      <c r="H54" s="738">
        <v>4398.6000000000004</v>
      </c>
      <c r="I54" s="754">
        <f>ROUND(H54/$O$13*100,4)</f>
        <v>0.23169999999999999</v>
      </c>
      <c r="J54" s="772" t="e">
        <f>H54/'10.2-10.3'!#REF!*100</f>
        <v>#REF!</v>
      </c>
      <c r="K54" s="759">
        <f>G54/L54*100</f>
        <v>1.4296924268082345</v>
      </c>
      <c r="L54" s="760">
        <v>22976970</v>
      </c>
      <c r="M54" s="735"/>
      <c r="N54" s="735"/>
      <c r="O54" s="538"/>
    </row>
    <row r="55" spans="1:16" s="724" customFormat="1" ht="12" customHeight="1">
      <c r="A55" s="737"/>
      <c r="B55" s="737"/>
      <c r="C55" s="737"/>
      <c r="D55" s="738"/>
      <c r="E55" s="738"/>
      <c r="F55" s="765"/>
      <c r="G55" s="738"/>
      <c r="H55" s="738"/>
      <c r="I55" s="754"/>
      <c r="J55" s="754"/>
      <c r="K55" s="772"/>
      <c r="L55" s="735"/>
      <c r="M55" s="735"/>
      <c r="N55" s="736"/>
      <c r="O55" s="538"/>
    </row>
    <row r="56" spans="1:16" s="724" customFormat="1" ht="12" customHeight="1">
      <c r="A56" s="774" t="s">
        <v>486</v>
      </c>
      <c r="B56" s="764"/>
      <c r="C56" s="764"/>
      <c r="D56" s="738"/>
      <c r="E56" s="738"/>
      <c r="F56" s="765"/>
      <c r="G56" s="738"/>
      <c r="H56" s="738"/>
      <c r="I56" s="754"/>
      <c r="J56" s="754"/>
      <c r="K56" s="772"/>
      <c r="L56" s="735"/>
      <c r="M56" s="735"/>
      <c r="N56" s="736"/>
      <c r="O56" s="538"/>
    </row>
    <row r="57" spans="1:16" s="724" customFormat="1" ht="12" customHeight="1">
      <c r="A57" s="764" t="s">
        <v>487</v>
      </c>
      <c r="B57" s="764"/>
      <c r="C57" s="773">
        <v>9000</v>
      </c>
      <c r="D57" s="738">
        <v>1000</v>
      </c>
      <c r="E57" s="738">
        <v>0</v>
      </c>
      <c r="F57" s="765">
        <v>0</v>
      </c>
      <c r="G57" s="753">
        <f t="shared" ref="G57:G62" si="6">C57+D57+E57-F57</f>
        <v>10000</v>
      </c>
      <c r="H57" s="756">
        <v>612.40000000000009</v>
      </c>
      <c r="I57" s="757">
        <f t="shared" ref="I57:I62" si="7">ROUND(H57/$O$13*100,4)</f>
        <v>3.2300000000000002E-2</v>
      </c>
      <c r="J57" s="758">
        <v>0.05</v>
      </c>
      <c r="K57" s="759">
        <f t="shared" ref="K57:K62" si="8">G57/L57*100</f>
        <v>7.4994562894190195E-2</v>
      </c>
      <c r="L57" s="760">
        <v>13334299.999999996</v>
      </c>
      <c r="M57" s="735">
        <v>4.1799999999999997E-2</v>
      </c>
      <c r="N57" s="735">
        <v>4.9255702077403971E-2</v>
      </c>
      <c r="O57" s="538"/>
      <c r="P57" s="724">
        <v>6.7495106604771163E-2</v>
      </c>
    </row>
    <row r="58" spans="1:16" s="724" customFormat="1" ht="12" customHeight="1">
      <c r="A58" s="775" t="s">
        <v>335</v>
      </c>
      <c r="B58" s="776"/>
      <c r="C58" s="773">
        <v>49150</v>
      </c>
      <c r="D58" s="738">
        <v>6000</v>
      </c>
      <c r="E58" s="738">
        <v>0</v>
      </c>
      <c r="F58" s="765">
        <v>29500</v>
      </c>
      <c r="G58" s="753">
        <f t="shared" si="6"/>
        <v>25650</v>
      </c>
      <c r="H58" s="761">
        <v>25949.599999999999</v>
      </c>
      <c r="I58" s="762">
        <f t="shared" si="7"/>
        <v>1.3666</v>
      </c>
      <c r="J58" s="763">
        <v>5.78</v>
      </c>
      <c r="K58" s="759">
        <f t="shared" si="8"/>
        <v>3.2633587786259542E-2</v>
      </c>
      <c r="L58" s="760">
        <v>78600000</v>
      </c>
      <c r="M58" s="735">
        <v>4.9051</v>
      </c>
      <c r="N58" s="735">
        <v>5.7814704381026285</v>
      </c>
      <c r="O58" s="538"/>
      <c r="P58" s="724">
        <v>6.2531806615776078E-2</v>
      </c>
    </row>
    <row r="59" spans="1:16" s="724" customFormat="1" ht="12" customHeight="1">
      <c r="A59" s="764" t="s">
        <v>0</v>
      </c>
      <c r="B59" s="764"/>
      <c r="C59" s="773">
        <v>40300</v>
      </c>
      <c r="D59" s="738">
        <v>99800</v>
      </c>
      <c r="E59" s="738">
        <v>0</v>
      </c>
      <c r="F59" s="765">
        <v>34700</v>
      </c>
      <c r="G59" s="753">
        <f t="shared" si="6"/>
        <v>105400</v>
      </c>
      <c r="H59" s="761">
        <v>52204.6</v>
      </c>
      <c r="I59" s="762">
        <f t="shared" si="7"/>
        <v>2.7494000000000001</v>
      </c>
      <c r="J59" s="763">
        <v>1.65</v>
      </c>
      <c r="K59" s="759">
        <f t="shared" si="8"/>
        <v>0.12806819935382668</v>
      </c>
      <c r="L59" s="760">
        <v>82299900</v>
      </c>
      <c r="M59" s="735">
        <v>1.4036999999999999</v>
      </c>
      <c r="N59" s="736">
        <v>1.6544453506572763</v>
      </c>
      <c r="O59" s="538"/>
      <c r="P59" s="724">
        <v>4.8967252694110203E-2</v>
      </c>
    </row>
    <row r="60" spans="1:16" s="724" customFormat="1" ht="12" customHeight="1">
      <c r="A60" s="764" t="s">
        <v>488</v>
      </c>
      <c r="B60" s="764"/>
      <c r="C60" s="773">
        <v>78500</v>
      </c>
      <c r="D60" s="738">
        <v>76000</v>
      </c>
      <c r="E60" s="738">
        <v>0</v>
      </c>
      <c r="F60" s="765">
        <v>154500</v>
      </c>
      <c r="G60" s="753">
        <f t="shared" si="6"/>
        <v>0</v>
      </c>
      <c r="H60" s="761">
        <v>0</v>
      </c>
      <c r="I60" s="762">
        <f t="shared" si="7"/>
        <v>0</v>
      </c>
      <c r="J60" s="763">
        <v>0.73</v>
      </c>
      <c r="K60" s="759">
        <f t="shared" si="8"/>
        <v>0</v>
      </c>
      <c r="L60" s="760">
        <v>45002500</v>
      </c>
      <c r="M60" s="735">
        <v>0.62029999999999996</v>
      </c>
      <c r="N60" s="735">
        <v>0.73111283982196373</v>
      </c>
      <c r="O60" s="538"/>
      <c r="P60" s="724">
        <v>0.17443475362479863</v>
      </c>
    </row>
    <row r="61" spans="1:16" s="724" customFormat="1" ht="12" customHeight="1">
      <c r="A61" s="737" t="s">
        <v>489</v>
      </c>
      <c r="B61" s="752"/>
      <c r="C61" s="773">
        <v>83000</v>
      </c>
      <c r="D61" s="765">
        <v>0</v>
      </c>
      <c r="E61" s="765">
        <v>0</v>
      </c>
      <c r="F61" s="765">
        <v>0</v>
      </c>
      <c r="G61" s="753">
        <f t="shared" si="6"/>
        <v>83000</v>
      </c>
      <c r="H61" s="761">
        <v>2656</v>
      </c>
      <c r="I61" s="762">
        <f t="shared" si="7"/>
        <v>0.1399</v>
      </c>
      <c r="J61" s="763">
        <v>0.3</v>
      </c>
      <c r="K61" s="759">
        <f t="shared" si="8"/>
        <v>0.46181923393648039</v>
      </c>
      <c r="L61" s="407">
        <v>17972400</v>
      </c>
      <c r="M61" s="724">
        <v>0.25540000000000002</v>
      </c>
      <c r="N61" s="724">
        <v>0.30099660389939409</v>
      </c>
      <c r="O61" s="538"/>
      <c r="P61" s="724">
        <v>0.46181923393648039</v>
      </c>
    </row>
    <row r="62" spans="1:16" s="724" customFormat="1" ht="12" customHeight="1">
      <c r="A62" s="737" t="s">
        <v>490</v>
      </c>
      <c r="B62" s="737"/>
      <c r="C62" s="773">
        <v>188900</v>
      </c>
      <c r="D62" s="765">
        <v>16000</v>
      </c>
      <c r="E62" s="765">
        <v>0</v>
      </c>
      <c r="F62" s="765">
        <v>204900</v>
      </c>
      <c r="G62" s="753">
        <f t="shared" si="6"/>
        <v>0</v>
      </c>
      <c r="H62" s="769">
        <v>0</v>
      </c>
      <c r="I62" s="770">
        <f t="shared" si="7"/>
        <v>0</v>
      </c>
      <c r="J62" s="771">
        <v>3.89</v>
      </c>
      <c r="K62" s="759">
        <f t="shared" si="8"/>
        <v>0</v>
      </c>
      <c r="L62" s="760">
        <v>142800000</v>
      </c>
      <c r="M62" s="735">
        <v>3.3007</v>
      </c>
      <c r="N62" s="736">
        <v>3.8904470308135384</v>
      </c>
      <c r="O62" s="538"/>
      <c r="P62" s="724">
        <v>0.13228291316526611</v>
      </c>
    </row>
    <row r="63" spans="1:16" s="724" customFormat="1" ht="12" customHeight="1">
      <c r="A63" s="737"/>
      <c r="B63" s="737"/>
      <c r="C63" s="737"/>
      <c r="D63" s="765"/>
      <c r="E63" s="765"/>
      <c r="F63" s="765"/>
      <c r="G63" s="765"/>
      <c r="H63" s="738">
        <f>SUM(H57:H62)</f>
        <v>81422.600000000006</v>
      </c>
      <c r="I63" s="772">
        <f>SUM(I57:I62)</f>
        <v>4.2881999999999998</v>
      </c>
      <c r="J63" s="772">
        <f>SUM(J57:J62)</f>
        <v>12.400000000000002</v>
      </c>
      <c r="K63" s="772"/>
      <c r="L63" s="777"/>
      <c r="M63" s="735"/>
      <c r="N63" s="736"/>
      <c r="O63" s="538"/>
    </row>
    <row r="64" spans="1:16" s="724" customFormat="1" ht="12" customHeight="1">
      <c r="A64" s="752" t="s">
        <v>491</v>
      </c>
      <c r="B64" s="737"/>
      <c r="C64" s="737"/>
      <c r="D64" s="738"/>
      <c r="E64" s="738"/>
      <c r="F64" s="738"/>
      <c r="G64" s="738"/>
      <c r="H64" s="765"/>
      <c r="I64" s="754"/>
      <c r="J64" s="754"/>
      <c r="K64" s="772"/>
      <c r="L64" s="735"/>
      <c r="M64" s="735"/>
      <c r="N64" s="538"/>
      <c r="O64" s="538"/>
    </row>
    <row r="65" spans="1:16" s="724" customFormat="1" ht="12" customHeight="1">
      <c r="A65" s="737" t="s">
        <v>375</v>
      </c>
      <c r="B65" s="752"/>
      <c r="C65" s="773">
        <v>157500</v>
      </c>
      <c r="D65" s="738">
        <v>544000</v>
      </c>
      <c r="E65" s="738">
        <v>0</v>
      </c>
      <c r="F65" s="738">
        <v>24000</v>
      </c>
      <c r="G65" s="753">
        <f>C65+D65+E65-F65</f>
        <v>677500</v>
      </c>
      <c r="H65" s="765">
        <v>47323.4</v>
      </c>
      <c r="I65" s="754">
        <f>ROUND(H65/$O$13*100,4)</f>
        <v>2.4923000000000002</v>
      </c>
      <c r="J65" s="772" t="e">
        <f>H65/'10.2-10.3'!#REF!*100</f>
        <v>#REF!</v>
      </c>
      <c r="K65" s="759">
        <f>G65/L65*100</f>
        <v>0.92229573361648831</v>
      </c>
      <c r="L65" s="407">
        <v>73458000</v>
      </c>
      <c r="M65" s="735">
        <v>0.73609999999999998</v>
      </c>
      <c r="N65" s="538">
        <v>0.86757844653354754</v>
      </c>
      <c r="O65" s="538"/>
      <c r="P65" s="724">
        <v>0.21440823327615782</v>
      </c>
    </row>
    <row r="66" spans="1:16" s="724" customFormat="1" ht="12" customHeight="1">
      <c r="A66" s="737"/>
      <c r="B66" s="752"/>
      <c r="C66" s="752"/>
      <c r="D66" s="738"/>
      <c r="E66" s="738"/>
      <c r="F66" s="738"/>
      <c r="G66" s="738"/>
      <c r="H66" s="765"/>
      <c r="I66" s="754"/>
      <c r="J66" s="754"/>
      <c r="K66" s="754"/>
      <c r="L66" s="735"/>
      <c r="M66" s="735"/>
      <c r="N66" s="538"/>
      <c r="O66" s="538"/>
    </row>
    <row r="67" spans="1:16" s="724" customFormat="1" ht="12" customHeight="1">
      <c r="A67" s="752" t="s">
        <v>492</v>
      </c>
      <c r="B67" s="752"/>
      <c r="C67" s="752"/>
      <c r="D67" s="738"/>
      <c r="E67" s="738"/>
      <c r="F67" s="738"/>
      <c r="G67" s="738"/>
      <c r="H67" s="765"/>
      <c r="I67" s="754"/>
      <c r="J67" s="754"/>
      <c r="K67" s="754"/>
      <c r="L67" s="735"/>
      <c r="M67" s="735"/>
      <c r="N67" s="538"/>
      <c r="O67" s="538"/>
    </row>
    <row r="68" spans="1:16" s="724" customFormat="1" ht="12" customHeight="1">
      <c r="A68" s="737" t="s">
        <v>493</v>
      </c>
      <c r="B68" s="737"/>
      <c r="C68" s="773">
        <v>345000</v>
      </c>
      <c r="D68" s="738">
        <v>1008000</v>
      </c>
      <c r="E68" s="738">
        <v>0</v>
      </c>
      <c r="F68" s="738">
        <v>541000</v>
      </c>
      <c r="G68" s="753">
        <f>C68+D68+E68-F68</f>
        <v>812000</v>
      </c>
      <c r="H68" s="765">
        <v>50782.5</v>
      </c>
      <c r="I68" s="754">
        <f>ROUND(H68/$O$13*100,4)</f>
        <v>2.6745000000000001</v>
      </c>
      <c r="J68" s="772" t="e">
        <f>H68/'10.2-10.3'!#REF!*100</f>
        <v>#REF!</v>
      </c>
      <c r="K68" s="759">
        <f>G68/L68*100</f>
        <v>0.20394579864119858</v>
      </c>
      <c r="L68" s="407">
        <v>398145000</v>
      </c>
      <c r="M68" s="735">
        <v>2.2808999999999999</v>
      </c>
      <c r="N68" s="736">
        <v>2.6883441984693999</v>
      </c>
      <c r="O68" s="538"/>
      <c r="P68" s="724">
        <v>8.6651826180957639E-2</v>
      </c>
    </row>
    <row r="69" spans="1:16" s="724" customFormat="1" ht="12" customHeight="1">
      <c r="A69" s="737"/>
      <c r="B69" s="737"/>
      <c r="C69" s="737"/>
      <c r="D69" s="738"/>
      <c r="E69" s="738"/>
      <c r="F69" s="738"/>
      <c r="G69" s="738"/>
      <c r="H69" s="765"/>
      <c r="I69" s="739"/>
      <c r="J69" s="739"/>
      <c r="K69" s="739"/>
      <c r="L69" s="735"/>
      <c r="M69" s="735"/>
      <c r="N69" s="736"/>
      <c r="O69" s="538"/>
    </row>
    <row r="70" spans="1:16" s="724" customFormat="1" ht="12" customHeight="1">
      <c r="A70" s="778" t="s">
        <v>446</v>
      </c>
      <c r="B70" s="752"/>
      <c r="C70" s="752"/>
      <c r="D70" s="738"/>
      <c r="E70" s="738"/>
      <c r="F70" s="738"/>
      <c r="G70" s="779">
        <f>SUM(G22:G69)</f>
        <v>10727898</v>
      </c>
      <c r="H70" s="779">
        <f>H31+H33+H41+H51+H53+H63+H65+H68+H54</f>
        <v>1227008.3999999999</v>
      </c>
      <c r="I70" s="780">
        <f>I31+I33+I41+I51+I53+I63+I65+I68</f>
        <v>63.294900000000005</v>
      </c>
      <c r="J70" s="780" t="e">
        <f>J31+J33+J41+J51+J53+J63+J65+J68</f>
        <v>#REF!</v>
      </c>
      <c r="K70" s="739"/>
      <c r="L70" s="735"/>
      <c r="M70" s="735"/>
      <c r="N70" s="538"/>
      <c r="O70" s="538"/>
    </row>
    <row r="71" spans="1:16" s="724" customFormat="1" ht="12" customHeight="1">
      <c r="A71" s="778"/>
      <c r="B71" s="752"/>
      <c r="C71" s="752"/>
      <c r="D71" s="738"/>
      <c r="E71" s="738"/>
      <c r="F71" s="738"/>
      <c r="G71" s="738"/>
      <c r="H71" s="738"/>
      <c r="I71" s="781"/>
      <c r="J71" s="781"/>
      <c r="K71" s="739"/>
      <c r="L71" s="735"/>
      <c r="M71" s="735"/>
      <c r="N71" s="538"/>
      <c r="O71" s="538"/>
    </row>
    <row r="72" spans="1:16" s="724" customFormat="1" ht="12" customHeight="1">
      <c r="A72" s="782" t="s">
        <v>550</v>
      </c>
      <c r="B72" s="752"/>
      <c r="C72" s="752"/>
      <c r="D72" s="738"/>
      <c r="E72" s="738"/>
      <c r="F72" s="738"/>
      <c r="G72" s="738"/>
      <c r="H72" s="765"/>
      <c r="I72" s="739"/>
      <c r="J72" s="739"/>
      <c r="K72" s="739"/>
      <c r="L72" s="735"/>
      <c r="M72" s="735"/>
      <c r="N72" s="538"/>
      <c r="O72" s="538"/>
    </row>
    <row r="73" spans="1:16" s="724" customFormat="1">
      <c r="A73" s="732"/>
      <c r="B73" s="732"/>
      <c r="C73" s="732"/>
      <c r="D73" s="733"/>
      <c r="E73" s="733"/>
      <c r="F73" s="733"/>
      <c r="G73" s="733"/>
      <c r="H73" s="733"/>
      <c r="I73" s="734"/>
      <c r="J73" s="734"/>
      <c r="K73" s="734"/>
      <c r="L73" s="735"/>
      <c r="M73" s="735"/>
      <c r="N73" s="736"/>
      <c r="O73" s="538"/>
    </row>
    <row r="74" spans="1:16" s="724" customFormat="1">
      <c r="A74" s="737"/>
      <c r="B74" s="737"/>
      <c r="C74" s="737"/>
      <c r="D74" s="738"/>
      <c r="E74" s="738"/>
      <c r="F74" s="738"/>
      <c r="G74" s="738"/>
      <c r="H74" s="738"/>
      <c r="I74" s="739"/>
      <c r="J74" s="739"/>
      <c r="K74" s="739"/>
      <c r="L74" s="735"/>
      <c r="M74" s="735"/>
      <c r="N74" s="736"/>
      <c r="O74" s="538"/>
    </row>
    <row r="75" spans="1:16" s="724" customFormat="1" ht="9.75" customHeight="1">
      <c r="A75" s="2601" t="s">
        <v>116</v>
      </c>
      <c r="B75" s="2602"/>
      <c r="C75" s="2607" t="s">
        <v>117</v>
      </c>
      <c r="D75" s="2608"/>
      <c r="E75" s="2608"/>
      <c r="F75" s="2608"/>
      <c r="G75" s="2609"/>
      <c r="H75" s="2610" t="s">
        <v>635</v>
      </c>
      <c r="I75" s="2613" t="s">
        <v>308</v>
      </c>
      <c r="J75" s="2614"/>
      <c r="K75" s="2615"/>
      <c r="M75" s="747"/>
      <c r="N75" s="748" t="s">
        <v>166</v>
      </c>
      <c r="O75" s="735">
        <v>1251504</v>
      </c>
      <c r="P75" s="747"/>
    </row>
    <row r="76" spans="1:16" s="724" customFormat="1" ht="12.75" customHeight="1">
      <c r="A76" s="2603"/>
      <c r="B76" s="2604"/>
      <c r="C76" s="2597" t="s">
        <v>636</v>
      </c>
      <c r="D76" s="2595" t="s">
        <v>130</v>
      </c>
      <c r="E76" s="2595" t="s">
        <v>119</v>
      </c>
      <c r="F76" s="2595" t="s">
        <v>120</v>
      </c>
      <c r="G76" s="2597" t="s">
        <v>634</v>
      </c>
      <c r="H76" s="2611"/>
      <c r="I76" s="2599" t="s">
        <v>121</v>
      </c>
      <c r="J76" s="2599" t="s">
        <v>295</v>
      </c>
      <c r="K76" s="2599" t="s">
        <v>122</v>
      </c>
      <c r="M76" s="747"/>
      <c r="N76" s="748"/>
      <c r="O76" s="735"/>
      <c r="P76" s="747"/>
    </row>
    <row r="77" spans="1:16" s="724" customFormat="1">
      <c r="A77" s="2603"/>
      <c r="B77" s="2604"/>
      <c r="C77" s="2597"/>
      <c r="D77" s="2595"/>
      <c r="E77" s="2595"/>
      <c r="F77" s="2595"/>
      <c r="G77" s="2597"/>
      <c r="H77" s="2611"/>
      <c r="I77" s="2599"/>
      <c r="J77" s="2599"/>
      <c r="K77" s="2599"/>
      <c r="N77" s="724" t="s">
        <v>167</v>
      </c>
      <c r="O77" s="538">
        <v>946823</v>
      </c>
    </row>
    <row r="78" spans="1:16" s="724" customFormat="1">
      <c r="A78" s="2603"/>
      <c r="B78" s="2604"/>
      <c r="C78" s="2597"/>
      <c r="D78" s="2595"/>
      <c r="E78" s="2595"/>
      <c r="F78" s="2595"/>
      <c r="G78" s="2597"/>
      <c r="H78" s="2611"/>
      <c r="I78" s="2599"/>
      <c r="J78" s="2599"/>
      <c r="K78" s="2599"/>
      <c r="O78" s="538"/>
    </row>
    <row r="79" spans="1:16" s="724" customFormat="1">
      <c r="A79" s="2603"/>
      <c r="B79" s="2604"/>
      <c r="C79" s="2597"/>
      <c r="D79" s="2595"/>
      <c r="E79" s="2595"/>
      <c r="F79" s="2595"/>
      <c r="G79" s="2597"/>
      <c r="H79" s="2611"/>
      <c r="I79" s="2599"/>
      <c r="J79" s="2599"/>
      <c r="K79" s="2599"/>
      <c r="O79" s="538"/>
    </row>
    <row r="80" spans="1:16" s="724" customFormat="1">
      <c r="A80" s="2603"/>
      <c r="B80" s="2604"/>
      <c r="C80" s="2597"/>
      <c r="D80" s="2595"/>
      <c r="E80" s="2595"/>
      <c r="F80" s="2595"/>
      <c r="G80" s="2597"/>
      <c r="H80" s="2611"/>
      <c r="I80" s="2599"/>
      <c r="J80" s="2599"/>
      <c r="K80" s="2599"/>
      <c r="O80" s="538"/>
    </row>
    <row r="81" spans="1:17" s="724" customFormat="1">
      <c r="A81" s="2605"/>
      <c r="B81" s="2606"/>
      <c r="C81" s="2598"/>
      <c r="D81" s="2596"/>
      <c r="E81" s="2596"/>
      <c r="F81" s="2596"/>
      <c r="G81" s="2598"/>
      <c r="H81" s="2612"/>
      <c r="I81" s="2600"/>
      <c r="J81" s="2600"/>
      <c r="K81" s="2600"/>
      <c r="O81" s="538"/>
    </row>
    <row r="82" spans="1:17" s="724" customFormat="1" ht="22.8">
      <c r="A82" s="749"/>
      <c r="B82" s="749"/>
      <c r="C82" s="749"/>
      <c r="D82" s="414"/>
      <c r="E82" s="750"/>
      <c r="F82" s="750"/>
      <c r="G82" s="750"/>
      <c r="H82" s="751" t="s">
        <v>52</v>
      </c>
      <c r="I82" s="2588" t="s">
        <v>2</v>
      </c>
      <c r="J82" s="2589"/>
      <c r="K82" s="2589"/>
      <c r="L82" s="783">
        <f>345083-C87-D87+F87</f>
        <v>80583</v>
      </c>
      <c r="O82" s="538"/>
    </row>
    <row r="83" spans="1:17" s="724" customFormat="1" ht="11.1" customHeight="1">
      <c r="A83" s="749"/>
      <c r="B83" s="749"/>
      <c r="C83" s="749"/>
      <c r="D83" s="414"/>
      <c r="E83" s="784"/>
      <c r="F83" s="784"/>
      <c r="G83" s="784"/>
      <c r="H83" s="785"/>
      <c r="I83" s="786"/>
      <c r="J83" s="787"/>
      <c r="K83" s="787"/>
      <c r="O83" s="538"/>
    </row>
    <row r="84" spans="1:17" s="724" customFormat="1" ht="12" customHeight="1">
      <c r="A84" s="778" t="s">
        <v>445</v>
      </c>
      <c r="B84" s="749"/>
      <c r="C84" s="749"/>
      <c r="D84" s="414"/>
      <c r="E84" s="784"/>
      <c r="F84" s="784"/>
      <c r="G84" s="788">
        <f>G70</f>
        <v>10727898</v>
      </c>
      <c r="H84" s="788">
        <f>H70</f>
        <v>1227008.3999999999</v>
      </c>
      <c r="I84" s="789">
        <f>I70</f>
        <v>63.294900000000005</v>
      </c>
      <c r="J84" s="789" t="e">
        <f>J70</f>
        <v>#REF!</v>
      </c>
      <c r="K84" s="787"/>
      <c r="L84" s="724">
        <v>80584</v>
      </c>
      <c r="M84" s="783">
        <f>C87+D87+L84-F87</f>
        <v>345084</v>
      </c>
      <c r="O84" s="538"/>
    </row>
    <row r="85" spans="1:17" s="724" customFormat="1" ht="12" customHeight="1">
      <c r="A85" s="790"/>
      <c r="B85" s="749"/>
      <c r="C85" s="749"/>
      <c r="D85" s="414"/>
      <c r="E85" s="784"/>
      <c r="F85" s="784"/>
      <c r="G85" s="738"/>
      <c r="H85" s="738"/>
      <c r="I85" s="781"/>
      <c r="J85" s="781"/>
      <c r="K85" s="787"/>
      <c r="L85" s="791"/>
      <c r="O85" s="538"/>
    </row>
    <row r="86" spans="1:17" s="724" customFormat="1" ht="12" customHeight="1">
      <c r="A86" s="752" t="s">
        <v>494</v>
      </c>
      <c r="B86" s="737"/>
      <c r="C86" s="737"/>
      <c r="D86" s="738"/>
      <c r="E86" s="738"/>
      <c r="F86" s="738"/>
      <c r="G86" s="738"/>
      <c r="H86" s="765"/>
      <c r="I86" s="739"/>
      <c r="J86" s="739"/>
      <c r="K86" s="739"/>
      <c r="L86" s="792"/>
      <c r="M86" s="735"/>
      <c r="N86" s="538"/>
      <c r="O86" s="538"/>
    </row>
    <row r="87" spans="1:17" s="724" customFormat="1" ht="12" customHeight="1">
      <c r="A87" s="775" t="s">
        <v>552</v>
      </c>
      <c r="B87" s="776"/>
      <c r="C87" s="793">
        <v>448500</v>
      </c>
      <c r="D87" s="765">
        <v>229000</v>
      </c>
      <c r="E87" s="765">
        <v>80583</v>
      </c>
      <c r="F87" s="765">
        <v>413000</v>
      </c>
      <c r="G87" s="753">
        <f>C87+D87+E87-F87</f>
        <v>345083</v>
      </c>
      <c r="H87" s="765">
        <v>24348</v>
      </c>
      <c r="I87" s="754">
        <f>ROUND(H87/$O$13*100,4)</f>
        <v>1.2823</v>
      </c>
      <c r="J87" s="772" t="e">
        <f>H87/'10.2-10.3'!#REF!*100</f>
        <v>#REF!</v>
      </c>
      <c r="K87" s="759">
        <f>G87/L87*100</f>
        <v>0.31545831009863701</v>
      </c>
      <c r="L87" s="407">
        <v>109391000</v>
      </c>
      <c r="M87" s="724">
        <v>2.0154999999999998</v>
      </c>
      <c r="N87" s="724">
        <v>2.3755751992360183</v>
      </c>
      <c r="O87" s="538"/>
      <c r="P87" s="724">
        <v>0.40999679132945915</v>
      </c>
    </row>
    <row r="88" spans="1:17" s="724" customFormat="1" ht="12" customHeight="1">
      <c r="A88" s="764"/>
      <c r="B88" s="764"/>
      <c r="C88" s="764"/>
      <c r="D88" s="765"/>
      <c r="E88" s="765"/>
      <c r="F88" s="765"/>
      <c r="G88" s="765"/>
      <c r="H88" s="765"/>
      <c r="I88" s="754"/>
      <c r="J88" s="754"/>
      <c r="K88" s="772"/>
      <c r="L88" s="791"/>
      <c r="O88" s="538"/>
    </row>
    <row r="89" spans="1:17" s="724" customFormat="1" ht="12" customHeight="1">
      <c r="A89" s="794" t="s">
        <v>495</v>
      </c>
      <c r="B89" s="795"/>
      <c r="C89" s="795"/>
      <c r="D89" s="738"/>
      <c r="E89" s="738"/>
      <c r="F89" s="738"/>
      <c r="G89" s="738"/>
      <c r="H89" s="738"/>
      <c r="I89" s="754"/>
      <c r="J89" s="754"/>
      <c r="K89" s="772"/>
      <c r="L89" s="792"/>
      <c r="M89" s="735"/>
      <c r="N89" s="736"/>
      <c r="O89" s="538"/>
    </row>
    <row r="90" spans="1:17" s="724" customFormat="1" ht="12" customHeight="1">
      <c r="A90" s="796" t="s">
        <v>336</v>
      </c>
      <c r="B90" s="796"/>
      <c r="C90" s="793">
        <v>816000</v>
      </c>
      <c r="D90" s="738">
        <v>77000</v>
      </c>
      <c r="E90" s="738">
        <v>0</v>
      </c>
      <c r="F90" s="738">
        <v>74000</v>
      </c>
      <c r="G90" s="753">
        <f>C90+D90+E90-F90</f>
        <v>819000</v>
      </c>
      <c r="H90" s="756">
        <v>58558.5</v>
      </c>
      <c r="I90" s="758">
        <v>4.24</v>
      </c>
      <c r="J90" s="758" t="e">
        <f>H90/'10.2-10.3'!#REF!*100</f>
        <v>#REF!</v>
      </c>
      <c r="K90" s="759">
        <f>G90/L90*100</f>
        <v>0.33356926740564441</v>
      </c>
      <c r="L90" s="760">
        <v>245526216</v>
      </c>
      <c r="M90" s="735">
        <v>4.2355</v>
      </c>
      <c r="N90" s="735">
        <v>4.9921548757494305</v>
      </c>
      <c r="O90" s="538"/>
      <c r="P90" s="724">
        <v>0.33234742361507652</v>
      </c>
    </row>
    <row r="91" spans="1:17" s="724" customFormat="1" ht="12" customHeight="1">
      <c r="A91" s="775" t="s">
        <v>576</v>
      </c>
      <c r="B91" s="776"/>
      <c r="C91" s="793">
        <v>60000</v>
      </c>
      <c r="D91" s="738">
        <v>562500</v>
      </c>
      <c r="E91" s="738">
        <v>0</v>
      </c>
      <c r="F91" s="738">
        <v>0</v>
      </c>
      <c r="G91" s="753">
        <f>C91+D91+E91-F91</f>
        <v>622500</v>
      </c>
      <c r="H91" s="761">
        <v>59056.600000000006</v>
      </c>
      <c r="I91" s="763">
        <f>ROUND(H91/$O$13*100,4)</f>
        <v>3.1101999999999999</v>
      </c>
      <c r="J91" s="763" t="e">
        <f>H91/'10.2-10.3'!#REF!*100</f>
        <v>#REF!</v>
      </c>
      <c r="K91" s="759">
        <f>G91/L91*100</f>
        <v>0.17704788227979651</v>
      </c>
      <c r="L91" s="760">
        <v>351599800</v>
      </c>
      <c r="M91" s="735">
        <v>0.54769999999999996</v>
      </c>
      <c r="N91" s="735">
        <v>0.64550398095320616</v>
      </c>
      <c r="O91" s="538"/>
      <c r="P91" s="724">
        <v>1.7064856123353879E-2</v>
      </c>
    </row>
    <row r="92" spans="1:17" s="724" customFormat="1" ht="12" customHeight="1">
      <c r="A92" s="775" t="s">
        <v>646</v>
      </c>
      <c r="B92" s="776"/>
      <c r="C92" s="793">
        <v>0</v>
      </c>
      <c r="D92" s="738">
        <v>10150</v>
      </c>
      <c r="E92" s="738">
        <v>0</v>
      </c>
      <c r="F92" s="738">
        <v>0</v>
      </c>
      <c r="G92" s="753">
        <f>C92+D92+E92-F92</f>
        <v>10150</v>
      </c>
      <c r="H92" s="769">
        <v>8627.5</v>
      </c>
      <c r="I92" s="771">
        <f>ROUND(H92/$O$13*100,4)</f>
        <v>0.45440000000000003</v>
      </c>
      <c r="J92" s="771" t="e">
        <f>H92/'10.2-10.3'!#REF!*100</f>
        <v>#REF!</v>
      </c>
      <c r="K92" s="759">
        <f>G92/L92*100</f>
        <v>8.4380819366852877E-2</v>
      </c>
      <c r="L92" s="760">
        <v>12028800</v>
      </c>
      <c r="M92" s="735"/>
      <c r="N92" s="735"/>
      <c r="O92" s="538"/>
    </row>
    <row r="93" spans="1:17" s="724" customFormat="1" ht="12" customHeight="1">
      <c r="A93" s="764"/>
      <c r="B93" s="764"/>
      <c r="C93" s="764"/>
      <c r="D93" s="738"/>
      <c r="E93" s="738"/>
      <c r="F93" s="738"/>
      <c r="G93" s="738"/>
      <c r="H93" s="738">
        <f>SUM(H90:H92)</f>
        <v>126242.6</v>
      </c>
      <c r="I93" s="738">
        <f>SUM(I90:I92)</f>
        <v>7.8045999999999998</v>
      </c>
      <c r="J93" s="738" t="e">
        <f>SUM(J90:J92)</f>
        <v>#REF!</v>
      </c>
      <c r="K93" s="772"/>
      <c r="L93" s="792"/>
      <c r="M93" s="735"/>
      <c r="N93" s="736"/>
      <c r="O93" s="538"/>
    </row>
    <row r="94" spans="1:17" s="724" customFormat="1" ht="12" customHeight="1">
      <c r="A94" s="797" t="s">
        <v>496</v>
      </c>
      <c r="B94" s="796"/>
      <c r="C94" s="796"/>
      <c r="D94" s="738"/>
      <c r="E94" s="738"/>
      <c r="F94" s="738"/>
      <c r="G94" s="738"/>
      <c r="H94" s="738"/>
      <c r="I94" s="754"/>
      <c r="J94" s="754"/>
      <c r="K94" s="772"/>
      <c r="L94" s="792"/>
      <c r="M94" s="735"/>
      <c r="N94" s="735"/>
      <c r="O94" s="538"/>
    </row>
    <row r="95" spans="1:17" s="724" customFormat="1" ht="12" customHeight="1">
      <c r="A95" s="737" t="s">
        <v>337</v>
      </c>
      <c r="B95" s="752"/>
      <c r="C95" s="793">
        <v>15500</v>
      </c>
      <c r="D95" s="765">
        <v>14450</v>
      </c>
      <c r="E95" s="765">
        <v>0</v>
      </c>
      <c r="F95" s="765">
        <v>2000</v>
      </c>
      <c r="G95" s="753">
        <f>C95+D95+E95-F95</f>
        <v>27950</v>
      </c>
      <c r="H95" s="756">
        <v>30937.899999999998</v>
      </c>
      <c r="I95" s="758">
        <f>ROUND(H95/$O$13*100,4)</f>
        <v>1.6293</v>
      </c>
      <c r="J95" s="758" t="e">
        <f>H95/'10.2-10.3'!#REF!*100</f>
        <v>#REF!</v>
      </c>
      <c r="K95" s="759">
        <f>G95/L95*100</f>
        <v>9.2590138736136335E-2</v>
      </c>
      <c r="L95" s="760">
        <v>30186800</v>
      </c>
      <c r="M95" s="724">
        <v>0.79210000000000003</v>
      </c>
      <c r="N95" s="724">
        <v>0.93359803956654974</v>
      </c>
      <c r="O95" s="538"/>
      <c r="P95" s="724">
        <v>5.1346946347410126E-2</v>
      </c>
      <c r="Q95" s="724">
        <v>3.5</v>
      </c>
    </row>
    <row r="96" spans="1:17" s="724" customFormat="1" ht="12" customHeight="1">
      <c r="A96" s="737" t="s">
        <v>497</v>
      </c>
      <c r="B96" s="737"/>
      <c r="C96" s="793">
        <v>6000</v>
      </c>
      <c r="D96" s="738">
        <v>0</v>
      </c>
      <c r="E96" s="738">
        <v>0</v>
      </c>
      <c r="F96" s="738">
        <v>0</v>
      </c>
      <c r="G96" s="753">
        <f>C96+D96+E96-F96</f>
        <v>6000</v>
      </c>
      <c r="H96" s="761">
        <v>3810</v>
      </c>
      <c r="I96" s="763">
        <f>ROUND(H96/$O$13*100,4)</f>
        <v>0.20069999999999999</v>
      </c>
      <c r="J96" s="763" t="e">
        <f>H96/'10.2-10.3'!#REF!*100</f>
        <v>#REF!</v>
      </c>
      <c r="K96" s="759">
        <f>G96/L96*100</f>
        <v>6.1286839774750438E-3</v>
      </c>
      <c r="L96" s="760">
        <v>97900300</v>
      </c>
      <c r="M96" s="735">
        <v>0.31990000000000002</v>
      </c>
      <c r="N96" s="736">
        <v>0.37709336733828963</v>
      </c>
      <c r="O96" s="538"/>
      <c r="P96" s="724">
        <v>6.1286839774750438E-3</v>
      </c>
    </row>
    <row r="97" spans="1:16" s="724" customFormat="1" ht="12" customHeight="1">
      <c r="A97" s="764" t="s">
        <v>498</v>
      </c>
      <c r="B97" s="764"/>
      <c r="C97" s="793">
        <v>37000</v>
      </c>
      <c r="D97" s="738">
        <v>26000</v>
      </c>
      <c r="E97" s="738">
        <v>5640</v>
      </c>
      <c r="F97" s="738">
        <v>16800</v>
      </c>
      <c r="G97" s="753">
        <f>C97+D97+E97-F97</f>
        <v>51840</v>
      </c>
      <c r="H97" s="769">
        <v>21631</v>
      </c>
      <c r="I97" s="771">
        <f>ROUND(H97/$O$13*100,4)</f>
        <v>1.1392</v>
      </c>
      <c r="J97" s="771" t="e">
        <f>H97/'10.2-10.3'!#REF!*100</f>
        <v>#REF!</v>
      </c>
      <c r="K97" s="759">
        <f>G97/L97*100</f>
        <v>6.039093343833403E-2</v>
      </c>
      <c r="L97" s="407">
        <v>85840700</v>
      </c>
      <c r="M97" s="735">
        <v>0.94810000000000005</v>
      </c>
      <c r="N97" s="736">
        <v>1.1175299442647715</v>
      </c>
      <c r="O97" s="538"/>
      <c r="P97" s="724">
        <v>4.3103096782761557E-2</v>
      </c>
    </row>
    <row r="98" spans="1:16" s="724" customFormat="1" ht="12" customHeight="1">
      <c r="A98" s="764"/>
      <c r="B98" s="764"/>
      <c r="C98" s="764"/>
      <c r="D98" s="738"/>
      <c r="E98" s="738"/>
      <c r="F98" s="738"/>
      <c r="G98" s="738"/>
      <c r="H98" s="738">
        <f>SUM(H95:H97)</f>
        <v>56378.899999999994</v>
      </c>
      <c r="I98" s="772">
        <f>SUM(I95:I97)</f>
        <v>2.9691999999999998</v>
      </c>
      <c r="J98" s="772" t="e">
        <f>SUM(J95:J97)</f>
        <v>#REF!</v>
      </c>
      <c r="K98" s="772"/>
      <c r="L98" s="792"/>
      <c r="M98" s="735"/>
      <c r="N98" s="736"/>
      <c r="O98" s="538"/>
    </row>
    <row r="99" spans="1:16" s="724" customFormat="1" ht="12" customHeight="1">
      <c r="A99" s="774" t="s">
        <v>499</v>
      </c>
      <c r="B99" s="764"/>
      <c r="C99" s="764"/>
      <c r="D99" s="738"/>
      <c r="E99" s="738"/>
      <c r="F99" s="738"/>
      <c r="G99" s="738"/>
      <c r="H99" s="738"/>
      <c r="I99" s="754"/>
      <c r="J99" s="754"/>
      <c r="K99" s="772"/>
      <c r="L99" s="792"/>
      <c r="M99" s="735"/>
      <c r="N99" s="736"/>
      <c r="O99" s="538"/>
    </row>
    <row r="100" spans="1:16" s="724" customFormat="1" ht="12" customHeight="1">
      <c r="A100" s="764" t="s">
        <v>338</v>
      </c>
      <c r="B100" s="764"/>
      <c r="C100" s="773">
        <v>386000</v>
      </c>
      <c r="D100" s="738">
        <v>823500</v>
      </c>
      <c r="E100" s="738">
        <v>0</v>
      </c>
      <c r="F100" s="738">
        <v>177500</v>
      </c>
      <c r="G100" s="753">
        <f>C100+D100+E100-F100</f>
        <v>1032000</v>
      </c>
      <c r="H100" s="738">
        <v>42105.600000000006</v>
      </c>
      <c r="I100" s="754">
        <f>ROUND(H100/$O$13*100,4)</f>
        <v>2.2174999999999998</v>
      </c>
      <c r="J100" s="772" t="e">
        <f>H100/'10.2-10.3'!#REF!*100</f>
        <v>#REF!</v>
      </c>
      <c r="K100" s="759">
        <f>G100/L100*100</f>
        <v>0.97635462108074544</v>
      </c>
      <c r="L100" s="760">
        <v>105699299.99999997</v>
      </c>
      <c r="M100" s="735">
        <v>1.0311999999999999</v>
      </c>
      <c r="N100" s="736">
        <v>1.2153820942808762</v>
      </c>
      <c r="O100" s="538"/>
      <c r="P100" s="724">
        <v>0.36518690284609268</v>
      </c>
    </row>
    <row r="101" spans="1:16" s="724" customFormat="1" ht="12" customHeight="1">
      <c r="A101" s="764" t="s">
        <v>643</v>
      </c>
      <c r="B101" s="764"/>
      <c r="C101" s="773">
        <v>0</v>
      </c>
      <c r="D101" s="738">
        <v>2152000</v>
      </c>
      <c r="E101" s="738">
        <v>0</v>
      </c>
      <c r="F101" s="738">
        <v>652000</v>
      </c>
      <c r="G101" s="753">
        <f>C101+D101+E101-F101</f>
        <v>1500000</v>
      </c>
      <c r="H101" s="738">
        <v>24735</v>
      </c>
      <c r="I101" s="754">
        <f>ROUND(H101/$O$13*100,4)</f>
        <v>1.3027</v>
      </c>
      <c r="J101" s="772" t="e">
        <f>H101/'10.2-10.3'!#REF!*100</f>
        <v>#REF!</v>
      </c>
      <c r="K101" s="759">
        <f>G101/L101*100</f>
        <v>3.9745627980922099E-2</v>
      </c>
      <c r="L101" s="760">
        <v>3774000000</v>
      </c>
      <c r="M101" s="735"/>
      <c r="N101" s="736"/>
      <c r="O101" s="538"/>
    </row>
    <row r="102" spans="1:16" s="724" customFormat="1" ht="12" customHeight="1">
      <c r="A102" s="752"/>
      <c r="B102" s="752"/>
      <c r="C102" s="752"/>
      <c r="D102" s="738"/>
      <c r="E102" s="738"/>
      <c r="F102" s="738"/>
      <c r="G102" s="738"/>
      <c r="H102" s="738"/>
      <c r="I102" s="754"/>
      <c r="J102" s="754"/>
      <c r="K102" s="772"/>
      <c r="L102" s="792"/>
      <c r="M102" s="735"/>
      <c r="N102" s="736"/>
      <c r="O102" s="538"/>
    </row>
    <row r="103" spans="1:16" s="724" customFormat="1" ht="12" customHeight="1">
      <c r="A103" s="752" t="s">
        <v>500</v>
      </c>
      <c r="B103" s="737"/>
      <c r="C103" s="737"/>
      <c r="D103" s="738"/>
      <c r="E103" s="738"/>
      <c r="F103" s="738"/>
      <c r="G103" s="738"/>
      <c r="H103" s="738"/>
      <c r="I103" s="754"/>
      <c r="J103" s="754"/>
      <c r="K103" s="772"/>
      <c r="L103" s="792"/>
      <c r="M103" s="735"/>
      <c r="N103" s="736"/>
      <c r="O103" s="538"/>
    </row>
    <row r="104" spans="1:16" s="724" customFormat="1" ht="12" customHeight="1">
      <c r="A104" s="764" t="s">
        <v>126</v>
      </c>
      <c r="B104" s="764"/>
      <c r="C104" s="793">
        <v>644500</v>
      </c>
      <c r="D104" s="738">
        <v>318500</v>
      </c>
      <c r="E104" s="738">
        <v>0</v>
      </c>
      <c r="F104" s="738">
        <v>405000</v>
      </c>
      <c r="G104" s="753">
        <f>C104+D104+E104-F104</f>
        <v>558000</v>
      </c>
      <c r="H104" s="756">
        <v>57250.799999999996</v>
      </c>
      <c r="I104" s="758">
        <v>4.82</v>
      </c>
      <c r="J104" s="758">
        <v>5.68</v>
      </c>
      <c r="K104" s="759">
        <f>G104/L104*100</f>
        <v>4.8221741195470541E-2</v>
      </c>
      <c r="L104" s="760">
        <v>1157154400</v>
      </c>
      <c r="M104" s="735">
        <v>4.8186999999999998</v>
      </c>
      <c r="N104" s="736">
        <v>5.6795685840916326</v>
      </c>
      <c r="O104" s="538"/>
      <c r="P104" s="724">
        <v>5.5696975269678789E-2</v>
      </c>
    </row>
    <row r="105" spans="1:16" s="724" customFormat="1" ht="12" customHeight="1">
      <c r="A105" s="764" t="s">
        <v>181</v>
      </c>
      <c r="B105" s="764"/>
      <c r="C105" s="793">
        <v>556000</v>
      </c>
      <c r="D105" s="738">
        <v>75000</v>
      </c>
      <c r="E105" s="738">
        <v>0</v>
      </c>
      <c r="F105" s="738">
        <v>73500</v>
      </c>
      <c r="G105" s="753">
        <f>C105+D105+E105-F105</f>
        <v>557500</v>
      </c>
      <c r="H105" s="761">
        <v>45157.5</v>
      </c>
      <c r="I105" s="763">
        <v>3.82</v>
      </c>
      <c r="J105" s="763">
        <v>4.51</v>
      </c>
      <c r="K105" s="759">
        <f>G105/L105*100</f>
        <v>6.3334049793854763E-2</v>
      </c>
      <c r="L105" s="760">
        <v>880253200</v>
      </c>
      <c r="M105" s="735">
        <v>3.8224</v>
      </c>
      <c r="N105" s="736">
        <v>4.5053427838983771</v>
      </c>
      <c r="O105" s="538"/>
      <c r="P105" s="724">
        <v>6.3163644278714348E-2</v>
      </c>
    </row>
    <row r="106" spans="1:16" s="724" customFormat="1" ht="12" customHeight="1">
      <c r="A106" s="775" t="s">
        <v>519</v>
      </c>
      <c r="B106" s="775"/>
      <c r="C106" s="793">
        <v>500000</v>
      </c>
      <c r="D106" s="738">
        <v>2506500</v>
      </c>
      <c r="E106" s="788">
        <v>0</v>
      </c>
      <c r="F106" s="788">
        <v>0</v>
      </c>
      <c r="G106" s="753">
        <f>C106+D106+E106-F106</f>
        <v>3006500</v>
      </c>
      <c r="H106" s="798">
        <v>22368.400000000001</v>
      </c>
      <c r="I106" s="763">
        <v>0.34</v>
      </c>
      <c r="J106" s="763">
        <v>0.4</v>
      </c>
      <c r="K106" s="759">
        <f>G106/L106*100</f>
        <v>0.13266612399978059</v>
      </c>
      <c r="L106" s="760">
        <v>2266215300</v>
      </c>
      <c r="M106" s="735">
        <v>0.33639999999999998</v>
      </c>
      <c r="N106" s="735">
        <v>0.3964942748487012</v>
      </c>
      <c r="O106" s="538"/>
      <c r="P106" s="724">
        <v>1.8105974558788179E-3</v>
      </c>
    </row>
    <row r="107" spans="1:16" s="724" customFormat="1" ht="12" customHeight="1">
      <c r="A107" s="766" t="s">
        <v>339</v>
      </c>
      <c r="B107" s="799"/>
      <c r="C107" s="793">
        <v>281500</v>
      </c>
      <c r="D107" s="800">
        <v>0</v>
      </c>
      <c r="E107" s="800">
        <v>0</v>
      </c>
      <c r="F107" s="800">
        <v>281500</v>
      </c>
      <c r="G107" s="753">
        <f>C107+D107+E107-F107</f>
        <v>0</v>
      </c>
      <c r="H107" s="798">
        <v>0</v>
      </c>
      <c r="I107" s="763">
        <v>0.69</v>
      </c>
      <c r="J107" s="763">
        <v>0.81</v>
      </c>
      <c r="K107" s="759">
        <f>G107/L107*100</f>
        <v>0</v>
      </c>
      <c r="L107" s="760">
        <v>379838700</v>
      </c>
      <c r="M107" s="735">
        <v>0.68610000000000004</v>
      </c>
      <c r="N107" s="735">
        <v>0.80862229070093783</v>
      </c>
      <c r="O107" s="538"/>
      <c r="P107" s="724">
        <v>7.4110405285190792E-2</v>
      </c>
    </row>
    <row r="108" spans="1:16" s="724" customFormat="1" ht="12" customHeight="1">
      <c r="A108" s="766" t="s">
        <v>501</v>
      </c>
      <c r="B108" s="799"/>
      <c r="C108" s="793">
        <v>0</v>
      </c>
      <c r="D108" s="801">
        <v>956000</v>
      </c>
      <c r="E108" s="801">
        <v>0</v>
      </c>
      <c r="F108" s="405">
        <v>283500</v>
      </c>
      <c r="G108" s="753">
        <f>D108+E108-F108</f>
        <v>672500</v>
      </c>
      <c r="H108" s="802">
        <v>19791.699999999997</v>
      </c>
      <c r="I108" s="771">
        <f>ROUND(H108/$O$13*100,4)</f>
        <v>1.0423</v>
      </c>
      <c r="J108" s="771" t="e">
        <f>H108/'10.2-10.3'!#REF!*100</f>
        <v>#REF!</v>
      </c>
      <c r="K108" s="759">
        <f>G108/L108*100</f>
        <v>0.1807399722910169</v>
      </c>
      <c r="L108" s="768">
        <v>372081500</v>
      </c>
      <c r="M108" s="724">
        <v>0</v>
      </c>
      <c r="N108" s="724">
        <v>0</v>
      </c>
      <c r="O108" s="538"/>
      <c r="P108" s="724">
        <v>0</v>
      </c>
    </row>
    <row r="109" spans="1:16" s="724" customFormat="1" ht="12" customHeight="1">
      <c r="A109" s="725"/>
      <c r="B109" s="725"/>
      <c r="C109" s="725"/>
      <c r="D109" s="405"/>
      <c r="E109" s="405"/>
      <c r="F109" s="405"/>
      <c r="G109" s="405"/>
      <c r="H109" s="405">
        <f>SUM(H104:H108)</f>
        <v>144568.39999999997</v>
      </c>
      <c r="I109" s="413">
        <f>SUM(I104:I108)</f>
        <v>10.712299999999999</v>
      </c>
      <c r="J109" s="413" t="e">
        <f>SUM(J104:J108)</f>
        <v>#REF!</v>
      </c>
      <c r="K109" s="803"/>
      <c r="L109" s="791"/>
      <c r="O109" s="538"/>
    </row>
    <row r="110" spans="1:16" s="724" customFormat="1" ht="12" customHeight="1">
      <c r="A110" s="804" t="s">
        <v>502</v>
      </c>
      <c r="B110" s="414"/>
      <c r="C110" s="414"/>
      <c r="D110" s="405"/>
      <c r="E110" s="405"/>
      <c r="F110" s="405"/>
      <c r="G110" s="405"/>
      <c r="H110" s="405"/>
      <c r="I110" s="413"/>
      <c r="J110" s="413"/>
      <c r="K110" s="803"/>
      <c r="L110" s="791"/>
      <c r="O110" s="538"/>
    </row>
    <row r="111" spans="1:16" s="724" customFormat="1" ht="12" customHeight="1">
      <c r="A111" s="414" t="s">
        <v>340</v>
      </c>
      <c r="B111" s="414"/>
      <c r="C111" s="805">
        <v>69500</v>
      </c>
      <c r="D111" s="405">
        <v>240000</v>
      </c>
      <c r="E111" s="405">
        <v>0</v>
      </c>
      <c r="F111" s="405">
        <v>0</v>
      </c>
      <c r="G111" s="753">
        <f>C111+D111+E111-F111</f>
        <v>309500</v>
      </c>
      <c r="H111" s="405">
        <v>14159.599999999999</v>
      </c>
      <c r="I111" s="754">
        <f>ROUND(H111/$O$13*100,4)</f>
        <v>0.74570000000000003</v>
      </c>
      <c r="J111" s="772" t="e">
        <f>H111/'10.2-10.3'!#REF!*100</f>
        <v>#REF!</v>
      </c>
      <c r="K111" s="759">
        <f>G111/L111*100</f>
        <v>3.0865493365714008E-2</v>
      </c>
      <c r="L111" s="760">
        <v>1002737900</v>
      </c>
      <c r="M111" s="724">
        <v>0.22770000000000001</v>
      </c>
      <c r="N111" s="724">
        <v>0.26841061361491647</v>
      </c>
      <c r="O111" s="538"/>
      <c r="P111" s="724">
        <v>6.9310235506207553E-3</v>
      </c>
    </row>
    <row r="112" spans="1:16" s="724" customFormat="1" ht="12" customHeight="1">
      <c r="A112" s="414"/>
      <c r="B112" s="414"/>
      <c r="C112" s="414"/>
      <c r="D112" s="405"/>
      <c r="E112" s="405"/>
      <c r="F112" s="405"/>
      <c r="G112" s="405"/>
      <c r="H112" s="405"/>
      <c r="I112" s="413"/>
      <c r="J112" s="413"/>
      <c r="K112" s="803"/>
      <c r="L112" s="791"/>
      <c r="O112" s="538"/>
    </row>
    <row r="113" spans="1:16" s="724" customFormat="1" ht="12" customHeight="1">
      <c r="A113" s="804" t="s">
        <v>503</v>
      </c>
      <c r="B113" s="414"/>
      <c r="C113" s="414"/>
      <c r="D113" s="405"/>
      <c r="E113" s="405"/>
      <c r="F113" s="405"/>
      <c r="G113" s="405"/>
      <c r="H113" s="405"/>
      <c r="I113" s="413"/>
      <c r="J113" s="413"/>
      <c r="K113" s="803"/>
      <c r="L113" s="791"/>
      <c r="O113" s="538"/>
    </row>
    <row r="114" spans="1:16" s="724" customFormat="1" ht="12" customHeight="1">
      <c r="A114" s="414" t="s">
        <v>575</v>
      </c>
      <c r="B114" s="414"/>
      <c r="C114" s="805">
        <v>500000</v>
      </c>
      <c r="D114" s="405">
        <v>1300500</v>
      </c>
      <c r="E114" s="405">
        <v>0</v>
      </c>
      <c r="F114" s="405">
        <v>1800500</v>
      </c>
      <c r="G114" s="753">
        <f>C114+D114+E114-F114</f>
        <v>0</v>
      </c>
      <c r="H114" s="405">
        <v>0</v>
      </c>
      <c r="I114" s="754">
        <f>ROUND(H114/$O$13*100,4)</f>
        <v>0</v>
      </c>
      <c r="J114" s="772" t="e">
        <f>H114/'10.2-10.3'!#REF!*100</f>
        <v>#REF!</v>
      </c>
      <c r="K114" s="759">
        <f>G114/L114*100</f>
        <v>0</v>
      </c>
      <c r="L114" s="760">
        <v>634216600</v>
      </c>
      <c r="M114" s="724">
        <v>1.0643</v>
      </c>
      <c r="N114" s="724">
        <v>1.2544664467897149</v>
      </c>
      <c r="O114" s="538"/>
      <c r="P114" s="724">
        <v>7.8837419266540809E-2</v>
      </c>
    </row>
    <row r="115" spans="1:16" s="724" customFormat="1" ht="12" customHeight="1">
      <c r="A115" s="414"/>
      <c r="B115" s="414"/>
      <c r="C115" s="414"/>
      <c r="D115" s="405"/>
      <c r="E115" s="405"/>
      <c r="F115" s="405"/>
      <c r="G115" s="405"/>
      <c r="H115" s="405"/>
      <c r="I115" s="413"/>
      <c r="J115" s="413"/>
      <c r="K115" s="803"/>
      <c r="L115" s="791"/>
      <c r="O115" s="538"/>
    </row>
    <row r="116" spans="1:16" s="724" customFormat="1" ht="12" customHeight="1">
      <c r="A116" s="804" t="s">
        <v>504</v>
      </c>
      <c r="B116" s="414"/>
      <c r="C116" s="414"/>
      <c r="D116" s="405"/>
      <c r="E116" s="405"/>
      <c r="F116" s="405"/>
      <c r="G116" s="405"/>
      <c r="H116" s="405"/>
      <c r="I116" s="413"/>
      <c r="J116" s="413"/>
      <c r="K116" s="803"/>
      <c r="L116" s="791"/>
      <c r="O116" s="538"/>
    </row>
    <row r="117" spans="1:16" s="724" customFormat="1" ht="12" customHeight="1">
      <c r="A117" s="414" t="s">
        <v>505</v>
      </c>
      <c r="B117" s="414"/>
      <c r="C117" s="805">
        <v>0</v>
      </c>
      <c r="D117" s="405">
        <v>291500</v>
      </c>
      <c r="E117" s="405">
        <v>0</v>
      </c>
      <c r="F117" s="405">
        <v>29000</v>
      </c>
      <c r="G117" s="753">
        <f>C117+D117+E117-F117</f>
        <v>262500</v>
      </c>
      <c r="H117" s="405">
        <v>32647.100000000002</v>
      </c>
      <c r="I117" s="754">
        <f>ROUND(H117/$O$13*100,4)</f>
        <v>1.7194</v>
      </c>
      <c r="J117" s="772" t="e">
        <f>H117/'10.2-10.3'!#REF!*100</f>
        <v>#REF!</v>
      </c>
      <c r="K117" s="759">
        <f>G117/L117*100</f>
        <v>0.33813162068958991</v>
      </c>
      <c r="L117" s="760">
        <v>77632491</v>
      </c>
      <c r="M117" s="724">
        <v>0</v>
      </c>
      <c r="N117" s="724">
        <v>0</v>
      </c>
      <c r="O117" s="538"/>
      <c r="P117" s="724">
        <v>0</v>
      </c>
    </row>
    <row r="118" spans="1:16" s="724" customFormat="1" ht="12" customHeight="1">
      <c r="A118" s="414"/>
      <c r="B118" s="414"/>
      <c r="C118" s="414"/>
      <c r="D118" s="414"/>
      <c r="E118" s="414"/>
      <c r="F118" s="414"/>
      <c r="G118" s="414"/>
      <c r="H118" s="414"/>
      <c r="I118" s="413"/>
      <c r="J118" s="413"/>
      <c r="K118" s="803"/>
      <c r="L118" s="760"/>
      <c r="M118" s="783">
        <f>SUM(M22:M117)</f>
        <v>345168.84240000002</v>
      </c>
      <c r="N118" s="783">
        <f>SUM(N22:N117)</f>
        <v>99.999999999999972</v>
      </c>
      <c r="O118" s="538"/>
    </row>
    <row r="119" spans="1:16" s="724" customFormat="1" ht="12" customHeight="1">
      <c r="A119" s="804" t="s">
        <v>637</v>
      </c>
      <c r="B119" s="414"/>
      <c r="C119" s="414"/>
      <c r="D119" s="414"/>
      <c r="E119" s="414"/>
      <c r="F119" s="414"/>
      <c r="G119" s="414"/>
      <c r="H119" s="414"/>
      <c r="I119" s="413"/>
      <c r="J119" s="413"/>
      <c r="K119" s="803"/>
      <c r="L119" s="791"/>
      <c r="M119" s="783"/>
      <c r="N119" s="783"/>
      <c r="O119" s="538"/>
    </row>
    <row r="120" spans="1:16" s="724" customFormat="1" ht="12" customHeight="1">
      <c r="A120" s="414" t="s">
        <v>638</v>
      </c>
      <c r="B120" s="414"/>
      <c r="C120" s="405">
        <v>0</v>
      </c>
      <c r="D120" s="405">
        <v>485000</v>
      </c>
      <c r="E120" s="405">
        <v>169750</v>
      </c>
      <c r="F120" s="405">
        <v>0</v>
      </c>
      <c r="G120" s="753">
        <f>C120+D120+E120-F120</f>
        <v>654750</v>
      </c>
      <c r="H120" s="405">
        <v>40712.400000000001</v>
      </c>
      <c r="I120" s="754">
        <f>ROUND(H120/$O$13*100,4)</f>
        <v>2.1440999999999999</v>
      </c>
      <c r="J120" s="772" t="e">
        <f>H120/'10.2-10.3'!#REF!*100</f>
        <v>#REF!</v>
      </c>
      <c r="K120" s="759">
        <f>G120/L120*100</f>
        <v>0.52981715033045174</v>
      </c>
      <c r="L120" s="760">
        <v>123580371</v>
      </c>
      <c r="M120" s="783"/>
      <c r="N120" s="783"/>
      <c r="O120" s="538"/>
    </row>
    <row r="121" spans="1:16" s="724" customFormat="1" ht="12" customHeight="1">
      <c r="A121" s="414"/>
      <c r="B121" s="414"/>
      <c r="C121" s="405"/>
      <c r="D121" s="405"/>
      <c r="E121" s="405"/>
      <c r="F121" s="405"/>
      <c r="G121" s="753"/>
      <c r="H121" s="414"/>
      <c r="I121" s="413"/>
      <c r="J121" s="413"/>
      <c r="K121" s="803"/>
      <c r="L121" s="791"/>
      <c r="M121" s="783"/>
      <c r="N121" s="783"/>
      <c r="O121" s="538"/>
    </row>
    <row r="122" spans="1:16" s="724" customFormat="1" ht="12" customHeight="1">
      <c r="A122" s="804" t="s">
        <v>641</v>
      </c>
      <c r="B122" s="414"/>
      <c r="C122" s="405"/>
      <c r="D122" s="405"/>
      <c r="E122" s="405"/>
      <c r="F122" s="405"/>
      <c r="G122" s="753"/>
      <c r="H122" s="414"/>
      <c r="I122" s="413"/>
      <c r="J122" s="772" t="e">
        <f>H122/'10.2-10.3'!#REF!*100</f>
        <v>#REF!</v>
      </c>
      <c r="K122" s="803"/>
      <c r="L122" s="791"/>
      <c r="M122" s="783"/>
      <c r="N122" s="783"/>
      <c r="O122" s="538"/>
    </row>
    <row r="123" spans="1:16" s="724" customFormat="1" ht="12" customHeight="1">
      <c r="A123" s="414" t="s">
        <v>642</v>
      </c>
      <c r="B123" s="414"/>
      <c r="C123" s="405">
        <v>0</v>
      </c>
      <c r="D123" s="405">
        <v>206800</v>
      </c>
      <c r="E123" s="405">
        <v>0</v>
      </c>
      <c r="F123" s="405">
        <v>2800</v>
      </c>
      <c r="G123" s="753">
        <f>C123+D123+E123-F123</f>
        <v>204000</v>
      </c>
      <c r="H123" s="405">
        <v>18156</v>
      </c>
      <c r="I123" s="754">
        <f>ROUND(H123/$O$13*100,4)</f>
        <v>0.95620000000000005</v>
      </c>
      <c r="J123" s="413"/>
      <c r="K123" s="759">
        <f>G123/L123*100</f>
        <v>0.15447130831746217</v>
      </c>
      <c r="L123" s="740">
        <v>132063360</v>
      </c>
      <c r="M123" s="783"/>
      <c r="N123" s="783"/>
      <c r="O123" s="538"/>
    </row>
    <row r="124" spans="1:16" s="724" customFormat="1" ht="12" customHeight="1">
      <c r="A124" s="414"/>
      <c r="B124" s="414"/>
      <c r="C124" s="405"/>
      <c r="D124" s="405"/>
      <c r="E124" s="405"/>
      <c r="F124" s="405"/>
      <c r="G124" s="753"/>
      <c r="H124" s="414"/>
      <c r="I124" s="413"/>
      <c r="J124" s="413"/>
      <c r="K124" s="803"/>
      <c r="L124" s="791"/>
      <c r="M124" s="783"/>
      <c r="N124" s="783"/>
      <c r="O124" s="538"/>
    </row>
    <row r="125" spans="1:16" s="724" customFormat="1" ht="12" customHeight="1">
      <c r="A125" s="804" t="s">
        <v>644</v>
      </c>
      <c r="B125" s="414"/>
      <c r="C125" s="405"/>
      <c r="D125" s="405"/>
      <c r="E125" s="405"/>
      <c r="F125" s="405"/>
      <c r="G125" s="753"/>
      <c r="H125" s="414"/>
      <c r="I125" s="413"/>
      <c r="J125" s="413"/>
      <c r="K125" s="803"/>
      <c r="L125" s="791"/>
      <c r="M125" s="783"/>
      <c r="N125" s="783"/>
      <c r="O125" s="538"/>
    </row>
    <row r="126" spans="1:16" s="724" customFormat="1" ht="12" customHeight="1">
      <c r="A126" s="414" t="s">
        <v>645</v>
      </c>
      <c r="B126" s="414"/>
      <c r="C126" s="405">
        <v>0</v>
      </c>
      <c r="D126" s="405">
        <v>21000</v>
      </c>
      <c r="E126" s="405">
        <v>0</v>
      </c>
      <c r="F126" s="405">
        <v>0</v>
      </c>
      <c r="G126" s="753">
        <f>C126+D126+E126-F126</f>
        <v>21000</v>
      </c>
      <c r="H126" s="405">
        <v>12845.9</v>
      </c>
      <c r="I126" s="754">
        <f>ROUND(H126/$O$13*100,4)</f>
        <v>0.67649999999999999</v>
      </c>
      <c r="J126" s="772" t="e">
        <f>H126/'10.2-10.3'!#REF!*100</f>
        <v>#REF!</v>
      </c>
      <c r="K126" s="759">
        <f>G126/L126*100</f>
        <v>0.26296018031555224</v>
      </c>
      <c r="L126" s="740">
        <v>7986000</v>
      </c>
      <c r="M126" s="783"/>
      <c r="N126" s="783"/>
      <c r="O126" s="538"/>
    </row>
    <row r="127" spans="1:16" s="724" customFormat="1" ht="12" customHeight="1">
      <c r="A127" s="414"/>
      <c r="B127" s="414"/>
      <c r="C127" s="405"/>
      <c r="D127" s="405"/>
      <c r="E127" s="405"/>
      <c r="F127" s="405"/>
      <c r="G127" s="753"/>
      <c r="H127" s="414"/>
      <c r="I127" s="413"/>
      <c r="J127" s="413"/>
      <c r="K127" s="803"/>
      <c r="L127" s="791"/>
      <c r="M127" s="783"/>
      <c r="N127" s="783"/>
      <c r="O127" s="538"/>
    </row>
    <row r="128" spans="1:16" s="724" customFormat="1" ht="12" customHeight="1">
      <c r="A128" s="414"/>
      <c r="B128" s="414"/>
      <c r="C128" s="414"/>
      <c r="D128" s="414"/>
      <c r="E128" s="414"/>
      <c r="F128" s="414"/>
      <c r="G128" s="414"/>
      <c r="H128" s="414"/>
      <c r="I128" s="413"/>
      <c r="J128" s="413"/>
      <c r="K128" s="803"/>
      <c r="L128" s="791"/>
      <c r="M128" s="783"/>
      <c r="N128" s="783"/>
      <c r="O128" s="538"/>
    </row>
    <row r="129" spans="1:15" s="724" customFormat="1" ht="12" customHeight="1" thickBot="1">
      <c r="A129" s="799" t="s">
        <v>376</v>
      </c>
      <c r="B129" s="414"/>
      <c r="C129" s="414"/>
      <c r="D129" s="414"/>
      <c r="E129" s="414"/>
      <c r="F129" s="414"/>
      <c r="G129" s="806">
        <f>SUM(G84:G127)</f>
        <v>21388671</v>
      </c>
      <c r="H129" s="806">
        <f>H84+H87+H93+H98+H100+H109+H111+H114+H117+H120+H123+H126+H101-1</f>
        <v>1763906.9</v>
      </c>
      <c r="I129" s="807">
        <f>I84+I87+I93+I98+I100+I109+I111+I114+I117</f>
        <v>90.745899999999992</v>
      </c>
      <c r="J129" s="807" t="e">
        <f>J84+J87+J93+J98+J100+J109+J111+J114+J117</f>
        <v>#REF!</v>
      </c>
      <c r="K129" s="772"/>
      <c r="O129" s="538"/>
    </row>
    <row r="130" spans="1:15" s="724" customFormat="1" ht="12" customHeight="1" thickTop="1">
      <c r="A130" s="799"/>
      <c r="B130" s="414"/>
      <c r="C130" s="414"/>
      <c r="D130" s="414"/>
      <c r="E130" s="414"/>
      <c r="F130" s="414"/>
      <c r="G130" s="808"/>
      <c r="H130" s="808"/>
      <c r="I130" s="730"/>
      <c r="J130" s="730"/>
      <c r="K130" s="809"/>
      <c r="O130" s="538"/>
    </row>
    <row r="131" spans="1:15" s="724" customFormat="1" ht="12" customHeight="1" thickBot="1">
      <c r="A131" s="799" t="s">
        <v>341</v>
      </c>
      <c r="B131" s="414"/>
      <c r="C131" s="414"/>
      <c r="D131" s="414"/>
      <c r="E131" s="414"/>
      <c r="F131" s="414"/>
      <c r="G131" s="414"/>
      <c r="H131" s="810">
        <v>1772797.3</v>
      </c>
      <c r="I131" s="811"/>
      <c r="J131" s="414"/>
      <c r="K131" s="414"/>
      <c r="M131" s="783"/>
      <c r="O131" s="538"/>
    </row>
    <row r="132" spans="1:15" s="747" customFormat="1" ht="12" thickTop="1">
      <c r="A132" s="741"/>
      <c r="B132" s="742"/>
      <c r="C132" s="742"/>
      <c r="D132" s="743"/>
      <c r="E132" s="743"/>
      <c r="F132" s="743"/>
      <c r="G132" s="744"/>
      <c r="H132" s="745"/>
      <c r="I132" s="746"/>
      <c r="J132" s="746"/>
      <c r="K132" s="746"/>
    </row>
    <row r="176" spans="1:15" s="746" customFormat="1">
      <c r="A176" s="414"/>
      <c r="B176" s="414"/>
      <c r="C176" s="414"/>
      <c r="E176" s="812"/>
      <c r="K176" s="813"/>
      <c r="L176" s="414"/>
      <c r="O176" s="814"/>
    </row>
    <row r="177" spans="1:15" s="746" customFormat="1">
      <c r="E177" s="812"/>
      <c r="K177" s="813"/>
      <c r="O177" s="814"/>
    </row>
    <row r="178" spans="1:15">
      <c r="A178" s="746"/>
      <c r="B178" s="746"/>
      <c r="C178" s="746"/>
      <c r="L178" s="746"/>
    </row>
  </sheetData>
  <mergeCells count="33">
    <mergeCell ref="A10:K11"/>
    <mergeCell ref="A13:B19"/>
    <mergeCell ref="C13:G13"/>
    <mergeCell ref="H13:H19"/>
    <mergeCell ref="I13:K13"/>
    <mergeCell ref="C14:C19"/>
    <mergeCell ref="D14:D19"/>
    <mergeCell ref="E14:E19"/>
    <mergeCell ref="F14:F19"/>
    <mergeCell ref="J14:J19"/>
    <mergeCell ref="K14:K19"/>
    <mergeCell ref="A75:B81"/>
    <mergeCell ref="C75:G75"/>
    <mergeCell ref="H75:H81"/>
    <mergeCell ref="I75:K75"/>
    <mergeCell ref="C76:C81"/>
    <mergeCell ref="K76:K81"/>
    <mergeCell ref="I82:K82"/>
    <mergeCell ref="B1:E1"/>
    <mergeCell ref="B2:E2"/>
    <mergeCell ref="B3:E3"/>
    <mergeCell ref="B4:E4"/>
    <mergeCell ref="B5:E5"/>
    <mergeCell ref="B6:E6"/>
    <mergeCell ref="D76:D81"/>
    <mergeCell ref="E76:E81"/>
    <mergeCell ref="F76:F81"/>
    <mergeCell ref="G76:G81"/>
    <mergeCell ref="I76:I81"/>
    <mergeCell ref="J76:J81"/>
    <mergeCell ref="G14:G19"/>
    <mergeCell ref="I14:I19"/>
    <mergeCell ref="I20:K20"/>
  </mergeCells>
  <printOptions horizontalCentered="1"/>
  <pageMargins left="0.75" right="0.5" top="0.5" bottom="0.4" header="0.28999999999999998" footer="0.5"/>
  <pageSetup paperSize="9" scale="68" fitToWidth="2" fitToHeight="2" orientation="portrait" r:id="rId1"/>
  <headerFooter alignWithMargins="0"/>
  <rowBreaks count="1" manualBreakCount="1">
    <brk id="73"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37"/>
  <sheetViews>
    <sheetView view="pageBreakPreview" topLeftCell="A72" zoomScaleSheetLayoutView="100" workbookViewId="0">
      <selection activeCell="I98" sqref="I98"/>
    </sheetView>
  </sheetViews>
  <sheetFormatPr defaultColWidth="10.19921875" defaultRowHeight="11.4"/>
  <cols>
    <col min="1" max="1" width="5.09765625" style="8" customWidth="1"/>
    <col min="2" max="2" width="3.59765625" style="8" customWidth="1"/>
    <col min="3" max="3" width="19.69921875" style="8" customWidth="1"/>
    <col min="4" max="5" width="10.19921875" style="8" customWidth="1"/>
    <col min="6" max="6" width="1.59765625" style="8" customWidth="1"/>
    <col min="7" max="7" width="10.19921875" style="8" customWidth="1"/>
    <col min="8" max="8" width="0.69921875" style="8" customWidth="1"/>
    <col min="9" max="9" width="10.19921875" style="8" customWidth="1"/>
    <col min="10" max="10" width="0.69921875" style="8" customWidth="1"/>
    <col min="11" max="11" width="10.19921875" style="8" customWidth="1"/>
    <col min="12" max="12" width="15.69921875" style="8" customWidth="1"/>
    <col min="13" max="23" width="10.19921875" style="8" customWidth="1"/>
    <col min="24" max="24" width="10.19921875" style="8"/>
    <col min="25" max="45" width="0" style="8" hidden="1" customWidth="1"/>
    <col min="46" max="16384" width="10.19921875" style="8"/>
  </cols>
  <sheetData>
    <row r="1" spans="1:13">
      <c r="A1" s="435" t="e">
        <f>#REF!+1</f>
        <v>#REF!</v>
      </c>
      <c r="B1" s="12"/>
      <c r="C1" s="12"/>
      <c r="D1" s="12"/>
      <c r="E1" s="12"/>
      <c r="F1" s="12"/>
      <c r="G1" s="12"/>
      <c r="H1" s="12"/>
      <c r="I1" s="12"/>
      <c r="J1" s="12"/>
      <c r="K1" s="12"/>
    </row>
    <row r="2" spans="1:13" s="32" customFormat="1">
      <c r="A2" s="448"/>
      <c r="K2" s="206"/>
    </row>
    <row r="3" spans="1:13" s="32" customFormat="1" ht="12">
      <c r="A3" s="347">
        <f>'6-10'!A83+1</f>
        <v>17</v>
      </c>
      <c r="B3" s="551" t="s">
        <v>598</v>
      </c>
      <c r="C3" s="552"/>
      <c r="D3" s="552"/>
      <c r="E3" s="552"/>
      <c r="F3" s="552"/>
      <c r="G3" s="552"/>
      <c r="H3" s="552"/>
      <c r="I3" s="552"/>
      <c r="J3" s="552"/>
      <c r="K3" s="552"/>
      <c r="L3" s="348"/>
      <c r="M3" s="348"/>
    </row>
    <row r="4" spans="1:13" s="32" customFormat="1">
      <c r="A4" s="348"/>
      <c r="B4" s="552"/>
      <c r="C4" s="552"/>
      <c r="D4" s="552"/>
      <c r="E4" s="552"/>
      <c r="F4" s="552"/>
      <c r="G4" s="552"/>
      <c r="H4" s="552"/>
      <c r="I4" s="552"/>
      <c r="J4" s="552"/>
      <c r="K4" s="552"/>
      <c r="L4" s="348"/>
      <c r="M4" s="348"/>
    </row>
    <row r="5" spans="1:13" s="32" customFormat="1">
      <c r="A5" s="348"/>
      <c r="B5" s="553" t="s">
        <v>599</v>
      </c>
      <c r="C5" s="553"/>
      <c r="D5" s="553"/>
      <c r="E5" s="553"/>
      <c r="F5" s="553"/>
      <c r="G5" s="552"/>
      <c r="H5" s="552"/>
      <c r="I5" s="552"/>
      <c r="J5" s="552"/>
      <c r="K5" s="552"/>
      <c r="L5" s="348"/>
      <c r="M5" s="348"/>
    </row>
    <row r="6" spans="1:13" s="232" customFormat="1" ht="9" customHeight="1">
      <c r="A6" s="349"/>
      <c r="B6" s="554"/>
      <c r="C6" s="554"/>
      <c r="D6" s="554"/>
      <c r="E6" s="555"/>
      <c r="F6" s="555"/>
      <c r="G6" s="555"/>
      <c r="H6" s="555"/>
      <c r="I6" s="555"/>
      <c r="J6" s="555"/>
      <c r="K6" s="555"/>
    </row>
    <row r="7" spans="1:13" s="329" customFormat="1" ht="10.199999999999999">
      <c r="A7" s="350"/>
      <c r="B7" s="556"/>
      <c r="C7" s="557"/>
      <c r="D7" s="557"/>
      <c r="E7" s="2618" t="s">
        <v>345</v>
      </c>
      <c r="F7" s="2658"/>
      <c r="G7" s="2658"/>
      <c r="H7" s="2658"/>
      <c r="I7" s="2658"/>
      <c r="J7" s="2658"/>
      <c r="K7" s="2658"/>
    </row>
    <row r="8" spans="1:13" s="232" customFormat="1" ht="20.399999999999999">
      <c r="A8" s="356"/>
      <c r="B8" s="558" t="s">
        <v>150</v>
      </c>
      <c r="C8" s="2659" t="s">
        <v>151</v>
      </c>
      <c r="D8" s="2660"/>
      <c r="E8" s="2659" t="s">
        <v>185</v>
      </c>
      <c r="F8" s="2661"/>
      <c r="G8" s="2661"/>
      <c r="H8" s="2661"/>
      <c r="I8" s="2661"/>
      <c r="J8" s="2662"/>
      <c r="K8" s="558" t="s">
        <v>186</v>
      </c>
    </row>
    <row r="9" spans="1:13" s="232" customFormat="1" ht="9" customHeight="1">
      <c r="A9" s="349"/>
      <c r="B9" s="555"/>
      <c r="C9" s="555"/>
      <c r="D9" s="555"/>
      <c r="E9" s="555"/>
      <c r="F9" s="555"/>
      <c r="G9" s="559"/>
      <c r="H9" s="559"/>
      <c r="I9" s="560"/>
      <c r="J9" s="559"/>
      <c r="K9" s="559"/>
    </row>
    <row r="10" spans="1:13" s="232" customFormat="1" ht="10.199999999999999">
      <c r="A10" s="349"/>
      <c r="B10" s="561">
        <v>1</v>
      </c>
      <c r="C10" s="560" t="s">
        <v>187</v>
      </c>
      <c r="D10" s="560"/>
      <c r="E10" s="562" t="s">
        <v>152</v>
      </c>
      <c r="F10" s="562"/>
      <c r="G10" s="562"/>
      <c r="H10" s="562"/>
      <c r="I10" s="562"/>
      <c r="J10" s="559"/>
      <c r="K10" s="563">
        <v>27</v>
      </c>
    </row>
    <row r="11" spans="1:13" s="232" customFormat="1" ht="10.199999999999999">
      <c r="A11" s="349"/>
      <c r="B11" s="561">
        <v>2</v>
      </c>
      <c r="C11" s="560" t="s">
        <v>557</v>
      </c>
      <c r="D11" s="560"/>
      <c r="E11" s="562" t="s">
        <v>310</v>
      </c>
      <c r="F11" s="562"/>
      <c r="G11" s="562"/>
      <c r="H11" s="562"/>
      <c r="I11" s="562"/>
      <c r="J11" s="559"/>
      <c r="K11" s="563">
        <v>15</v>
      </c>
    </row>
    <row r="12" spans="1:13" s="232" customFormat="1" ht="10.199999999999999">
      <c r="A12" s="349"/>
      <c r="B12" s="561">
        <v>3</v>
      </c>
      <c r="C12" s="560" t="s">
        <v>558</v>
      </c>
      <c r="D12" s="564"/>
      <c r="E12" s="562" t="s">
        <v>310</v>
      </c>
      <c r="F12" s="565"/>
      <c r="G12" s="565"/>
      <c r="H12" s="562"/>
      <c r="I12" s="562"/>
      <c r="J12" s="559"/>
      <c r="K12" s="563">
        <v>15</v>
      </c>
    </row>
    <row r="13" spans="1:13" s="232" customFormat="1" ht="10.199999999999999">
      <c r="A13" s="349"/>
      <c r="B13" s="561">
        <v>4</v>
      </c>
      <c r="C13" s="560" t="s">
        <v>559</v>
      </c>
      <c r="D13" s="564"/>
      <c r="E13" s="562" t="s">
        <v>271</v>
      </c>
      <c r="F13" s="565"/>
      <c r="G13" s="565"/>
      <c r="H13" s="562"/>
      <c r="I13" s="562"/>
      <c r="J13" s="559"/>
      <c r="K13" s="563">
        <v>9</v>
      </c>
    </row>
    <row r="14" spans="1:13" s="232" customFormat="1" ht="10.199999999999999">
      <c r="A14" s="349"/>
      <c r="B14" s="561">
        <v>5</v>
      </c>
      <c r="C14" s="560" t="s">
        <v>560</v>
      </c>
      <c r="D14" s="564"/>
      <c r="E14" s="562" t="s">
        <v>272</v>
      </c>
      <c r="F14" s="565"/>
      <c r="G14" s="565"/>
      <c r="H14" s="562"/>
      <c r="I14" s="562"/>
      <c r="J14" s="559"/>
      <c r="K14" s="563">
        <v>9</v>
      </c>
    </row>
    <row r="15" spans="1:13" s="232" customFormat="1" ht="10.199999999999999">
      <c r="A15" s="349"/>
      <c r="B15" s="566"/>
      <c r="C15" s="564"/>
      <c r="D15" s="564"/>
      <c r="E15" s="565"/>
      <c r="F15" s="565"/>
      <c r="G15" s="565"/>
      <c r="H15" s="562"/>
      <c r="I15" s="562"/>
      <c r="J15" s="559"/>
      <c r="K15" s="563"/>
    </row>
    <row r="16" spans="1:13" s="232" customFormat="1" ht="10.199999999999999">
      <c r="A16" s="377"/>
      <c r="B16" s="2676" t="s">
        <v>609</v>
      </c>
      <c r="C16" s="2676"/>
      <c r="D16" s="2676"/>
      <c r="E16" s="2676"/>
      <c r="F16" s="2676"/>
      <c r="G16" s="2676"/>
      <c r="H16" s="2676"/>
      <c r="I16" s="2676"/>
      <c r="J16" s="2676"/>
      <c r="K16" s="2676"/>
    </row>
    <row r="17" spans="1:11" s="232" customFormat="1" ht="10.199999999999999">
      <c r="A17" s="377"/>
      <c r="B17" s="2676"/>
      <c r="C17" s="2676"/>
      <c r="D17" s="2676"/>
      <c r="E17" s="2676"/>
      <c r="F17" s="2676"/>
      <c r="G17" s="2676"/>
      <c r="H17" s="2676"/>
      <c r="I17" s="2676"/>
      <c r="J17" s="2676"/>
      <c r="K17" s="2676"/>
    </row>
    <row r="18" spans="1:11" s="32" customFormat="1" ht="12">
      <c r="A18" s="351"/>
      <c r="B18" s="567"/>
      <c r="C18" s="567"/>
      <c r="D18" s="567"/>
      <c r="E18" s="567"/>
      <c r="F18" s="567"/>
      <c r="G18" s="567"/>
      <c r="H18" s="567"/>
      <c r="I18" s="567"/>
      <c r="J18" s="567"/>
      <c r="K18" s="567"/>
    </row>
    <row r="19" spans="1:11" s="32" customFormat="1" ht="12">
      <c r="A19" s="347">
        <f>+'20-25.1.2'!A3+1</f>
        <v>18</v>
      </c>
      <c r="B19" s="540" t="s">
        <v>188</v>
      </c>
      <c r="C19" s="567"/>
      <c r="D19" s="567"/>
      <c r="E19" s="567"/>
      <c r="F19" s="567"/>
      <c r="G19" s="567"/>
      <c r="H19" s="567"/>
      <c r="I19" s="567"/>
      <c r="J19" s="567"/>
      <c r="K19" s="568" t="s">
        <v>391</v>
      </c>
    </row>
    <row r="20" spans="1:11" s="32" customFormat="1" ht="9" customHeight="1">
      <c r="A20" s="347"/>
      <c r="B20" s="540"/>
      <c r="C20" s="567"/>
      <c r="D20" s="567"/>
      <c r="E20" s="567"/>
      <c r="F20" s="567"/>
      <c r="G20" s="567"/>
      <c r="H20" s="567"/>
      <c r="I20" s="567"/>
      <c r="J20" s="567"/>
      <c r="K20" s="567"/>
    </row>
    <row r="21" spans="1:11" s="32" customFormat="1" ht="12">
      <c r="A21" s="347"/>
      <c r="B21" s="569">
        <v>1</v>
      </c>
      <c r="C21" s="555" t="s">
        <v>507</v>
      </c>
      <c r="D21" s="570"/>
      <c r="E21" s="570"/>
      <c r="F21" s="570"/>
      <c r="G21" s="570"/>
      <c r="H21" s="570"/>
      <c r="I21" s="570"/>
      <c r="J21" s="570"/>
      <c r="K21" s="571">
        <v>8.1199999999999994E-2</v>
      </c>
    </row>
    <row r="22" spans="1:11" s="32" customFormat="1" ht="12">
      <c r="A22" s="347"/>
      <c r="B22" s="569">
        <v>2</v>
      </c>
      <c r="C22" s="555" t="s">
        <v>346</v>
      </c>
      <c r="D22" s="570"/>
      <c r="E22" s="570"/>
      <c r="F22" s="570"/>
      <c r="G22" s="570"/>
      <c r="H22" s="570"/>
      <c r="I22" s="570"/>
      <c r="J22" s="570"/>
      <c r="K22" s="571">
        <v>6.7500000000000004E-2</v>
      </c>
    </row>
    <row r="23" spans="1:11" s="32" customFormat="1" ht="12">
      <c r="A23" s="347"/>
      <c r="B23" s="569">
        <v>3</v>
      </c>
      <c r="C23" s="555" t="s">
        <v>347</v>
      </c>
      <c r="D23" s="570"/>
      <c r="E23" s="570"/>
      <c r="F23" s="570"/>
      <c r="G23" s="570"/>
      <c r="H23" s="570"/>
      <c r="I23" s="570"/>
      <c r="J23" s="570"/>
      <c r="K23" s="571">
        <v>6.3600000000000004E-2</v>
      </c>
    </row>
    <row r="24" spans="1:11" s="32" customFormat="1" ht="12">
      <c r="A24" s="347"/>
      <c r="B24" s="569">
        <v>4</v>
      </c>
      <c r="C24" s="555" t="s">
        <v>568</v>
      </c>
      <c r="D24" s="570"/>
      <c r="E24" s="570"/>
      <c r="F24" s="570"/>
      <c r="G24" s="570"/>
      <c r="H24" s="570"/>
      <c r="I24" s="570"/>
      <c r="J24" s="570"/>
      <c r="K24" s="571">
        <v>5.6399999999999999E-2</v>
      </c>
    </row>
    <row r="25" spans="1:11" s="32" customFormat="1" ht="12">
      <c r="A25" s="347"/>
      <c r="B25" s="569">
        <v>5</v>
      </c>
      <c r="C25" s="555" t="s">
        <v>572</v>
      </c>
      <c r="D25" s="570"/>
      <c r="E25" s="570"/>
      <c r="F25" s="570"/>
      <c r="G25" s="570"/>
      <c r="H25" s="570"/>
      <c r="I25" s="570"/>
      <c r="J25" s="570"/>
      <c r="K25" s="571">
        <v>4.9599999999999998E-2</v>
      </c>
    </row>
    <row r="26" spans="1:11" s="32" customFormat="1" ht="12">
      <c r="A26" s="347"/>
      <c r="B26" s="569">
        <v>6</v>
      </c>
      <c r="C26" s="555" t="s">
        <v>508</v>
      </c>
      <c r="D26" s="570"/>
      <c r="E26" s="570"/>
      <c r="F26" s="570"/>
      <c r="G26" s="570"/>
      <c r="H26" s="570"/>
      <c r="I26" s="570"/>
      <c r="J26" s="570"/>
      <c r="K26" s="571">
        <v>4.82E-2</v>
      </c>
    </row>
    <row r="27" spans="1:11" s="32" customFormat="1" ht="12">
      <c r="A27" s="347"/>
      <c r="B27" s="569">
        <v>7</v>
      </c>
      <c r="C27" s="555" t="s">
        <v>509</v>
      </c>
      <c r="D27" s="570"/>
      <c r="E27" s="570"/>
      <c r="F27" s="570"/>
      <c r="G27" s="570"/>
      <c r="H27" s="570"/>
      <c r="I27" s="570"/>
      <c r="J27" s="570"/>
      <c r="K27" s="571">
        <v>4.1300000000000003E-2</v>
      </c>
    </row>
    <row r="28" spans="1:11" s="32" customFormat="1" ht="12">
      <c r="A28" s="347"/>
      <c r="B28" s="569">
        <v>8</v>
      </c>
      <c r="C28" s="555" t="s">
        <v>390</v>
      </c>
      <c r="D28" s="570"/>
      <c r="E28" s="570"/>
      <c r="F28" s="570"/>
      <c r="G28" s="570"/>
      <c r="H28" s="570"/>
      <c r="I28" s="570"/>
      <c r="J28" s="570"/>
      <c r="K28" s="571">
        <v>4.0899999999999999E-2</v>
      </c>
    </row>
    <row r="29" spans="1:11" s="32" customFormat="1" ht="12">
      <c r="A29" s="347"/>
      <c r="B29" s="569">
        <v>9</v>
      </c>
      <c r="C29" s="555" t="s">
        <v>531</v>
      </c>
      <c r="D29" s="570"/>
      <c r="E29" s="570"/>
      <c r="F29" s="570"/>
      <c r="G29" s="570"/>
      <c r="H29" s="570"/>
      <c r="I29" s="570"/>
      <c r="J29" s="570"/>
      <c r="K29" s="571">
        <v>4.0099999999999997E-2</v>
      </c>
    </row>
    <row r="30" spans="1:11" s="32" customFormat="1" ht="12">
      <c r="A30" s="347"/>
      <c r="B30" s="569">
        <v>10</v>
      </c>
      <c r="C30" s="555" t="s">
        <v>444</v>
      </c>
      <c r="D30" s="570"/>
      <c r="E30" s="570"/>
      <c r="F30" s="570"/>
      <c r="G30" s="570"/>
      <c r="H30" s="570"/>
      <c r="I30" s="570"/>
      <c r="J30" s="570"/>
      <c r="K30" s="571">
        <v>0.04</v>
      </c>
    </row>
    <row r="31" spans="1:11" s="32" customFormat="1" ht="12">
      <c r="A31" s="347"/>
      <c r="B31" s="542"/>
      <c r="C31" s="555"/>
      <c r="D31" s="570"/>
      <c r="E31" s="570"/>
      <c r="F31" s="570"/>
      <c r="G31" s="570"/>
      <c r="H31" s="570"/>
      <c r="I31" s="570"/>
      <c r="J31" s="570"/>
      <c r="K31" s="572"/>
    </row>
    <row r="32" spans="1:11" s="32" customFormat="1" ht="12">
      <c r="A32" s="352"/>
      <c r="B32" s="573"/>
      <c r="C32" s="553"/>
      <c r="D32" s="553"/>
      <c r="E32" s="553"/>
      <c r="F32" s="553"/>
      <c r="G32" s="574"/>
      <c r="H32" s="553"/>
      <c r="I32" s="574"/>
      <c r="J32" s="552"/>
      <c r="K32" s="542"/>
    </row>
    <row r="33" spans="1:13" s="32" customFormat="1" ht="12">
      <c r="A33" s="207">
        <f>+A19+1</f>
        <v>19</v>
      </c>
      <c r="B33" s="551" t="s">
        <v>189</v>
      </c>
      <c r="C33" s="551"/>
      <c r="D33" s="542"/>
      <c r="E33" s="542"/>
      <c r="F33" s="542"/>
      <c r="G33" s="542"/>
      <c r="H33" s="548"/>
      <c r="I33" s="575"/>
      <c r="J33" s="542"/>
      <c r="K33" s="542"/>
    </row>
    <row r="34" spans="1:13" s="232" customFormat="1" ht="10.199999999999999">
      <c r="A34" s="363"/>
      <c r="B34" s="560"/>
      <c r="C34" s="560"/>
      <c r="D34" s="560"/>
      <c r="E34" s="560"/>
      <c r="F34" s="560"/>
      <c r="G34" s="2625" t="s">
        <v>318</v>
      </c>
      <c r="H34" s="2625"/>
      <c r="I34" s="2625"/>
      <c r="J34" s="2625"/>
      <c r="K34" s="2625"/>
    </row>
    <row r="35" spans="1:13" s="232" customFormat="1" ht="10.199999999999999">
      <c r="A35" s="363"/>
      <c r="B35" s="2663" t="s">
        <v>190</v>
      </c>
      <c r="C35" s="2664"/>
      <c r="D35" s="2665"/>
      <c r="E35" s="2666"/>
      <c r="F35" s="576"/>
      <c r="G35" s="2671" t="s">
        <v>191</v>
      </c>
      <c r="H35" s="577"/>
      <c r="I35" s="2671" t="s">
        <v>192</v>
      </c>
      <c r="J35" s="578"/>
      <c r="K35" s="2674" t="s">
        <v>193</v>
      </c>
    </row>
    <row r="36" spans="1:13" s="232" customFormat="1" ht="10.199999999999999">
      <c r="A36" s="363"/>
      <c r="B36" s="2667"/>
      <c r="C36" s="2668"/>
      <c r="D36" s="2669"/>
      <c r="E36" s="2670"/>
      <c r="F36" s="579"/>
      <c r="G36" s="2672"/>
      <c r="H36" s="580"/>
      <c r="I36" s="2673"/>
      <c r="J36" s="581"/>
      <c r="K36" s="2675"/>
    </row>
    <row r="37" spans="1:13" s="232" customFormat="1" ht="10.199999999999999">
      <c r="A37" s="363"/>
      <c r="B37" s="560"/>
      <c r="C37" s="560"/>
      <c r="D37" s="560"/>
      <c r="E37" s="560"/>
      <c r="F37" s="560"/>
      <c r="G37" s="2643" t="s">
        <v>593</v>
      </c>
      <c r="H37" s="2625"/>
      <c r="I37" s="2625"/>
      <c r="J37" s="2625"/>
      <c r="K37" s="2625"/>
    </row>
    <row r="38" spans="1:13" s="232" customFormat="1" ht="9" customHeight="1">
      <c r="A38" s="363"/>
      <c r="B38" s="560"/>
      <c r="C38" s="560"/>
      <c r="D38" s="560"/>
      <c r="E38" s="560"/>
      <c r="F38" s="560"/>
      <c r="G38" s="582"/>
      <c r="H38" s="582"/>
      <c r="I38" s="583"/>
      <c r="J38" s="584"/>
      <c r="K38" s="582"/>
    </row>
    <row r="39" spans="1:13" s="232" customFormat="1" ht="10.199999999999999">
      <c r="A39" s="363"/>
      <c r="B39" s="585" t="s">
        <v>510</v>
      </c>
      <c r="C39" s="560"/>
      <c r="D39" s="560"/>
      <c r="E39" s="560"/>
      <c r="F39" s="560"/>
      <c r="G39" s="586">
        <v>4</v>
      </c>
      <c r="H39" s="560"/>
      <c r="I39" s="587">
        <v>535637</v>
      </c>
      <c r="J39" s="588"/>
      <c r="K39" s="589">
        <f t="shared" ref="K39:K44" si="0">I39/$I$45</f>
        <v>0.42799429486897778</v>
      </c>
      <c r="L39" s="232">
        <f t="shared" ref="L39:L44" si="1">ROUND(I39/1000,0)</f>
        <v>536</v>
      </c>
      <c r="M39" s="232">
        <v>1000</v>
      </c>
    </row>
    <row r="40" spans="1:13" s="232" customFormat="1" ht="10.199999999999999">
      <c r="A40" s="363"/>
      <c r="B40" s="585" t="s">
        <v>583</v>
      </c>
      <c r="C40" s="560"/>
      <c r="D40" s="560"/>
      <c r="E40" s="560"/>
      <c r="F40" s="560"/>
      <c r="G40" s="586">
        <v>472</v>
      </c>
      <c r="H40" s="560"/>
      <c r="I40" s="587">
        <v>429413</v>
      </c>
      <c r="J40" s="588"/>
      <c r="K40" s="589">
        <f t="shared" si="0"/>
        <v>0.34311728678670878</v>
      </c>
      <c r="L40" s="232">
        <f t="shared" si="1"/>
        <v>429</v>
      </c>
    </row>
    <row r="41" spans="1:13" s="232" customFormat="1" ht="10.199999999999999">
      <c r="A41" s="363"/>
      <c r="B41" s="585" t="s">
        <v>380</v>
      </c>
      <c r="C41" s="560"/>
      <c r="D41" s="560"/>
      <c r="E41" s="560"/>
      <c r="F41" s="560"/>
      <c r="G41" s="586">
        <v>3</v>
      </c>
      <c r="H41" s="560"/>
      <c r="I41" s="587">
        <v>25395</v>
      </c>
      <c r="J41" s="588"/>
      <c r="K41" s="589">
        <f t="shared" si="0"/>
        <v>2.0291568950983017E-2</v>
      </c>
      <c r="L41" s="232">
        <f t="shared" si="1"/>
        <v>25</v>
      </c>
    </row>
    <row r="42" spans="1:13" s="232" customFormat="1" ht="10.199999999999999">
      <c r="A42" s="363"/>
      <c r="B42" s="585" t="s">
        <v>579</v>
      </c>
      <c r="C42" s="560"/>
      <c r="D42" s="560"/>
      <c r="E42" s="560"/>
      <c r="F42" s="560"/>
      <c r="G42" s="586">
        <v>1</v>
      </c>
      <c r="H42" s="560"/>
      <c r="I42" s="587">
        <v>59342</v>
      </c>
      <c r="J42" s="588"/>
      <c r="K42" s="589">
        <f t="shared" si="0"/>
        <v>4.7416510521332313E-2</v>
      </c>
      <c r="L42" s="232">
        <f t="shared" si="1"/>
        <v>59</v>
      </c>
    </row>
    <row r="43" spans="1:13" s="232" customFormat="1" ht="10.199999999999999">
      <c r="A43" s="363"/>
      <c r="B43" s="585" t="s">
        <v>381</v>
      </c>
      <c r="C43" s="560"/>
      <c r="D43" s="560"/>
      <c r="E43" s="560"/>
      <c r="F43" s="560"/>
      <c r="G43" s="586">
        <v>7</v>
      </c>
      <c r="H43" s="560"/>
      <c r="I43" s="587">
        <v>126280</v>
      </c>
      <c r="J43" s="588"/>
      <c r="K43" s="589">
        <f t="shared" si="0"/>
        <v>0.10090251337389783</v>
      </c>
      <c r="L43" s="232">
        <f t="shared" si="1"/>
        <v>126</v>
      </c>
    </row>
    <row r="44" spans="1:13" s="232" customFormat="1" ht="10.199999999999999">
      <c r="A44" s="363"/>
      <c r="B44" s="585" t="s">
        <v>269</v>
      </c>
      <c r="C44" s="560"/>
      <c r="D44" s="560"/>
      <c r="E44" s="560"/>
      <c r="F44" s="560"/>
      <c r="G44" s="586">
        <v>6</v>
      </c>
      <c r="H44" s="560"/>
      <c r="I44" s="587">
        <v>75438</v>
      </c>
      <c r="J44" s="588"/>
      <c r="K44" s="589">
        <f t="shared" si="0"/>
        <v>6.027782549810029E-2</v>
      </c>
      <c r="L44" s="232">
        <f t="shared" si="1"/>
        <v>75</v>
      </c>
    </row>
    <row r="45" spans="1:13" s="232" customFormat="1" ht="10.8" thickBot="1">
      <c r="A45" s="363"/>
      <c r="B45" s="560"/>
      <c r="C45" s="560"/>
      <c r="D45" s="560"/>
      <c r="E45" s="560"/>
      <c r="F45" s="560"/>
      <c r="G45" s="590">
        <f>SUM(G39:G44)</f>
        <v>493</v>
      </c>
      <c r="H45" s="560"/>
      <c r="I45" s="590">
        <f>SUM(I39:I44)</f>
        <v>1251505</v>
      </c>
      <c r="J45" s="585"/>
      <c r="K45" s="591">
        <f>SUM(K39:K44)</f>
        <v>1</v>
      </c>
    </row>
    <row r="46" spans="1:13" s="232" customFormat="1" ht="10.8" thickTop="1">
      <c r="A46" s="363"/>
      <c r="B46" s="560"/>
      <c r="C46" s="560"/>
      <c r="D46" s="560"/>
      <c r="E46" s="560"/>
      <c r="F46" s="560"/>
      <c r="G46" s="592"/>
      <c r="H46" s="560"/>
      <c r="I46" s="592"/>
      <c r="J46" s="585"/>
      <c r="K46" s="593"/>
    </row>
    <row r="47" spans="1:13" s="232" customFormat="1">
      <c r="A47" s="363"/>
      <c r="B47" s="560" t="s">
        <v>582</v>
      </c>
      <c r="C47" s="560"/>
      <c r="D47" s="560"/>
      <c r="E47" s="560"/>
      <c r="F47" s="560"/>
      <c r="G47" s="592"/>
      <c r="H47" s="560"/>
      <c r="I47" s="592"/>
      <c r="J47" s="585"/>
      <c r="K47" s="593"/>
      <c r="M47" s="52">
        <f>38204892+10394856+958513</f>
        <v>49558261</v>
      </c>
    </row>
    <row r="48" spans="1:13" s="232" customFormat="1" ht="10.199999999999999">
      <c r="A48" s="363"/>
      <c r="B48" s="560"/>
      <c r="C48" s="560"/>
      <c r="D48" s="560"/>
      <c r="E48" s="560"/>
      <c r="F48" s="560"/>
      <c r="G48" s="592"/>
      <c r="H48" s="560"/>
      <c r="I48" s="592"/>
      <c r="J48" s="585"/>
      <c r="K48" s="593"/>
    </row>
    <row r="49" spans="1:14" s="232" customFormat="1" ht="12">
      <c r="A49" s="372">
        <f>A33+1</f>
        <v>20</v>
      </c>
      <c r="B49" s="594" t="s">
        <v>600</v>
      </c>
      <c r="C49" s="595"/>
      <c r="D49" s="595"/>
      <c r="E49" s="595"/>
      <c r="F49" s="595"/>
      <c r="G49" s="595"/>
      <c r="H49" s="595"/>
      <c r="I49" s="595"/>
      <c r="J49" s="595"/>
      <c r="K49" s="595"/>
      <c r="L49" s="357"/>
      <c r="M49" s="357"/>
    </row>
    <row r="50" spans="1:14" s="232" customFormat="1" ht="12">
      <c r="A50" s="372"/>
      <c r="B50" s="594"/>
      <c r="C50" s="595"/>
      <c r="D50" s="595"/>
      <c r="E50" s="595"/>
      <c r="F50" s="595"/>
      <c r="G50" s="595"/>
      <c r="H50" s="595"/>
      <c r="I50" s="595"/>
      <c r="J50" s="595"/>
      <c r="K50" s="595"/>
      <c r="L50" s="357"/>
      <c r="M50" s="357"/>
    </row>
    <row r="51" spans="1:14" s="232" customFormat="1" ht="12" customHeight="1">
      <c r="A51" s="55"/>
      <c r="B51" s="2653" t="s">
        <v>601</v>
      </c>
      <c r="C51" s="2653"/>
      <c r="D51" s="2653"/>
      <c r="E51" s="2653"/>
      <c r="F51" s="2653"/>
      <c r="G51" s="2653"/>
      <c r="H51" s="2653"/>
      <c r="I51" s="2653"/>
      <c r="J51" s="2653"/>
      <c r="K51" s="2653"/>
      <c r="L51" s="371"/>
      <c r="M51" s="371"/>
      <c r="N51" s="371"/>
    </row>
    <row r="52" spans="1:14" s="232" customFormat="1" ht="12">
      <c r="A52" s="55"/>
      <c r="B52" s="2653"/>
      <c r="C52" s="2653"/>
      <c r="D52" s="2653"/>
      <c r="E52" s="2653"/>
      <c r="F52" s="2653"/>
      <c r="G52" s="2653"/>
      <c r="H52" s="2653"/>
      <c r="I52" s="2653"/>
      <c r="J52" s="2653"/>
      <c r="K52" s="2653"/>
      <c r="L52" s="371"/>
      <c r="M52" s="371"/>
      <c r="N52" s="371"/>
    </row>
    <row r="53" spans="1:14" s="232" customFormat="1" ht="12">
      <c r="A53" s="55"/>
      <c r="B53" s="2653"/>
      <c r="C53" s="2653"/>
      <c r="D53" s="2653"/>
      <c r="E53" s="2653"/>
      <c r="F53" s="2653"/>
      <c r="G53" s="2653"/>
      <c r="H53" s="2653"/>
      <c r="I53" s="2653"/>
      <c r="J53" s="2653"/>
      <c r="K53" s="2653"/>
      <c r="L53" s="371"/>
      <c r="M53" s="371"/>
      <c r="N53" s="371"/>
    </row>
    <row r="54" spans="1:14" s="232" customFormat="1" ht="12">
      <c r="A54" s="372"/>
      <c r="B54" s="594"/>
      <c r="C54" s="595"/>
      <c r="D54" s="595"/>
      <c r="E54" s="595"/>
      <c r="F54" s="595"/>
      <c r="G54" s="595"/>
      <c r="H54" s="595"/>
      <c r="I54" s="595"/>
      <c r="J54" s="595"/>
      <c r="K54" s="595"/>
      <c r="L54" s="357"/>
      <c r="M54" s="357"/>
    </row>
    <row r="55" spans="1:14" s="232" customFormat="1" ht="10.199999999999999">
      <c r="A55" s="373"/>
      <c r="B55" s="2654" t="s">
        <v>511</v>
      </c>
      <c r="C55" s="2655"/>
      <c r="D55" s="2644" t="s">
        <v>348</v>
      </c>
      <c r="E55" s="2645"/>
      <c r="F55" s="2645"/>
      <c r="G55" s="2645"/>
      <c r="H55" s="596"/>
      <c r="I55" s="2646" t="s">
        <v>349</v>
      </c>
      <c r="J55" s="2647"/>
      <c r="K55" s="2648"/>
      <c r="L55" s="360"/>
      <c r="M55" s="360"/>
    </row>
    <row r="56" spans="1:14" s="232" customFormat="1" ht="10.199999999999999">
      <c r="A56" s="373"/>
      <c r="B56" s="2656"/>
      <c r="C56" s="2657"/>
      <c r="D56" s="597" t="s">
        <v>350</v>
      </c>
      <c r="E56" s="2644" t="s">
        <v>351</v>
      </c>
      <c r="F56" s="2652"/>
      <c r="G56" s="2644" t="s">
        <v>352</v>
      </c>
      <c r="H56" s="2652"/>
      <c r="I56" s="2649"/>
      <c r="J56" s="2650"/>
      <c r="K56" s="2651"/>
      <c r="L56" s="360"/>
      <c r="M56" s="360"/>
    </row>
    <row r="57" spans="1:14" s="232" customFormat="1" ht="9" customHeight="1">
      <c r="A57" s="373"/>
      <c r="B57" s="598"/>
      <c r="C57" s="599"/>
      <c r="D57" s="599"/>
      <c r="E57" s="599"/>
      <c r="F57" s="599"/>
      <c r="G57" s="599"/>
      <c r="H57" s="599"/>
      <c r="I57" s="599"/>
      <c r="J57" s="599"/>
      <c r="K57" s="599"/>
      <c r="L57" s="358"/>
      <c r="M57" s="358"/>
    </row>
    <row r="58" spans="1:14" s="232" customFormat="1" ht="10.199999999999999">
      <c r="A58" s="374"/>
      <c r="B58" s="560" t="s">
        <v>382</v>
      </c>
      <c r="C58" s="600"/>
      <c r="D58" s="601">
        <v>6</v>
      </c>
      <c r="E58" s="601">
        <v>3</v>
      </c>
      <c r="F58" s="602"/>
      <c r="G58" s="2677">
        <f>D58-E58</f>
        <v>3</v>
      </c>
      <c r="H58" s="2677"/>
      <c r="I58" s="603" t="s">
        <v>561</v>
      </c>
      <c r="J58" s="604"/>
      <c r="K58" s="562"/>
      <c r="L58" s="218"/>
      <c r="M58" s="218"/>
    </row>
    <row r="59" spans="1:14" s="232" customFormat="1" ht="10.199999999999999">
      <c r="A59" s="374"/>
      <c r="B59" s="560" t="s">
        <v>383</v>
      </c>
      <c r="C59" s="600"/>
      <c r="D59" s="601">
        <v>6</v>
      </c>
      <c r="E59" s="601">
        <v>5</v>
      </c>
      <c r="F59" s="602"/>
      <c r="G59" s="2677">
        <f t="shared" ref="G59:G66" si="2">D59-E59</f>
        <v>1</v>
      </c>
      <c r="H59" s="2677"/>
      <c r="I59" s="603" t="s">
        <v>562</v>
      </c>
      <c r="J59" s="604"/>
      <c r="K59" s="562"/>
      <c r="L59" s="218"/>
      <c r="M59" s="218"/>
    </row>
    <row r="60" spans="1:14" s="232" customFormat="1" ht="10.199999999999999">
      <c r="A60" s="374"/>
      <c r="B60" s="560" t="s">
        <v>384</v>
      </c>
      <c r="C60" s="600"/>
      <c r="D60" s="601">
        <v>6</v>
      </c>
      <c r="E60" s="601">
        <v>5</v>
      </c>
      <c r="F60" s="602"/>
      <c r="G60" s="2677">
        <f t="shared" si="2"/>
        <v>1</v>
      </c>
      <c r="H60" s="2677"/>
      <c r="I60" s="603" t="s">
        <v>563</v>
      </c>
      <c r="J60" s="604"/>
      <c r="K60" s="562"/>
      <c r="L60" s="218"/>
      <c r="M60" s="218"/>
    </row>
    <row r="61" spans="1:14" s="232" customFormat="1" ht="10.199999999999999">
      <c r="A61" s="374"/>
      <c r="B61" s="560" t="s">
        <v>385</v>
      </c>
      <c r="C61" s="605"/>
      <c r="D61" s="601">
        <v>3</v>
      </c>
      <c r="E61" s="601">
        <v>0</v>
      </c>
      <c r="F61" s="602"/>
      <c r="G61" s="2677">
        <f t="shared" si="2"/>
        <v>3</v>
      </c>
      <c r="H61" s="2677"/>
      <c r="I61" s="603" t="s">
        <v>564</v>
      </c>
      <c r="J61" s="604"/>
      <c r="K61" s="562"/>
      <c r="L61" s="218"/>
      <c r="M61" s="218"/>
    </row>
    <row r="62" spans="1:14" s="232" customFormat="1" ht="10.199999999999999">
      <c r="A62" s="374"/>
      <c r="B62" s="606" t="s">
        <v>353</v>
      </c>
      <c r="C62" s="605"/>
      <c r="D62" s="601">
        <v>6</v>
      </c>
      <c r="E62" s="601">
        <v>4</v>
      </c>
      <c r="F62" s="602"/>
      <c r="G62" s="2677">
        <f t="shared" si="2"/>
        <v>2</v>
      </c>
      <c r="H62" s="2677"/>
      <c r="I62" s="603" t="s">
        <v>565</v>
      </c>
      <c r="J62" s="604"/>
      <c r="K62" s="562"/>
      <c r="L62" s="218"/>
      <c r="M62" s="218"/>
    </row>
    <row r="63" spans="1:14" s="232" customFormat="1" ht="10.199999999999999">
      <c r="A63" s="374"/>
      <c r="B63" s="606" t="s">
        <v>386</v>
      </c>
      <c r="C63" s="605"/>
      <c r="D63" s="601">
        <v>2</v>
      </c>
      <c r="E63" s="601">
        <v>2</v>
      </c>
      <c r="F63" s="602"/>
      <c r="G63" s="2677">
        <f t="shared" si="2"/>
        <v>0</v>
      </c>
      <c r="H63" s="2677"/>
      <c r="I63" s="603" t="s">
        <v>127</v>
      </c>
      <c r="J63" s="604"/>
      <c r="K63" s="562"/>
      <c r="L63" s="218"/>
      <c r="M63" s="218"/>
    </row>
    <row r="64" spans="1:14" s="232" customFormat="1" ht="10.199999999999999">
      <c r="A64" s="374"/>
      <c r="B64" s="560" t="s">
        <v>354</v>
      </c>
      <c r="C64" s="605"/>
      <c r="D64" s="601">
        <v>6</v>
      </c>
      <c r="E64" s="601">
        <v>5</v>
      </c>
      <c r="F64" s="602"/>
      <c r="G64" s="2677">
        <f t="shared" si="2"/>
        <v>1</v>
      </c>
      <c r="H64" s="2677"/>
      <c r="I64" s="603" t="s">
        <v>566</v>
      </c>
      <c r="J64" s="604"/>
      <c r="K64" s="562"/>
      <c r="L64" s="218"/>
      <c r="M64" s="218"/>
    </row>
    <row r="65" spans="1:13" s="232" customFormat="1" ht="10.199999999999999">
      <c r="A65" s="374"/>
      <c r="B65" s="560" t="s">
        <v>387</v>
      </c>
      <c r="C65" s="605"/>
      <c r="D65" s="601">
        <v>6</v>
      </c>
      <c r="E65" s="601">
        <v>4</v>
      </c>
      <c r="F65" s="602"/>
      <c r="G65" s="2677">
        <f t="shared" si="2"/>
        <v>2</v>
      </c>
      <c r="H65" s="2677"/>
      <c r="I65" s="603" t="s">
        <v>567</v>
      </c>
      <c r="J65" s="604"/>
      <c r="K65" s="562"/>
      <c r="L65" s="218"/>
      <c r="M65" s="218"/>
    </row>
    <row r="66" spans="1:13" s="232" customFormat="1" ht="10.199999999999999">
      <c r="A66" s="374"/>
      <c r="B66" s="560" t="s">
        <v>388</v>
      </c>
      <c r="C66" s="605"/>
      <c r="D66" s="601">
        <v>6</v>
      </c>
      <c r="E66" s="601">
        <v>6</v>
      </c>
      <c r="F66" s="602"/>
      <c r="G66" s="2677">
        <f t="shared" si="2"/>
        <v>0</v>
      </c>
      <c r="H66" s="2677"/>
      <c r="I66" s="607" t="s">
        <v>127</v>
      </c>
      <c r="J66" s="604"/>
      <c r="K66" s="562"/>
      <c r="L66" s="218"/>
      <c r="M66" s="218"/>
    </row>
    <row r="67" spans="1:13" s="232" customFormat="1" ht="6" customHeight="1">
      <c r="A67" s="374"/>
      <c r="B67" s="600"/>
      <c r="C67" s="605"/>
      <c r="D67" s="608"/>
      <c r="E67" s="2624"/>
      <c r="F67" s="2624"/>
      <c r="G67" s="2678"/>
      <c r="H67" s="2678"/>
      <c r="I67" s="560"/>
      <c r="J67" s="609"/>
      <c r="K67" s="609"/>
      <c r="L67" s="218"/>
      <c r="M67" s="218"/>
    </row>
    <row r="68" spans="1:13" s="232" customFormat="1" ht="10.199999999999999">
      <c r="A68" s="375"/>
      <c r="B68" s="610" t="s">
        <v>602</v>
      </c>
      <c r="C68" s="611"/>
      <c r="D68" s="606"/>
      <c r="E68" s="606"/>
      <c r="F68" s="606"/>
      <c r="G68" s="606"/>
      <c r="H68" s="612"/>
      <c r="I68" s="613"/>
      <c r="J68" s="614"/>
      <c r="K68" s="614"/>
      <c r="L68" s="359"/>
      <c r="M68" s="359"/>
    </row>
    <row r="69" spans="1:13" s="232" customFormat="1" ht="10.199999999999999">
      <c r="A69" s="375"/>
      <c r="B69" s="610" t="s">
        <v>621</v>
      </c>
      <c r="C69" s="611"/>
      <c r="D69" s="606"/>
      <c r="E69" s="606"/>
      <c r="F69" s="606"/>
      <c r="G69" s="606"/>
      <c r="H69" s="615"/>
      <c r="I69" s="613"/>
      <c r="J69" s="614"/>
      <c r="K69" s="614"/>
      <c r="L69" s="359"/>
      <c r="M69" s="359"/>
    </row>
    <row r="70" spans="1:13" s="232" customFormat="1" ht="10.199999999999999">
      <c r="A70" s="375"/>
      <c r="B70" s="610"/>
      <c r="C70" s="611"/>
      <c r="D70" s="606"/>
      <c r="E70" s="606"/>
      <c r="F70" s="606"/>
      <c r="G70" s="606"/>
      <c r="H70" s="615"/>
      <c r="I70" s="613"/>
      <c r="J70" s="614"/>
      <c r="K70" s="614"/>
      <c r="L70" s="359"/>
      <c r="M70" s="359"/>
    </row>
    <row r="71" spans="1:13" s="32" customFormat="1">
      <c r="A71" s="346" t="e">
        <f>A1+1</f>
        <v>#REF!</v>
      </c>
      <c r="B71" s="547"/>
      <c r="C71" s="547"/>
      <c r="D71" s="547"/>
      <c r="E71" s="547"/>
      <c r="F71" s="547"/>
      <c r="G71" s="547"/>
      <c r="H71" s="547"/>
      <c r="I71" s="547"/>
      <c r="J71" s="547"/>
      <c r="K71" s="547"/>
    </row>
    <row r="72" spans="1:13" s="32" customFormat="1">
      <c r="B72" s="542"/>
      <c r="C72" s="542"/>
      <c r="D72" s="542"/>
      <c r="E72" s="542"/>
      <c r="F72" s="542"/>
      <c r="G72" s="542"/>
      <c r="H72" s="542"/>
      <c r="I72" s="542"/>
      <c r="J72" s="542"/>
      <c r="K72" s="542"/>
    </row>
    <row r="73" spans="1:13" s="232" customFormat="1" ht="12">
      <c r="A73" s="60">
        <f>A49+1</f>
        <v>21</v>
      </c>
      <c r="B73" s="616" t="s">
        <v>194</v>
      </c>
      <c r="C73" s="617"/>
      <c r="D73" s="617"/>
      <c r="E73" s="617"/>
      <c r="F73" s="617"/>
      <c r="G73" s="617"/>
      <c r="H73" s="617"/>
      <c r="I73" s="617"/>
      <c r="J73" s="617"/>
      <c r="K73" s="617"/>
      <c r="L73" s="359"/>
      <c r="M73" s="359"/>
    </row>
    <row r="74" spans="1:13" s="232" customFormat="1" ht="12">
      <c r="A74" s="60"/>
      <c r="B74" s="616"/>
      <c r="C74" s="617"/>
      <c r="D74" s="617"/>
      <c r="E74" s="617"/>
      <c r="F74" s="617"/>
      <c r="G74" s="617"/>
      <c r="H74" s="617"/>
      <c r="I74" s="617"/>
      <c r="J74" s="617"/>
      <c r="K74" s="617"/>
      <c r="L74" s="359"/>
      <c r="M74" s="359"/>
    </row>
    <row r="75" spans="1:13" s="232" customFormat="1" ht="10.199999999999999">
      <c r="B75" s="618"/>
      <c r="C75" s="562"/>
      <c r="D75" s="562"/>
      <c r="E75" s="562"/>
      <c r="F75" s="562"/>
      <c r="G75" s="2625" t="s">
        <v>331</v>
      </c>
      <c r="H75" s="2625"/>
      <c r="I75" s="2625"/>
      <c r="J75" s="2625"/>
      <c r="K75" s="2626"/>
      <c r="L75" s="359"/>
      <c r="M75" s="359"/>
    </row>
    <row r="76" spans="1:13" s="232" customFormat="1" ht="10.199999999999999">
      <c r="A76" s="353"/>
      <c r="B76" s="2630" t="s">
        <v>261</v>
      </c>
      <c r="C76" s="2631"/>
      <c r="D76" s="2632"/>
      <c r="E76" s="2627" t="s">
        <v>72</v>
      </c>
      <c r="F76" s="619"/>
      <c r="G76" s="2627" t="s">
        <v>73</v>
      </c>
      <c r="H76" s="619"/>
      <c r="I76" s="2619" t="s">
        <v>512</v>
      </c>
      <c r="J76" s="620"/>
      <c r="K76" s="2622" t="s">
        <v>44</v>
      </c>
      <c r="L76" s="359"/>
      <c r="M76" s="359"/>
    </row>
    <row r="77" spans="1:13" s="232" customFormat="1" ht="10.199999999999999">
      <c r="A77" s="353"/>
      <c r="B77" s="2633"/>
      <c r="C77" s="2634"/>
      <c r="D77" s="2635"/>
      <c r="E77" s="2620"/>
      <c r="F77" s="621"/>
      <c r="G77" s="2620"/>
      <c r="H77" s="621"/>
      <c r="I77" s="2620"/>
      <c r="J77" s="622"/>
      <c r="K77" s="2623"/>
      <c r="L77" s="359"/>
      <c r="M77" s="359"/>
    </row>
    <row r="78" spans="1:13" s="232" customFormat="1" ht="10.199999999999999">
      <c r="A78" s="353"/>
      <c r="B78" s="2633"/>
      <c r="C78" s="2634"/>
      <c r="D78" s="2635"/>
      <c r="E78" s="2620"/>
      <c r="F78" s="621"/>
      <c r="G78" s="2620"/>
      <c r="H78" s="621"/>
      <c r="I78" s="2620"/>
      <c r="J78" s="622"/>
      <c r="K78" s="2623"/>
      <c r="L78" s="359"/>
      <c r="M78" s="359"/>
    </row>
    <row r="79" spans="1:13" s="232" customFormat="1" ht="10.199999999999999">
      <c r="A79" s="353"/>
      <c r="B79" s="2636"/>
      <c r="C79" s="2637"/>
      <c r="D79" s="2638"/>
      <c r="E79" s="2621"/>
      <c r="F79" s="623"/>
      <c r="G79" s="2621"/>
      <c r="H79" s="623"/>
      <c r="I79" s="2621"/>
      <c r="J79" s="624"/>
      <c r="K79" s="2623"/>
      <c r="L79" s="359"/>
      <c r="M79" s="359"/>
    </row>
    <row r="80" spans="1:13" s="232" customFormat="1" ht="10.199999999999999">
      <c r="A80" s="345"/>
      <c r="B80" s="618"/>
      <c r="C80" s="562"/>
      <c r="D80" s="562"/>
      <c r="E80" s="2639" t="s">
        <v>298</v>
      </c>
      <c r="F80" s="2639"/>
      <c r="G80" s="2639"/>
      <c r="H80" s="2639"/>
      <c r="I80" s="2639"/>
      <c r="J80" s="2639"/>
      <c r="K80" s="2639"/>
      <c r="L80" s="359"/>
      <c r="M80" s="359"/>
    </row>
    <row r="81" spans="1:13" s="232" customFormat="1" ht="11.25" customHeight="1">
      <c r="A81" s="345"/>
      <c r="B81" s="625" t="s">
        <v>438</v>
      </c>
      <c r="C81" s="562"/>
      <c r="D81" s="562"/>
      <c r="E81" s="562"/>
      <c r="F81" s="562"/>
      <c r="G81" s="626"/>
      <c r="H81" s="626"/>
      <c r="I81" s="626"/>
      <c r="J81" s="626"/>
      <c r="K81" s="626"/>
      <c r="L81" s="359"/>
      <c r="M81" s="359"/>
    </row>
    <row r="82" spans="1:13" s="232" customFormat="1" ht="10.199999999999999">
      <c r="A82" s="345"/>
      <c r="B82" s="627" t="s">
        <v>195</v>
      </c>
      <c r="C82" s="562"/>
      <c r="D82" s="562"/>
      <c r="E82" s="628">
        <v>0</v>
      </c>
      <c r="F82" s="562"/>
      <c r="G82" s="629">
        <f>BS!F11</f>
        <v>686114</v>
      </c>
      <c r="H82" s="629"/>
      <c r="I82" s="629">
        <v>0</v>
      </c>
      <c r="J82" s="629"/>
      <c r="K82" s="629">
        <f>SUM(E82:I82)</f>
        <v>686114</v>
      </c>
      <c r="L82" s="359"/>
      <c r="M82" s="359"/>
    </row>
    <row r="83" spans="1:13" s="232" customFormat="1" ht="10.199999999999999">
      <c r="A83" s="345"/>
      <c r="B83" s="630" t="s">
        <v>112</v>
      </c>
      <c r="C83" s="562"/>
      <c r="D83" s="562"/>
      <c r="E83" s="631" t="e">
        <f>'10.2-10.3'!#REF!</f>
        <v>#REF!</v>
      </c>
      <c r="F83" s="562"/>
      <c r="G83" s="629">
        <v>0</v>
      </c>
      <c r="H83" s="629"/>
      <c r="I83" s="629" t="e">
        <f>BS!F12-'10.2-10.3'!#REF!</f>
        <v>#REF!</v>
      </c>
      <c r="J83" s="629"/>
      <c r="K83" s="629" t="e">
        <f>SUM(E83:I83)</f>
        <v>#REF!</v>
      </c>
      <c r="L83" s="359"/>
      <c r="M83" s="359"/>
    </row>
    <row r="84" spans="1:13" s="232" customFormat="1" ht="10.199999999999999">
      <c r="A84" s="345"/>
      <c r="B84" s="630" t="s">
        <v>374</v>
      </c>
      <c r="C84" s="562"/>
      <c r="D84" s="562"/>
      <c r="E84" s="628">
        <v>0</v>
      </c>
      <c r="F84" s="562"/>
      <c r="G84" s="629">
        <f>BS!F13</f>
        <v>1111943</v>
      </c>
      <c r="H84" s="629"/>
      <c r="I84" s="629"/>
      <c r="J84" s="629"/>
      <c r="K84" s="629">
        <f>SUM(E84:I84)</f>
        <v>1111943</v>
      </c>
      <c r="L84" s="359"/>
      <c r="M84" s="359"/>
    </row>
    <row r="85" spans="1:13" s="232" customFormat="1" ht="10.199999999999999">
      <c r="A85" s="345"/>
      <c r="B85" s="630" t="s">
        <v>343</v>
      </c>
      <c r="C85" s="562"/>
      <c r="D85" s="562"/>
      <c r="E85" s="628">
        <v>0</v>
      </c>
      <c r="F85" s="562"/>
      <c r="G85" s="629">
        <f>BS!F14</f>
        <v>103699</v>
      </c>
      <c r="H85" s="629"/>
      <c r="I85" s="629">
        <v>0</v>
      </c>
      <c r="J85" s="629"/>
      <c r="K85" s="629">
        <f>SUM(E85:I85)</f>
        <v>103699</v>
      </c>
      <c r="L85" s="359"/>
      <c r="M85" s="359"/>
    </row>
    <row r="86" spans="1:13" s="232" customFormat="1" ht="10.199999999999999">
      <c r="A86" s="345"/>
      <c r="B86" s="630" t="s">
        <v>306</v>
      </c>
      <c r="C86" s="562"/>
      <c r="D86" s="562"/>
      <c r="E86" s="628">
        <v>0</v>
      </c>
      <c r="F86" s="562"/>
      <c r="G86" s="632">
        <f>BS!F15</f>
        <v>17313</v>
      </c>
      <c r="H86" s="629"/>
      <c r="I86" s="629">
        <v>0</v>
      </c>
      <c r="J86" s="629"/>
      <c r="K86" s="629">
        <f>SUM(E86:I86)</f>
        <v>17313</v>
      </c>
      <c r="L86" s="359"/>
      <c r="M86" s="359"/>
    </row>
    <row r="87" spans="1:13" s="232" customFormat="1" ht="10.8" thickBot="1">
      <c r="A87" s="345"/>
      <c r="B87" s="633"/>
      <c r="C87" s="562"/>
      <c r="D87" s="562"/>
      <c r="E87" s="634" t="e">
        <f>SUM(E82:E86)</f>
        <v>#REF!</v>
      </c>
      <c r="F87" s="562"/>
      <c r="G87" s="635">
        <f>SUM(G82:G86)</f>
        <v>1919069</v>
      </c>
      <c r="H87" s="636"/>
      <c r="I87" s="635" t="e">
        <f>SUM(I82:I86)</f>
        <v>#REF!</v>
      </c>
      <c r="J87" s="636"/>
      <c r="K87" s="635" t="e">
        <f>SUM(K82:K86)</f>
        <v>#REF!</v>
      </c>
      <c r="L87" s="359"/>
      <c r="M87" s="359"/>
    </row>
    <row r="88" spans="1:13" s="232" customFormat="1" ht="10.8" thickTop="1">
      <c r="A88" s="345"/>
      <c r="B88" s="633"/>
      <c r="C88" s="562"/>
      <c r="D88" s="562"/>
      <c r="E88" s="562"/>
      <c r="F88" s="562"/>
      <c r="G88" s="636"/>
      <c r="H88" s="636"/>
      <c r="I88" s="636"/>
      <c r="J88" s="636"/>
      <c r="K88" s="636"/>
      <c r="L88" s="359"/>
      <c r="M88" s="359"/>
    </row>
    <row r="89" spans="1:13" s="232" customFormat="1" ht="10.199999999999999">
      <c r="A89" s="345"/>
      <c r="B89" s="633"/>
      <c r="C89" s="562"/>
      <c r="D89" s="562"/>
      <c r="E89" s="562"/>
      <c r="F89" s="562"/>
      <c r="G89" s="2625" t="s">
        <v>331</v>
      </c>
      <c r="H89" s="2625"/>
      <c r="I89" s="2625"/>
      <c r="J89" s="2625"/>
      <c r="K89" s="2626"/>
      <c r="L89" s="359"/>
      <c r="M89" s="359"/>
    </row>
    <row r="90" spans="1:13" s="232" customFormat="1" ht="10.199999999999999">
      <c r="A90" s="345"/>
      <c r="B90" s="2628" t="s">
        <v>261</v>
      </c>
      <c r="C90" s="2628"/>
      <c r="D90" s="2628"/>
      <c r="E90" s="2628"/>
      <c r="F90" s="2629"/>
      <c r="G90" s="2627" t="s">
        <v>311</v>
      </c>
      <c r="H90" s="619"/>
      <c r="I90" s="2627" t="s">
        <v>578</v>
      </c>
      <c r="J90" s="620"/>
      <c r="K90" s="2623" t="s">
        <v>44</v>
      </c>
      <c r="L90" s="359"/>
      <c r="M90" s="359"/>
    </row>
    <row r="91" spans="1:13" s="232" customFormat="1" ht="10.199999999999999">
      <c r="A91" s="345"/>
      <c r="B91" s="2628"/>
      <c r="C91" s="2628"/>
      <c r="D91" s="2628"/>
      <c r="E91" s="2628"/>
      <c r="F91" s="2629"/>
      <c r="G91" s="2620"/>
      <c r="H91" s="621"/>
      <c r="I91" s="2620"/>
      <c r="J91" s="622"/>
      <c r="K91" s="2623"/>
      <c r="L91" s="359"/>
      <c r="M91" s="359"/>
    </row>
    <row r="92" spans="1:13" s="232" customFormat="1" ht="35.25" customHeight="1">
      <c r="A92" s="345"/>
      <c r="B92" s="2628"/>
      <c r="C92" s="2628"/>
      <c r="D92" s="2628"/>
      <c r="E92" s="2628"/>
      <c r="F92" s="2629"/>
      <c r="G92" s="2621"/>
      <c r="H92" s="623"/>
      <c r="I92" s="2621"/>
      <c r="J92" s="624"/>
      <c r="K92" s="2623"/>
      <c r="L92" s="359"/>
      <c r="M92" s="359"/>
    </row>
    <row r="93" spans="1:13" s="232" customFormat="1" ht="10.199999999999999">
      <c r="A93" s="345"/>
      <c r="B93" s="637"/>
      <c r="C93" s="637"/>
      <c r="D93" s="637"/>
      <c r="E93" s="637"/>
      <c r="F93" s="637"/>
      <c r="G93" s="2618" t="s">
        <v>298</v>
      </c>
      <c r="H93" s="2618"/>
      <c r="I93" s="2618"/>
      <c r="J93" s="2618"/>
      <c r="K93" s="2618"/>
      <c r="L93" s="359"/>
      <c r="M93" s="359"/>
    </row>
    <row r="94" spans="1:13" s="232" customFormat="1" ht="10.199999999999999">
      <c r="A94" s="345"/>
      <c r="B94" s="638" t="s">
        <v>513</v>
      </c>
      <c r="C94" s="562"/>
      <c r="D94" s="562"/>
      <c r="E94" s="562"/>
      <c r="F94" s="562"/>
      <c r="G94" s="626"/>
      <c r="H94" s="626"/>
      <c r="I94" s="626"/>
      <c r="J94" s="626"/>
      <c r="K94" s="626"/>
      <c r="L94" s="359"/>
      <c r="M94" s="359"/>
    </row>
    <row r="95" spans="1:13" s="232" customFormat="1" ht="10.199999999999999">
      <c r="A95" s="345"/>
      <c r="B95" s="639" t="s">
        <v>573</v>
      </c>
      <c r="C95" s="562"/>
      <c r="D95" s="562"/>
      <c r="E95" s="562"/>
      <c r="F95" s="562"/>
      <c r="G95" s="626"/>
      <c r="H95" s="626"/>
      <c r="I95" s="626"/>
      <c r="J95" s="626"/>
      <c r="K95" s="626"/>
      <c r="L95" s="359"/>
      <c r="M95" s="359"/>
    </row>
    <row r="96" spans="1:13" s="232" customFormat="1" ht="10.199999999999999">
      <c r="A96" s="345"/>
      <c r="B96" s="640" t="s">
        <v>574</v>
      </c>
      <c r="C96" s="641"/>
      <c r="D96" s="562"/>
      <c r="E96" s="562"/>
      <c r="F96" s="562"/>
      <c r="G96" s="629">
        <v>0</v>
      </c>
      <c r="H96" s="629"/>
      <c r="I96" s="629">
        <f>BS!F19</f>
        <v>0</v>
      </c>
      <c r="J96" s="629"/>
      <c r="K96" s="629">
        <f>SUM(G96:I96)</f>
        <v>0</v>
      </c>
      <c r="L96" s="359"/>
      <c r="M96" s="359"/>
    </row>
    <row r="97" spans="1:13" s="232" customFormat="1" ht="10.199999999999999">
      <c r="A97" s="345"/>
      <c r="B97" s="639" t="s">
        <v>315</v>
      </c>
      <c r="C97" s="641"/>
      <c r="D97" s="562"/>
      <c r="E97" s="562"/>
      <c r="F97" s="562"/>
      <c r="G97" s="629">
        <v>0</v>
      </c>
      <c r="H97" s="629"/>
      <c r="I97" s="629">
        <f>BS!F22</f>
        <v>1223</v>
      </c>
      <c r="J97" s="629"/>
      <c r="K97" s="629">
        <f>SUM(G97:I97)</f>
        <v>1223</v>
      </c>
      <c r="L97" s="359"/>
      <c r="M97" s="359"/>
    </row>
    <row r="98" spans="1:13" s="232" customFormat="1" ht="10.199999999999999">
      <c r="A98" s="345"/>
      <c r="B98" s="639" t="s">
        <v>153</v>
      </c>
      <c r="C98" s="641"/>
      <c r="D98" s="562"/>
      <c r="E98" s="562"/>
      <c r="F98" s="562"/>
      <c r="G98" s="629">
        <v>0</v>
      </c>
      <c r="H98" s="629"/>
      <c r="I98" s="629">
        <f>BS!F25</f>
        <v>386</v>
      </c>
      <c r="J98" s="629"/>
      <c r="K98" s="629">
        <f>SUM(G98:I98)</f>
        <v>386</v>
      </c>
      <c r="L98" s="359"/>
      <c r="M98" s="359"/>
    </row>
    <row r="99" spans="1:13" s="232" customFormat="1" ht="10.199999999999999">
      <c r="A99" s="345"/>
      <c r="B99" s="639" t="s">
        <v>55</v>
      </c>
      <c r="C99" s="641"/>
      <c r="D99" s="562"/>
      <c r="E99" s="562"/>
      <c r="F99" s="562"/>
      <c r="G99" s="632">
        <v>0</v>
      </c>
      <c r="H99" s="629"/>
      <c r="I99" s="629" t="e">
        <f>#REF!-#REF!-#REF!</f>
        <v>#REF!</v>
      </c>
      <c r="J99" s="629"/>
      <c r="K99" s="629" t="e">
        <f>SUM(G99:I99)</f>
        <v>#REF!</v>
      </c>
      <c r="L99" s="359"/>
      <c r="M99" s="359"/>
    </row>
    <row r="100" spans="1:13" s="232" customFormat="1" ht="10.8" thickBot="1">
      <c r="A100" s="345"/>
      <c r="B100" s="633"/>
      <c r="C100" s="562"/>
      <c r="D100" s="562"/>
      <c r="E100" s="562"/>
      <c r="F100" s="562"/>
      <c r="G100" s="635">
        <f>SUM(G96:G99)</f>
        <v>0</v>
      </c>
      <c r="H100" s="636"/>
      <c r="I100" s="635" t="e">
        <f>SUM(I96:I99)</f>
        <v>#REF!</v>
      </c>
      <c r="J100" s="636"/>
      <c r="K100" s="635" t="e">
        <f>SUM(K96:K99)</f>
        <v>#REF!</v>
      </c>
      <c r="L100" s="359"/>
      <c r="M100" s="359"/>
    </row>
    <row r="101" spans="1:13" s="232" customFormat="1" ht="10.8" thickTop="1">
      <c r="A101" s="375"/>
      <c r="B101" s="610"/>
      <c r="C101" s="611"/>
      <c r="D101" s="606"/>
      <c r="E101" s="606"/>
      <c r="F101" s="606"/>
      <c r="G101" s="606"/>
      <c r="H101" s="615"/>
      <c r="I101" s="613"/>
      <c r="J101" s="614"/>
      <c r="K101" s="614"/>
      <c r="L101" s="359"/>
      <c r="M101" s="359"/>
    </row>
    <row r="102" spans="1:13" s="32" customFormat="1" ht="12">
      <c r="A102" s="207">
        <f>A73+1</f>
        <v>22</v>
      </c>
      <c r="B102" s="541" t="s">
        <v>197</v>
      </c>
      <c r="C102" s="541"/>
      <c r="D102" s="541"/>
      <c r="E102" s="542"/>
      <c r="F102" s="548"/>
      <c r="G102" s="542"/>
      <c r="H102" s="548"/>
      <c r="I102" s="548"/>
      <c r="J102" s="542"/>
      <c r="K102" s="542"/>
    </row>
    <row r="103" spans="1:13" s="32" customFormat="1" ht="12">
      <c r="A103" s="208"/>
      <c r="B103" s="542"/>
      <c r="C103" s="542"/>
      <c r="D103" s="542"/>
      <c r="E103" s="542"/>
      <c r="F103" s="548"/>
      <c r="G103" s="542"/>
      <c r="H103" s="548"/>
      <c r="I103" s="548"/>
      <c r="J103" s="542"/>
      <c r="K103" s="542"/>
    </row>
    <row r="104" spans="1:13" s="32" customFormat="1" ht="12">
      <c r="A104" s="208"/>
      <c r="B104" s="642" t="s">
        <v>198</v>
      </c>
      <c r="C104" s="642"/>
      <c r="D104" s="642"/>
      <c r="E104" s="642"/>
      <c r="F104" s="642"/>
      <c r="G104" s="642"/>
      <c r="H104" s="642"/>
      <c r="I104" s="642"/>
      <c r="J104" s="542"/>
      <c r="K104" s="542"/>
    </row>
    <row r="105" spans="1:13" s="32" customFormat="1" ht="12">
      <c r="A105" s="208"/>
      <c r="B105" s="642"/>
      <c r="C105" s="642"/>
      <c r="D105" s="642"/>
      <c r="E105" s="642"/>
      <c r="F105" s="642"/>
      <c r="G105" s="642"/>
      <c r="H105" s="642"/>
      <c r="I105" s="642"/>
      <c r="J105" s="542"/>
      <c r="K105" s="542"/>
    </row>
    <row r="106" spans="1:13" s="32" customFormat="1" ht="12">
      <c r="A106" s="215">
        <f>A102+0.1</f>
        <v>22.1</v>
      </c>
      <c r="B106" s="541" t="s">
        <v>199</v>
      </c>
      <c r="C106" s="541"/>
      <c r="D106" s="541"/>
      <c r="E106" s="541"/>
      <c r="F106" s="539"/>
      <c r="G106" s="539"/>
      <c r="H106" s="539"/>
      <c r="I106" s="539"/>
      <c r="J106" s="542"/>
      <c r="K106" s="542"/>
    </row>
    <row r="107" spans="1:13" s="32" customFormat="1" ht="12">
      <c r="A107" s="208"/>
      <c r="B107" s="542"/>
      <c r="C107" s="542"/>
      <c r="D107" s="542"/>
      <c r="E107" s="542"/>
      <c r="F107" s="539"/>
      <c r="G107" s="539"/>
      <c r="H107" s="539"/>
      <c r="I107" s="539"/>
      <c r="J107" s="542"/>
      <c r="K107" s="542"/>
    </row>
    <row r="108" spans="1:13" s="32" customFormat="1" ht="12">
      <c r="A108" s="208"/>
      <c r="B108" s="2641" t="s">
        <v>300</v>
      </c>
      <c r="C108" s="2641"/>
      <c r="D108" s="2641"/>
      <c r="E108" s="2641"/>
      <c r="F108" s="2641"/>
      <c r="G108" s="2641"/>
      <c r="H108" s="2641"/>
      <c r="I108" s="2641"/>
      <c r="J108" s="2641"/>
      <c r="K108" s="2641"/>
    </row>
    <row r="109" spans="1:13" s="32" customFormat="1" ht="12">
      <c r="A109" s="208"/>
      <c r="B109" s="2641"/>
      <c r="C109" s="2641"/>
      <c r="D109" s="2641"/>
      <c r="E109" s="2641"/>
      <c r="F109" s="2641"/>
      <c r="G109" s="2641"/>
      <c r="H109" s="2641"/>
      <c r="I109" s="2641"/>
      <c r="J109" s="2641"/>
      <c r="K109" s="2641"/>
    </row>
    <row r="110" spans="1:13" s="32" customFormat="1" ht="12">
      <c r="A110" s="208"/>
      <c r="B110" s="546"/>
      <c r="C110" s="546"/>
      <c r="D110" s="546"/>
      <c r="E110" s="546"/>
      <c r="F110" s="546"/>
      <c r="G110" s="546"/>
      <c r="H110" s="546"/>
      <c r="I110" s="546"/>
      <c r="J110" s="542"/>
      <c r="K110" s="542"/>
    </row>
    <row r="111" spans="1:13" s="32" customFormat="1" ht="12">
      <c r="A111" s="208"/>
      <c r="B111" s="2640" t="s">
        <v>603</v>
      </c>
      <c r="C111" s="2640"/>
      <c r="D111" s="2640"/>
      <c r="E111" s="2640"/>
      <c r="F111" s="2640"/>
      <c r="G111" s="2640"/>
      <c r="H111" s="2640"/>
      <c r="I111" s="2640"/>
      <c r="J111" s="2640"/>
      <c r="K111" s="2640"/>
    </row>
    <row r="112" spans="1:13" s="32" customFormat="1" ht="12">
      <c r="A112" s="208"/>
      <c r="B112" s="2640"/>
      <c r="C112" s="2640"/>
      <c r="D112" s="2640"/>
      <c r="E112" s="2640"/>
      <c r="F112" s="2640"/>
      <c r="G112" s="2640"/>
      <c r="H112" s="2640"/>
      <c r="I112" s="2640"/>
      <c r="J112" s="2640"/>
      <c r="K112" s="2640"/>
    </row>
    <row r="113" spans="1:11" s="32" customFormat="1" ht="12">
      <c r="A113" s="208"/>
      <c r="B113" s="2640"/>
      <c r="C113" s="2640"/>
      <c r="D113" s="2640"/>
      <c r="E113" s="2640"/>
      <c r="F113" s="2640"/>
      <c r="G113" s="2640"/>
      <c r="H113" s="2640"/>
      <c r="I113" s="2640"/>
      <c r="J113" s="2640"/>
      <c r="K113" s="2640"/>
    </row>
    <row r="114" spans="1:11" s="32" customFormat="1" ht="12">
      <c r="A114" s="208"/>
      <c r="B114" s="643"/>
      <c r="C114" s="643"/>
      <c r="D114" s="643"/>
      <c r="E114" s="643"/>
      <c r="F114" s="643"/>
      <c r="G114" s="643"/>
      <c r="H114" s="643"/>
      <c r="I114" s="643"/>
      <c r="J114" s="643"/>
      <c r="K114" s="643"/>
    </row>
    <row r="115" spans="1:11" s="32" customFormat="1" ht="12">
      <c r="A115" s="208"/>
      <c r="B115" s="542" t="s">
        <v>581</v>
      </c>
      <c r="C115" s="542"/>
      <c r="D115" s="542"/>
      <c r="E115" s="542"/>
      <c r="F115" s="542"/>
      <c r="G115" s="542"/>
      <c r="H115" s="542"/>
      <c r="I115" s="542"/>
      <c r="J115" s="542"/>
      <c r="K115" s="542"/>
    </row>
    <row r="116" spans="1:11" s="32" customFormat="1" ht="12">
      <c r="A116" s="208"/>
      <c r="B116" s="542"/>
      <c r="C116" s="542"/>
      <c r="D116" s="542"/>
      <c r="E116" s="542"/>
      <c r="F116" s="548"/>
      <c r="G116" s="542"/>
      <c r="H116" s="548"/>
      <c r="I116" s="548"/>
      <c r="J116" s="542"/>
      <c r="K116" s="542"/>
    </row>
    <row r="117" spans="1:11" s="32" customFormat="1" ht="12">
      <c r="A117" s="208" t="str">
        <f>A106&amp;".1"</f>
        <v>22.1.1</v>
      </c>
      <c r="B117" s="541" t="s">
        <v>200</v>
      </c>
      <c r="C117" s="542"/>
      <c r="D117" s="542"/>
      <c r="E117" s="542"/>
      <c r="F117" s="542"/>
      <c r="G117" s="542"/>
      <c r="H117" s="542"/>
      <c r="I117" s="542"/>
      <c r="J117" s="542"/>
      <c r="K117" s="542"/>
    </row>
    <row r="118" spans="1:11" s="32" customFormat="1" ht="12">
      <c r="A118" s="208"/>
      <c r="B118" s="542"/>
      <c r="C118" s="542"/>
      <c r="D118" s="542"/>
      <c r="E118" s="542"/>
      <c r="F118" s="542"/>
      <c r="G118" s="542"/>
      <c r="H118" s="542"/>
      <c r="I118" s="542"/>
      <c r="J118" s="542"/>
      <c r="K118" s="542"/>
    </row>
    <row r="119" spans="1:11" s="32" customFormat="1" ht="12">
      <c r="A119" s="208"/>
      <c r="B119" s="2640" t="s">
        <v>514</v>
      </c>
      <c r="C119" s="2640"/>
      <c r="D119" s="2640"/>
      <c r="E119" s="2640"/>
      <c r="F119" s="2640"/>
      <c r="G119" s="2640"/>
      <c r="H119" s="2640"/>
      <c r="I119" s="2640"/>
      <c r="J119" s="2640"/>
      <c r="K119" s="2640"/>
    </row>
    <row r="120" spans="1:11" s="32" customFormat="1" ht="12">
      <c r="A120" s="208"/>
      <c r="B120" s="2640"/>
      <c r="C120" s="2640"/>
      <c r="D120" s="2640"/>
      <c r="E120" s="2640"/>
      <c r="F120" s="2640"/>
      <c r="G120" s="2640"/>
      <c r="H120" s="2640"/>
      <c r="I120" s="2640"/>
      <c r="J120" s="2640"/>
      <c r="K120" s="2640"/>
    </row>
    <row r="121" spans="1:11" s="32" customFormat="1" ht="12">
      <c r="A121" s="208"/>
      <c r="B121" s="2640"/>
      <c r="C121" s="2640"/>
      <c r="D121" s="2640"/>
      <c r="E121" s="2640"/>
      <c r="F121" s="2640"/>
      <c r="G121" s="2640"/>
      <c r="H121" s="2640"/>
      <c r="I121" s="2640"/>
      <c r="J121" s="2640"/>
      <c r="K121" s="2640"/>
    </row>
    <row r="122" spans="1:11" s="32" customFormat="1" ht="12">
      <c r="A122" s="208"/>
      <c r="B122" s="539"/>
      <c r="C122" s="539"/>
      <c r="D122" s="539"/>
      <c r="E122" s="539"/>
      <c r="F122" s="539"/>
      <c r="G122" s="539"/>
      <c r="H122" s="539"/>
      <c r="I122" s="539"/>
      <c r="J122" s="539"/>
      <c r="K122" s="539"/>
    </row>
    <row r="123" spans="1:11" s="32" customFormat="1" ht="12">
      <c r="A123" s="208" t="s">
        <v>439</v>
      </c>
      <c r="B123" s="541" t="s">
        <v>585</v>
      </c>
      <c r="C123" s="541"/>
      <c r="D123" s="548"/>
      <c r="E123" s="542"/>
      <c r="F123" s="542"/>
      <c r="G123" s="548"/>
      <c r="H123" s="542"/>
      <c r="I123" s="542"/>
      <c r="J123" s="542"/>
      <c r="K123" s="542"/>
    </row>
    <row r="124" spans="1:11" s="32" customFormat="1" ht="12">
      <c r="A124" s="208"/>
      <c r="B124" s="542"/>
      <c r="C124" s="542"/>
      <c r="D124" s="548"/>
      <c r="E124" s="542"/>
      <c r="F124" s="542"/>
      <c r="G124" s="548"/>
      <c r="H124" s="542"/>
      <c r="I124" s="542"/>
      <c r="J124" s="542"/>
      <c r="K124" s="542"/>
    </row>
    <row r="125" spans="1:11" s="32" customFormat="1" ht="12">
      <c r="A125" s="208"/>
      <c r="B125" s="2640" t="s">
        <v>586</v>
      </c>
      <c r="C125" s="2640"/>
      <c r="D125" s="2640"/>
      <c r="E125" s="2640"/>
      <c r="F125" s="2640"/>
      <c r="G125" s="2640"/>
      <c r="H125" s="2640"/>
      <c r="I125" s="2640"/>
      <c r="J125" s="2640"/>
      <c r="K125" s="2640"/>
    </row>
    <row r="126" spans="1:11" s="32" customFormat="1" ht="12">
      <c r="A126" s="208"/>
      <c r="B126" s="2640"/>
      <c r="C126" s="2640"/>
      <c r="D126" s="2640"/>
      <c r="E126" s="2640"/>
      <c r="F126" s="2640"/>
      <c r="G126" s="2640"/>
      <c r="H126" s="2640"/>
      <c r="I126" s="2640"/>
      <c r="J126" s="2640"/>
      <c r="K126" s="2640"/>
    </row>
    <row r="127" spans="1:11" s="32" customFormat="1" ht="12">
      <c r="A127" s="208"/>
      <c r="B127" s="539"/>
      <c r="C127" s="539"/>
      <c r="D127" s="539"/>
      <c r="E127" s="539"/>
      <c r="F127" s="539"/>
      <c r="G127" s="539"/>
      <c r="H127" s="539"/>
      <c r="I127" s="539"/>
      <c r="J127" s="539"/>
      <c r="K127" s="539"/>
    </row>
    <row r="128" spans="1:11" s="32" customFormat="1" ht="12">
      <c r="A128" s="208"/>
      <c r="B128" s="644" t="s">
        <v>70</v>
      </c>
      <c r="C128" s="541" t="s">
        <v>154</v>
      </c>
      <c r="D128" s="541"/>
      <c r="E128" s="541"/>
      <c r="F128" s="541"/>
      <c r="G128" s="541"/>
      <c r="H128" s="541"/>
      <c r="I128" s="539"/>
      <c r="J128" s="542"/>
      <c r="K128" s="542"/>
    </row>
    <row r="129" spans="1:11" s="32" customFormat="1" ht="12">
      <c r="A129" s="208"/>
      <c r="B129" s="645"/>
      <c r="C129" s="645"/>
      <c r="D129" s="645"/>
      <c r="E129" s="645"/>
      <c r="F129" s="645"/>
      <c r="G129" s="645"/>
      <c r="H129" s="645"/>
      <c r="I129" s="539"/>
      <c r="J129" s="542"/>
      <c r="K129" s="542"/>
    </row>
    <row r="130" spans="1:11" s="32" customFormat="1" ht="12">
      <c r="A130" s="208"/>
      <c r="B130" s="2642" t="s">
        <v>604</v>
      </c>
      <c r="C130" s="2642"/>
      <c r="D130" s="2642"/>
      <c r="E130" s="2642"/>
      <c r="F130" s="2642"/>
      <c r="G130" s="2642"/>
      <c r="H130" s="2642"/>
      <c r="I130" s="2642"/>
      <c r="J130" s="2642"/>
      <c r="K130" s="2642"/>
    </row>
    <row r="131" spans="1:11" s="32" customFormat="1" ht="12">
      <c r="A131" s="208"/>
      <c r="B131" s="2642"/>
      <c r="C131" s="2642"/>
      <c r="D131" s="2642"/>
      <c r="E131" s="2642"/>
      <c r="F131" s="2642"/>
      <c r="G131" s="2642"/>
      <c r="H131" s="2642"/>
      <c r="I131" s="2642"/>
      <c r="J131" s="2642"/>
      <c r="K131" s="2642"/>
    </row>
    <row r="132" spans="1:11" s="32" customFormat="1" ht="12">
      <c r="A132" s="208"/>
      <c r="B132" s="542"/>
      <c r="C132" s="542"/>
      <c r="D132" s="542"/>
      <c r="E132" s="542"/>
      <c r="F132" s="548"/>
      <c r="G132" s="542"/>
      <c r="H132" s="548"/>
      <c r="I132" s="548"/>
      <c r="J132" s="542"/>
      <c r="K132" s="542"/>
    </row>
    <row r="133" spans="1:11" s="32" customFormat="1" ht="12">
      <c r="A133" s="208"/>
      <c r="B133" s="644" t="s">
        <v>71</v>
      </c>
      <c r="C133" s="644" t="s">
        <v>85</v>
      </c>
      <c r="D133" s="644"/>
      <c r="E133" s="644"/>
      <c r="F133" s="644"/>
      <c r="G133" s="644"/>
      <c r="H133" s="644"/>
      <c r="I133" s="646"/>
      <c r="J133" s="542"/>
      <c r="K133" s="542"/>
    </row>
    <row r="134" spans="1:11" s="32" customFormat="1" ht="12">
      <c r="A134" s="208"/>
      <c r="B134" s="645"/>
      <c r="C134" s="645"/>
      <c r="D134" s="645"/>
      <c r="E134" s="645"/>
      <c r="F134" s="645"/>
      <c r="G134" s="645"/>
      <c r="H134" s="645"/>
      <c r="I134" s="645"/>
      <c r="J134" s="542"/>
      <c r="K134" s="542"/>
    </row>
    <row r="135" spans="1:11" s="32" customFormat="1" ht="12">
      <c r="A135" s="208"/>
      <c r="B135" s="2640" t="s">
        <v>605</v>
      </c>
      <c r="C135" s="2640"/>
      <c r="D135" s="2640"/>
      <c r="E135" s="2640"/>
      <c r="F135" s="2640"/>
      <c r="G135" s="2640"/>
      <c r="H135" s="2640"/>
      <c r="I135" s="2640"/>
      <c r="J135" s="2640"/>
      <c r="K135" s="2640"/>
    </row>
    <row r="136" spans="1:11" s="32" customFormat="1" ht="12">
      <c r="A136" s="208"/>
      <c r="B136" s="2640"/>
      <c r="C136" s="2640"/>
      <c r="D136" s="2640"/>
      <c r="E136" s="2640"/>
      <c r="F136" s="2640"/>
      <c r="G136" s="2640"/>
      <c r="H136" s="2640"/>
      <c r="I136" s="2640"/>
      <c r="J136" s="2640"/>
      <c r="K136" s="2640"/>
    </row>
    <row r="137" spans="1:11" s="30" customFormat="1" ht="12">
      <c r="A137" s="28"/>
      <c r="B137" s="446"/>
      <c r="C137" s="446"/>
      <c r="D137" s="446"/>
      <c r="E137" s="446"/>
      <c r="F137" s="446"/>
      <c r="G137" s="446"/>
      <c r="H137" s="446"/>
      <c r="I137" s="446"/>
      <c r="J137" s="446"/>
      <c r="K137" s="446"/>
    </row>
  </sheetData>
  <mergeCells count="46">
    <mergeCell ref="G63:H63"/>
    <mergeCell ref="G64:H64"/>
    <mergeCell ref="G65:H65"/>
    <mergeCell ref="G75:K75"/>
    <mergeCell ref="G76:G79"/>
    <mergeCell ref="G66:H66"/>
    <mergeCell ref="G67:H67"/>
    <mergeCell ref="G60:H60"/>
    <mergeCell ref="G61:H61"/>
    <mergeCell ref="G62:H62"/>
    <mergeCell ref="G58:H58"/>
    <mergeCell ref="G59:H59"/>
    <mergeCell ref="E7:K7"/>
    <mergeCell ref="C8:D8"/>
    <mergeCell ref="E8:J8"/>
    <mergeCell ref="G34:K34"/>
    <mergeCell ref="B35:E36"/>
    <mergeCell ref="G35:G36"/>
    <mergeCell ref="I35:I36"/>
    <mergeCell ref="K35:K36"/>
    <mergeCell ref="B16:K17"/>
    <mergeCell ref="G37:K37"/>
    <mergeCell ref="D55:G55"/>
    <mergeCell ref="I55:K56"/>
    <mergeCell ref="E56:F56"/>
    <mergeCell ref="G56:H56"/>
    <mergeCell ref="B51:K53"/>
    <mergeCell ref="B55:C56"/>
    <mergeCell ref="B135:K136"/>
    <mergeCell ref="B108:K109"/>
    <mergeCell ref="B111:K113"/>
    <mergeCell ref="B119:K121"/>
    <mergeCell ref="B125:K126"/>
    <mergeCell ref="B130:K131"/>
    <mergeCell ref="G93:K93"/>
    <mergeCell ref="I76:I79"/>
    <mergeCell ref="K76:K79"/>
    <mergeCell ref="E67:F67"/>
    <mergeCell ref="G89:K89"/>
    <mergeCell ref="G90:G92"/>
    <mergeCell ref="I90:I92"/>
    <mergeCell ref="K90:K92"/>
    <mergeCell ref="B90:F92"/>
    <mergeCell ref="B76:D79"/>
    <mergeCell ref="E76:E79"/>
    <mergeCell ref="E80:K80"/>
  </mergeCells>
  <phoneticPr fontId="39" type="noConversion"/>
  <printOptions horizontalCentered="1"/>
  <pageMargins left="0.75" right="0.5" top="0.5" bottom="0.4" header="0.28999999999999998" footer="0.5"/>
  <pageSetup paperSize="9" orientation="portrait" r:id="rId1"/>
  <headerFooter alignWithMargins="0"/>
  <rowBreaks count="2" manualBreakCount="2">
    <brk id="70" max="10" man="1"/>
    <brk id="180" max="4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T304"/>
  <sheetViews>
    <sheetView view="pageBreakPreview" zoomScaleSheetLayoutView="100" workbookViewId="0">
      <selection activeCell="B1" sqref="B1"/>
    </sheetView>
  </sheetViews>
  <sheetFormatPr defaultColWidth="9" defaultRowHeight="11.4"/>
  <cols>
    <col min="1" max="1" width="5.09765625" style="8" customWidth="1"/>
    <col min="2" max="2" width="3.59765625" style="8" customWidth="1"/>
    <col min="3" max="3" width="14.59765625" style="8" customWidth="1"/>
    <col min="4" max="4" width="8.5" style="8" customWidth="1"/>
    <col min="5" max="7" width="8.59765625" style="8" customWidth="1"/>
    <col min="8" max="8" width="8.69921875" style="8" customWidth="1"/>
    <col min="9" max="10" width="8.59765625" style="8" customWidth="1"/>
    <col min="11" max="16384" width="9" style="8"/>
  </cols>
  <sheetData>
    <row r="1" spans="1:10" s="32" customFormat="1">
      <c r="A1" s="346" t="e">
        <f>'20-25.1.2'!A71+1</f>
        <v>#REF!</v>
      </c>
      <c r="B1" s="547"/>
      <c r="C1" s="547"/>
      <c r="D1" s="547"/>
      <c r="E1" s="547"/>
      <c r="F1" s="547"/>
      <c r="G1" s="547"/>
      <c r="H1" s="547"/>
      <c r="I1" s="547"/>
      <c r="J1" s="547"/>
    </row>
    <row r="2" spans="1:10" s="32" customFormat="1" ht="12">
      <c r="A2" s="208"/>
      <c r="B2" s="542"/>
      <c r="C2" s="542"/>
      <c r="D2" s="542"/>
      <c r="E2" s="542"/>
      <c r="F2" s="542"/>
      <c r="G2" s="548"/>
      <c r="H2" s="542"/>
      <c r="I2" s="548"/>
      <c r="J2" s="548"/>
    </row>
    <row r="3" spans="1:10" s="32" customFormat="1" ht="12">
      <c r="A3" s="208"/>
      <c r="B3" s="2640" t="s">
        <v>587</v>
      </c>
      <c r="C3" s="2640"/>
      <c r="D3" s="2640"/>
      <c r="E3" s="2640"/>
      <c r="F3" s="2640"/>
      <c r="G3" s="2640"/>
      <c r="H3" s="2640"/>
      <c r="I3" s="2640"/>
      <c r="J3" s="2640"/>
    </row>
    <row r="4" spans="1:10" s="32" customFormat="1" ht="12">
      <c r="A4" s="208"/>
      <c r="B4" s="2640"/>
      <c r="C4" s="2640"/>
      <c r="D4" s="2640"/>
      <c r="E4" s="2640"/>
      <c r="F4" s="2640"/>
      <c r="G4" s="2640"/>
      <c r="H4" s="2640"/>
      <c r="I4" s="2640"/>
      <c r="J4" s="2640"/>
    </row>
    <row r="5" spans="1:10" s="32" customFormat="1" ht="12">
      <c r="A5" s="208"/>
      <c r="B5" s="644"/>
      <c r="C5" s="644"/>
      <c r="D5" s="644"/>
      <c r="E5" s="644"/>
      <c r="F5" s="644"/>
      <c r="G5" s="644"/>
      <c r="H5" s="644"/>
      <c r="I5" s="646"/>
      <c r="J5" s="646"/>
    </row>
    <row r="6" spans="1:10" s="218" customFormat="1" ht="10.199999999999999">
      <c r="A6" s="217"/>
      <c r="B6" s="647"/>
      <c r="C6" s="647"/>
      <c r="D6" s="647"/>
      <c r="E6" s="2682" t="s">
        <v>317</v>
      </c>
      <c r="F6" s="2683"/>
      <c r="G6" s="2683"/>
      <c r="H6" s="2683"/>
      <c r="I6" s="2683"/>
      <c r="J6" s="2683"/>
    </row>
    <row r="7" spans="1:10" s="218" customFormat="1" ht="9.75" customHeight="1">
      <c r="A7" s="219"/>
      <c r="B7" s="2646" t="s">
        <v>261</v>
      </c>
      <c r="C7" s="2647"/>
      <c r="D7" s="2685"/>
      <c r="E7" s="2679" t="s">
        <v>588</v>
      </c>
      <c r="F7" s="2679" t="s">
        <v>44</v>
      </c>
      <c r="G7" s="2684" t="s">
        <v>589</v>
      </c>
      <c r="H7" s="2684"/>
      <c r="I7" s="2684"/>
      <c r="J7" s="2679" t="s">
        <v>590</v>
      </c>
    </row>
    <row r="8" spans="1:10" s="218" customFormat="1" ht="10.199999999999999">
      <c r="A8" s="220"/>
      <c r="B8" s="2686"/>
      <c r="C8" s="2687"/>
      <c r="D8" s="2688"/>
      <c r="E8" s="2679"/>
      <c r="F8" s="2679"/>
      <c r="G8" s="2679" t="s">
        <v>201</v>
      </c>
      <c r="H8" s="2679" t="s">
        <v>202</v>
      </c>
      <c r="I8" s="2679" t="s">
        <v>203</v>
      </c>
      <c r="J8" s="2679"/>
    </row>
    <row r="9" spans="1:10" s="218" customFormat="1" ht="10.199999999999999">
      <c r="A9" s="220"/>
      <c r="B9" s="2686"/>
      <c r="C9" s="2687"/>
      <c r="D9" s="2688"/>
      <c r="E9" s="2679"/>
      <c r="F9" s="2679"/>
      <c r="G9" s="2679"/>
      <c r="H9" s="2679"/>
      <c r="I9" s="2679"/>
      <c r="J9" s="2679"/>
    </row>
    <row r="10" spans="1:10" s="218" customFormat="1" ht="10.199999999999999">
      <c r="A10" s="220"/>
      <c r="B10" s="2686"/>
      <c r="C10" s="2687"/>
      <c r="D10" s="2688"/>
      <c r="E10" s="2680"/>
      <c r="F10" s="2680"/>
      <c r="G10" s="2680"/>
      <c r="H10" s="2680"/>
      <c r="I10" s="2680"/>
      <c r="J10" s="2680"/>
    </row>
    <row r="11" spans="1:10" s="218" customFormat="1" ht="10.199999999999999">
      <c r="A11" s="220"/>
      <c r="B11" s="2686"/>
      <c r="C11" s="2687"/>
      <c r="D11" s="2688"/>
      <c r="E11" s="2680"/>
      <c r="F11" s="2680"/>
      <c r="G11" s="2680"/>
      <c r="H11" s="2680"/>
      <c r="I11" s="2680"/>
      <c r="J11" s="2680"/>
    </row>
    <row r="12" spans="1:10" s="218" customFormat="1" ht="10.199999999999999">
      <c r="A12" s="220"/>
      <c r="B12" s="2649"/>
      <c r="C12" s="2650"/>
      <c r="D12" s="2651"/>
      <c r="E12" s="2680"/>
      <c r="F12" s="2680"/>
      <c r="G12" s="2680"/>
      <c r="H12" s="2680"/>
      <c r="I12" s="2680"/>
      <c r="J12" s="2680"/>
    </row>
    <row r="13" spans="1:10" s="218" customFormat="1" ht="10.199999999999999">
      <c r="A13" s="220"/>
      <c r="B13" s="609"/>
      <c r="C13" s="609"/>
      <c r="D13" s="609"/>
      <c r="E13" s="648" t="s">
        <v>22</v>
      </c>
      <c r="F13" s="2681" t="s">
        <v>204</v>
      </c>
      <c r="G13" s="2624"/>
      <c r="H13" s="2624"/>
      <c r="I13" s="2624"/>
      <c r="J13" s="2624"/>
    </row>
    <row r="14" spans="1:10" s="218" customFormat="1" ht="10.199999999999999">
      <c r="A14" s="220"/>
      <c r="B14" s="649" t="s">
        <v>205</v>
      </c>
      <c r="C14" s="609"/>
      <c r="D14" s="609"/>
      <c r="E14" s="648"/>
      <c r="F14" s="650"/>
      <c r="G14" s="648"/>
      <c r="H14" s="648"/>
      <c r="I14" s="648"/>
      <c r="J14" s="648"/>
    </row>
    <row r="15" spans="1:10" s="218" customFormat="1" ht="6" customHeight="1">
      <c r="A15" s="220"/>
      <c r="B15" s="609"/>
      <c r="C15" s="649"/>
      <c r="D15" s="649"/>
      <c r="E15" s="649"/>
      <c r="F15" s="651"/>
      <c r="G15" s="651"/>
      <c r="H15" s="651"/>
      <c r="I15" s="651"/>
      <c r="J15" s="651"/>
    </row>
    <row r="16" spans="1:10" s="218" customFormat="1" ht="10.199999999999999">
      <c r="A16" s="220"/>
      <c r="B16" s="649" t="s">
        <v>438</v>
      </c>
      <c r="C16" s="649"/>
      <c r="D16" s="649"/>
      <c r="E16" s="609"/>
      <c r="F16" s="652"/>
      <c r="G16" s="652"/>
      <c r="H16" s="652"/>
      <c r="I16" s="652"/>
      <c r="J16" s="652"/>
    </row>
    <row r="17" spans="1:10" s="218" customFormat="1" ht="10.199999999999999">
      <c r="A17" s="220"/>
      <c r="B17" s="609" t="s">
        <v>195</v>
      </c>
      <c r="C17" s="609"/>
      <c r="D17" s="609"/>
      <c r="E17" s="648" t="s">
        <v>392</v>
      </c>
      <c r="F17" s="653" t="e">
        <f t="shared" ref="F17:F22" si="0">G17+H17+I17+J17</f>
        <v>#REF!</v>
      </c>
      <c r="G17" s="654" t="e">
        <f>'10.2-10.3'!#REF!</f>
        <v>#REF!</v>
      </c>
      <c r="H17" s="654">
        <v>0</v>
      </c>
      <c r="I17" s="654">
        <v>0</v>
      </c>
      <c r="J17" s="655" t="e">
        <f>'10.2-10.3'!#REF!</f>
        <v>#REF!</v>
      </c>
    </row>
    <row r="18" spans="1:10" s="218" customFormat="1" ht="10.199999999999999" hidden="1">
      <c r="A18" s="220"/>
      <c r="B18" s="656" t="s">
        <v>196</v>
      </c>
      <c r="C18" s="656"/>
      <c r="D18" s="656"/>
      <c r="E18" s="648"/>
      <c r="F18" s="657">
        <f t="shared" si="0"/>
        <v>0</v>
      </c>
      <c r="G18" s="658"/>
      <c r="H18" s="658"/>
      <c r="I18" s="658"/>
      <c r="J18" s="659"/>
    </row>
    <row r="19" spans="1:10" s="218" customFormat="1" ht="10.199999999999999">
      <c r="A19" s="220"/>
      <c r="B19" s="609" t="s">
        <v>112</v>
      </c>
      <c r="C19" s="609"/>
      <c r="D19" s="609"/>
      <c r="E19" s="648"/>
      <c r="F19" s="657" t="e">
        <f t="shared" si="0"/>
        <v>#REF!</v>
      </c>
      <c r="G19" s="658">
        <v>0</v>
      </c>
      <c r="H19" s="658">
        <v>0</v>
      </c>
      <c r="I19" s="658">
        <v>0</v>
      </c>
      <c r="J19" s="659" t="e">
        <f>'10.2-10.3'!#REF!</f>
        <v>#REF!</v>
      </c>
    </row>
    <row r="20" spans="1:10" s="218" customFormat="1" ht="10.199999999999999">
      <c r="A20" s="220"/>
      <c r="B20" s="609" t="s">
        <v>374</v>
      </c>
      <c r="C20" s="609"/>
      <c r="D20" s="609"/>
      <c r="E20" s="648"/>
      <c r="F20" s="657">
        <f t="shared" si="0"/>
        <v>1111943</v>
      </c>
      <c r="G20" s="658">
        <v>0</v>
      </c>
      <c r="H20" s="658">
        <v>0</v>
      </c>
      <c r="I20" s="658">
        <v>0</v>
      </c>
      <c r="J20" s="659">
        <f>BS!F13</f>
        <v>1111943</v>
      </c>
    </row>
    <row r="21" spans="1:10" s="218" customFormat="1" ht="10.199999999999999">
      <c r="A21" s="220"/>
      <c r="B21" s="609" t="s">
        <v>343</v>
      </c>
      <c r="C21" s="609"/>
      <c r="D21" s="609"/>
      <c r="E21" s="648"/>
      <c r="F21" s="657" t="e">
        <f t="shared" si="0"/>
        <v>#REF!</v>
      </c>
      <c r="G21" s="658">
        <v>0</v>
      </c>
      <c r="H21" s="658">
        <v>0</v>
      </c>
      <c r="I21" s="658">
        <v>0</v>
      </c>
      <c r="J21" s="659" t="e">
        <f>#REF!</f>
        <v>#REF!</v>
      </c>
    </row>
    <row r="22" spans="1:10" s="218" customFormat="1" ht="10.199999999999999">
      <c r="A22" s="220"/>
      <c r="B22" s="609" t="s">
        <v>306</v>
      </c>
      <c r="C22" s="609"/>
      <c r="D22" s="609"/>
      <c r="E22" s="609"/>
      <c r="F22" s="660" t="e">
        <f t="shared" si="0"/>
        <v>#REF!</v>
      </c>
      <c r="G22" s="661">
        <v>0</v>
      </c>
      <c r="H22" s="661">
        <v>0</v>
      </c>
      <c r="I22" s="661">
        <v>0</v>
      </c>
      <c r="J22" s="662" t="e">
        <f>#REF!</f>
        <v>#REF!</v>
      </c>
    </row>
    <row r="23" spans="1:10" s="218" customFormat="1" ht="10.199999999999999">
      <c r="A23" s="220"/>
      <c r="B23" s="609"/>
      <c r="C23" s="609"/>
      <c r="D23" s="609"/>
      <c r="E23" s="609"/>
      <c r="F23" s="663" t="e">
        <f>SUM(F17:F22)</f>
        <v>#REF!</v>
      </c>
      <c r="G23" s="664" t="e">
        <f>SUM(G17:G22)</f>
        <v>#REF!</v>
      </c>
      <c r="H23" s="664">
        <f>SUM(H17:H22)</f>
        <v>0</v>
      </c>
      <c r="I23" s="664">
        <f>SUM(I17:I22)</f>
        <v>0</v>
      </c>
      <c r="J23" s="664" t="e">
        <f>SUM(J17:J22)</f>
        <v>#REF!</v>
      </c>
    </row>
    <row r="24" spans="1:10" s="218" customFormat="1" ht="10.199999999999999">
      <c r="A24" s="220"/>
      <c r="B24" s="649" t="s">
        <v>515</v>
      </c>
      <c r="C24" s="649"/>
      <c r="D24" s="649"/>
      <c r="E24" s="649"/>
      <c r="F24" s="665"/>
      <c r="G24" s="665"/>
      <c r="H24" s="665"/>
      <c r="I24" s="665"/>
      <c r="J24" s="665"/>
    </row>
    <row r="25" spans="1:10" s="218" customFormat="1" ht="10.199999999999999">
      <c r="A25" s="220"/>
      <c r="B25" s="666" t="s">
        <v>570</v>
      </c>
      <c r="C25" s="667"/>
      <c r="D25" s="667"/>
      <c r="E25" s="667"/>
      <c r="F25" s="665"/>
      <c r="G25" s="665"/>
      <c r="H25" s="665"/>
      <c r="I25" s="665"/>
      <c r="J25" s="665"/>
    </row>
    <row r="26" spans="1:10" s="218" customFormat="1" ht="10.199999999999999">
      <c r="A26" s="220"/>
      <c r="B26" s="667" t="s">
        <v>571</v>
      </c>
      <c r="C26" s="667"/>
      <c r="D26" s="667"/>
      <c r="E26" s="667"/>
      <c r="F26" s="653" t="e">
        <f>G26+H26+I26+J26</f>
        <v>#REF!</v>
      </c>
      <c r="G26" s="654">
        <v>0</v>
      </c>
      <c r="H26" s="654">
        <v>0</v>
      </c>
      <c r="I26" s="654">
        <v>0</v>
      </c>
      <c r="J26" s="655" t="e">
        <f>'10.2-10.3'!#REF!</f>
        <v>#REF!</v>
      </c>
    </row>
    <row r="27" spans="1:10" s="218" customFormat="1" ht="10.199999999999999">
      <c r="A27" s="220"/>
      <c r="B27" s="666" t="s">
        <v>447</v>
      </c>
      <c r="C27" s="667"/>
      <c r="D27" s="667"/>
      <c r="E27" s="667"/>
      <c r="F27" s="668"/>
      <c r="G27" s="665"/>
      <c r="H27" s="665"/>
      <c r="I27" s="665"/>
      <c r="J27" s="669"/>
    </row>
    <row r="28" spans="1:10" s="218" customFormat="1" ht="10.199999999999999">
      <c r="A28" s="220"/>
      <c r="B28" s="666" t="s">
        <v>448</v>
      </c>
      <c r="C28" s="667"/>
      <c r="D28" s="667"/>
      <c r="E28" s="667"/>
      <c r="F28" s="657" t="e">
        <f>G28+H28+I28+J28</f>
        <v>#REF!</v>
      </c>
      <c r="G28" s="658">
        <v>0</v>
      </c>
      <c r="H28" s="658">
        <v>0</v>
      </c>
      <c r="I28" s="658">
        <v>0</v>
      </c>
      <c r="J28" s="659" t="e">
        <f>#REF!</f>
        <v>#REF!</v>
      </c>
    </row>
    <row r="29" spans="1:10" s="218" customFormat="1" ht="10.199999999999999">
      <c r="A29" s="220"/>
      <c r="B29" s="600" t="s">
        <v>227</v>
      </c>
      <c r="C29" s="667"/>
      <c r="D29" s="667"/>
      <c r="E29" s="667"/>
      <c r="F29" s="657">
        <f>G29+H29+I29+J29</f>
        <v>386</v>
      </c>
      <c r="G29" s="658"/>
      <c r="H29" s="658"/>
      <c r="I29" s="658"/>
      <c r="J29" s="659">
        <f>BS!F25</f>
        <v>386</v>
      </c>
    </row>
    <row r="30" spans="1:10" s="218" customFormat="1" ht="10.199999999999999">
      <c r="A30" s="220"/>
      <c r="B30" s="609" t="s">
        <v>55</v>
      </c>
      <c r="C30" s="609"/>
      <c r="D30" s="609"/>
      <c r="E30" s="609"/>
      <c r="F30" s="660" t="e">
        <f>G30+H30+I30+J30</f>
        <v>#REF!</v>
      </c>
      <c r="G30" s="661">
        <v>0</v>
      </c>
      <c r="H30" s="661">
        <v>0</v>
      </c>
      <c r="I30" s="661">
        <v>0</v>
      </c>
      <c r="J30" s="662" t="e">
        <f>#REF!-#REF!-#REF!</f>
        <v>#REF!</v>
      </c>
    </row>
    <row r="31" spans="1:10" s="218" customFormat="1" ht="10.199999999999999">
      <c r="A31" s="379"/>
      <c r="B31" s="649"/>
      <c r="C31" s="649"/>
      <c r="D31" s="649"/>
      <c r="E31" s="649"/>
      <c r="F31" s="664" t="e">
        <f>SUM(F26:F30)</f>
        <v>#REF!</v>
      </c>
      <c r="G31" s="664">
        <f>SUM(G26:G30)</f>
        <v>0</v>
      </c>
      <c r="H31" s="664">
        <f>SUM(H26:H30)</f>
        <v>0</v>
      </c>
      <c r="I31" s="664">
        <f>SUM(I26:I30)</f>
        <v>0</v>
      </c>
      <c r="J31" s="664" t="e">
        <f>SUM(J26:J30)</f>
        <v>#REF!</v>
      </c>
    </row>
    <row r="32" spans="1:10" s="218" customFormat="1" ht="6" customHeight="1">
      <c r="A32" s="220"/>
      <c r="B32" s="649"/>
      <c r="C32" s="649"/>
      <c r="D32" s="649"/>
      <c r="E32" s="649"/>
      <c r="F32" s="664"/>
      <c r="G32" s="664"/>
      <c r="H32" s="664"/>
      <c r="I32" s="664"/>
      <c r="J32" s="664"/>
    </row>
    <row r="33" spans="1:43" s="218" customFormat="1" ht="10.8" thickBot="1">
      <c r="A33" s="220"/>
      <c r="B33" s="649" t="s">
        <v>555</v>
      </c>
      <c r="C33" s="649"/>
      <c r="D33" s="649"/>
      <c r="E33" s="649"/>
      <c r="F33" s="670" t="e">
        <f>F23-F31</f>
        <v>#REF!</v>
      </c>
      <c r="G33" s="670" t="e">
        <f>G23-G31</f>
        <v>#REF!</v>
      </c>
      <c r="H33" s="670">
        <f>H23-H31</f>
        <v>0</v>
      </c>
      <c r="I33" s="670">
        <f>I23-I31</f>
        <v>0</v>
      </c>
      <c r="J33" s="670" t="e">
        <f>J23-J31</f>
        <v>#REF!</v>
      </c>
    </row>
    <row r="34" spans="1:43" s="218" customFormat="1" ht="6" customHeight="1" thickTop="1">
      <c r="A34" s="220"/>
      <c r="B34" s="649"/>
      <c r="C34" s="649"/>
      <c r="D34" s="649"/>
      <c r="E34" s="649"/>
      <c r="F34" s="664"/>
      <c r="G34" s="664"/>
      <c r="H34" s="664"/>
      <c r="I34" s="664"/>
      <c r="J34" s="664"/>
    </row>
    <row r="35" spans="1:43" s="218" customFormat="1" ht="10.199999999999999">
      <c r="A35" s="220"/>
      <c r="B35" s="649" t="s">
        <v>206</v>
      </c>
      <c r="C35" s="649"/>
      <c r="D35" s="649"/>
      <c r="E35" s="649"/>
      <c r="F35" s="664">
        <v>0</v>
      </c>
      <c r="G35" s="664">
        <v>0</v>
      </c>
      <c r="H35" s="664">
        <v>0</v>
      </c>
      <c r="I35" s="664">
        <v>0</v>
      </c>
      <c r="J35" s="664">
        <v>0</v>
      </c>
    </row>
    <row r="36" spans="1:43" s="218" customFormat="1" ht="6" customHeight="1">
      <c r="A36" s="220"/>
      <c r="B36" s="671"/>
      <c r="C36" s="609"/>
      <c r="D36" s="609"/>
      <c r="E36" s="649"/>
      <c r="F36" s="664"/>
      <c r="G36" s="664"/>
      <c r="H36" s="664"/>
      <c r="I36" s="664"/>
      <c r="J36" s="664"/>
    </row>
    <row r="37" spans="1:43" s="218" customFormat="1" ht="10.199999999999999">
      <c r="A37" s="220"/>
      <c r="B37" s="649" t="s">
        <v>556</v>
      </c>
      <c r="C37" s="649"/>
      <c r="D37" s="649"/>
      <c r="E37" s="649"/>
      <c r="F37" s="672">
        <f>F35</f>
        <v>0</v>
      </c>
      <c r="G37" s="672">
        <f>G35</f>
        <v>0</v>
      </c>
      <c r="H37" s="672">
        <f>H35</f>
        <v>0</v>
      </c>
      <c r="I37" s="672">
        <f>I35</f>
        <v>0</v>
      </c>
      <c r="J37" s="672">
        <f>J35</f>
        <v>0</v>
      </c>
    </row>
    <row r="38" spans="1:43" s="218" customFormat="1" ht="6" customHeight="1">
      <c r="A38" s="220"/>
      <c r="B38" s="649"/>
      <c r="C38" s="649"/>
      <c r="D38" s="649"/>
      <c r="E38" s="649"/>
      <c r="F38" s="664"/>
      <c r="G38" s="664"/>
      <c r="H38" s="664"/>
      <c r="I38" s="664"/>
      <c r="J38" s="664"/>
    </row>
    <row r="39" spans="1:43" s="218" customFormat="1" ht="10.8" thickBot="1">
      <c r="A39" s="220"/>
      <c r="B39" s="649" t="s">
        <v>591</v>
      </c>
      <c r="C39" s="649"/>
      <c r="D39" s="649"/>
      <c r="E39" s="649"/>
      <c r="F39" s="673" t="e">
        <f>F33+F37</f>
        <v>#REF!</v>
      </c>
      <c r="G39" s="673" t="e">
        <f>G33+G37</f>
        <v>#REF!</v>
      </c>
      <c r="H39" s="673">
        <f>H33+H37</f>
        <v>0</v>
      </c>
      <c r="I39" s="673">
        <f>I33+I37</f>
        <v>0</v>
      </c>
      <c r="J39" s="673" t="e">
        <f>J33+J37</f>
        <v>#REF!</v>
      </c>
    </row>
    <row r="40" spans="1:43" s="212" customFormat="1" ht="6" customHeight="1" thickTop="1">
      <c r="A40" s="213"/>
      <c r="B40" s="674"/>
      <c r="C40" s="674"/>
      <c r="D40" s="674"/>
      <c r="E40" s="674"/>
      <c r="F40" s="675"/>
      <c r="G40" s="675"/>
      <c r="H40" s="675"/>
      <c r="I40" s="675"/>
      <c r="J40" s="675"/>
    </row>
    <row r="41" spans="1:43" s="212" customFormat="1" ht="10.8" thickBot="1">
      <c r="A41" s="213"/>
      <c r="B41" s="649" t="s">
        <v>592</v>
      </c>
      <c r="C41" s="674"/>
      <c r="D41" s="674"/>
      <c r="E41" s="674"/>
      <c r="F41" s="675"/>
      <c r="G41" s="676" t="e">
        <f>G39</f>
        <v>#REF!</v>
      </c>
      <c r="H41" s="676" t="e">
        <f>G39+H39</f>
        <v>#REF!</v>
      </c>
      <c r="I41" s="676" t="e">
        <f>H41+I39</f>
        <v>#REF!</v>
      </c>
      <c r="J41" s="675"/>
    </row>
    <row r="42" spans="1:43" s="212" customFormat="1" ht="10.8" thickTop="1">
      <c r="A42" s="213"/>
      <c r="B42" s="674"/>
      <c r="C42" s="674"/>
      <c r="D42" s="674"/>
      <c r="E42" s="674"/>
      <c r="F42" s="675"/>
      <c r="G42" s="675"/>
      <c r="H42" s="675"/>
      <c r="I42" s="675"/>
      <c r="J42" s="675"/>
    </row>
    <row r="43" spans="1:43" s="32" customFormat="1" ht="12">
      <c r="A43" s="215" t="s">
        <v>440</v>
      </c>
      <c r="B43" s="541" t="s">
        <v>207</v>
      </c>
      <c r="C43" s="539"/>
      <c r="D43" s="539"/>
      <c r="E43" s="539"/>
      <c r="F43" s="539"/>
      <c r="G43" s="539"/>
      <c r="H43" s="539"/>
      <c r="I43" s="542"/>
      <c r="J43" s="542"/>
      <c r="AQ43" s="32" t="e">
        <f>SUM('25.1.3-25.2'!#REF!)</f>
        <v>#REF!</v>
      </c>
    </row>
    <row r="44" spans="1:43" s="32" customFormat="1" ht="7.2" customHeight="1">
      <c r="A44" s="208"/>
      <c r="B44" s="541"/>
      <c r="C44" s="539"/>
      <c r="D44" s="539"/>
      <c r="E44" s="539"/>
      <c r="F44" s="539"/>
      <c r="G44" s="539"/>
      <c r="H44" s="539"/>
      <c r="I44" s="542"/>
      <c r="J44" s="542"/>
    </row>
    <row r="45" spans="1:43" s="32" customFormat="1" ht="12">
      <c r="A45" s="208"/>
      <c r="B45" s="2689" t="s">
        <v>580</v>
      </c>
      <c r="C45" s="2689"/>
      <c r="D45" s="2689"/>
      <c r="E45" s="2689"/>
      <c r="F45" s="2689"/>
      <c r="G45" s="2689"/>
      <c r="H45" s="2689"/>
      <c r="I45" s="2690"/>
      <c r="J45" s="2690"/>
    </row>
    <row r="46" spans="1:43" s="32" customFormat="1" ht="12">
      <c r="A46" s="208"/>
      <c r="B46" s="2689"/>
      <c r="C46" s="2689"/>
      <c r="D46" s="2689"/>
      <c r="E46" s="2689"/>
      <c r="F46" s="2689"/>
      <c r="G46" s="2689"/>
      <c r="H46" s="2689"/>
      <c r="I46" s="2690"/>
      <c r="J46" s="2690"/>
    </row>
    <row r="47" spans="1:43" s="32" customFormat="1" ht="12">
      <c r="A47" s="208"/>
      <c r="B47" s="2689"/>
      <c r="C47" s="2689"/>
      <c r="D47" s="2689"/>
      <c r="E47" s="2689"/>
      <c r="F47" s="2689"/>
      <c r="G47" s="2689"/>
      <c r="H47" s="2689"/>
      <c r="I47" s="2690"/>
      <c r="J47" s="2690"/>
    </row>
    <row r="48" spans="1:43" s="32" customFormat="1" ht="12">
      <c r="A48" s="208"/>
      <c r="B48" s="2689"/>
      <c r="C48" s="2689"/>
      <c r="D48" s="2689"/>
      <c r="E48" s="2689"/>
      <c r="F48" s="2689"/>
      <c r="G48" s="2689"/>
      <c r="H48" s="2689"/>
      <c r="I48" s="2690"/>
      <c r="J48" s="2690"/>
    </row>
    <row r="49" spans="1:46" s="32" customFormat="1" ht="7.2" customHeight="1">
      <c r="A49" s="208"/>
      <c r="B49" s="539"/>
      <c r="C49" s="539"/>
      <c r="D49" s="539"/>
      <c r="E49" s="539"/>
      <c r="F49" s="539"/>
      <c r="G49" s="539"/>
      <c r="H49" s="539"/>
      <c r="I49" s="542"/>
      <c r="J49" s="542"/>
    </row>
    <row r="50" spans="1:46" s="32" customFormat="1" ht="12">
      <c r="A50" s="208"/>
      <c r="B50" s="2689" t="s">
        <v>532</v>
      </c>
      <c r="C50" s="2689"/>
      <c r="D50" s="2689"/>
      <c r="E50" s="2689"/>
      <c r="F50" s="2689"/>
      <c r="G50" s="2689"/>
      <c r="H50" s="2689"/>
      <c r="I50" s="2689"/>
      <c r="J50" s="2689"/>
      <c r="AO50" s="52"/>
      <c r="AP50" s="52"/>
      <c r="AQ50" s="52"/>
      <c r="AR50" s="52"/>
      <c r="AS50" s="52"/>
      <c r="AT50" s="52"/>
    </row>
    <row r="51" spans="1:46" s="32" customFormat="1" ht="12">
      <c r="A51" s="208"/>
      <c r="B51" s="2689"/>
      <c r="C51" s="2689"/>
      <c r="D51" s="2689"/>
      <c r="E51" s="2689"/>
      <c r="F51" s="2689"/>
      <c r="G51" s="2689"/>
      <c r="H51" s="2689"/>
      <c r="I51" s="2689"/>
      <c r="J51" s="2689"/>
      <c r="AO51" s="52"/>
      <c r="AP51" s="52"/>
      <c r="AQ51" s="52"/>
      <c r="AR51" s="52"/>
      <c r="AS51" s="52"/>
      <c r="AT51" s="52"/>
    </row>
    <row r="52" spans="1:46" s="32" customFormat="1" ht="12">
      <c r="A52" s="208"/>
      <c r="B52" s="2689"/>
      <c r="C52" s="2689"/>
      <c r="D52" s="2689"/>
      <c r="E52" s="2689"/>
      <c r="F52" s="2689"/>
      <c r="G52" s="2689"/>
      <c r="H52" s="2689"/>
      <c r="I52" s="2689"/>
      <c r="J52" s="2689"/>
      <c r="AO52" s="52"/>
      <c r="AP52" s="52"/>
      <c r="AQ52" s="52"/>
      <c r="AR52" s="52"/>
      <c r="AS52" s="52"/>
      <c r="AT52" s="52"/>
    </row>
    <row r="53" spans="1:46" s="32" customFormat="1" ht="12">
      <c r="A53" s="208"/>
      <c r="B53" s="2689"/>
      <c r="C53" s="2689"/>
      <c r="D53" s="2689"/>
      <c r="E53" s="2689"/>
      <c r="F53" s="2689"/>
      <c r="G53" s="2689"/>
      <c r="H53" s="2689"/>
      <c r="I53" s="2689"/>
      <c r="J53" s="2689"/>
      <c r="AO53" s="52"/>
      <c r="AP53" s="52"/>
      <c r="AQ53" s="52"/>
      <c r="AR53" s="52"/>
      <c r="AS53" s="52"/>
      <c r="AT53" s="52"/>
    </row>
    <row r="54" spans="1:46" s="32" customFormat="1" ht="12">
      <c r="A54" s="208"/>
      <c r="B54" s="2689"/>
      <c r="C54" s="2689"/>
      <c r="D54" s="2689"/>
      <c r="E54" s="2689"/>
      <c r="F54" s="2689"/>
      <c r="G54" s="2689"/>
      <c r="H54" s="2689"/>
      <c r="I54" s="2689"/>
      <c r="J54" s="2689"/>
      <c r="AO54" s="52"/>
      <c r="AP54" s="52"/>
      <c r="AQ54" s="52"/>
      <c r="AR54" s="52"/>
      <c r="AS54" s="52"/>
      <c r="AT54" s="52"/>
    </row>
    <row r="55" spans="1:46" s="32" customFormat="1" ht="7.2" customHeight="1">
      <c r="A55" s="208"/>
      <c r="B55" s="550"/>
      <c r="C55" s="550"/>
      <c r="D55" s="550"/>
      <c r="E55" s="550"/>
      <c r="F55" s="550"/>
      <c r="G55" s="550"/>
      <c r="H55" s="550"/>
      <c r="I55" s="550"/>
      <c r="J55" s="550"/>
      <c r="AO55" s="52"/>
      <c r="AP55" s="52"/>
      <c r="AQ55" s="52"/>
      <c r="AR55" s="52"/>
      <c r="AS55" s="52"/>
      <c r="AT55" s="52"/>
    </row>
    <row r="56" spans="1:46">
      <c r="B56" s="2689" t="s">
        <v>620</v>
      </c>
      <c r="C56" s="2689"/>
      <c r="D56" s="2689"/>
      <c r="E56" s="2689"/>
      <c r="F56" s="2689"/>
      <c r="G56" s="2689"/>
      <c r="H56" s="2689"/>
      <c r="I56" s="2690"/>
      <c r="J56" s="2690"/>
    </row>
    <row r="57" spans="1:46">
      <c r="B57" s="2689"/>
      <c r="C57" s="2689"/>
      <c r="D57" s="2689"/>
      <c r="E57" s="2689"/>
      <c r="F57" s="2689"/>
      <c r="G57" s="2689"/>
      <c r="H57" s="2689"/>
      <c r="I57" s="2690"/>
      <c r="J57" s="2690"/>
    </row>
    <row r="58" spans="1:46">
      <c r="B58" s="2689"/>
      <c r="C58" s="2689"/>
      <c r="D58" s="2689"/>
      <c r="E58" s="2689"/>
      <c r="F58" s="2689"/>
      <c r="G58" s="2689"/>
      <c r="H58" s="2689"/>
      <c r="I58" s="2690"/>
      <c r="J58" s="2690"/>
    </row>
    <row r="59" spans="1:46">
      <c r="B59" s="2689"/>
      <c r="C59" s="2689"/>
      <c r="D59" s="2689"/>
      <c r="E59" s="2689"/>
      <c r="F59" s="2689"/>
      <c r="G59" s="2689"/>
      <c r="H59" s="2689"/>
      <c r="I59" s="2690"/>
      <c r="J59" s="2690"/>
    </row>
    <row r="60" spans="1:46" ht="7.2" customHeight="1">
      <c r="B60" s="546"/>
      <c r="C60" s="546"/>
      <c r="D60" s="546"/>
      <c r="E60" s="546"/>
      <c r="F60" s="546"/>
      <c r="G60" s="546"/>
      <c r="H60" s="546"/>
      <c r="I60" s="546"/>
      <c r="J60" s="546"/>
    </row>
    <row r="61" spans="1:46">
      <c r="B61" s="2640" t="s">
        <v>533</v>
      </c>
      <c r="C61" s="2640"/>
      <c r="D61" s="2640"/>
      <c r="E61" s="2640"/>
      <c r="F61" s="2640"/>
      <c r="G61" s="2640"/>
      <c r="H61" s="2640"/>
      <c r="I61" s="2640"/>
      <c r="J61" s="2640"/>
    </row>
    <row r="62" spans="1:46">
      <c r="B62" s="2640"/>
      <c r="C62" s="2640"/>
      <c r="D62" s="2640"/>
      <c r="E62" s="2640"/>
      <c r="F62" s="2640"/>
      <c r="G62" s="2640"/>
      <c r="H62" s="2640"/>
      <c r="I62" s="2640"/>
      <c r="J62" s="2640"/>
    </row>
    <row r="63" spans="1:46">
      <c r="B63" s="2640"/>
      <c r="C63" s="2640"/>
      <c r="D63" s="2640"/>
      <c r="E63" s="2640"/>
      <c r="F63" s="2640"/>
      <c r="G63" s="2640"/>
      <c r="H63" s="2640"/>
      <c r="I63" s="2640"/>
      <c r="J63" s="2640"/>
    </row>
    <row r="64" spans="1:46">
      <c r="B64" s="2640"/>
      <c r="C64" s="2640"/>
      <c r="D64" s="2640"/>
      <c r="E64" s="2640"/>
      <c r="F64" s="2640"/>
      <c r="G64" s="2640"/>
      <c r="H64" s="2640"/>
      <c r="I64" s="2640"/>
      <c r="J64" s="2640"/>
    </row>
    <row r="65" spans="1:46">
      <c r="B65" s="2640"/>
      <c r="C65" s="2640"/>
      <c r="D65" s="2640"/>
      <c r="E65" s="2640"/>
      <c r="F65" s="2640"/>
      <c r="G65" s="2640"/>
      <c r="H65" s="2640"/>
      <c r="I65" s="2640"/>
      <c r="J65" s="2640"/>
    </row>
    <row r="66" spans="1:46">
      <c r="B66" s="2640"/>
      <c r="C66" s="2640"/>
      <c r="D66" s="2640"/>
      <c r="E66" s="2640"/>
      <c r="F66" s="2640"/>
      <c r="G66" s="2640"/>
      <c r="H66" s="2640"/>
      <c r="I66" s="2640"/>
      <c r="J66" s="2640"/>
    </row>
    <row r="67" spans="1:46">
      <c r="B67" s="2640"/>
      <c r="C67" s="2640"/>
      <c r="D67" s="2640"/>
      <c r="E67" s="2640"/>
      <c r="F67" s="2640"/>
      <c r="G67" s="2640"/>
      <c r="H67" s="2640"/>
      <c r="I67" s="2640"/>
      <c r="J67" s="2640"/>
    </row>
    <row r="68" spans="1:46" ht="7.2" customHeight="1">
      <c r="B68" s="546"/>
      <c r="C68" s="546"/>
      <c r="D68" s="546"/>
      <c r="E68" s="546"/>
      <c r="F68" s="546"/>
      <c r="G68" s="546"/>
      <c r="H68" s="546"/>
      <c r="I68" s="546"/>
      <c r="J68" s="546"/>
    </row>
    <row r="69" spans="1:46" s="32" customFormat="1" ht="12">
      <c r="A69" s="215">
        <f>'20-25.1.2'!A106+0.1</f>
        <v>22.200000000000003</v>
      </c>
      <c r="B69" s="541" t="s">
        <v>237</v>
      </c>
      <c r="C69" s="541"/>
      <c r="D69" s="541"/>
      <c r="E69" s="541"/>
      <c r="F69" s="542"/>
      <c r="G69" s="548"/>
      <c r="H69" s="542"/>
      <c r="I69" s="542"/>
      <c r="J69" s="548"/>
      <c r="AO69" s="52"/>
      <c r="AP69" s="52"/>
      <c r="AQ69" s="52"/>
      <c r="AR69" s="52"/>
      <c r="AS69" s="52"/>
      <c r="AT69" s="52"/>
    </row>
    <row r="70" spans="1:46" s="32" customFormat="1" ht="7.2" customHeight="1">
      <c r="A70" s="208"/>
      <c r="B70" s="542"/>
      <c r="C70" s="542"/>
      <c r="D70" s="542"/>
      <c r="E70" s="542"/>
      <c r="F70" s="542" t="s">
        <v>238</v>
      </c>
      <c r="G70" s="548"/>
      <c r="H70" s="542"/>
      <c r="I70" s="542"/>
      <c r="J70" s="548"/>
      <c r="AO70" s="52"/>
      <c r="AP70" s="52"/>
      <c r="AQ70" s="52"/>
      <c r="AR70" s="52"/>
      <c r="AS70" s="52"/>
      <c r="AT70" s="52"/>
    </row>
    <row r="71" spans="1:46" s="32" customFormat="1" ht="12">
      <c r="A71" s="208"/>
      <c r="B71" s="2689" t="s">
        <v>553</v>
      </c>
      <c r="C71" s="2689"/>
      <c r="D71" s="2689"/>
      <c r="E71" s="2689"/>
      <c r="F71" s="2689"/>
      <c r="G71" s="2689"/>
      <c r="H71" s="2689"/>
      <c r="I71" s="2689"/>
      <c r="J71" s="2689"/>
      <c r="AO71" s="52"/>
      <c r="AP71" s="52"/>
      <c r="AQ71" s="52"/>
      <c r="AR71" s="52"/>
      <c r="AS71" s="52"/>
      <c r="AT71" s="52"/>
    </row>
    <row r="72" spans="1:46" s="32" customFormat="1" ht="12">
      <c r="A72" s="208"/>
      <c r="B72" s="2689"/>
      <c r="C72" s="2689"/>
      <c r="D72" s="2689"/>
      <c r="E72" s="2689"/>
      <c r="F72" s="2689"/>
      <c r="G72" s="2689"/>
      <c r="H72" s="2689"/>
      <c r="I72" s="2689"/>
      <c r="J72" s="2689"/>
      <c r="AO72" s="52"/>
      <c r="AP72" s="52"/>
      <c r="AQ72" s="52"/>
      <c r="AR72" s="52"/>
      <c r="AS72" s="52"/>
      <c r="AT72" s="52"/>
    </row>
    <row r="73" spans="1:46" s="32" customFormat="1" ht="12">
      <c r="A73" s="208"/>
      <c r="B73" s="2689"/>
      <c r="C73" s="2689"/>
      <c r="D73" s="2689"/>
      <c r="E73" s="2689"/>
      <c r="F73" s="2689"/>
      <c r="G73" s="2689"/>
      <c r="H73" s="2689"/>
      <c r="I73" s="2689"/>
      <c r="J73" s="2689"/>
      <c r="AO73" s="52"/>
      <c r="AP73" s="52"/>
      <c r="AQ73" s="52"/>
      <c r="AR73" s="52"/>
      <c r="AS73" s="52"/>
      <c r="AT73" s="52"/>
    </row>
    <row r="74" spans="1:46" s="32" customFormat="1" ht="12">
      <c r="A74" s="208"/>
      <c r="B74" s="2689"/>
      <c r="C74" s="2689"/>
      <c r="D74" s="2689"/>
      <c r="E74" s="2689"/>
      <c r="F74" s="2689"/>
      <c r="G74" s="2689"/>
      <c r="H74" s="2689"/>
      <c r="I74" s="2689"/>
      <c r="J74" s="2689"/>
      <c r="AO74" s="52"/>
      <c r="AP74" s="52"/>
      <c r="AQ74" s="52"/>
      <c r="AR74" s="52"/>
      <c r="AS74" s="52"/>
      <c r="AT74" s="52"/>
    </row>
    <row r="75" spans="1:46" s="32" customFormat="1" ht="12">
      <c r="A75" s="208"/>
      <c r="B75" s="2689"/>
      <c r="C75" s="2689"/>
      <c r="D75" s="2689"/>
      <c r="E75" s="2689"/>
      <c r="F75" s="2689"/>
      <c r="G75" s="2689"/>
      <c r="H75" s="2689"/>
      <c r="I75" s="2689"/>
      <c r="J75" s="2689"/>
      <c r="AO75" s="52"/>
      <c r="AP75" s="52"/>
      <c r="AQ75" s="52"/>
      <c r="AR75" s="52"/>
      <c r="AS75" s="52"/>
      <c r="AT75" s="52"/>
    </row>
    <row r="76" spans="1:46" s="32" customFormat="1" ht="12">
      <c r="A76" s="208"/>
      <c r="B76" s="2689"/>
      <c r="C76" s="2689"/>
      <c r="D76" s="2689"/>
      <c r="E76" s="2689"/>
      <c r="F76" s="2689"/>
      <c r="G76" s="2689"/>
      <c r="H76" s="2689"/>
      <c r="I76" s="2689"/>
      <c r="J76" s="2689"/>
      <c r="AO76" s="52"/>
      <c r="AP76" s="52"/>
      <c r="AQ76" s="52"/>
      <c r="AR76" s="52"/>
      <c r="AS76" s="52"/>
      <c r="AT76" s="52"/>
    </row>
    <row r="77" spans="1:46" s="32" customFormat="1" ht="12">
      <c r="A77" s="208"/>
      <c r="B77" s="2689"/>
      <c r="C77" s="2689"/>
      <c r="D77" s="2689"/>
      <c r="E77" s="2689"/>
      <c r="F77" s="2689"/>
      <c r="G77" s="2689"/>
      <c r="H77" s="2689"/>
      <c r="I77" s="2689"/>
      <c r="J77" s="2689"/>
      <c r="AO77" s="52"/>
      <c r="AP77" s="52"/>
      <c r="AQ77" s="52"/>
      <c r="AR77" s="52"/>
      <c r="AS77" s="52"/>
      <c r="AT77" s="52"/>
    </row>
    <row r="78" spans="1:46" s="32" customFormat="1" ht="12">
      <c r="A78" s="208"/>
      <c r="B78" s="2689"/>
      <c r="C78" s="2689"/>
      <c r="D78" s="2689"/>
      <c r="E78" s="2689"/>
      <c r="F78" s="2689"/>
      <c r="G78" s="2689"/>
      <c r="H78" s="2689"/>
      <c r="I78" s="2689"/>
      <c r="J78" s="2689"/>
      <c r="AO78" s="52"/>
      <c r="AP78" s="52"/>
      <c r="AQ78" s="52"/>
      <c r="AR78" s="52"/>
      <c r="AS78" s="52"/>
      <c r="AT78" s="52"/>
    </row>
    <row r="79" spans="1:46" s="212" customFormat="1" ht="7.2" customHeight="1">
      <c r="A79" s="213"/>
      <c r="B79" s="674"/>
      <c r="C79" s="674"/>
      <c r="D79" s="674"/>
      <c r="E79" s="674"/>
      <c r="F79" s="675"/>
      <c r="G79" s="675"/>
      <c r="H79" s="675"/>
      <c r="I79" s="675"/>
      <c r="J79" s="675"/>
    </row>
    <row r="140" spans="1:10" ht="12">
      <c r="A140" s="9"/>
      <c r="F140" s="12"/>
      <c r="H140" s="10"/>
      <c r="I140" s="10"/>
      <c r="J140" s="10"/>
    </row>
    <row r="193" spans="1:10" s="32" customFormat="1" ht="12">
      <c r="A193" s="208"/>
      <c r="H193" s="26"/>
      <c r="J193" s="26"/>
    </row>
    <row r="194" spans="1:10" ht="12">
      <c r="A194" s="9"/>
      <c r="F194" s="12"/>
    </row>
    <row r="261" spans="1:1" ht="12">
      <c r="A261" s="221"/>
    </row>
    <row r="262" spans="1:1" ht="12">
      <c r="A262" s="221"/>
    </row>
    <row r="263" spans="1:1" ht="12">
      <c r="A263" s="222"/>
    </row>
    <row r="264" spans="1:1" ht="12">
      <c r="A264" s="223"/>
    </row>
    <row r="265" spans="1:1" ht="12">
      <c r="A265" s="223"/>
    </row>
    <row r="266" spans="1:1" ht="12">
      <c r="A266" s="223"/>
    </row>
    <row r="267" spans="1:1" ht="12">
      <c r="A267" s="223"/>
    </row>
    <row r="268" spans="1:1" ht="12">
      <c r="A268" s="223"/>
    </row>
    <row r="269" spans="1:1" ht="12">
      <c r="A269" s="223"/>
    </row>
    <row r="270" spans="1:1" ht="12">
      <c r="A270" s="223"/>
    </row>
    <row r="271" spans="1:1" ht="12">
      <c r="A271" s="223"/>
    </row>
    <row r="272" spans="1:1" ht="12">
      <c r="A272" s="223"/>
    </row>
    <row r="273" spans="1:1" ht="12">
      <c r="A273" s="223"/>
    </row>
    <row r="274" spans="1:1" ht="12">
      <c r="A274" s="9"/>
    </row>
    <row r="275" spans="1:1" ht="12">
      <c r="A275" s="224"/>
    </row>
    <row r="276" spans="1:1" ht="12">
      <c r="A276" s="208"/>
    </row>
    <row r="277" spans="1:1" ht="12">
      <c r="A277" s="225"/>
    </row>
    <row r="278" spans="1:1" ht="12">
      <c r="A278" s="225"/>
    </row>
    <row r="279" spans="1:1" ht="12">
      <c r="A279" s="225"/>
    </row>
    <row r="280" spans="1:1" ht="12">
      <c r="A280" s="225"/>
    </row>
    <row r="281" spans="1:1" ht="12">
      <c r="A281" s="225"/>
    </row>
    <row r="282" spans="1:1" ht="12">
      <c r="A282" s="208"/>
    </row>
    <row r="283" spans="1:1" ht="12">
      <c r="A283" s="224"/>
    </row>
    <row r="292" spans="1:9" ht="12">
      <c r="A292" s="226"/>
    </row>
    <row r="304" spans="1:9">
      <c r="B304" s="444"/>
      <c r="C304" s="444"/>
      <c r="D304" s="444"/>
      <c r="E304" s="444"/>
      <c r="G304" s="444"/>
      <c r="H304" s="444"/>
      <c r="I304" s="444"/>
    </row>
  </sheetData>
  <mergeCells count="16">
    <mergeCell ref="B71:J78"/>
    <mergeCell ref="B56:J59"/>
    <mergeCell ref="B61:J67"/>
    <mergeCell ref="B50:J54"/>
    <mergeCell ref="B45:J48"/>
    <mergeCell ref="H8:H12"/>
    <mergeCell ref="I8:I12"/>
    <mergeCell ref="F13:J13"/>
    <mergeCell ref="B3:J4"/>
    <mergeCell ref="E6:J6"/>
    <mergeCell ref="E7:E12"/>
    <mergeCell ref="F7:F12"/>
    <mergeCell ref="G7:I7"/>
    <mergeCell ref="J7:J12"/>
    <mergeCell ref="G8:G12"/>
    <mergeCell ref="B7:D12"/>
  </mergeCells>
  <phoneticPr fontId="39" type="noConversion"/>
  <printOptions horizontalCentered="1"/>
  <pageMargins left="0.75" right="0.5" top="0.5" bottom="0.4" header="0.28999999999999998"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U196"/>
  <sheetViews>
    <sheetView view="pageBreakPreview" zoomScaleSheetLayoutView="100" workbookViewId="0">
      <selection activeCell="G69" sqref="G69"/>
    </sheetView>
  </sheetViews>
  <sheetFormatPr defaultColWidth="9" defaultRowHeight="11.4"/>
  <cols>
    <col min="1" max="1" width="5.09765625" style="8" customWidth="1"/>
    <col min="2" max="2" width="3.59765625" style="8" customWidth="1"/>
    <col min="3" max="3" width="34.59765625" style="8" customWidth="1"/>
    <col min="4" max="4" width="1.19921875" style="8" customWidth="1"/>
    <col min="5" max="5" width="8.69921875" style="8" customWidth="1"/>
    <col min="6" max="6" width="1.19921875" style="8" customWidth="1"/>
    <col min="7" max="7" width="8.69921875" style="8" customWidth="1"/>
    <col min="8" max="8" width="1.19921875" style="8" customWidth="1"/>
    <col min="9" max="9" width="8.69921875" style="8" customWidth="1"/>
    <col min="10" max="10" width="1.19921875" style="8" customWidth="1"/>
    <col min="11" max="11" width="8.69921875" style="8" customWidth="1"/>
    <col min="12" max="41" width="9" style="8" customWidth="1"/>
    <col min="42" max="42" width="12.59765625" style="17" bestFit="1" customWidth="1"/>
    <col min="43" max="43" width="12.59765625" style="17" hidden="1" customWidth="1"/>
    <col min="44" max="47" width="9" style="17"/>
    <col min="48" max="16384" width="9" style="8"/>
  </cols>
  <sheetData>
    <row r="1" spans="1:47" ht="12">
      <c r="A1" s="12" t="e">
        <f>'25.1.3-25.2'!A1+1</f>
        <v>#REF!</v>
      </c>
      <c r="B1" s="11"/>
      <c r="C1" s="11"/>
      <c r="D1" s="11"/>
      <c r="E1" s="11"/>
      <c r="F1" s="227"/>
      <c r="G1" s="227"/>
      <c r="H1" s="227"/>
      <c r="I1" s="227"/>
      <c r="J1" s="227"/>
      <c r="K1" s="12"/>
    </row>
    <row r="2" spans="1:47" ht="12">
      <c r="A2" s="9"/>
      <c r="B2" s="9"/>
      <c r="C2" s="9"/>
      <c r="D2" s="9"/>
      <c r="E2" s="9"/>
      <c r="F2" s="228"/>
      <c r="G2" s="228"/>
      <c r="H2" s="228"/>
      <c r="I2" s="228"/>
      <c r="J2" s="228"/>
    </row>
    <row r="3" spans="1:47" s="32" customFormat="1" ht="12">
      <c r="A3" s="208"/>
      <c r="B3" s="2640" t="s">
        <v>244</v>
      </c>
      <c r="C3" s="2640"/>
      <c r="D3" s="2640"/>
      <c r="E3" s="2640"/>
      <c r="F3" s="2640"/>
      <c r="G3" s="2640"/>
      <c r="H3" s="2640"/>
      <c r="I3" s="2640"/>
      <c r="J3" s="2640"/>
      <c r="K3" s="2640"/>
      <c r="AP3" s="52"/>
      <c r="AQ3" s="52"/>
      <c r="AR3" s="52"/>
      <c r="AS3" s="52"/>
      <c r="AT3" s="52"/>
      <c r="AU3" s="52"/>
    </row>
    <row r="4" spans="1:47" s="32" customFormat="1" ht="12">
      <c r="A4" s="208"/>
      <c r="B4" s="2640"/>
      <c r="C4" s="2640"/>
      <c r="D4" s="2640"/>
      <c r="E4" s="2640"/>
      <c r="F4" s="2640"/>
      <c r="G4" s="2640"/>
      <c r="H4" s="2640"/>
      <c r="I4" s="2640"/>
      <c r="J4" s="2640"/>
      <c r="K4" s="2640"/>
      <c r="AP4" s="52"/>
      <c r="AQ4" s="52"/>
      <c r="AR4" s="52"/>
      <c r="AS4" s="52"/>
      <c r="AT4" s="52"/>
      <c r="AU4" s="52"/>
    </row>
    <row r="5" spans="1:47" s="32" customFormat="1" ht="12">
      <c r="A5" s="208"/>
      <c r="B5" s="2640"/>
      <c r="C5" s="2640"/>
      <c r="D5" s="2640"/>
      <c r="E5" s="2640"/>
      <c r="F5" s="2640"/>
      <c r="G5" s="2640"/>
      <c r="H5" s="2640"/>
      <c r="I5" s="2640"/>
      <c r="J5" s="2640"/>
      <c r="K5" s="2640"/>
      <c r="AP5" s="52"/>
      <c r="AQ5" s="52"/>
      <c r="AR5" s="52"/>
      <c r="AS5" s="52"/>
      <c r="AT5" s="52"/>
      <c r="AU5" s="52"/>
    </row>
    <row r="6" spans="1:47" ht="11.1" customHeight="1"/>
    <row r="7" spans="1:47" s="32" customFormat="1" ht="12">
      <c r="A7" s="208"/>
      <c r="B7" s="677" t="s">
        <v>301</v>
      </c>
      <c r="C7" s="539"/>
      <c r="D7" s="539"/>
      <c r="E7" s="539"/>
      <c r="F7" s="539"/>
      <c r="G7" s="539"/>
      <c r="H7" s="539"/>
      <c r="I7" s="539"/>
      <c r="J7" s="539"/>
      <c r="K7" s="539"/>
      <c r="AP7" s="52"/>
      <c r="AQ7" s="52"/>
      <c r="AR7" s="52"/>
      <c r="AS7" s="52"/>
      <c r="AT7" s="52"/>
      <c r="AU7" s="52"/>
    </row>
    <row r="8" spans="1:47" s="32" customFormat="1" ht="11.1" customHeight="1">
      <c r="A8" s="208"/>
      <c r="B8" s="539"/>
      <c r="C8" s="539"/>
      <c r="D8" s="539"/>
      <c r="E8" s="539"/>
      <c r="F8" s="539"/>
      <c r="G8" s="539"/>
      <c r="H8" s="539"/>
      <c r="I8" s="539"/>
      <c r="J8" s="539"/>
      <c r="K8" s="539"/>
      <c r="AP8" s="52"/>
      <c r="AQ8" s="52"/>
      <c r="AR8" s="52"/>
      <c r="AS8" s="52"/>
      <c r="AT8" s="52"/>
      <c r="AU8" s="52"/>
    </row>
    <row r="9" spans="1:47" s="232" customFormat="1" ht="15.75" customHeight="1">
      <c r="A9" s="380" t="s">
        <v>441</v>
      </c>
      <c r="B9" s="678" t="s">
        <v>577</v>
      </c>
      <c r="C9" s="585"/>
      <c r="D9" s="585"/>
      <c r="E9" s="585"/>
      <c r="F9" s="585"/>
      <c r="G9" s="2702" t="s">
        <v>594</v>
      </c>
      <c r="H9" s="2703"/>
      <c r="I9" s="2703"/>
      <c r="J9" s="2703"/>
      <c r="K9" s="2703"/>
      <c r="AP9" s="319"/>
      <c r="AQ9" s="319"/>
      <c r="AR9" s="319"/>
      <c r="AS9" s="319"/>
      <c r="AT9" s="319"/>
      <c r="AU9" s="319"/>
    </row>
    <row r="10" spans="1:47" s="232" customFormat="1" ht="10.199999999999999">
      <c r="A10" s="380"/>
      <c r="B10" s="2697" t="s">
        <v>449</v>
      </c>
      <c r="C10" s="2697"/>
      <c r="D10" s="2697"/>
      <c r="E10" s="2697"/>
      <c r="F10" s="2697"/>
      <c r="G10" s="2701" t="s">
        <v>398</v>
      </c>
      <c r="H10" s="2701" t="s">
        <v>399</v>
      </c>
      <c r="I10" s="2701"/>
      <c r="J10" s="2697" t="s">
        <v>230</v>
      </c>
      <c r="K10" s="2697"/>
      <c r="AP10" s="319"/>
      <c r="AQ10" s="319"/>
      <c r="AR10" s="319"/>
      <c r="AS10" s="319"/>
      <c r="AT10" s="319"/>
      <c r="AU10" s="319"/>
    </row>
    <row r="11" spans="1:47" s="232" customFormat="1" ht="10.199999999999999">
      <c r="A11" s="380"/>
      <c r="B11" s="2697"/>
      <c r="C11" s="2697"/>
      <c r="D11" s="2697"/>
      <c r="E11" s="2697"/>
      <c r="F11" s="2697"/>
      <c r="G11" s="2701"/>
      <c r="H11" s="2701"/>
      <c r="I11" s="2701"/>
      <c r="J11" s="2697"/>
      <c r="K11" s="2697"/>
      <c r="AP11" s="319"/>
      <c r="AQ11" s="319"/>
      <c r="AR11" s="319"/>
      <c r="AS11" s="319"/>
      <c r="AT11" s="319"/>
      <c r="AU11" s="319"/>
    </row>
    <row r="12" spans="1:47" s="232" customFormat="1" ht="10.199999999999999">
      <c r="A12" s="380"/>
      <c r="B12" s="2697"/>
      <c r="C12" s="2697"/>
      <c r="D12" s="2697"/>
      <c r="E12" s="2697"/>
      <c r="F12" s="2697"/>
      <c r="G12" s="2701"/>
      <c r="H12" s="2701"/>
      <c r="I12" s="2701"/>
      <c r="J12" s="2697"/>
      <c r="K12" s="2697"/>
      <c r="AP12" s="319"/>
      <c r="AQ12" s="319"/>
      <c r="AR12" s="319"/>
      <c r="AS12" s="319"/>
      <c r="AT12" s="319"/>
      <c r="AU12" s="319"/>
    </row>
    <row r="13" spans="1:47" s="232" customFormat="1" ht="10.199999999999999">
      <c r="A13" s="380"/>
      <c r="B13" s="2697"/>
      <c r="C13" s="2697"/>
      <c r="D13" s="2697"/>
      <c r="E13" s="2697"/>
      <c r="F13" s="2697"/>
      <c r="G13" s="2701"/>
      <c r="H13" s="2701"/>
      <c r="I13" s="2701"/>
      <c r="J13" s="2697"/>
      <c r="K13" s="2697"/>
      <c r="AP13" s="319"/>
      <c r="AQ13" s="319"/>
      <c r="AR13" s="319"/>
      <c r="AS13" s="319"/>
      <c r="AT13" s="319"/>
      <c r="AU13" s="319"/>
    </row>
    <row r="14" spans="1:47" s="232" customFormat="1" ht="6" customHeight="1">
      <c r="A14" s="380"/>
      <c r="B14" s="585"/>
      <c r="C14" s="585"/>
      <c r="D14" s="585"/>
      <c r="E14" s="679"/>
      <c r="F14" s="585"/>
      <c r="G14" s="585"/>
      <c r="H14" s="585"/>
      <c r="I14" s="585"/>
      <c r="J14" s="585"/>
      <c r="K14" s="585"/>
      <c r="AP14" s="319"/>
      <c r="AQ14" s="319"/>
      <c r="AR14" s="319"/>
      <c r="AS14" s="319"/>
      <c r="AT14" s="319"/>
      <c r="AU14" s="319"/>
    </row>
    <row r="15" spans="1:47" s="232" customFormat="1" ht="10.199999999999999">
      <c r="A15" s="380"/>
      <c r="B15" s="2698" t="s">
        <v>393</v>
      </c>
      <c r="C15" s="2698"/>
      <c r="D15" s="2698"/>
      <c r="E15" s="2698"/>
      <c r="F15" s="2698"/>
      <c r="G15" s="680" t="s">
        <v>360</v>
      </c>
      <c r="H15" s="681"/>
      <c r="I15" s="682" t="s">
        <v>610</v>
      </c>
      <c r="J15" s="585"/>
      <c r="K15" s="683">
        <v>0.1356</v>
      </c>
      <c r="AP15" s="319"/>
      <c r="AQ15" s="319"/>
      <c r="AR15" s="319"/>
      <c r="AS15" s="319"/>
      <c r="AT15" s="319"/>
      <c r="AU15" s="319"/>
    </row>
    <row r="16" spans="1:47" s="232" customFormat="1" ht="10.199999999999999">
      <c r="A16" s="380"/>
      <c r="B16" s="2698" t="s">
        <v>394</v>
      </c>
      <c r="C16" s="2698"/>
      <c r="D16" s="2698"/>
      <c r="E16" s="2698"/>
      <c r="F16" s="2698"/>
      <c r="G16" s="680" t="s">
        <v>360</v>
      </c>
      <c r="H16" s="681"/>
      <c r="I16" s="682" t="s">
        <v>611</v>
      </c>
      <c r="J16" s="585"/>
      <c r="K16" s="683">
        <v>1.29E-2</v>
      </c>
      <c r="AP16" s="319"/>
      <c r="AQ16" s="319"/>
      <c r="AR16" s="319"/>
      <c r="AS16" s="319"/>
      <c r="AT16" s="319"/>
      <c r="AU16" s="319"/>
    </row>
    <row r="17" spans="1:47" s="232" customFormat="1" ht="10.199999999999999">
      <c r="A17" s="380"/>
      <c r="B17" s="2698" t="s">
        <v>617</v>
      </c>
      <c r="C17" s="2698"/>
      <c r="D17" s="2698"/>
      <c r="E17" s="2698"/>
      <c r="F17" s="2698"/>
      <c r="G17" s="680" t="s">
        <v>360</v>
      </c>
      <c r="H17" s="681"/>
      <c r="I17" s="682" t="s">
        <v>612</v>
      </c>
      <c r="J17" s="585"/>
      <c r="K17" s="683">
        <v>9.2999999999999992E-3</v>
      </c>
      <c r="AP17" s="319"/>
      <c r="AQ17" s="319"/>
      <c r="AR17" s="319"/>
      <c r="AS17" s="319"/>
      <c r="AT17" s="319"/>
      <c r="AU17" s="319"/>
    </row>
    <row r="18" spans="1:47" s="232" customFormat="1" ht="10.199999999999999">
      <c r="A18" s="380"/>
      <c r="B18" s="2698" t="s">
        <v>618</v>
      </c>
      <c r="C18" s="2698"/>
      <c r="D18" s="2698"/>
      <c r="E18" s="2698"/>
      <c r="F18" s="2698"/>
      <c r="G18" s="680" t="s">
        <v>361</v>
      </c>
      <c r="H18" s="681"/>
      <c r="I18" s="682" t="s">
        <v>612</v>
      </c>
      <c r="J18" s="585"/>
      <c r="K18" s="683">
        <v>0.70860000000000001</v>
      </c>
      <c r="AP18" s="319"/>
      <c r="AQ18" s="319"/>
      <c r="AR18" s="319"/>
      <c r="AS18" s="319"/>
      <c r="AT18" s="319"/>
      <c r="AU18" s="319"/>
    </row>
    <row r="19" spans="1:47" s="232" customFormat="1" ht="10.199999999999999">
      <c r="A19" s="380"/>
      <c r="B19" s="2698" t="s">
        <v>614</v>
      </c>
      <c r="C19" s="2698"/>
      <c r="D19" s="2698"/>
      <c r="E19" s="2698"/>
      <c r="F19" s="2698"/>
      <c r="G19" s="680" t="s">
        <v>360</v>
      </c>
      <c r="H19" s="681"/>
      <c r="I19" s="682" t="s">
        <v>613</v>
      </c>
      <c r="J19" s="585"/>
      <c r="K19" s="683" t="s">
        <v>127</v>
      </c>
      <c r="AP19" s="319"/>
      <c r="AQ19" s="319"/>
      <c r="AR19" s="319"/>
      <c r="AS19" s="319"/>
      <c r="AT19" s="319"/>
      <c r="AU19" s="319"/>
    </row>
    <row r="20" spans="1:47" s="232" customFormat="1" ht="10.199999999999999">
      <c r="A20" s="380"/>
      <c r="B20" s="2698" t="s">
        <v>340</v>
      </c>
      <c r="C20" s="2698"/>
      <c r="D20" s="2698"/>
      <c r="E20" s="2698"/>
      <c r="F20" s="2698"/>
      <c r="G20" s="680" t="s">
        <v>360</v>
      </c>
      <c r="H20" s="681"/>
      <c r="I20" s="682" t="s">
        <v>172</v>
      </c>
      <c r="J20" s="585"/>
      <c r="K20" s="683">
        <v>3.6900000000000002E-2</v>
      </c>
      <c r="AP20" s="319"/>
      <c r="AQ20" s="319"/>
      <c r="AR20" s="319"/>
      <c r="AS20" s="319"/>
      <c r="AT20" s="319"/>
      <c r="AU20" s="319"/>
    </row>
    <row r="21" spans="1:47" s="232" customFormat="1" ht="10.199999999999999">
      <c r="A21" s="380"/>
      <c r="B21" s="2698" t="s">
        <v>615</v>
      </c>
      <c r="C21" s="2698"/>
      <c r="D21" s="2698"/>
      <c r="E21" s="2698"/>
      <c r="F21" s="2698"/>
      <c r="G21" s="680" t="s">
        <v>360</v>
      </c>
      <c r="H21" s="681"/>
      <c r="I21" s="682" t="s">
        <v>172</v>
      </c>
      <c r="J21" s="585"/>
      <c r="K21" s="683" t="s">
        <v>127</v>
      </c>
      <c r="AP21" s="319"/>
      <c r="AQ21" s="319"/>
      <c r="AR21" s="319"/>
      <c r="AS21" s="319"/>
      <c r="AT21" s="319"/>
      <c r="AU21" s="319"/>
    </row>
    <row r="22" spans="1:47" s="232" customFormat="1" ht="10.199999999999999">
      <c r="A22" s="380"/>
      <c r="B22" s="2698" t="s">
        <v>389</v>
      </c>
      <c r="C22" s="2698"/>
      <c r="D22" s="2698"/>
      <c r="E22" s="2698"/>
      <c r="F22" s="2698"/>
      <c r="G22" s="680" t="s">
        <v>360</v>
      </c>
      <c r="H22" s="681"/>
      <c r="I22" s="682" t="s">
        <v>612</v>
      </c>
      <c r="J22" s="585"/>
      <c r="K22" s="684">
        <v>4.7999999999999996E-3</v>
      </c>
      <c r="AP22" s="319"/>
      <c r="AQ22" s="319"/>
      <c r="AR22" s="319"/>
      <c r="AS22" s="319"/>
      <c r="AT22" s="319"/>
      <c r="AU22" s="319"/>
    </row>
    <row r="23" spans="1:47" s="232" customFormat="1" ht="10.199999999999999">
      <c r="A23" s="380"/>
      <c r="B23" s="2698" t="s">
        <v>395</v>
      </c>
      <c r="C23" s="2698"/>
      <c r="D23" s="2698"/>
      <c r="E23" s="2698"/>
      <c r="F23" s="2698"/>
      <c r="G23" s="680" t="s">
        <v>361</v>
      </c>
      <c r="H23" s="681"/>
      <c r="I23" s="682" t="s">
        <v>172</v>
      </c>
      <c r="J23" s="585"/>
      <c r="K23" s="684">
        <v>6.8599999999999994E-2</v>
      </c>
      <c r="AP23" s="319"/>
      <c r="AQ23" s="319"/>
      <c r="AR23" s="319"/>
      <c r="AS23" s="319"/>
      <c r="AT23" s="319"/>
      <c r="AU23" s="319"/>
    </row>
    <row r="24" spans="1:47" s="232" customFormat="1" ht="10.199999999999999">
      <c r="A24" s="380"/>
      <c r="B24" s="2698" t="s">
        <v>396</v>
      </c>
      <c r="C24" s="2698"/>
      <c r="D24" s="2698"/>
      <c r="E24" s="2698"/>
      <c r="F24" s="2698"/>
      <c r="G24" s="680" t="s">
        <v>361</v>
      </c>
      <c r="H24" s="681"/>
      <c r="I24" s="682" t="s">
        <v>173</v>
      </c>
      <c r="J24" s="585"/>
      <c r="K24" s="684">
        <v>1.23E-2</v>
      </c>
      <c r="AP24" s="319"/>
      <c r="AQ24" s="319"/>
      <c r="AR24" s="319"/>
      <c r="AS24" s="319"/>
      <c r="AT24" s="319"/>
      <c r="AU24" s="319"/>
    </row>
    <row r="25" spans="1:47" s="232" customFormat="1" ht="10.199999999999999">
      <c r="A25" s="380"/>
      <c r="B25" s="2698" t="s">
        <v>397</v>
      </c>
      <c r="C25" s="2698"/>
      <c r="D25" s="2698"/>
      <c r="E25" s="2698"/>
      <c r="F25" s="2698"/>
      <c r="G25" s="680" t="s">
        <v>360</v>
      </c>
      <c r="H25" s="681"/>
      <c r="I25" s="682" t="s">
        <v>610</v>
      </c>
      <c r="J25" s="585"/>
      <c r="K25" s="684">
        <v>1.0999999999999999E-2</v>
      </c>
      <c r="AP25" s="319"/>
      <c r="AQ25" s="319"/>
      <c r="AR25" s="319"/>
      <c r="AS25" s="319"/>
      <c r="AT25" s="319"/>
      <c r="AU25" s="319"/>
    </row>
    <row r="26" spans="1:47" s="232" customFormat="1" ht="10.199999999999999">
      <c r="A26" s="380"/>
      <c r="B26" s="685"/>
      <c r="C26" s="685"/>
      <c r="D26" s="685"/>
      <c r="E26" s="685"/>
      <c r="F26" s="685"/>
      <c r="G26" s="680"/>
      <c r="H26" s="681"/>
      <c r="I26" s="682"/>
      <c r="J26" s="585"/>
      <c r="K26" s="684"/>
      <c r="AP26" s="319"/>
      <c r="AQ26" s="319"/>
      <c r="AR26" s="319"/>
      <c r="AS26" s="319"/>
      <c r="AT26" s="319"/>
      <c r="AU26" s="319"/>
    </row>
    <row r="27" spans="1:47" s="232" customFormat="1" ht="10.199999999999999">
      <c r="A27" s="380"/>
      <c r="B27" s="585" t="s">
        <v>616</v>
      </c>
      <c r="C27" s="585"/>
      <c r="D27" s="585"/>
      <c r="E27" s="585"/>
      <c r="F27" s="585"/>
      <c r="G27" s="585"/>
      <c r="H27" s="585"/>
      <c r="I27" s="585"/>
      <c r="J27" s="585"/>
      <c r="K27" s="686"/>
      <c r="AP27" s="319"/>
      <c r="AQ27" s="319"/>
      <c r="AR27" s="319"/>
      <c r="AS27" s="319"/>
      <c r="AT27" s="319"/>
      <c r="AU27" s="319"/>
    </row>
    <row r="28" spans="1:47" s="32" customFormat="1" ht="12">
      <c r="A28" s="208"/>
      <c r="B28" s="539"/>
      <c r="C28" s="687"/>
      <c r="D28" s="687"/>
      <c r="E28" s="687"/>
      <c r="F28" s="687"/>
      <c r="G28" s="687"/>
      <c r="H28" s="539"/>
      <c r="I28" s="688"/>
      <c r="J28" s="549"/>
      <c r="K28" s="688"/>
      <c r="AP28" s="52"/>
      <c r="AQ28" s="52"/>
      <c r="AR28" s="52"/>
      <c r="AS28" s="52"/>
      <c r="AT28" s="52"/>
      <c r="AU28" s="52"/>
    </row>
    <row r="29" spans="1:47" s="32" customFormat="1" ht="12">
      <c r="A29" s="208" t="s">
        <v>442</v>
      </c>
      <c r="B29" s="2704" t="s">
        <v>239</v>
      </c>
      <c r="C29" s="2704"/>
      <c r="D29" s="2704"/>
      <c r="E29" s="2704"/>
      <c r="F29" s="2704"/>
      <c r="G29" s="2704"/>
      <c r="H29" s="2704"/>
      <c r="I29" s="689"/>
      <c r="J29" s="689"/>
      <c r="K29" s="689"/>
      <c r="AP29" s="52"/>
      <c r="AQ29" s="52"/>
      <c r="AR29" s="52"/>
      <c r="AS29" s="52"/>
      <c r="AT29" s="52"/>
      <c r="AU29" s="52"/>
    </row>
    <row r="30" spans="1:47" s="32" customFormat="1" ht="12">
      <c r="A30" s="208"/>
      <c r="B30" s="690"/>
      <c r="C30" s="690"/>
      <c r="D30" s="690"/>
      <c r="E30" s="690"/>
      <c r="F30" s="690"/>
      <c r="G30" s="690"/>
      <c r="H30" s="690"/>
      <c r="I30" s="689"/>
      <c r="J30" s="689"/>
      <c r="K30" s="689"/>
      <c r="AP30" s="52"/>
      <c r="AQ30" s="52"/>
      <c r="AR30" s="52"/>
      <c r="AS30" s="52"/>
      <c r="AT30" s="52"/>
      <c r="AU30" s="52"/>
    </row>
    <row r="31" spans="1:47" s="32" customFormat="1" ht="12" customHeight="1">
      <c r="A31" s="208"/>
      <c r="B31" s="2689" t="s">
        <v>516</v>
      </c>
      <c r="C31" s="2689"/>
      <c r="D31" s="2689"/>
      <c r="E31" s="2689"/>
      <c r="F31" s="2689"/>
      <c r="G31" s="2689"/>
      <c r="H31" s="2689"/>
      <c r="I31" s="2689"/>
      <c r="J31" s="2689"/>
      <c r="K31" s="2689"/>
      <c r="AP31" s="52"/>
      <c r="AQ31" s="52"/>
      <c r="AR31" s="52"/>
      <c r="AS31" s="52"/>
      <c r="AT31" s="52"/>
      <c r="AU31" s="52"/>
    </row>
    <row r="32" spans="1:47" s="32" customFormat="1" ht="12">
      <c r="A32" s="208"/>
      <c r="B32" s="2689"/>
      <c r="C32" s="2689"/>
      <c r="D32" s="2689"/>
      <c r="E32" s="2689"/>
      <c r="F32" s="2689"/>
      <c r="G32" s="2689"/>
      <c r="H32" s="2689"/>
      <c r="I32" s="2689"/>
      <c r="J32" s="2689"/>
      <c r="K32" s="2689"/>
      <c r="AP32" s="52"/>
      <c r="AQ32" s="52"/>
      <c r="AR32" s="52"/>
      <c r="AS32" s="52"/>
      <c r="AT32" s="52"/>
      <c r="AU32" s="52"/>
    </row>
    <row r="33" spans="1:47" s="32" customFormat="1" ht="12">
      <c r="A33" s="208"/>
      <c r="B33" s="2689"/>
      <c r="C33" s="2689"/>
      <c r="D33" s="2689"/>
      <c r="E33" s="2689"/>
      <c r="F33" s="2689"/>
      <c r="G33" s="2689"/>
      <c r="H33" s="2689"/>
      <c r="I33" s="2689"/>
      <c r="J33" s="2689"/>
      <c r="K33" s="2689"/>
      <c r="AP33" s="52"/>
      <c r="AQ33" s="52"/>
      <c r="AR33" s="52"/>
      <c r="AS33" s="52"/>
      <c r="AT33" s="52"/>
      <c r="AU33" s="52"/>
    </row>
    <row r="34" spans="1:47" s="32" customFormat="1" ht="12">
      <c r="A34" s="208"/>
      <c r="B34" s="2689"/>
      <c r="C34" s="2689"/>
      <c r="D34" s="2689"/>
      <c r="E34" s="2689"/>
      <c r="F34" s="2689"/>
      <c r="G34" s="2689"/>
      <c r="H34" s="2689"/>
      <c r="I34" s="2689"/>
      <c r="J34" s="2689"/>
      <c r="K34" s="2689"/>
      <c r="AP34" s="52"/>
      <c r="AQ34" s="52"/>
      <c r="AR34" s="52"/>
      <c r="AS34" s="52"/>
      <c r="AT34" s="52"/>
      <c r="AU34" s="52"/>
    </row>
    <row r="35" spans="1:47" s="32" customFormat="1" ht="12">
      <c r="A35" s="208"/>
      <c r="B35" s="543"/>
      <c r="C35" s="543"/>
      <c r="D35" s="543"/>
      <c r="E35" s="543"/>
      <c r="F35" s="543"/>
      <c r="G35" s="543"/>
      <c r="H35" s="543"/>
      <c r="I35" s="543"/>
      <c r="J35" s="550"/>
      <c r="K35" s="550"/>
      <c r="AP35" s="52"/>
      <c r="AQ35" s="52"/>
      <c r="AR35" s="52"/>
      <c r="AS35" s="52"/>
      <c r="AT35" s="52"/>
      <c r="AU35" s="52"/>
    </row>
    <row r="36" spans="1:47" s="32" customFormat="1" ht="12">
      <c r="A36" s="215" t="s">
        <v>548</v>
      </c>
      <c r="B36" s="540" t="s">
        <v>240</v>
      </c>
      <c r="C36" s="540"/>
      <c r="D36" s="540"/>
      <c r="E36" s="540"/>
      <c r="F36" s="540"/>
      <c r="G36" s="543"/>
      <c r="H36" s="691"/>
      <c r="I36" s="543"/>
      <c r="J36" s="542"/>
      <c r="K36" s="542"/>
      <c r="AP36" s="52"/>
      <c r="AQ36" s="52"/>
      <c r="AR36" s="52"/>
      <c r="AS36" s="52"/>
      <c r="AT36" s="52"/>
      <c r="AU36" s="52"/>
    </row>
    <row r="37" spans="1:47" s="32" customFormat="1" ht="12">
      <c r="A37" s="208"/>
      <c r="B37" s="543"/>
      <c r="C37" s="543"/>
      <c r="D37" s="543"/>
      <c r="E37" s="543"/>
      <c r="F37" s="543"/>
      <c r="G37" s="543"/>
      <c r="H37" s="691"/>
      <c r="I37" s="543"/>
      <c r="J37" s="542"/>
      <c r="K37" s="542"/>
      <c r="AP37" s="52"/>
      <c r="AQ37" s="52"/>
      <c r="AR37" s="52"/>
      <c r="AS37" s="52"/>
      <c r="AT37" s="52"/>
      <c r="AU37" s="52"/>
    </row>
    <row r="38" spans="1:47" s="32" customFormat="1" ht="12">
      <c r="A38" s="208"/>
      <c r="B38" s="2640" t="s">
        <v>606</v>
      </c>
      <c r="C38" s="2640"/>
      <c r="D38" s="2640"/>
      <c r="E38" s="2640"/>
      <c r="F38" s="2640"/>
      <c r="G38" s="2640"/>
      <c r="H38" s="2640"/>
      <c r="I38" s="2640"/>
      <c r="J38" s="2640"/>
      <c r="K38" s="2640"/>
      <c r="AP38" s="52"/>
      <c r="AQ38" s="52"/>
      <c r="AR38" s="52"/>
      <c r="AS38" s="52"/>
      <c r="AT38" s="52"/>
      <c r="AU38" s="52"/>
    </row>
    <row r="39" spans="1:47" s="32" customFormat="1" ht="12">
      <c r="A39" s="208"/>
      <c r="B39" s="2640"/>
      <c r="C39" s="2640"/>
      <c r="D39" s="2640"/>
      <c r="E39" s="2640"/>
      <c r="F39" s="2640"/>
      <c r="G39" s="2640"/>
      <c r="H39" s="2640"/>
      <c r="I39" s="2640"/>
      <c r="J39" s="2640"/>
      <c r="K39" s="2640"/>
      <c r="AP39" s="52"/>
      <c r="AQ39" s="52"/>
      <c r="AR39" s="52"/>
      <c r="AS39" s="52"/>
      <c r="AT39" s="52"/>
      <c r="AU39" s="52"/>
    </row>
    <row r="40" spans="1:47" s="32" customFormat="1" ht="12">
      <c r="A40" s="208"/>
      <c r="B40" s="550"/>
      <c r="C40" s="550"/>
      <c r="D40" s="550"/>
      <c r="E40" s="550"/>
      <c r="F40" s="550"/>
      <c r="G40" s="550"/>
      <c r="H40" s="550"/>
      <c r="I40" s="550"/>
      <c r="J40" s="550"/>
      <c r="K40" s="550"/>
      <c r="AP40" s="52"/>
      <c r="AQ40" s="52"/>
      <c r="AR40" s="52"/>
      <c r="AS40" s="52"/>
      <c r="AT40" s="52"/>
      <c r="AU40" s="52"/>
    </row>
    <row r="41" spans="1:47" s="32" customFormat="1" ht="12">
      <c r="A41" s="208"/>
      <c r="B41" s="2640" t="s">
        <v>607</v>
      </c>
      <c r="C41" s="2640"/>
      <c r="D41" s="2640"/>
      <c r="E41" s="2640"/>
      <c r="F41" s="2640"/>
      <c r="G41" s="2640"/>
      <c r="H41" s="2640"/>
      <c r="I41" s="2640"/>
      <c r="J41" s="2640"/>
      <c r="K41" s="2640"/>
      <c r="AP41" s="52"/>
      <c r="AQ41" s="52"/>
      <c r="AR41" s="52"/>
      <c r="AS41" s="52"/>
      <c r="AT41" s="52"/>
      <c r="AU41" s="52"/>
    </row>
    <row r="42" spans="1:47" s="32" customFormat="1" ht="12">
      <c r="A42" s="208"/>
      <c r="B42" s="2640"/>
      <c r="C42" s="2640"/>
      <c r="D42" s="2640"/>
      <c r="E42" s="2640"/>
      <c r="F42" s="2640"/>
      <c r="G42" s="2640"/>
      <c r="H42" s="2640"/>
      <c r="I42" s="2640"/>
      <c r="J42" s="2640"/>
      <c r="K42" s="2640"/>
      <c r="AP42" s="52"/>
      <c r="AQ42" s="52"/>
      <c r="AR42" s="52"/>
      <c r="AS42" s="52"/>
      <c r="AT42" s="52"/>
      <c r="AU42" s="52"/>
    </row>
    <row r="43" spans="1:47" s="32" customFormat="1" ht="12">
      <c r="A43" s="208"/>
      <c r="B43" s="2640"/>
      <c r="C43" s="2640"/>
      <c r="D43" s="2640"/>
      <c r="E43" s="2640"/>
      <c r="F43" s="2640"/>
      <c r="G43" s="2640"/>
      <c r="H43" s="2640"/>
      <c r="I43" s="2640"/>
      <c r="J43" s="2640"/>
      <c r="K43" s="2640"/>
      <c r="AP43" s="52"/>
      <c r="AQ43" s="52"/>
      <c r="AR43" s="52"/>
      <c r="AS43" s="52"/>
      <c r="AT43" s="52"/>
      <c r="AU43" s="52"/>
    </row>
    <row r="44" spans="1:47" s="32" customFormat="1" ht="12">
      <c r="A44" s="208"/>
      <c r="B44" s="2640"/>
      <c r="C44" s="2640"/>
      <c r="D44" s="2640"/>
      <c r="E44" s="2640"/>
      <c r="F44" s="2640"/>
      <c r="G44" s="2640"/>
      <c r="H44" s="2640"/>
      <c r="I44" s="2640"/>
      <c r="J44" s="2640"/>
      <c r="K44" s="2640"/>
      <c r="AP44" s="52"/>
      <c r="AQ44" s="52"/>
      <c r="AR44" s="52"/>
      <c r="AS44" s="52"/>
      <c r="AT44" s="52"/>
      <c r="AU44" s="52"/>
    </row>
    <row r="45" spans="1:47" s="32" customFormat="1" ht="12">
      <c r="A45" s="208"/>
      <c r="B45" s="2640"/>
      <c r="C45" s="2640"/>
      <c r="D45" s="2640"/>
      <c r="E45" s="2640"/>
      <c r="F45" s="2640"/>
      <c r="G45" s="2640"/>
      <c r="H45" s="2640"/>
      <c r="I45" s="2640"/>
      <c r="J45" s="2640"/>
      <c r="K45" s="2640"/>
      <c r="AP45" s="52"/>
      <c r="AQ45" s="52"/>
      <c r="AR45" s="52"/>
      <c r="AS45" s="52"/>
      <c r="AT45" s="52"/>
      <c r="AU45" s="52"/>
    </row>
    <row r="46" spans="1:47" s="32" customFormat="1" ht="12">
      <c r="A46" s="208"/>
      <c r="B46" s="2640"/>
      <c r="C46" s="2640"/>
      <c r="D46" s="2640"/>
      <c r="E46" s="2640"/>
      <c r="F46" s="2640"/>
      <c r="G46" s="2640"/>
      <c r="H46" s="2640"/>
      <c r="I46" s="2640"/>
      <c r="J46" s="2640"/>
      <c r="K46" s="2640"/>
      <c r="AP46" s="52"/>
      <c r="AQ46" s="52"/>
      <c r="AR46" s="52"/>
      <c r="AS46" s="52"/>
      <c r="AT46" s="52"/>
      <c r="AU46" s="52"/>
    </row>
    <row r="47" spans="1:47">
      <c r="B47" s="546"/>
      <c r="C47" s="546"/>
      <c r="D47" s="546"/>
      <c r="E47" s="546"/>
      <c r="F47" s="546"/>
      <c r="G47" s="546"/>
      <c r="H47" s="546"/>
      <c r="I47" s="546"/>
      <c r="J47" s="546"/>
      <c r="K47" s="546"/>
    </row>
    <row r="48" spans="1:47" s="32" customFormat="1">
      <c r="A48" s="8"/>
      <c r="B48" s="2640" t="s">
        <v>554</v>
      </c>
      <c r="C48" s="2640"/>
      <c r="D48" s="2640"/>
      <c r="E48" s="2640"/>
      <c r="F48" s="2640"/>
      <c r="G48" s="2640"/>
      <c r="H48" s="2640"/>
      <c r="I48" s="2640"/>
      <c r="J48" s="2640"/>
      <c r="K48" s="2640"/>
      <c r="AP48" s="52"/>
      <c r="AQ48" s="52"/>
      <c r="AR48" s="52"/>
      <c r="AS48" s="52"/>
      <c r="AT48" s="52"/>
      <c r="AU48" s="52"/>
    </row>
    <row r="49" spans="1:47" s="32" customFormat="1">
      <c r="A49" s="8"/>
      <c r="B49" s="2640"/>
      <c r="C49" s="2640"/>
      <c r="D49" s="2640"/>
      <c r="E49" s="2640"/>
      <c r="F49" s="2640"/>
      <c r="G49" s="2640"/>
      <c r="H49" s="2640"/>
      <c r="I49" s="2640"/>
      <c r="J49" s="2640"/>
      <c r="K49" s="2640"/>
      <c r="AP49" s="52"/>
      <c r="AQ49" s="52"/>
      <c r="AR49" s="52"/>
      <c r="AS49" s="52"/>
      <c r="AT49" s="52"/>
      <c r="AU49" s="52"/>
    </row>
    <row r="50" spans="1:47" s="32" customFormat="1">
      <c r="A50" s="8"/>
      <c r="B50" s="2640"/>
      <c r="C50" s="2640"/>
      <c r="D50" s="2640"/>
      <c r="E50" s="2640"/>
      <c r="F50" s="2640"/>
      <c r="G50" s="2640"/>
      <c r="H50" s="2640"/>
      <c r="I50" s="2640"/>
      <c r="J50" s="2640"/>
      <c r="K50" s="2640"/>
      <c r="AP50" s="52"/>
      <c r="AQ50" s="52"/>
      <c r="AR50" s="52"/>
      <c r="AS50" s="52"/>
      <c r="AT50" s="52"/>
      <c r="AU50" s="52"/>
    </row>
    <row r="51" spans="1:47" s="32" customFormat="1">
      <c r="A51" s="8"/>
      <c r="B51" s="2640"/>
      <c r="C51" s="2640"/>
      <c r="D51" s="2640"/>
      <c r="E51" s="2640"/>
      <c r="F51" s="2640"/>
      <c r="G51" s="2640"/>
      <c r="H51" s="2640"/>
      <c r="I51" s="2640"/>
      <c r="J51" s="2640"/>
      <c r="K51" s="2640"/>
      <c r="AP51" s="52"/>
      <c r="AQ51" s="52"/>
      <c r="AR51" s="52"/>
      <c r="AS51" s="52"/>
      <c r="AT51" s="52"/>
      <c r="AU51" s="52"/>
    </row>
    <row r="52" spans="1:47" s="32" customFormat="1" ht="9" customHeight="1">
      <c r="A52" s="8"/>
      <c r="B52" s="542"/>
      <c r="C52" s="542"/>
      <c r="D52" s="542"/>
      <c r="E52" s="542"/>
      <c r="F52" s="542"/>
      <c r="G52" s="542"/>
      <c r="H52" s="542"/>
      <c r="I52" s="542"/>
      <c r="J52" s="542"/>
      <c r="K52" s="542"/>
      <c r="AP52" s="52"/>
      <c r="AQ52" s="52"/>
      <c r="AR52" s="52"/>
      <c r="AS52" s="52"/>
      <c r="AT52" s="52"/>
      <c r="AU52" s="52"/>
    </row>
    <row r="53" spans="1:47" s="32" customFormat="1">
      <c r="A53" s="8"/>
      <c r="B53" s="2706" t="s">
        <v>302</v>
      </c>
      <c r="C53" s="2706"/>
      <c r="D53" s="2706"/>
      <c r="E53" s="2706"/>
      <c r="F53" s="2706"/>
      <c r="G53" s="2706"/>
      <c r="H53" s="2706"/>
      <c r="I53" s="2706"/>
      <c r="J53" s="2706"/>
      <c r="K53" s="2706"/>
      <c r="AP53" s="52"/>
      <c r="AQ53" s="52"/>
      <c r="AR53" s="52"/>
      <c r="AS53" s="52"/>
      <c r="AT53" s="52"/>
      <c r="AU53" s="52"/>
    </row>
    <row r="54" spans="1:47" s="32" customFormat="1">
      <c r="A54" s="8"/>
      <c r="B54" s="2706"/>
      <c r="C54" s="2706"/>
      <c r="D54" s="2706"/>
      <c r="E54" s="2706"/>
      <c r="F54" s="2706"/>
      <c r="G54" s="2706"/>
      <c r="H54" s="2706"/>
      <c r="I54" s="2706"/>
      <c r="J54" s="2706"/>
      <c r="K54" s="2706"/>
      <c r="AP54" s="52"/>
      <c r="AQ54" s="52"/>
      <c r="AR54" s="52"/>
      <c r="AS54" s="52"/>
      <c r="AT54" s="52"/>
      <c r="AU54" s="52"/>
    </row>
    <row r="55" spans="1:47" s="32" customFormat="1">
      <c r="A55" s="8"/>
      <c r="B55" s="2706"/>
      <c r="C55" s="2706"/>
      <c r="D55" s="2706"/>
      <c r="E55" s="2706"/>
      <c r="F55" s="2706"/>
      <c r="G55" s="2706"/>
      <c r="H55" s="2706"/>
      <c r="I55" s="2706"/>
      <c r="J55" s="2706"/>
      <c r="K55" s="2706"/>
      <c r="AP55" s="52"/>
      <c r="AQ55" s="52"/>
      <c r="AR55" s="52"/>
      <c r="AS55" s="52"/>
      <c r="AT55" s="52"/>
      <c r="AU55" s="52"/>
    </row>
    <row r="56" spans="1:47" s="32" customFormat="1" ht="9" customHeight="1">
      <c r="A56" s="8"/>
      <c r="B56" s="544"/>
      <c r="C56" s="544"/>
      <c r="D56" s="544"/>
      <c r="E56" s="544"/>
      <c r="F56" s="544"/>
      <c r="G56" s="544"/>
      <c r="H56" s="544"/>
      <c r="I56" s="544"/>
      <c r="J56" s="544"/>
      <c r="K56" s="544"/>
      <c r="AP56" s="52"/>
      <c r="AQ56" s="52"/>
      <c r="AR56" s="52"/>
      <c r="AS56" s="52"/>
      <c r="AT56" s="52"/>
      <c r="AU56" s="52"/>
    </row>
    <row r="57" spans="1:47" s="218" customFormat="1" ht="10.199999999999999">
      <c r="A57" s="432"/>
      <c r="B57" s="609"/>
      <c r="C57" s="609"/>
      <c r="D57" s="609"/>
      <c r="E57" s="2699" t="s">
        <v>517</v>
      </c>
      <c r="F57" s="2700"/>
      <c r="G57" s="2700"/>
      <c r="H57" s="2700"/>
      <c r="I57" s="2700"/>
      <c r="J57" s="2700"/>
      <c r="K57" s="2700"/>
      <c r="AP57" s="378"/>
      <c r="AQ57" s="378"/>
      <c r="AR57" s="378"/>
      <c r="AS57" s="378"/>
      <c r="AT57" s="378"/>
      <c r="AU57" s="378"/>
    </row>
    <row r="58" spans="1:47" s="218" customFormat="1" ht="10.199999999999999">
      <c r="A58" s="433"/>
      <c r="B58" s="2691" t="s">
        <v>261</v>
      </c>
      <c r="C58" s="2691"/>
      <c r="D58" s="2691" t="s">
        <v>44</v>
      </c>
      <c r="E58" s="2692"/>
      <c r="F58" s="2691" t="s">
        <v>201</v>
      </c>
      <c r="G58" s="2692"/>
      <c r="H58" s="2691" t="s">
        <v>241</v>
      </c>
      <c r="I58" s="2692"/>
      <c r="J58" s="2691" t="s">
        <v>242</v>
      </c>
      <c r="K58" s="2692"/>
      <c r="AP58" s="378"/>
      <c r="AQ58" s="378"/>
      <c r="AR58" s="378"/>
      <c r="AS58" s="378"/>
      <c r="AT58" s="378"/>
      <c r="AU58" s="378"/>
    </row>
    <row r="59" spans="1:47" s="218" customFormat="1" ht="10.199999999999999">
      <c r="A59" s="433"/>
      <c r="B59" s="2695"/>
      <c r="C59" s="2695"/>
      <c r="D59" s="2693"/>
      <c r="E59" s="2693"/>
      <c r="F59" s="2693"/>
      <c r="G59" s="2693"/>
      <c r="H59" s="2693"/>
      <c r="I59" s="2693"/>
      <c r="J59" s="2693"/>
      <c r="K59" s="2693"/>
      <c r="AP59" s="378"/>
      <c r="AQ59" s="378"/>
      <c r="AR59" s="378"/>
      <c r="AS59" s="378"/>
      <c r="AT59" s="378"/>
      <c r="AU59" s="378"/>
    </row>
    <row r="60" spans="1:47" s="218" customFormat="1" ht="10.199999999999999">
      <c r="A60" s="433"/>
      <c r="B60" s="2695"/>
      <c r="C60" s="2695"/>
      <c r="D60" s="2693"/>
      <c r="E60" s="2693"/>
      <c r="F60" s="2693"/>
      <c r="G60" s="2693"/>
      <c r="H60" s="2693"/>
      <c r="I60" s="2693"/>
      <c r="J60" s="2693"/>
      <c r="K60" s="2693"/>
      <c r="AP60" s="378"/>
      <c r="AQ60" s="378"/>
      <c r="AR60" s="378"/>
      <c r="AS60" s="378"/>
      <c r="AT60" s="378"/>
      <c r="AU60" s="378"/>
    </row>
    <row r="61" spans="1:47" s="218" customFormat="1" ht="10.199999999999999">
      <c r="A61" s="433"/>
      <c r="B61" s="2696"/>
      <c r="C61" s="2696"/>
      <c r="D61" s="2694"/>
      <c r="E61" s="2694"/>
      <c r="F61" s="2694"/>
      <c r="G61" s="2694"/>
      <c r="H61" s="2694"/>
      <c r="I61" s="2694"/>
      <c r="J61" s="2694"/>
      <c r="K61" s="2694"/>
      <c r="AP61" s="378"/>
      <c r="AQ61" s="378"/>
      <c r="AR61" s="378"/>
      <c r="AS61" s="378"/>
      <c r="AT61" s="378"/>
      <c r="AU61" s="378"/>
    </row>
    <row r="62" spans="1:47" s="218" customFormat="1" ht="10.199999999999999">
      <c r="A62" s="433"/>
      <c r="B62" s="609"/>
      <c r="C62" s="609"/>
      <c r="D62" s="609"/>
      <c r="E62" s="2708" t="s">
        <v>204</v>
      </c>
      <c r="F62" s="2708"/>
      <c r="G62" s="2708"/>
      <c r="H62" s="2708"/>
      <c r="I62" s="2708"/>
      <c r="J62" s="2708"/>
      <c r="K62" s="2708"/>
      <c r="AP62" s="378"/>
      <c r="AQ62" s="378"/>
      <c r="AR62" s="378"/>
      <c r="AS62" s="378"/>
      <c r="AT62" s="378"/>
      <c r="AU62" s="378"/>
    </row>
    <row r="63" spans="1:47" s="212" customFormat="1" ht="10.199999999999999">
      <c r="A63" s="231"/>
      <c r="B63" s="674" t="s">
        <v>74</v>
      </c>
      <c r="C63" s="674"/>
      <c r="D63" s="674"/>
      <c r="E63" s="692"/>
      <c r="F63" s="675"/>
      <c r="G63" s="693"/>
      <c r="H63" s="694"/>
      <c r="I63" s="693"/>
      <c r="J63" s="694"/>
      <c r="K63" s="693"/>
      <c r="AP63" s="230"/>
      <c r="AQ63" s="230"/>
      <c r="AR63" s="230"/>
      <c r="AS63" s="230"/>
      <c r="AT63" s="230"/>
      <c r="AU63" s="230"/>
    </row>
    <row r="64" spans="1:47" s="212" customFormat="1" ht="10.199999999999999">
      <c r="A64" s="231"/>
      <c r="B64" s="560" t="s">
        <v>570</v>
      </c>
      <c r="C64" s="560"/>
      <c r="D64" s="695"/>
      <c r="E64" s="696"/>
      <c r="F64" s="696"/>
      <c r="G64" s="696"/>
      <c r="H64" s="696"/>
      <c r="I64" s="696"/>
      <c r="J64" s="696"/>
      <c r="K64" s="696"/>
      <c r="AP64" s="230"/>
      <c r="AQ64" s="230"/>
      <c r="AR64" s="230"/>
      <c r="AS64" s="230"/>
      <c r="AT64" s="230"/>
      <c r="AU64" s="230"/>
    </row>
    <row r="65" spans="1:47" s="212" customFormat="1" ht="10.199999999999999">
      <c r="A65" s="231"/>
      <c r="B65" s="640" t="s">
        <v>571</v>
      </c>
      <c r="C65" s="560"/>
      <c r="D65" s="695"/>
      <c r="E65" s="694" t="e">
        <f>G65+I65+K65</f>
        <v>#REF!</v>
      </c>
      <c r="F65" s="694"/>
      <c r="G65" s="694" t="e">
        <f>'10.2-10.3'!#REF!</f>
        <v>#REF!</v>
      </c>
      <c r="H65" s="694"/>
      <c r="I65" s="694">
        <v>0</v>
      </c>
      <c r="J65" s="694"/>
      <c r="K65" s="694">
        <v>0</v>
      </c>
      <c r="AP65" s="230"/>
      <c r="AQ65" s="230"/>
      <c r="AR65" s="230"/>
      <c r="AS65" s="230"/>
      <c r="AT65" s="230"/>
      <c r="AU65" s="230"/>
    </row>
    <row r="66" spans="1:47" s="212" customFormat="1" ht="10.199999999999999">
      <c r="A66" s="231"/>
      <c r="B66" s="560" t="s">
        <v>447</v>
      </c>
      <c r="C66" s="640"/>
      <c r="D66" s="640"/>
      <c r="E66" s="696"/>
      <c r="F66" s="696"/>
      <c r="G66" s="696"/>
      <c r="H66" s="696"/>
      <c r="I66" s="696"/>
      <c r="J66" s="696"/>
      <c r="K66" s="696"/>
      <c r="AP66" s="230"/>
      <c r="AQ66" s="230">
        <f>1375-895-1</f>
        <v>479</v>
      </c>
      <c r="AR66" s="230"/>
      <c r="AS66" s="230"/>
      <c r="AT66" s="230"/>
      <c r="AU66" s="230"/>
    </row>
    <row r="67" spans="1:47" s="212" customFormat="1" ht="10.199999999999999">
      <c r="A67" s="231"/>
      <c r="B67" s="560" t="s">
        <v>448</v>
      </c>
      <c r="C67" s="640"/>
      <c r="D67" s="640"/>
      <c r="E67" s="697" t="e">
        <f>G67+I67+K67</f>
        <v>#REF!</v>
      </c>
      <c r="F67" s="697"/>
      <c r="G67" s="697" t="e">
        <f>#REF!</f>
        <v>#REF!</v>
      </c>
      <c r="H67" s="697"/>
      <c r="I67" s="697">
        <v>0</v>
      </c>
      <c r="J67" s="697"/>
      <c r="K67" s="697">
        <v>0</v>
      </c>
      <c r="AP67" s="230"/>
      <c r="AQ67" s="230"/>
      <c r="AR67" s="230"/>
      <c r="AS67" s="230"/>
      <c r="AT67" s="230"/>
      <c r="AU67" s="230"/>
    </row>
    <row r="68" spans="1:47" s="212" customFormat="1" ht="10.199999999999999">
      <c r="A68" s="231"/>
      <c r="B68" s="606" t="s">
        <v>227</v>
      </c>
      <c r="C68" s="640"/>
      <c r="D68" s="640"/>
      <c r="E68" s="697">
        <f>G68+I68+K68</f>
        <v>386</v>
      </c>
      <c r="F68" s="697"/>
      <c r="G68" s="697">
        <f>'25.1.3-25.2'!J29</f>
        <v>386</v>
      </c>
      <c r="H68" s="697"/>
      <c r="I68" s="697">
        <v>0</v>
      </c>
      <c r="J68" s="697"/>
      <c r="K68" s="697">
        <v>0</v>
      </c>
      <c r="AP68" s="230"/>
      <c r="AQ68" s="230"/>
      <c r="AR68" s="230"/>
      <c r="AS68" s="230"/>
      <c r="AT68" s="230"/>
      <c r="AU68" s="230"/>
    </row>
    <row r="69" spans="1:47" s="212" customFormat="1" ht="10.199999999999999">
      <c r="A69" s="231"/>
      <c r="B69" s="606" t="s">
        <v>55</v>
      </c>
      <c r="C69" s="606"/>
      <c r="D69" s="606"/>
      <c r="E69" s="694" t="e">
        <f>G69+I69+K69</f>
        <v>#REF!</v>
      </c>
      <c r="F69" s="694"/>
      <c r="G69" s="694" t="e">
        <f>#REF!-#REF!-#REF!</f>
        <v>#REF!</v>
      </c>
      <c r="H69" s="694"/>
      <c r="I69" s="694">
        <v>0</v>
      </c>
      <c r="J69" s="694"/>
      <c r="K69" s="694">
        <v>0</v>
      </c>
      <c r="AP69" s="230"/>
      <c r="AQ69" s="230"/>
      <c r="AR69" s="230"/>
      <c r="AS69" s="230"/>
      <c r="AT69" s="230"/>
      <c r="AU69" s="230"/>
    </row>
    <row r="70" spans="1:47" s="212" customFormat="1" ht="10.8" thickBot="1">
      <c r="A70" s="231"/>
      <c r="B70" s="696"/>
      <c r="C70" s="696"/>
      <c r="D70" s="696"/>
      <c r="E70" s="698" t="e">
        <f>SUM(E65:E69)</f>
        <v>#REF!</v>
      </c>
      <c r="F70" s="675"/>
      <c r="G70" s="698" t="e">
        <f>SUM(G65:G69)</f>
        <v>#REF!</v>
      </c>
      <c r="H70" s="675"/>
      <c r="I70" s="698">
        <f>SUM(I65:I69)</f>
        <v>0</v>
      </c>
      <c r="J70" s="675"/>
      <c r="K70" s="698">
        <f>SUM(K65:K69)</f>
        <v>0</v>
      </c>
      <c r="AP70" s="230"/>
      <c r="AQ70" s="230"/>
      <c r="AR70" s="230"/>
      <c r="AS70" s="230"/>
      <c r="AT70" s="230"/>
      <c r="AU70" s="230"/>
    </row>
    <row r="71" spans="1:47" s="212" customFormat="1" ht="9" customHeight="1" thickTop="1">
      <c r="A71" s="231"/>
      <c r="B71" s="696"/>
      <c r="C71" s="696"/>
      <c r="D71" s="696"/>
      <c r="E71" s="675"/>
      <c r="F71" s="675"/>
      <c r="G71" s="675"/>
      <c r="H71" s="675"/>
      <c r="I71" s="675"/>
      <c r="J71" s="675"/>
      <c r="K71" s="675"/>
      <c r="AP71" s="230"/>
      <c r="AQ71" s="230"/>
      <c r="AR71" s="230"/>
      <c r="AS71" s="230"/>
      <c r="AT71" s="230"/>
      <c r="AU71" s="230"/>
    </row>
    <row r="72" spans="1:47" s="32" customFormat="1">
      <c r="A72" s="210" t="e">
        <f>A1+1</f>
        <v>#REF!</v>
      </c>
      <c r="B72" s="547"/>
      <c r="C72" s="547"/>
      <c r="D72" s="547"/>
      <c r="E72" s="547"/>
      <c r="F72" s="547"/>
      <c r="G72" s="547"/>
      <c r="H72" s="547"/>
      <c r="I72" s="547"/>
      <c r="J72" s="547"/>
      <c r="K72" s="547"/>
      <c r="AP72" s="52"/>
      <c r="AQ72" s="52"/>
      <c r="AR72" s="52"/>
      <c r="AS72" s="52"/>
      <c r="AT72" s="52"/>
      <c r="AU72" s="52"/>
    </row>
    <row r="73" spans="1:47" s="32" customFormat="1" ht="12">
      <c r="A73" s="208"/>
      <c r="B73" s="539"/>
      <c r="C73" s="539"/>
      <c r="D73" s="539"/>
      <c r="E73" s="539"/>
      <c r="F73" s="699"/>
      <c r="G73" s="539"/>
      <c r="H73" s="539"/>
      <c r="I73" s="699"/>
      <c r="J73" s="542"/>
      <c r="K73" s="542"/>
      <c r="AP73" s="52"/>
      <c r="AQ73" s="52"/>
      <c r="AR73" s="52"/>
      <c r="AS73" s="52"/>
      <c r="AT73" s="52"/>
      <c r="AU73" s="52"/>
    </row>
    <row r="74" spans="1:47" s="32" customFormat="1" ht="12">
      <c r="A74" s="207">
        <f>'20-25.1.2'!A102+1</f>
        <v>23</v>
      </c>
      <c r="B74" s="541" t="s">
        <v>243</v>
      </c>
      <c r="C74" s="541"/>
      <c r="D74" s="541"/>
      <c r="E74" s="541"/>
      <c r="F74" s="541"/>
      <c r="G74" s="541"/>
      <c r="H74" s="541"/>
      <c r="I74" s="541"/>
      <c r="J74" s="541"/>
      <c r="K74" s="541"/>
      <c r="AP74" s="52"/>
      <c r="AQ74" s="52"/>
      <c r="AR74" s="52"/>
      <c r="AS74" s="52"/>
      <c r="AT74" s="52"/>
      <c r="AU74" s="52"/>
    </row>
    <row r="75" spans="1:47" s="32" customFormat="1" ht="12">
      <c r="A75" s="208"/>
      <c r="B75" s="542"/>
      <c r="C75" s="542"/>
      <c r="D75" s="542"/>
      <c r="E75" s="542"/>
      <c r="F75" s="542"/>
      <c r="G75" s="548"/>
      <c r="H75" s="548"/>
      <c r="I75" s="542"/>
      <c r="J75" s="542"/>
      <c r="K75" s="542"/>
      <c r="AP75" s="52"/>
      <c r="AQ75" s="52"/>
      <c r="AR75" s="52"/>
      <c r="AS75" s="52"/>
      <c r="AT75" s="52"/>
      <c r="AU75" s="52"/>
    </row>
    <row r="76" spans="1:47" s="32" customFormat="1" ht="12">
      <c r="A76" s="208"/>
      <c r="B76" s="2640" t="s">
        <v>245</v>
      </c>
      <c r="C76" s="2640"/>
      <c r="D76" s="2640"/>
      <c r="E76" s="2640"/>
      <c r="F76" s="2640"/>
      <c r="G76" s="2640"/>
      <c r="H76" s="2640"/>
      <c r="I76" s="2640"/>
      <c r="J76" s="2640"/>
      <c r="K76" s="2640"/>
      <c r="AP76" s="52"/>
      <c r="AQ76" s="52"/>
      <c r="AR76" s="52"/>
      <c r="AS76" s="52"/>
      <c r="AT76" s="52"/>
      <c r="AU76" s="52"/>
    </row>
    <row r="77" spans="1:47" s="32" customFormat="1" ht="12">
      <c r="A77" s="208"/>
      <c r="B77" s="2640"/>
      <c r="C77" s="2640"/>
      <c r="D77" s="2640"/>
      <c r="E77" s="2640"/>
      <c r="F77" s="2640"/>
      <c r="G77" s="2640"/>
      <c r="H77" s="2640"/>
      <c r="I77" s="2640"/>
      <c r="J77" s="2640"/>
      <c r="K77" s="2640"/>
      <c r="AP77" s="52"/>
      <c r="AQ77" s="52"/>
      <c r="AR77" s="52"/>
      <c r="AS77" s="52"/>
      <c r="AT77" s="52"/>
      <c r="AU77" s="52"/>
    </row>
    <row r="78" spans="1:47" s="32" customFormat="1" ht="12">
      <c r="A78" s="208"/>
      <c r="B78" s="2640"/>
      <c r="C78" s="2640"/>
      <c r="D78" s="2640"/>
      <c r="E78" s="2640"/>
      <c r="F78" s="2640"/>
      <c r="G78" s="2640"/>
      <c r="H78" s="2640"/>
      <c r="I78" s="2640"/>
      <c r="J78" s="2640"/>
      <c r="K78" s="2640"/>
      <c r="AP78" s="52"/>
      <c r="AQ78" s="52"/>
      <c r="AR78" s="52"/>
      <c r="AS78" s="52"/>
      <c r="AT78" s="52"/>
      <c r="AU78" s="52"/>
    </row>
    <row r="79" spans="1:47" s="32" customFormat="1" ht="12">
      <c r="A79" s="208"/>
      <c r="B79" s="542"/>
      <c r="C79" s="542"/>
      <c r="D79" s="542"/>
      <c r="E79" s="542"/>
      <c r="F79" s="542"/>
      <c r="G79" s="548"/>
      <c r="H79" s="548"/>
      <c r="I79" s="542"/>
      <c r="J79" s="542"/>
      <c r="K79" s="542"/>
      <c r="AP79" s="52"/>
      <c r="AQ79" s="52"/>
      <c r="AR79" s="52"/>
      <c r="AS79" s="52"/>
      <c r="AT79" s="52"/>
      <c r="AU79" s="52"/>
    </row>
    <row r="80" spans="1:47" s="32" customFormat="1" ht="12">
      <c r="A80" s="208"/>
      <c r="B80" s="2689" t="s">
        <v>309</v>
      </c>
      <c r="C80" s="2689"/>
      <c r="D80" s="2689"/>
      <c r="E80" s="2689"/>
      <c r="F80" s="2689"/>
      <c r="G80" s="2689"/>
      <c r="H80" s="2689"/>
      <c r="I80" s="2689"/>
      <c r="J80" s="2689"/>
      <c r="K80" s="2689"/>
      <c r="AP80" s="52"/>
      <c r="AQ80" s="52"/>
      <c r="AR80" s="52"/>
      <c r="AS80" s="52"/>
      <c r="AT80" s="52"/>
      <c r="AU80" s="52"/>
    </row>
    <row r="81" spans="1:47" s="32" customFormat="1" ht="12">
      <c r="A81" s="208"/>
      <c r="B81" s="2689"/>
      <c r="C81" s="2689"/>
      <c r="D81" s="2689"/>
      <c r="E81" s="2689"/>
      <c r="F81" s="2689"/>
      <c r="G81" s="2689"/>
      <c r="H81" s="2689"/>
      <c r="I81" s="2689"/>
      <c r="J81" s="2689"/>
      <c r="K81" s="2689"/>
      <c r="AP81" s="52"/>
      <c r="AQ81" s="52"/>
      <c r="AR81" s="52"/>
      <c r="AS81" s="52"/>
      <c r="AT81" s="52"/>
      <c r="AU81" s="52"/>
    </row>
    <row r="82" spans="1:47" s="32" customFormat="1" ht="12">
      <c r="A82" s="208"/>
      <c r="B82" s="2689"/>
      <c r="C82" s="2689"/>
      <c r="D82" s="2689"/>
      <c r="E82" s="2689"/>
      <c r="F82" s="2689"/>
      <c r="G82" s="2689"/>
      <c r="H82" s="2689"/>
      <c r="I82" s="2689"/>
      <c r="J82" s="2689"/>
      <c r="K82" s="2689"/>
      <c r="AP82" s="52"/>
      <c r="AQ82" s="52"/>
      <c r="AR82" s="52"/>
      <c r="AS82" s="52"/>
      <c r="AT82" s="52"/>
      <c r="AU82" s="52"/>
    </row>
    <row r="83" spans="1:47" s="32" customFormat="1" ht="12">
      <c r="A83" s="208"/>
      <c r="B83" s="2705"/>
      <c r="C83" s="2705"/>
      <c r="D83" s="2705"/>
      <c r="E83" s="2705"/>
      <c r="F83" s="2705"/>
      <c r="G83" s="2705"/>
      <c r="H83" s="2705"/>
      <c r="I83" s="2705"/>
      <c r="J83" s="2705"/>
      <c r="K83" s="2705"/>
      <c r="AP83" s="52"/>
      <c r="AQ83" s="52"/>
      <c r="AR83" s="52"/>
      <c r="AS83" s="52"/>
      <c r="AT83" s="52"/>
      <c r="AU83" s="52"/>
    </row>
    <row r="84" spans="1:47" s="32" customFormat="1" ht="12">
      <c r="A84" s="208"/>
      <c r="B84" s="550"/>
      <c r="C84" s="550"/>
      <c r="D84" s="550"/>
      <c r="E84" s="550"/>
      <c r="F84" s="550"/>
      <c r="G84" s="550"/>
      <c r="H84" s="550"/>
      <c r="I84" s="550"/>
      <c r="J84" s="550"/>
      <c r="K84" s="550"/>
      <c r="AP84" s="52"/>
      <c r="AQ84" s="52"/>
      <c r="AR84" s="52"/>
      <c r="AS84" s="52"/>
      <c r="AT84" s="52"/>
      <c r="AU84" s="52"/>
    </row>
    <row r="85" spans="1:47" s="32" customFormat="1" ht="12">
      <c r="A85" s="208"/>
      <c r="B85" s="2689" t="s">
        <v>231</v>
      </c>
      <c r="C85" s="2689"/>
      <c r="D85" s="2689"/>
      <c r="E85" s="2689"/>
      <c r="F85" s="2689"/>
      <c r="G85" s="2689"/>
      <c r="H85" s="2689"/>
      <c r="I85" s="2689"/>
      <c r="J85" s="2689"/>
      <c r="K85" s="2689"/>
      <c r="AP85" s="52"/>
      <c r="AQ85" s="52"/>
      <c r="AR85" s="52"/>
      <c r="AS85" s="52"/>
      <c r="AT85" s="52"/>
      <c r="AU85" s="52"/>
    </row>
    <row r="86" spans="1:47" s="32" customFormat="1" ht="12">
      <c r="A86" s="208"/>
      <c r="B86" s="2689"/>
      <c r="C86" s="2689"/>
      <c r="D86" s="2689"/>
      <c r="E86" s="2689"/>
      <c r="F86" s="2689"/>
      <c r="G86" s="2689"/>
      <c r="H86" s="2689"/>
      <c r="I86" s="2689"/>
      <c r="J86" s="2689"/>
      <c r="K86" s="2689"/>
      <c r="AP86" s="52"/>
      <c r="AQ86" s="52"/>
      <c r="AR86" s="52"/>
      <c r="AS86" s="52"/>
      <c r="AT86" s="52"/>
      <c r="AU86" s="52"/>
    </row>
    <row r="87" spans="1:47" s="32" customFormat="1" ht="12">
      <c r="A87" s="208"/>
      <c r="B87" s="2689"/>
      <c r="C87" s="2689"/>
      <c r="D87" s="2689"/>
      <c r="E87" s="2689"/>
      <c r="F87" s="2689"/>
      <c r="G87" s="2689"/>
      <c r="H87" s="2689"/>
      <c r="I87" s="2689"/>
      <c r="J87" s="2689"/>
      <c r="K87" s="2689"/>
      <c r="AP87" s="52"/>
      <c r="AQ87" s="52"/>
      <c r="AR87" s="52"/>
      <c r="AS87" s="52"/>
      <c r="AT87" s="52"/>
      <c r="AU87" s="52"/>
    </row>
    <row r="88" spans="1:47" s="32" customFormat="1" ht="12">
      <c r="A88" s="208"/>
      <c r="B88" s="700"/>
      <c r="C88" s="700"/>
      <c r="D88" s="700"/>
      <c r="E88" s="700"/>
      <c r="F88" s="700"/>
      <c r="G88" s="700"/>
      <c r="H88" s="700"/>
      <c r="I88" s="700"/>
      <c r="J88" s="700"/>
      <c r="K88" s="700"/>
      <c r="AP88" s="52"/>
      <c r="AQ88" s="52"/>
      <c r="AR88" s="52"/>
      <c r="AS88" s="52"/>
      <c r="AT88" s="52"/>
      <c r="AU88" s="52"/>
    </row>
    <row r="89" spans="1:47" s="32" customFormat="1" ht="12">
      <c r="A89" s="208"/>
      <c r="B89" s="2640" t="s">
        <v>443</v>
      </c>
      <c r="C89" s="2640"/>
      <c r="D89" s="2640"/>
      <c r="E89" s="2640"/>
      <c r="F89" s="2640"/>
      <c r="G89" s="2640"/>
      <c r="H89" s="2640"/>
      <c r="I89" s="2640"/>
      <c r="J89" s="2640"/>
      <c r="K89" s="2640"/>
      <c r="AP89" s="52"/>
      <c r="AQ89" s="52"/>
      <c r="AR89" s="52"/>
      <c r="AS89" s="52"/>
      <c r="AT89" s="52"/>
      <c r="AU89" s="52"/>
    </row>
    <row r="90" spans="1:47" s="32" customFormat="1" ht="12">
      <c r="A90" s="208"/>
      <c r="B90" s="2640"/>
      <c r="C90" s="2640"/>
      <c r="D90" s="2640"/>
      <c r="E90" s="2640"/>
      <c r="F90" s="2640"/>
      <c r="G90" s="2640"/>
      <c r="H90" s="2640"/>
      <c r="I90" s="2640"/>
      <c r="J90" s="2640"/>
      <c r="K90" s="2640"/>
      <c r="AP90" s="52"/>
      <c r="AQ90" s="52"/>
      <c r="AR90" s="52"/>
      <c r="AS90" s="52"/>
      <c r="AT90" s="52"/>
      <c r="AU90" s="52"/>
    </row>
    <row r="91" spans="1:47" s="32" customFormat="1" ht="12">
      <c r="A91" s="208"/>
      <c r="B91" s="2640"/>
      <c r="C91" s="2640"/>
      <c r="D91" s="2640"/>
      <c r="E91" s="2640"/>
      <c r="F91" s="2640"/>
      <c r="G91" s="2640"/>
      <c r="H91" s="2640"/>
      <c r="I91" s="2640"/>
      <c r="J91" s="2640"/>
      <c r="K91" s="2640"/>
      <c r="AP91" s="52"/>
      <c r="AQ91" s="52"/>
      <c r="AR91" s="52"/>
      <c r="AS91" s="52"/>
      <c r="AT91" s="52"/>
      <c r="AU91" s="52"/>
    </row>
    <row r="92" spans="1:47" s="32" customFormat="1" ht="12">
      <c r="A92" s="208"/>
      <c r="B92" s="539"/>
      <c r="C92" s="539"/>
      <c r="D92" s="539"/>
      <c r="E92" s="539"/>
      <c r="F92" s="539"/>
      <c r="G92" s="539"/>
      <c r="H92" s="539"/>
      <c r="I92" s="539"/>
      <c r="J92" s="539"/>
      <c r="K92" s="699"/>
      <c r="AP92" s="52"/>
      <c r="AQ92" s="52"/>
      <c r="AR92" s="52"/>
      <c r="AS92" s="52"/>
      <c r="AT92" s="52"/>
      <c r="AU92" s="52"/>
    </row>
    <row r="93" spans="1:47" s="32" customFormat="1" ht="12">
      <c r="A93" s="207">
        <f>A74+1</f>
        <v>24</v>
      </c>
      <c r="B93" s="541" t="s">
        <v>246</v>
      </c>
      <c r="C93" s="541"/>
      <c r="D93" s="541"/>
      <c r="E93" s="541"/>
      <c r="F93" s="541"/>
      <c r="G93" s="542"/>
      <c r="H93" s="542"/>
      <c r="I93" s="542"/>
      <c r="J93" s="542"/>
      <c r="K93" s="548"/>
    </row>
    <row r="94" spans="1:47" s="32" customFormat="1" ht="12">
      <c r="A94" s="208"/>
      <c r="B94" s="542" t="s">
        <v>177</v>
      </c>
      <c r="C94" s="542"/>
      <c r="D94" s="542"/>
      <c r="E94" s="542"/>
      <c r="F94" s="542"/>
      <c r="G94" s="542"/>
      <c r="H94" s="542"/>
      <c r="I94" s="542"/>
      <c r="J94" s="542"/>
      <c r="K94" s="548"/>
    </row>
    <row r="95" spans="1:47" s="32" customFormat="1" ht="12">
      <c r="A95" s="208"/>
      <c r="B95" s="2640" t="s">
        <v>86</v>
      </c>
      <c r="C95" s="2640"/>
      <c r="D95" s="2640"/>
      <c r="E95" s="2640"/>
      <c r="F95" s="2640"/>
      <c r="G95" s="2640"/>
      <c r="H95" s="2640"/>
      <c r="I95" s="2640"/>
      <c r="J95" s="2640"/>
      <c r="K95" s="2640"/>
    </row>
    <row r="96" spans="1:47" s="32" customFormat="1" ht="12">
      <c r="A96" s="208"/>
      <c r="B96" s="2640"/>
      <c r="C96" s="2640"/>
      <c r="D96" s="2640"/>
      <c r="E96" s="2640"/>
      <c r="F96" s="2640"/>
      <c r="G96" s="2640"/>
      <c r="H96" s="2640"/>
      <c r="I96" s="2640"/>
      <c r="J96" s="2640"/>
      <c r="K96" s="2640"/>
    </row>
    <row r="97" spans="1:11" s="32" customFormat="1" ht="12">
      <c r="A97" s="208"/>
      <c r="B97" s="2640"/>
      <c r="C97" s="2640"/>
      <c r="D97" s="2640"/>
      <c r="E97" s="2640"/>
      <c r="F97" s="2640"/>
      <c r="G97" s="2640"/>
      <c r="H97" s="2640"/>
      <c r="I97" s="2640"/>
      <c r="J97" s="2640"/>
      <c r="K97" s="2640"/>
    </row>
    <row r="98" spans="1:11" s="32" customFormat="1" ht="12">
      <c r="A98" s="208"/>
      <c r="B98" s="550"/>
      <c r="C98" s="550"/>
      <c r="D98" s="550"/>
      <c r="E98" s="550"/>
      <c r="F98" s="550"/>
      <c r="G98" s="550"/>
      <c r="H98" s="550"/>
      <c r="I98" s="550"/>
      <c r="J98" s="550"/>
      <c r="K98" s="701"/>
    </row>
    <row r="99" spans="1:11" s="32" customFormat="1" ht="12">
      <c r="A99" s="208"/>
      <c r="B99" s="2640" t="s">
        <v>178</v>
      </c>
      <c r="C99" s="2640"/>
      <c r="D99" s="2640"/>
      <c r="E99" s="2640"/>
      <c r="F99" s="2640"/>
      <c r="G99" s="2640"/>
      <c r="H99" s="2640"/>
      <c r="I99" s="2640"/>
      <c r="J99" s="2640"/>
      <c r="K99" s="2640"/>
    </row>
    <row r="100" spans="1:11" s="32" customFormat="1" ht="12">
      <c r="A100" s="208"/>
      <c r="B100" s="2640"/>
      <c r="C100" s="2640"/>
      <c r="D100" s="2640"/>
      <c r="E100" s="2640"/>
      <c r="F100" s="2640"/>
      <c r="G100" s="2640"/>
      <c r="H100" s="2640"/>
      <c r="I100" s="2640"/>
      <c r="J100" s="2640"/>
      <c r="K100" s="2640"/>
    </row>
    <row r="101" spans="1:11" s="32" customFormat="1" ht="12">
      <c r="A101" s="208"/>
      <c r="B101" s="542"/>
      <c r="C101" s="542"/>
      <c r="D101" s="542"/>
      <c r="E101" s="542"/>
      <c r="F101" s="542"/>
      <c r="G101" s="542"/>
      <c r="H101" s="542"/>
      <c r="I101" s="542"/>
      <c r="J101" s="542"/>
      <c r="K101" s="548"/>
    </row>
    <row r="102" spans="1:11" s="32" customFormat="1" ht="12">
      <c r="A102" s="208"/>
      <c r="B102" s="2640" t="s">
        <v>526</v>
      </c>
      <c r="C102" s="2640"/>
      <c r="D102" s="2640"/>
      <c r="E102" s="2640"/>
      <c r="F102" s="2640"/>
      <c r="G102" s="2640"/>
      <c r="H102" s="2640"/>
      <c r="I102" s="2640"/>
      <c r="J102" s="2640"/>
      <c r="K102" s="2640"/>
    </row>
    <row r="103" spans="1:11" s="32" customFormat="1" ht="12">
      <c r="A103" s="208"/>
      <c r="B103" s="2640"/>
      <c r="C103" s="2640"/>
      <c r="D103" s="2640"/>
      <c r="E103" s="2640"/>
      <c r="F103" s="2640"/>
      <c r="G103" s="2640"/>
      <c r="H103" s="2640"/>
      <c r="I103" s="2640"/>
      <c r="J103" s="2640"/>
      <c r="K103" s="2640"/>
    </row>
    <row r="104" spans="1:11" s="32" customFormat="1" ht="12">
      <c r="A104" s="208"/>
      <c r="B104" s="2640"/>
      <c r="C104" s="2640"/>
      <c r="D104" s="2640"/>
      <c r="E104" s="2640"/>
      <c r="F104" s="2640"/>
      <c r="G104" s="2640"/>
      <c r="H104" s="2640"/>
      <c r="I104" s="2640"/>
      <c r="J104" s="2640"/>
      <c r="K104" s="2640"/>
    </row>
    <row r="105" spans="1:11" s="32" customFormat="1" ht="12">
      <c r="A105" s="208"/>
      <c r="B105" s="2640"/>
      <c r="C105" s="2640"/>
      <c r="D105" s="2640"/>
      <c r="E105" s="2640"/>
      <c r="F105" s="2640"/>
      <c r="G105" s="2640"/>
      <c r="H105" s="2640"/>
      <c r="I105" s="2640"/>
      <c r="J105" s="2640"/>
      <c r="K105" s="2640"/>
    </row>
    <row r="106" spans="1:11" s="32" customFormat="1" ht="12" hidden="1">
      <c r="A106" s="233">
        <f>A93+1</f>
        <v>25</v>
      </c>
      <c r="B106" s="541" t="s">
        <v>179</v>
      </c>
      <c r="C106" s="539"/>
      <c r="D106" s="539"/>
      <c r="E106" s="539"/>
      <c r="F106" s="539"/>
      <c r="G106" s="699"/>
      <c r="H106" s="699"/>
      <c r="I106" s="539"/>
      <c r="J106" s="548"/>
      <c r="K106" s="542"/>
    </row>
    <row r="107" spans="1:11" s="32" customFormat="1" ht="12" hidden="1">
      <c r="A107" s="55"/>
      <c r="B107" s="539"/>
      <c r="C107" s="539"/>
      <c r="D107" s="539"/>
      <c r="E107" s="539"/>
      <c r="F107" s="539"/>
      <c r="G107" s="699"/>
      <c r="H107" s="699"/>
      <c r="I107" s="539"/>
      <c r="J107" s="699"/>
      <c r="K107" s="539"/>
    </row>
    <row r="108" spans="1:11" s="32" customFormat="1" ht="12">
      <c r="A108" s="55"/>
      <c r="B108" s="539"/>
      <c r="C108" s="539"/>
      <c r="D108" s="539"/>
      <c r="E108" s="539"/>
      <c r="F108" s="539"/>
      <c r="G108" s="699"/>
      <c r="H108" s="699"/>
      <c r="I108" s="539"/>
      <c r="J108" s="699"/>
      <c r="K108" s="539"/>
    </row>
    <row r="109" spans="1:11" s="32" customFormat="1" ht="12" customHeight="1">
      <c r="A109" s="55"/>
      <c r="B109" s="2689" t="s">
        <v>569</v>
      </c>
      <c r="C109" s="2689"/>
      <c r="D109" s="2689"/>
      <c r="E109" s="2689"/>
      <c r="F109" s="2689"/>
      <c r="G109" s="2689"/>
      <c r="H109" s="2689"/>
      <c r="I109" s="2689"/>
      <c r="J109" s="2689"/>
      <c r="K109" s="2689"/>
    </row>
    <row r="110" spans="1:11" s="32" customFormat="1" ht="12">
      <c r="A110" s="55"/>
      <c r="B110" s="2689"/>
      <c r="C110" s="2689"/>
      <c r="D110" s="2689"/>
      <c r="E110" s="2689"/>
      <c r="F110" s="2689"/>
      <c r="G110" s="2689"/>
      <c r="H110" s="2689"/>
      <c r="I110" s="2689"/>
      <c r="J110" s="2689"/>
      <c r="K110" s="2689"/>
    </row>
    <row r="111" spans="1:11" s="32" customFormat="1" ht="12">
      <c r="A111" s="55"/>
      <c r="B111" s="2689"/>
      <c r="C111" s="2689"/>
      <c r="D111" s="2689"/>
      <c r="E111" s="2689"/>
      <c r="F111" s="2689"/>
      <c r="G111" s="2689"/>
      <c r="H111" s="2689"/>
      <c r="I111" s="2689"/>
      <c r="J111" s="2689"/>
      <c r="K111" s="2689"/>
    </row>
    <row r="112" spans="1:11" s="32" customFormat="1" ht="12">
      <c r="A112" s="55"/>
      <c r="B112" s="550"/>
      <c r="C112" s="550"/>
      <c r="D112" s="550"/>
      <c r="E112" s="550"/>
      <c r="F112" s="550"/>
      <c r="G112" s="550"/>
      <c r="H112" s="550"/>
      <c r="I112" s="550"/>
      <c r="J112" s="550"/>
      <c r="K112" s="550"/>
    </row>
    <row r="113" spans="1:11" s="32" customFormat="1">
      <c r="B113" s="702" t="s">
        <v>127</v>
      </c>
      <c r="C113" s="545" t="s">
        <v>180</v>
      </c>
      <c r="D113" s="545"/>
      <c r="E113" s="545"/>
      <c r="F113" s="545"/>
      <c r="G113" s="545"/>
      <c r="H113" s="545"/>
      <c r="I113" s="545"/>
      <c r="J113" s="545"/>
      <c r="K113" s="545"/>
    </row>
    <row r="114" spans="1:11" s="32" customFormat="1" ht="12">
      <c r="B114" s="645"/>
      <c r="C114" s="542"/>
      <c r="D114" s="542"/>
      <c r="E114" s="542"/>
      <c r="F114" s="542"/>
      <c r="G114" s="542"/>
      <c r="H114" s="542"/>
      <c r="I114" s="542"/>
      <c r="J114" s="542"/>
      <c r="K114" s="542"/>
    </row>
    <row r="115" spans="1:11" s="32" customFormat="1">
      <c r="B115" s="702" t="s">
        <v>127</v>
      </c>
      <c r="C115" s="2640" t="s">
        <v>208</v>
      </c>
      <c r="D115" s="2640"/>
      <c r="E115" s="2640"/>
      <c r="F115" s="2640"/>
      <c r="G115" s="2640"/>
      <c r="H115" s="2640"/>
      <c r="I115" s="2640"/>
      <c r="J115" s="2640"/>
      <c r="K115" s="2640"/>
    </row>
    <row r="116" spans="1:11" s="32" customFormat="1" ht="12">
      <c r="B116" s="645"/>
      <c r="C116" s="2640"/>
      <c r="D116" s="2640"/>
      <c r="E116" s="2640"/>
      <c r="F116" s="2640"/>
      <c r="G116" s="2640"/>
      <c r="H116" s="2640"/>
      <c r="I116" s="2640"/>
      <c r="J116" s="2640"/>
      <c r="K116" s="2640"/>
    </row>
    <row r="117" spans="1:11" s="32" customFormat="1" ht="12">
      <c r="B117" s="645"/>
      <c r="C117" s="542"/>
      <c r="D117" s="542"/>
      <c r="E117" s="542"/>
      <c r="F117" s="542"/>
      <c r="G117" s="542"/>
      <c r="H117" s="542"/>
      <c r="I117" s="542"/>
      <c r="J117" s="542"/>
      <c r="K117" s="542"/>
    </row>
    <row r="118" spans="1:11" s="32" customFormat="1">
      <c r="B118" s="702" t="s">
        <v>127</v>
      </c>
      <c r="C118" s="545" t="s">
        <v>209</v>
      </c>
      <c r="D118" s="545"/>
      <c r="E118" s="545"/>
      <c r="F118" s="545"/>
      <c r="G118" s="545"/>
      <c r="H118" s="545"/>
      <c r="I118" s="545"/>
      <c r="J118" s="545"/>
      <c r="K118" s="545"/>
    </row>
    <row r="119" spans="1:11" ht="12">
      <c r="A119" s="449"/>
      <c r="B119" s="546"/>
      <c r="C119" s="546"/>
      <c r="D119" s="546"/>
      <c r="E119" s="703"/>
      <c r="F119" s="703"/>
      <c r="G119" s="703"/>
      <c r="H119" s="703"/>
      <c r="I119" s="704"/>
      <c r="J119" s="704"/>
      <c r="K119" s="704"/>
    </row>
    <row r="120" spans="1:11" ht="12">
      <c r="A120" s="55"/>
      <c r="B120" s="545" t="s">
        <v>210</v>
      </c>
      <c r="C120" s="545"/>
      <c r="D120" s="545"/>
      <c r="E120" s="545"/>
      <c r="F120" s="545"/>
      <c r="G120" s="545"/>
      <c r="H120" s="545"/>
      <c r="I120" s="545"/>
      <c r="J120" s="545"/>
      <c r="K120" s="545"/>
    </row>
    <row r="121" spans="1:11" ht="12">
      <c r="A121" s="55"/>
      <c r="B121" s="545"/>
      <c r="C121" s="545"/>
      <c r="D121" s="545"/>
      <c r="E121" s="545"/>
      <c r="F121" s="545"/>
      <c r="G121" s="545"/>
      <c r="H121" s="545"/>
      <c r="I121" s="545"/>
      <c r="J121" s="545"/>
      <c r="K121" s="545"/>
    </row>
    <row r="122" spans="1:11">
      <c r="A122" s="236"/>
      <c r="B122" s="705"/>
      <c r="C122" s="705"/>
      <c r="D122" s="705"/>
      <c r="E122" s="2707" t="s">
        <v>316</v>
      </c>
      <c r="F122" s="2707"/>
      <c r="G122" s="2707"/>
      <c r="H122" s="2707"/>
      <c r="I122" s="2707"/>
      <c r="J122" s="2707"/>
      <c r="K122" s="2707"/>
    </row>
    <row r="123" spans="1:11">
      <c r="A123" s="239"/>
      <c r="B123" s="706" t="s">
        <v>50</v>
      </c>
      <c r="C123" s="707"/>
      <c r="D123" s="707"/>
      <c r="E123" s="708" t="s">
        <v>211</v>
      </c>
      <c r="F123" s="2697" t="s">
        <v>212</v>
      </c>
      <c r="G123" s="2697"/>
      <c r="H123" s="2697" t="s">
        <v>213</v>
      </c>
      <c r="I123" s="2697"/>
      <c r="J123" s="2697" t="s">
        <v>44</v>
      </c>
      <c r="K123" s="2697"/>
    </row>
    <row r="124" spans="1:11">
      <c r="A124" s="236"/>
      <c r="B124" s="707"/>
      <c r="C124" s="707"/>
      <c r="D124" s="707"/>
      <c r="E124" s="2618" t="s">
        <v>214</v>
      </c>
      <c r="F124" s="2618"/>
      <c r="G124" s="2618"/>
      <c r="H124" s="2618"/>
      <c r="I124" s="2618"/>
      <c r="J124" s="2618"/>
      <c r="K124" s="2618"/>
    </row>
    <row r="125" spans="1:11">
      <c r="A125" s="236"/>
      <c r="B125" s="709" t="s">
        <v>313</v>
      </c>
      <c r="C125" s="707"/>
      <c r="D125" s="707"/>
      <c r="E125" s="710"/>
      <c r="F125" s="710"/>
      <c r="G125" s="710"/>
      <c r="H125" s="710"/>
      <c r="I125" s="710"/>
      <c r="J125" s="710"/>
      <c r="K125" s="710"/>
    </row>
    <row r="126" spans="1:11">
      <c r="A126" s="236"/>
      <c r="B126" s="711" t="s">
        <v>312</v>
      </c>
      <c r="C126" s="707"/>
      <c r="D126" s="707"/>
      <c r="E126" s="712" t="e">
        <f>'10.2-10.3'!#REF!</f>
        <v>#REF!</v>
      </c>
      <c r="F126" s="712"/>
      <c r="G126" s="712">
        <v>0</v>
      </c>
      <c r="H126" s="712"/>
      <c r="I126" s="712">
        <v>0</v>
      </c>
      <c r="J126" s="712"/>
      <c r="K126" s="712" t="e">
        <f>E126+G126+I126</f>
        <v>#REF!</v>
      </c>
    </row>
    <row r="127" spans="1:11">
      <c r="A127" s="236"/>
      <c r="B127" s="711"/>
      <c r="C127" s="707"/>
      <c r="D127" s="707"/>
      <c r="E127" s="712"/>
      <c r="F127" s="712"/>
      <c r="G127" s="712"/>
      <c r="H127" s="712"/>
      <c r="I127" s="712"/>
      <c r="J127" s="712"/>
      <c r="K127" s="712"/>
    </row>
    <row r="128" spans="1:11" ht="12">
      <c r="A128" s="372">
        <f>A93+1</f>
        <v>25</v>
      </c>
      <c r="B128" s="713" t="s">
        <v>400</v>
      </c>
      <c r="C128" s="714"/>
      <c r="D128" s="714"/>
      <c r="E128" s="714"/>
      <c r="F128" s="714"/>
      <c r="G128" s="714"/>
      <c r="H128" s="714"/>
      <c r="I128" s="714"/>
      <c r="J128" s="712"/>
      <c r="K128" s="712"/>
    </row>
    <row r="129" spans="1:47">
      <c r="A129" s="434"/>
      <c r="B129" s="714"/>
      <c r="C129" s="714"/>
      <c r="D129" s="714"/>
      <c r="E129" s="714"/>
      <c r="F129" s="714"/>
      <c r="G129" s="714"/>
      <c r="H129" s="714"/>
      <c r="I129" s="714"/>
      <c r="J129" s="712"/>
      <c r="K129" s="712"/>
    </row>
    <row r="130" spans="1:47">
      <c r="A130" s="434"/>
      <c r="B130" s="2640" t="s">
        <v>608</v>
      </c>
      <c r="C130" s="2640"/>
      <c r="D130" s="2640"/>
      <c r="E130" s="2640"/>
      <c r="F130" s="2640"/>
      <c r="G130" s="2640"/>
      <c r="H130" s="2640"/>
      <c r="I130" s="2640"/>
      <c r="J130" s="2640"/>
      <c r="K130" s="2640"/>
    </row>
    <row r="131" spans="1:47">
      <c r="A131" s="434"/>
      <c r="B131" s="2640"/>
      <c r="C131" s="2640"/>
      <c r="D131" s="2640"/>
      <c r="E131" s="2640"/>
      <c r="F131" s="2640"/>
      <c r="G131" s="2640"/>
      <c r="H131" s="2640"/>
      <c r="I131" s="2640"/>
      <c r="J131" s="2640"/>
      <c r="K131" s="2640"/>
    </row>
    <row r="132" spans="1:47">
      <c r="A132" s="434"/>
      <c r="B132" s="2640"/>
      <c r="C132" s="2640"/>
      <c r="D132" s="2640"/>
      <c r="E132" s="2640"/>
      <c r="F132" s="2640"/>
      <c r="G132" s="2640"/>
      <c r="H132" s="2640"/>
      <c r="I132" s="2640"/>
      <c r="J132" s="2640"/>
      <c r="K132" s="2640"/>
    </row>
    <row r="133" spans="1:47">
      <c r="A133" s="434"/>
      <c r="B133" s="2640"/>
      <c r="C133" s="2640"/>
      <c r="D133" s="2640"/>
      <c r="E133" s="2640"/>
      <c r="F133" s="2640"/>
      <c r="G133" s="2640"/>
      <c r="H133" s="2640"/>
      <c r="I133" s="2640"/>
      <c r="J133" s="2640"/>
      <c r="K133" s="2640"/>
    </row>
    <row r="134" spans="1:47">
      <c r="A134" s="236"/>
      <c r="B134" s="354"/>
      <c r="C134" s="376"/>
      <c r="D134" s="376"/>
      <c r="E134" s="332"/>
      <c r="F134" s="332"/>
      <c r="G134" s="332"/>
      <c r="H134" s="332"/>
      <c r="I134" s="332"/>
      <c r="J134" s="332"/>
      <c r="K134" s="332"/>
    </row>
    <row r="135" spans="1:47" ht="12">
      <c r="A135" s="233">
        <f>A128+1</f>
        <v>26</v>
      </c>
      <c r="B135" s="214" t="s">
        <v>138</v>
      </c>
      <c r="C135" s="32"/>
      <c r="D135" s="32"/>
      <c r="E135" s="32"/>
      <c r="F135" s="32"/>
      <c r="G135" s="26"/>
      <c r="H135" s="26"/>
      <c r="I135" s="32"/>
      <c r="J135" s="26"/>
      <c r="K135" s="32"/>
    </row>
    <row r="136" spans="1:47">
      <c r="A136" s="448"/>
      <c r="B136" s="32"/>
      <c r="C136" s="32"/>
      <c r="D136" s="32"/>
      <c r="E136" s="32"/>
      <c r="F136" s="32"/>
      <c r="G136" s="26"/>
      <c r="H136" s="26"/>
      <c r="I136" s="32"/>
      <c r="J136" s="26"/>
      <c r="K136" s="32"/>
    </row>
    <row r="137" spans="1:47">
      <c r="A137" s="448"/>
      <c r="B137" s="2580" t="s">
        <v>216</v>
      </c>
      <c r="C137" s="2580"/>
      <c r="D137" s="2580"/>
      <c r="E137" s="2580"/>
      <c r="F137" s="2580"/>
      <c r="G137" s="2580"/>
      <c r="H137" s="2580"/>
      <c r="I137" s="2580"/>
      <c r="J137" s="2580"/>
      <c r="K137" s="2580"/>
    </row>
    <row r="138" spans="1:47">
      <c r="A138" s="448"/>
      <c r="B138" s="2580"/>
      <c r="C138" s="2580"/>
      <c r="D138" s="2580"/>
      <c r="E138" s="2580"/>
      <c r="F138" s="2580"/>
      <c r="G138" s="2580"/>
      <c r="H138" s="2580"/>
      <c r="I138" s="2580"/>
      <c r="J138" s="2580"/>
      <c r="K138" s="2580"/>
    </row>
    <row r="139" spans="1:47">
      <c r="A139" s="32"/>
      <c r="B139" s="32"/>
      <c r="C139" s="32"/>
      <c r="D139" s="32"/>
      <c r="E139" s="32"/>
      <c r="F139" s="32"/>
      <c r="G139" s="26"/>
      <c r="H139" s="26"/>
      <c r="I139" s="32"/>
      <c r="J139" s="26"/>
      <c r="K139" s="32"/>
    </row>
    <row r="140" spans="1:47" s="32" customFormat="1">
      <c r="A140" s="210" t="e">
        <f>A72+1</f>
        <v>#REF!</v>
      </c>
      <c r="B140" s="78"/>
      <c r="C140" s="78"/>
      <c r="D140" s="78"/>
      <c r="E140" s="78"/>
      <c r="F140" s="78"/>
      <c r="G140" s="78"/>
      <c r="H140" s="78"/>
      <c r="I140" s="78"/>
      <c r="J140" s="78"/>
      <c r="K140" s="211"/>
      <c r="AP140" s="52"/>
      <c r="AQ140" s="52"/>
      <c r="AR140" s="52"/>
      <c r="AS140" s="52"/>
      <c r="AT140" s="52"/>
      <c r="AU140" s="52"/>
    </row>
    <row r="141" spans="1:47" s="32" customFormat="1" ht="12">
      <c r="A141" s="208"/>
      <c r="B141" s="444"/>
      <c r="C141" s="444"/>
      <c r="D141" s="444"/>
      <c r="E141" s="444"/>
      <c r="F141" s="444"/>
      <c r="G141" s="444"/>
      <c r="H141" s="444"/>
      <c r="I141" s="444"/>
      <c r="J141" s="444"/>
      <c r="K141" s="445"/>
      <c r="AP141" s="52"/>
      <c r="AQ141" s="52"/>
      <c r="AR141" s="52"/>
      <c r="AS141" s="52"/>
      <c r="AT141" s="52"/>
      <c r="AU141" s="52"/>
    </row>
    <row r="142" spans="1:47" ht="12">
      <c r="A142" s="233">
        <f>+A135+1</f>
        <v>27</v>
      </c>
      <c r="B142" s="214" t="s">
        <v>139</v>
      </c>
      <c r="C142" s="32"/>
      <c r="D142" s="32"/>
      <c r="E142" s="32"/>
      <c r="F142" s="32"/>
      <c r="G142" s="26"/>
      <c r="H142" s="26"/>
      <c r="I142" s="32"/>
      <c r="J142" s="26"/>
      <c r="K142" s="32"/>
    </row>
    <row r="143" spans="1:47" ht="12">
      <c r="A143" s="216"/>
      <c r="B143" s="214"/>
      <c r="C143" s="32"/>
      <c r="D143" s="32"/>
      <c r="E143" s="32"/>
      <c r="F143" s="32"/>
      <c r="G143" s="26"/>
      <c r="H143" s="26"/>
      <c r="I143" s="32"/>
      <c r="J143" s="26"/>
      <c r="K143" s="32"/>
    </row>
    <row r="144" spans="1:47" ht="12">
      <c r="A144" s="246">
        <f>A142+0.1</f>
        <v>27.1</v>
      </c>
      <c r="B144" s="34" t="s">
        <v>140</v>
      </c>
      <c r="C144" s="34"/>
      <c r="D144" s="34"/>
      <c r="E144" s="34"/>
      <c r="F144" s="34"/>
      <c r="G144" s="34"/>
      <c r="H144" s="34"/>
      <c r="I144" s="34"/>
      <c r="J144" s="34"/>
      <c r="K144" s="34"/>
    </row>
    <row r="145" spans="1:11" ht="12">
      <c r="A145" s="216"/>
      <c r="B145" s="447"/>
      <c r="C145" s="447"/>
      <c r="D145" s="447"/>
      <c r="E145" s="447"/>
      <c r="F145" s="447"/>
      <c r="G145" s="447"/>
      <c r="H145" s="447"/>
      <c r="I145" s="447"/>
      <c r="J145" s="447"/>
      <c r="K145" s="32"/>
    </row>
    <row r="146" spans="1:11" ht="12">
      <c r="A146" s="14"/>
      <c r="B146" s="14"/>
      <c r="C146" s="14"/>
      <c r="D146" s="14"/>
      <c r="E146" s="14"/>
      <c r="F146" s="14"/>
      <c r="G146" s="14"/>
      <c r="H146" s="14"/>
      <c r="I146" s="14"/>
      <c r="J146" s="12"/>
      <c r="K146" s="248"/>
    </row>
    <row r="147" spans="1:11" ht="12">
      <c r="A147" s="11" t="s">
        <v>147</v>
      </c>
      <c r="B147" s="14"/>
      <c r="C147" s="14"/>
      <c r="D147" s="14"/>
      <c r="E147" s="14"/>
      <c r="F147" s="14"/>
      <c r="G147" s="14"/>
      <c r="H147" s="14"/>
      <c r="I147" s="14"/>
      <c r="J147" s="12"/>
      <c r="K147" s="248"/>
    </row>
    <row r="148" spans="1:11" ht="12">
      <c r="A148" s="14" t="s">
        <v>148</v>
      </c>
      <c r="B148" s="14"/>
      <c r="C148" s="14"/>
      <c r="D148" s="14"/>
      <c r="E148" s="249"/>
      <c r="F148" s="14"/>
      <c r="G148" s="14"/>
      <c r="H148" s="14"/>
      <c r="I148" s="14"/>
      <c r="J148" s="12"/>
      <c r="K148" s="248"/>
    </row>
    <row r="149" spans="1:11" ht="12">
      <c r="A149" s="14"/>
      <c r="B149" s="14"/>
      <c r="C149" s="14"/>
      <c r="D149" s="14"/>
      <c r="E149" s="249"/>
      <c r="F149" s="14"/>
      <c r="G149" s="14"/>
      <c r="H149" s="14"/>
      <c r="I149" s="14"/>
      <c r="J149" s="12"/>
      <c r="K149" s="248"/>
    </row>
    <row r="150" spans="1:11" ht="12">
      <c r="A150" s="14"/>
      <c r="B150" s="14"/>
      <c r="C150" s="14"/>
      <c r="D150" s="14"/>
      <c r="E150" s="249"/>
      <c r="F150" s="14"/>
      <c r="G150" s="14"/>
      <c r="H150" s="14"/>
      <c r="I150" s="14"/>
      <c r="J150" s="12"/>
      <c r="K150" s="248"/>
    </row>
    <row r="151" spans="1:11" ht="12">
      <c r="A151" s="14"/>
      <c r="B151" s="14"/>
      <c r="C151" s="14"/>
      <c r="D151" s="14"/>
      <c r="E151" s="249"/>
      <c r="F151" s="14"/>
      <c r="G151" s="14"/>
      <c r="H151" s="14"/>
      <c r="I151" s="14"/>
      <c r="J151" s="12"/>
      <c r="K151" s="248"/>
    </row>
    <row r="152" spans="1:11" ht="12">
      <c r="A152" s="14"/>
      <c r="B152" s="14"/>
      <c r="C152" s="14"/>
      <c r="D152" s="14"/>
      <c r="E152" s="249"/>
      <c r="F152" s="14"/>
      <c r="G152" s="14"/>
      <c r="H152" s="14"/>
      <c r="I152" s="14"/>
      <c r="J152" s="12"/>
      <c r="K152" s="248"/>
    </row>
    <row r="153" spans="1:11" ht="12">
      <c r="A153" s="14"/>
      <c r="B153" s="14"/>
      <c r="C153" s="14"/>
      <c r="D153" s="14"/>
      <c r="E153" s="249"/>
      <c r="F153" s="14"/>
      <c r="G153" s="14"/>
      <c r="H153" s="14"/>
      <c r="I153" s="14"/>
      <c r="J153" s="12"/>
      <c r="K153" s="248"/>
    </row>
    <row r="154" spans="1:11" ht="12">
      <c r="A154" s="15"/>
      <c r="B154" s="15"/>
      <c r="C154" s="15"/>
      <c r="D154" s="15"/>
      <c r="E154" s="250"/>
      <c r="F154" s="15"/>
      <c r="G154" s="15"/>
      <c r="H154" s="15"/>
      <c r="I154" s="15"/>
      <c r="K154" s="251"/>
    </row>
    <row r="155" spans="1:11" ht="12">
      <c r="A155" s="15" t="s">
        <v>149</v>
      </c>
      <c r="B155" s="15"/>
      <c r="C155" s="15"/>
      <c r="D155" s="15"/>
      <c r="E155" s="13"/>
      <c r="F155" s="443"/>
      <c r="G155" s="443"/>
      <c r="H155" s="443"/>
      <c r="I155" s="252"/>
      <c r="K155" s="253"/>
    </row>
    <row r="194" spans="8:8">
      <c r="H194" s="8">
        <f>C194+E194+F194-G194</f>
        <v>0</v>
      </c>
    </row>
    <row r="195" spans="8:8">
      <c r="H195" s="8">
        <f>C195+E195+F195-G195</f>
        <v>0</v>
      </c>
    </row>
    <row r="196" spans="8:8">
      <c r="H196" s="8">
        <f>C196+E196+F196-G196</f>
        <v>0</v>
      </c>
    </row>
  </sheetData>
  <mergeCells count="46">
    <mergeCell ref="B137:K138"/>
    <mergeCell ref="B29:H29"/>
    <mergeCell ref="B41:K46"/>
    <mergeCell ref="B80:K83"/>
    <mergeCell ref="B89:K91"/>
    <mergeCell ref="B85:K87"/>
    <mergeCell ref="B53:K55"/>
    <mergeCell ref="B76:K78"/>
    <mergeCell ref="C115:K116"/>
    <mergeCell ref="B95:K97"/>
    <mergeCell ref="E122:K122"/>
    <mergeCell ref="E124:K124"/>
    <mergeCell ref="B99:K100"/>
    <mergeCell ref="B130:K133"/>
    <mergeCell ref="E62:K62"/>
    <mergeCell ref="J123:K123"/>
    <mergeCell ref="B3:K5"/>
    <mergeCell ref="B38:K39"/>
    <mergeCell ref="H10:I13"/>
    <mergeCell ref="J10:K13"/>
    <mergeCell ref="B15:F15"/>
    <mergeCell ref="B16:F16"/>
    <mergeCell ref="G9:K9"/>
    <mergeCell ref="B31:K34"/>
    <mergeCell ref="G10:G13"/>
    <mergeCell ref="B10:F13"/>
    <mergeCell ref="B23:F23"/>
    <mergeCell ref="B24:F24"/>
    <mergeCell ref="B25:F25"/>
    <mergeCell ref="B17:F17"/>
    <mergeCell ref="B18:F18"/>
    <mergeCell ref="B19:F19"/>
    <mergeCell ref="B20:F20"/>
    <mergeCell ref="B21:F21"/>
    <mergeCell ref="B22:F22"/>
    <mergeCell ref="E57:K57"/>
    <mergeCell ref="B48:K51"/>
    <mergeCell ref="H58:I61"/>
    <mergeCell ref="J58:K61"/>
    <mergeCell ref="B58:C61"/>
    <mergeCell ref="H123:I123"/>
    <mergeCell ref="F123:G123"/>
    <mergeCell ref="B102:K105"/>
    <mergeCell ref="B109:K111"/>
    <mergeCell ref="D58:E61"/>
    <mergeCell ref="F58:G61"/>
  </mergeCells>
  <phoneticPr fontId="47" type="noConversion"/>
  <printOptions horizontalCentered="1"/>
  <pageMargins left="0.75" right="0.5" top="0.5" bottom="0.4" header="0.28999999999999998" footer="0.5"/>
  <pageSetup paperSize="9" orientation="portrait" r:id="rId1"/>
  <headerFooter alignWithMargins="0"/>
  <rowBreaks count="2" manualBreakCount="2">
    <brk id="71" max="9" man="1"/>
    <brk id="13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P52"/>
  <sheetViews>
    <sheetView view="pageBreakPreview" zoomScaleSheetLayoutView="100" workbookViewId="0">
      <selection activeCell="K16" sqref="K16"/>
    </sheetView>
  </sheetViews>
  <sheetFormatPr defaultColWidth="9" defaultRowHeight="11.4"/>
  <cols>
    <col min="1" max="1" width="5.09765625" style="846" customWidth="1"/>
    <col min="2" max="2" width="2.19921875" style="846" customWidth="1"/>
    <col min="3" max="3" width="34.69921875" style="846" customWidth="1"/>
    <col min="4" max="4" width="4" style="846" bestFit="1" customWidth="1"/>
    <col min="5" max="5" width="8.59765625" style="846" customWidth="1"/>
    <col min="6" max="6" width="1" style="846" customWidth="1"/>
    <col min="7" max="7" width="8.59765625" style="846" customWidth="1"/>
    <col min="8" max="8" width="1" style="846" customWidth="1"/>
    <col min="9" max="9" width="8.59765625" style="846" customWidth="1"/>
    <col min="10" max="10" width="1" style="846" customWidth="1"/>
    <col min="11" max="11" width="8.59765625" style="846" customWidth="1"/>
    <col min="12" max="12" width="12.59765625" style="846" customWidth="1"/>
    <col min="13" max="13" width="9" style="846"/>
    <col min="14" max="14" width="13.5" style="846" bestFit="1" customWidth="1"/>
    <col min="15" max="16384" width="9" style="846"/>
  </cols>
  <sheetData>
    <row r="1" spans="1:16" ht="12">
      <c r="A1" s="715" t="str">
        <f>BS!$A$1</f>
        <v>MCB PAKISTAN STOCK MARKET FUND</v>
      </c>
      <c r="B1" s="715"/>
      <c r="C1" s="715"/>
      <c r="D1" s="715"/>
      <c r="E1" s="715"/>
      <c r="F1" s="715"/>
      <c r="G1" s="715"/>
      <c r="H1" s="715"/>
      <c r="I1" s="715"/>
      <c r="K1" s="715"/>
      <c r="L1" s="715"/>
    </row>
    <row r="2" spans="1:16" ht="12">
      <c r="A2" s="715" t="s">
        <v>626</v>
      </c>
      <c r="B2" s="715"/>
      <c r="C2" s="715"/>
      <c r="D2" s="715"/>
      <c r="E2" s="715"/>
      <c r="F2" s="715"/>
      <c r="G2" s="715"/>
      <c r="H2" s="715"/>
      <c r="I2" s="715"/>
      <c r="K2" s="715"/>
      <c r="L2" s="715"/>
    </row>
    <row r="3" spans="1:16" ht="12">
      <c r="A3" s="715" t="str">
        <f>+IS!A3</f>
        <v>FOR THE QUARTER ENDED SEPTEMBER 30, 2021</v>
      </c>
      <c r="B3" s="715"/>
      <c r="C3" s="715"/>
      <c r="D3" s="715"/>
      <c r="E3" s="715"/>
      <c r="F3" s="715"/>
      <c r="G3" s="715"/>
      <c r="H3" s="715"/>
      <c r="I3" s="715"/>
      <c r="K3" s="715"/>
      <c r="L3" s="715"/>
    </row>
    <row r="4" spans="1:16" ht="12">
      <c r="A4" s="715"/>
      <c r="B4" s="715"/>
      <c r="C4" s="715"/>
      <c r="D4" s="715"/>
      <c r="E4" s="715"/>
      <c r="F4" s="715"/>
      <c r="G4" s="715"/>
      <c r="H4" s="715"/>
      <c r="I4" s="715"/>
      <c r="K4" s="715"/>
      <c r="L4" s="715"/>
    </row>
    <row r="5" spans="1:16" s="317" customFormat="1" ht="10.199999999999999">
      <c r="A5" s="213"/>
      <c r="B5" s="213"/>
      <c r="C5" s="213"/>
      <c r="D5" s="213"/>
      <c r="E5" s="2320" t="s">
        <v>704</v>
      </c>
      <c r="F5" s="2320"/>
      <c r="G5" s="2320"/>
      <c r="H5" s="949"/>
      <c r="I5" s="2320" t="s">
        <v>705</v>
      </c>
      <c r="J5" s="2320"/>
      <c r="K5" s="2320"/>
      <c r="L5" s="949"/>
    </row>
    <row r="6" spans="1:16" s="317" customFormat="1" ht="10.199999999999999">
      <c r="A6" s="213"/>
      <c r="B6" s="213"/>
      <c r="C6" s="213"/>
      <c r="D6" s="213"/>
      <c r="E6" s="2321" t="s">
        <v>622</v>
      </c>
      <c r="F6" s="2321"/>
      <c r="G6" s="2321"/>
      <c r="H6" s="948"/>
      <c r="I6" s="2321" t="s">
        <v>622</v>
      </c>
      <c r="J6" s="2321"/>
      <c r="K6" s="2321"/>
      <c r="L6" s="948" t="s">
        <v>624</v>
      </c>
    </row>
    <row r="7" spans="1:16" s="317" customFormat="1" ht="10.199999999999999">
      <c r="A7" s="213"/>
      <c r="B7" s="213"/>
      <c r="C7" s="213"/>
      <c r="D7" s="213"/>
      <c r="E7" s="948" t="s">
        <v>989</v>
      </c>
      <c r="F7" s="915"/>
      <c r="G7" s="948" t="s">
        <v>623</v>
      </c>
      <c r="H7" s="948"/>
      <c r="I7" s="948" t="s">
        <v>989</v>
      </c>
      <c r="J7" s="948"/>
      <c r="K7" s="948" t="s">
        <v>623</v>
      </c>
      <c r="L7" s="948">
        <v>2016</v>
      </c>
    </row>
    <row r="8" spans="1:16" s="317" customFormat="1" ht="10.199999999999999">
      <c r="A8" s="213"/>
      <c r="B8" s="213"/>
      <c r="C8" s="213"/>
      <c r="D8" s="213"/>
      <c r="E8" s="2322" t="s">
        <v>1089</v>
      </c>
      <c r="F8" s="2322"/>
      <c r="G8" s="2322"/>
      <c r="H8" s="2323"/>
      <c r="I8" s="2323"/>
      <c r="J8" s="2323"/>
      <c r="K8" s="2323"/>
      <c r="L8" s="843"/>
    </row>
    <row r="9" spans="1:16" s="317" customFormat="1" ht="10.199999999999999">
      <c r="A9" s="213"/>
      <c r="B9" s="213"/>
      <c r="C9" s="213"/>
      <c r="D9" s="213"/>
      <c r="E9" s="843"/>
      <c r="F9" s="843"/>
      <c r="G9" s="843"/>
      <c r="H9" s="843"/>
      <c r="I9" s="843"/>
      <c r="K9" s="843"/>
      <c r="L9" s="843"/>
    </row>
    <row r="10" spans="1:16" s="317" customFormat="1" ht="10.199999999999999">
      <c r="A10" s="213" t="s">
        <v>1002</v>
      </c>
      <c r="B10" s="213"/>
      <c r="C10" s="213"/>
      <c r="D10" s="213"/>
      <c r="E10" s="916">
        <v>2990795</v>
      </c>
      <c r="F10" s="843"/>
      <c r="G10" s="916">
        <v>2232950</v>
      </c>
      <c r="H10" s="843"/>
      <c r="I10" s="916">
        <v>3445288</v>
      </c>
      <c r="K10" s="916">
        <v>2758939</v>
      </c>
      <c r="L10" s="843">
        <v>2990795</v>
      </c>
      <c r="N10" s="946"/>
      <c r="O10" s="947"/>
      <c r="P10" s="946"/>
    </row>
    <row r="11" spans="1:16" s="317" customFormat="1" ht="10.199999999999999">
      <c r="A11" s="959"/>
      <c r="B11" s="213"/>
      <c r="C11" s="213"/>
      <c r="D11" s="213"/>
      <c r="E11" s="965"/>
      <c r="F11" s="920"/>
      <c r="G11" s="920"/>
      <c r="H11" s="920"/>
      <c r="I11" s="965"/>
      <c r="J11" s="302"/>
      <c r="K11" s="965"/>
      <c r="L11" s="920"/>
      <c r="N11" s="946"/>
      <c r="O11" s="947"/>
      <c r="P11" s="946"/>
    </row>
    <row r="12" spans="1:16" s="317" customFormat="1" ht="10.199999999999999">
      <c r="A12" s="966" t="s">
        <v>64</v>
      </c>
      <c r="E12" s="952" t="e">
        <f>IS!#REF!</f>
        <v>#REF!</v>
      </c>
      <c r="F12" s="952"/>
      <c r="G12" s="967">
        <v>367800</v>
      </c>
      <c r="H12" s="230"/>
      <c r="I12" s="952" t="e">
        <f>E12-L12</f>
        <v>#REF!</v>
      </c>
      <c r="J12" s="946"/>
      <c r="K12" s="967">
        <v>157295</v>
      </c>
      <c r="L12" s="952">
        <v>410392</v>
      </c>
      <c r="N12" s="968"/>
      <c r="O12" s="968"/>
      <c r="P12" s="969"/>
    </row>
    <row r="13" spans="1:16" s="317" customFormat="1" ht="10.199999999999999">
      <c r="A13" s="960"/>
      <c r="E13" s="230"/>
      <c r="F13" s="230"/>
      <c r="G13" s="230"/>
      <c r="H13" s="230"/>
      <c r="I13" s="230"/>
      <c r="K13" s="230"/>
      <c r="L13" s="230"/>
      <c r="O13" s="968"/>
      <c r="P13" s="969"/>
    </row>
    <row r="14" spans="1:16" s="317" customFormat="1" ht="10.199999999999999">
      <c r="A14" s="917" t="s">
        <v>1100</v>
      </c>
      <c r="E14" s="230"/>
      <c r="F14" s="230"/>
      <c r="G14" s="230"/>
      <c r="H14" s="230"/>
      <c r="I14" s="230"/>
      <c r="K14" s="230"/>
      <c r="L14" s="230"/>
      <c r="N14" s="968"/>
      <c r="O14" s="968"/>
      <c r="P14" s="969"/>
    </row>
    <row r="15" spans="1:16" s="317" customFormat="1" ht="10.199999999999999">
      <c r="A15" s="918" t="s">
        <v>1003</v>
      </c>
      <c r="E15" s="230"/>
      <c r="F15" s="230"/>
      <c r="G15" s="230"/>
      <c r="H15" s="230"/>
      <c r="I15" s="230"/>
      <c r="K15" s="230"/>
      <c r="L15" s="230"/>
      <c r="N15" s="968"/>
      <c r="O15" s="968"/>
      <c r="P15" s="969"/>
    </row>
    <row r="16" spans="1:16" s="317" customFormat="1" ht="10.199999999999999">
      <c r="A16" s="919" t="s">
        <v>1004</v>
      </c>
      <c r="E16" s="230">
        <f>'TB MCBPSM'!$H$162</f>
        <v>0</v>
      </c>
      <c r="F16" s="230"/>
      <c r="G16" s="970">
        <v>570912</v>
      </c>
      <c r="H16" s="230"/>
      <c r="I16" s="230">
        <f>E16-L16</f>
        <v>-44101</v>
      </c>
      <c r="K16" s="230">
        <v>255428</v>
      </c>
      <c r="L16" s="230">
        <v>44101</v>
      </c>
      <c r="N16" s="968"/>
      <c r="O16" s="968"/>
      <c r="P16" s="969"/>
    </row>
    <row r="17" spans="1:16" s="317" customFormat="1" ht="10.199999999999999">
      <c r="E17" s="230"/>
      <c r="F17" s="230"/>
      <c r="G17" s="230"/>
      <c r="H17" s="230"/>
      <c r="I17" s="230"/>
      <c r="K17" s="230"/>
      <c r="L17" s="230"/>
      <c r="N17" s="968"/>
      <c r="O17" s="968"/>
      <c r="P17" s="971"/>
    </row>
    <row r="18" spans="1:16" s="317" customFormat="1" ht="10.8" thickBot="1">
      <c r="A18" s="317" t="s">
        <v>65</v>
      </c>
      <c r="E18" s="961" t="e">
        <f>E10+E16+E12</f>
        <v>#REF!</v>
      </c>
      <c r="F18" s="952"/>
      <c r="G18" s="961">
        <f>G10+G16+G12</f>
        <v>3171662</v>
      </c>
      <c r="H18" s="952"/>
      <c r="I18" s="961" t="e">
        <f>I10+I16+I12</f>
        <v>#REF!</v>
      </c>
      <c r="K18" s="961">
        <f>K10+K16+K12</f>
        <v>3171662</v>
      </c>
      <c r="L18" s="961">
        <f>L10+L16+L12</f>
        <v>3445288</v>
      </c>
      <c r="N18" s="968"/>
      <c r="O18" s="968"/>
      <c r="P18" s="971"/>
    </row>
    <row r="19" spans="1:16" ht="12" thickTop="1"/>
    <row r="22" spans="1:16">
      <c r="A22" s="244" t="e">
        <f>BS!#REF!</f>
        <v>#REF!</v>
      </c>
      <c r="H22" s="816"/>
      <c r="I22" s="816"/>
      <c r="J22" s="816"/>
      <c r="K22" s="816"/>
      <c r="L22" s="816"/>
      <c r="M22" s="816"/>
      <c r="N22" s="816"/>
      <c r="O22" s="816"/>
      <c r="P22" s="816"/>
    </row>
    <row r="23" spans="1:16">
      <c r="H23" s="816"/>
      <c r="I23" s="816"/>
      <c r="J23" s="816"/>
      <c r="K23" s="816"/>
      <c r="L23" s="816"/>
      <c r="M23" s="816"/>
      <c r="N23" s="816"/>
      <c r="O23" s="816"/>
      <c r="P23" s="816"/>
    </row>
    <row r="24" spans="1:16">
      <c r="H24" s="816"/>
      <c r="I24" s="816"/>
      <c r="J24" s="816"/>
      <c r="K24" s="816"/>
      <c r="L24" s="816"/>
      <c r="M24" s="816"/>
      <c r="N24" s="816"/>
      <c r="O24" s="816"/>
      <c r="P24" s="816"/>
    </row>
    <row r="25" spans="1:16" s="1000" customFormat="1" ht="12">
      <c r="A25" s="999">
        <f>BS!$A$44</f>
        <v>0</v>
      </c>
      <c r="B25" s="999"/>
      <c r="C25" s="999"/>
      <c r="D25" s="999"/>
      <c r="E25" s="999"/>
      <c r="F25" s="999"/>
      <c r="G25" s="999"/>
      <c r="H25" s="999"/>
      <c r="I25" s="999"/>
      <c r="J25" s="999"/>
    </row>
    <row r="26" spans="1:16" s="1000" customFormat="1" ht="12">
      <c r="A26" s="1001" t="str">
        <f>BS!$A$45</f>
        <v>For MCB-Arif Habib Savings and Investments Limited</v>
      </c>
      <c r="B26" s="1001"/>
      <c r="C26" s="1001"/>
      <c r="D26" s="1001"/>
      <c r="E26" s="1001"/>
      <c r="F26" s="1001"/>
      <c r="G26" s="1001"/>
      <c r="H26" s="1001"/>
      <c r="I26" s="1001"/>
      <c r="J26" s="1001"/>
      <c r="K26" s="1001"/>
    </row>
    <row r="27" spans="1:16" s="1013" customFormat="1" ht="12">
      <c r="A27" s="1011"/>
      <c r="B27" s="1004"/>
      <c r="C27" s="1004"/>
      <c r="D27" s="1004"/>
      <c r="E27" s="1005"/>
      <c r="F27" s="1004"/>
      <c r="G27" s="1008"/>
      <c r="H27" s="1007"/>
      <c r="I27" s="1004"/>
      <c r="J27" s="1008"/>
      <c r="K27" s="1012"/>
    </row>
    <row r="28" spans="1:16" s="1013" customFormat="1" ht="12">
      <c r="B28" s="1004"/>
      <c r="C28" s="1004"/>
      <c r="D28" s="1004"/>
      <c r="E28" s="1005"/>
      <c r="F28" s="1004"/>
      <c r="G28" s="1008"/>
      <c r="H28" s="1007"/>
      <c r="I28" s="1004"/>
      <c r="J28" s="1008"/>
      <c r="K28" s="1012"/>
    </row>
    <row r="29" spans="1:16" s="1013" customFormat="1" ht="12">
      <c r="B29" s="1004"/>
      <c r="C29" s="1004"/>
      <c r="D29" s="1004"/>
      <c r="E29" s="1005"/>
      <c r="F29" s="1004"/>
      <c r="G29" s="1008"/>
      <c r="H29" s="1007"/>
      <c r="I29" s="1004"/>
      <c r="J29" s="1008"/>
      <c r="K29" s="1012"/>
    </row>
    <row r="30" spans="1:16" s="1013" customFormat="1" ht="12">
      <c r="B30" s="1004"/>
      <c r="C30" s="1004"/>
      <c r="D30" s="1004"/>
      <c r="E30" s="1005"/>
      <c r="F30" s="1004"/>
      <c r="G30" s="1008"/>
      <c r="H30" s="1007"/>
      <c r="I30" s="1004"/>
      <c r="J30" s="1008"/>
      <c r="K30" s="1012"/>
    </row>
    <row r="31" spans="1:16" s="1013" customFormat="1" ht="12">
      <c r="A31" s="1002" t="str">
        <f>BS!$A$52</f>
        <v>Chief Executive Officer</v>
      </c>
      <c r="B31" s="1003"/>
      <c r="C31" s="1004"/>
      <c r="D31" s="1004"/>
      <c r="E31" s="1005"/>
      <c r="F31" s="1004"/>
      <c r="G31" s="1006"/>
      <c r="H31" s="1007"/>
      <c r="I31" s="1004"/>
      <c r="J31" s="1008"/>
      <c r="K31" s="1012"/>
    </row>
    <row r="32" spans="1:16" s="1013" customFormat="1" ht="12">
      <c r="A32" s="1009" t="e">
        <f>BS!#REF!</f>
        <v>#REF!</v>
      </c>
      <c r="B32" s="1003"/>
      <c r="C32" s="1004"/>
      <c r="D32" s="1004"/>
      <c r="E32" s="1005"/>
      <c r="F32" s="1004"/>
      <c r="G32" s="1010"/>
      <c r="H32" s="1007"/>
      <c r="I32" s="1004"/>
      <c r="J32" s="1008"/>
      <c r="K32" s="1012"/>
    </row>
    <row r="52" spans="4:4">
      <c r="D52" s="317"/>
    </row>
  </sheetData>
  <mergeCells count="5">
    <mergeCell ref="E5:G5"/>
    <mergeCell ref="E6:G6"/>
    <mergeCell ref="I6:K6"/>
    <mergeCell ref="I5:K5"/>
    <mergeCell ref="E8:K8"/>
  </mergeCells>
  <phoneticPr fontId="39" type="noConversion"/>
  <printOptions horizontalCentered="1"/>
  <pageMargins left="0.75" right="0.5" top="0.5" bottom="0.4" header="0.28999999999999998" footer="0.5"/>
  <pageSetup paperSize="9"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41"/>
  <sheetViews>
    <sheetView showGridLines="0" view="pageBreakPreview" zoomScaleSheetLayoutView="100" workbookViewId="0">
      <selection activeCell="B8" sqref="B8"/>
    </sheetView>
  </sheetViews>
  <sheetFormatPr defaultColWidth="9" defaultRowHeight="11.4"/>
  <cols>
    <col min="1" max="1" width="50.69921875" style="820" customWidth="1"/>
    <col min="2" max="2" width="18.09765625" style="818" customWidth="1"/>
    <col min="3" max="3" width="15.5" style="819" bestFit="1" customWidth="1"/>
    <col min="4" max="16384" width="9" style="820"/>
  </cols>
  <sheetData>
    <row r="1" spans="1:3">
      <c r="A1" s="817" t="s">
        <v>459</v>
      </c>
    </row>
    <row r="2" spans="1:3">
      <c r="A2" s="817" t="s">
        <v>666</v>
      </c>
    </row>
    <row r="3" spans="1:3">
      <c r="A3" s="817" t="s">
        <v>667</v>
      </c>
    </row>
    <row r="5" spans="1:3" ht="12" thickBot="1"/>
    <row r="6" spans="1:3" ht="12" thickBot="1">
      <c r="A6" s="821" t="s">
        <v>261</v>
      </c>
      <c r="B6" s="822" t="s">
        <v>668</v>
      </c>
    </row>
    <row r="8" spans="1:3">
      <c r="A8" s="820" t="s">
        <v>669</v>
      </c>
      <c r="B8" s="818" t="s">
        <v>612</v>
      </c>
      <c r="C8" s="819">
        <v>153308337.9352999</v>
      </c>
    </row>
    <row r="9" spans="1:3">
      <c r="A9" s="820" t="s">
        <v>670</v>
      </c>
      <c r="B9" s="818" t="s">
        <v>671</v>
      </c>
      <c r="C9" s="823">
        <v>-94535218.95159997</v>
      </c>
    </row>
    <row r="10" spans="1:3">
      <c r="A10" s="820" t="s">
        <v>672</v>
      </c>
      <c r="B10" s="818" t="s">
        <v>673</v>
      </c>
      <c r="C10" s="819">
        <f>SUM(C8:C9)</f>
        <v>58773118.983699933</v>
      </c>
    </row>
    <row r="11" spans="1:3" ht="12" thickBot="1"/>
    <row r="12" spans="1:3" ht="12" thickBot="1">
      <c r="A12" s="821" t="s">
        <v>674</v>
      </c>
    </row>
    <row r="14" spans="1:3">
      <c r="A14" s="824" t="s">
        <v>675</v>
      </c>
      <c r="B14" s="818" t="s">
        <v>676</v>
      </c>
      <c r="C14" s="819">
        <v>16665138</v>
      </c>
    </row>
    <row r="15" spans="1:3">
      <c r="A15" s="824" t="s">
        <v>677</v>
      </c>
      <c r="B15" s="818" t="s">
        <v>678</v>
      </c>
      <c r="C15" s="819">
        <v>-16441776</v>
      </c>
    </row>
    <row r="16" spans="1:3">
      <c r="A16" s="820" t="s">
        <v>679</v>
      </c>
      <c r="B16" s="818" t="s">
        <v>680</v>
      </c>
      <c r="C16" s="819">
        <f>SUM(C14:C15)</f>
        <v>223362</v>
      </c>
    </row>
    <row r="18" spans="1:3">
      <c r="A18" s="820" t="s">
        <v>681</v>
      </c>
      <c r="B18" s="818" t="s">
        <v>682</v>
      </c>
      <c r="C18" s="825">
        <v>11.0214</v>
      </c>
    </row>
    <row r="19" spans="1:3">
      <c r="B19" s="818" t="s">
        <v>683</v>
      </c>
      <c r="C19" s="819">
        <f>C16*C18</f>
        <v>2461761.9468</v>
      </c>
    </row>
    <row r="20" spans="1:3">
      <c r="A20" s="820" t="s">
        <v>684</v>
      </c>
      <c r="B20" s="818" t="s">
        <v>685</v>
      </c>
      <c r="C20" s="819">
        <f>189893113-188099820</f>
        <v>1793293</v>
      </c>
    </row>
    <row r="21" spans="1:3">
      <c r="A21" s="820" t="s">
        <v>686</v>
      </c>
      <c r="B21" s="818" t="s">
        <v>687</v>
      </c>
      <c r="C21" s="819">
        <f>C20-C19</f>
        <v>-668468.94680000003</v>
      </c>
    </row>
    <row r="23" spans="1:3">
      <c r="A23" s="824" t="s">
        <v>688</v>
      </c>
      <c r="B23" s="818" t="s">
        <v>689</v>
      </c>
      <c r="C23" s="819">
        <v>136643200</v>
      </c>
    </row>
    <row r="24" spans="1:3">
      <c r="A24" s="824" t="s">
        <v>690</v>
      </c>
      <c r="B24" s="818" t="s">
        <v>691</v>
      </c>
      <c r="C24" s="819">
        <v>-78093443</v>
      </c>
    </row>
    <row r="25" spans="1:3">
      <c r="A25" s="820" t="s">
        <v>679</v>
      </c>
      <c r="B25" s="818" t="s">
        <v>692</v>
      </c>
      <c r="C25" s="819">
        <f>SUM(C23:C24)</f>
        <v>58549757</v>
      </c>
    </row>
    <row r="27" spans="1:3">
      <c r="A27" s="820" t="s">
        <v>681</v>
      </c>
      <c r="B27" s="818" t="str">
        <f>B18</f>
        <v>H</v>
      </c>
      <c r="C27" s="825">
        <v>11.0214</v>
      </c>
    </row>
    <row r="28" spans="1:3">
      <c r="A28" s="820" t="s">
        <v>693</v>
      </c>
      <c r="B28" s="818" t="s">
        <v>694</v>
      </c>
      <c r="C28" s="825">
        <v>-0.13689999999999999</v>
      </c>
    </row>
    <row r="29" spans="1:3">
      <c r="A29" s="820" t="s">
        <v>695</v>
      </c>
      <c r="B29" s="818" t="s">
        <v>696</v>
      </c>
      <c r="C29" s="825">
        <f>SUM(C27:C28)</f>
        <v>10.884499999999999</v>
      </c>
    </row>
    <row r="31" spans="1:3">
      <c r="B31" s="818" t="s">
        <v>697</v>
      </c>
      <c r="C31" s="819">
        <f>C25*C29</f>
        <v>637284830.06649995</v>
      </c>
    </row>
    <row r="32" spans="1:3">
      <c r="A32" s="820" t="s">
        <v>684</v>
      </c>
      <c r="B32" s="818" t="s">
        <v>698</v>
      </c>
      <c r="C32" s="819">
        <f>1506405648-847931572</f>
        <v>658474076</v>
      </c>
    </row>
    <row r="33" spans="1:3">
      <c r="A33" s="820" t="s">
        <v>699</v>
      </c>
      <c r="B33" s="818" t="s">
        <v>700</v>
      </c>
      <c r="C33" s="819">
        <f>C32-C31</f>
        <v>21189245.933500051</v>
      </c>
    </row>
    <row r="36" spans="1:3" ht="23.4" thickBot="1">
      <c r="A36" s="826" t="s">
        <v>701</v>
      </c>
      <c r="B36" s="818" t="s">
        <v>702</v>
      </c>
      <c r="C36" s="827">
        <f>C33+C21</f>
        <v>20520776.986700051</v>
      </c>
    </row>
    <row r="37" spans="1:3" ht="12" thickTop="1"/>
    <row r="38" spans="1:3">
      <c r="A38" s="820" t="s">
        <v>703</v>
      </c>
      <c r="C38" s="819">
        <f>20583.6252345083*1000</f>
        <v>20583625.234508302</v>
      </c>
    </row>
    <row r="40" spans="1:3" ht="12" thickBot="1">
      <c r="A40" s="820" t="s">
        <v>21</v>
      </c>
      <c r="C40" s="828">
        <f>C36-C38</f>
        <v>-62848.24780825153</v>
      </c>
    </row>
    <row r="41" spans="1:3" ht="12" thickTop="1"/>
  </sheetData>
  <pageMargins left="0.7" right="0.7" top="0.75" bottom="0.75" header="0.3" footer="0.3"/>
  <pageSetup scale="9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E62"/>
  <sheetViews>
    <sheetView showGridLines="0" view="pageBreakPreview" topLeftCell="A42" zoomScaleSheetLayoutView="100" workbookViewId="0">
      <selection activeCell="C68" sqref="C68"/>
    </sheetView>
  </sheetViews>
  <sheetFormatPr defaultColWidth="9" defaultRowHeight="11.4"/>
  <cols>
    <col min="1" max="1" width="50.69921875" style="833" customWidth="1"/>
    <col min="2" max="2" width="18.09765625" style="831" customWidth="1"/>
    <col min="3" max="3" width="15.5" style="832" bestFit="1" customWidth="1"/>
    <col min="4" max="16384" width="9" style="833"/>
  </cols>
  <sheetData>
    <row r="1" spans="1:5">
      <c r="A1" s="830" t="s">
        <v>459</v>
      </c>
    </row>
    <row r="2" spans="1:5">
      <c r="A2" s="830" t="s">
        <v>666</v>
      </c>
    </row>
    <row r="3" spans="1:5">
      <c r="A3" s="830" t="s">
        <v>667</v>
      </c>
    </row>
    <row r="5" spans="1:5" ht="12" thickBot="1"/>
    <row r="6" spans="1:5" ht="12" thickBot="1">
      <c r="A6" s="834" t="s">
        <v>261</v>
      </c>
      <c r="B6" s="835" t="s">
        <v>668</v>
      </c>
    </row>
    <row r="8" spans="1:5">
      <c r="A8" s="833" t="s">
        <v>669</v>
      </c>
      <c r="B8" s="831" t="s">
        <v>612</v>
      </c>
      <c r="C8" s="832">
        <f>'[127]Sales Element (H.S)'!N1783</f>
        <v>153308337.9352999</v>
      </c>
      <c r="E8" s="833" t="s">
        <v>714</v>
      </c>
    </row>
    <row r="9" spans="1:5">
      <c r="A9" s="833" t="s">
        <v>670</v>
      </c>
      <c r="B9" s="831" t="s">
        <v>671</v>
      </c>
      <c r="C9" s="836">
        <f>-'[127]Redeem -Element'!I1286</f>
        <v>-94535218.95159997</v>
      </c>
      <c r="E9" s="833" t="s">
        <v>650</v>
      </c>
    </row>
    <row r="10" spans="1:5">
      <c r="A10" s="833" t="s">
        <v>672</v>
      </c>
      <c r="B10" s="831" t="s">
        <v>673</v>
      </c>
      <c r="C10" s="832">
        <f>SUM(C8:C9)</f>
        <v>58773118.983699933</v>
      </c>
    </row>
    <row r="12" spans="1:5">
      <c r="A12" s="833" t="s">
        <v>716</v>
      </c>
      <c r="B12" s="831" t="s">
        <v>718</v>
      </c>
      <c r="C12" s="832">
        <f>UHF!E13</f>
        <v>1508195</v>
      </c>
    </row>
    <row r="13" spans="1:5">
      <c r="A13" s="833" t="s">
        <v>717</v>
      </c>
      <c r="B13" s="831" t="s">
        <v>719</v>
      </c>
      <c r="C13" s="832">
        <f>UHF!E15</f>
        <v>-1423065</v>
      </c>
    </row>
    <row r="15" spans="1:5" ht="12" thickBot="1"/>
    <row r="16" spans="1:5" ht="12" thickBot="1">
      <c r="A16" s="834" t="s">
        <v>674</v>
      </c>
    </row>
    <row r="18" spans="1:4">
      <c r="A18" s="837" t="s">
        <v>675</v>
      </c>
      <c r="B18" s="831" t="s">
        <v>676</v>
      </c>
      <c r="C18" s="832">
        <v>16665137.845000006</v>
      </c>
      <c r="D18" s="832">
        <v>16665138</v>
      </c>
    </row>
    <row r="19" spans="1:4">
      <c r="A19" s="837" t="s">
        <v>677</v>
      </c>
      <c r="B19" s="831" t="s">
        <v>678</v>
      </c>
      <c r="C19" s="832">
        <v>-16441775.543499999</v>
      </c>
    </row>
    <row r="20" spans="1:4" ht="12" thickBot="1">
      <c r="A20" s="833" t="s">
        <v>679</v>
      </c>
      <c r="B20" s="831" t="s">
        <v>680</v>
      </c>
      <c r="C20" s="840">
        <f>SUM(C18:C19)</f>
        <v>223362.30150000751</v>
      </c>
    </row>
    <row r="21" spans="1:4" ht="12" thickTop="1"/>
    <row r="22" spans="1:4">
      <c r="A22" s="833" t="s">
        <v>681</v>
      </c>
      <c r="B22" s="831" t="s">
        <v>682</v>
      </c>
      <c r="C22" s="838">
        <v>11.0214</v>
      </c>
    </row>
    <row r="23" spans="1:4">
      <c r="B23" s="831" t="s">
        <v>683</v>
      </c>
      <c r="C23" s="832">
        <f>C22*C20</f>
        <v>2461765.2697521825</v>
      </c>
    </row>
    <row r="24" spans="1:4">
      <c r="A24" s="833" t="s">
        <v>684</v>
      </c>
      <c r="B24" s="831" t="s">
        <v>685</v>
      </c>
      <c r="C24" s="832">
        <v>1793293.2200000286</v>
      </c>
    </row>
    <row r="25" spans="1:4" ht="12" thickBot="1">
      <c r="A25" s="833" t="s">
        <v>686</v>
      </c>
      <c r="B25" s="831" t="s">
        <v>687</v>
      </c>
      <c r="C25" s="537">
        <f>C24-C23</f>
        <v>-668472.04975215392</v>
      </c>
    </row>
    <row r="26" spans="1:4" ht="12" thickTop="1"/>
    <row r="27" spans="1:4">
      <c r="A27" s="837" t="s">
        <v>688</v>
      </c>
      <c r="B27" s="831" t="s">
        <v>689</v>
      </c>
    </row>
    <row r="28" spans="1:4">
      <c r="A28" s="837" t="s">
        <v>690</v>
      </c>
      <c r="B28" s="831" t="s">
        <v>691</v>
      </c>
      <c r="C28" s="832">
        <v>136643200.09029987</v>
      </c>
    </row>
    <row r="29" spans="1:4">
      <c r="A29" s="833" t="s">
        <v>679</v>
      </c>
      <c r="B29" s="831" t="s">
        <v>692</v>
      </c>
      <c r="C29" s="832">
        <v>-78093443.408100039</v>
      </c>
    </row>
    <row r="30" spans="1:4">
      <c r="C30" s="832">
        <f>SUM(C28:C29)</f>
        <v>58549756.682199836</v>
      </c>
    </row>
    <row r="31" spans="1:4">
      <c r="A31" s="833" t="s">
        <v>681</v>
      </c>
      <c r="B31" s="831" t="str">
        <f>B22</f>
        <v>H</v>
      </c>
      <c r="C31" s="838"/>
    </row>
    <row r="32" spans="1:4">
      <c r="A32" s="833" t="s">
        <v>693</v>
      </c>
      <c r="B32" s="831" t="s">
        <v>694</v>
      </c>
      <c r="C32" s="838">
        <v>11.0214</v>
      </c>
    </row>
    <row r="33" spans="1:3">
      <c r="A33" s="833" t="s">
        <v>695</v>
      </c>
      <c r="B33" s="831" t="s">
        <v>696</v>
      </c>
      <c r="C33" s="838">
        <v>-0.13689999999999999</v>
      </c>
    </row>
    <row r="34" spans="1:3">
      <c r="C34" s="849">
        <f>SUM(C32:C33)</f>
        <v>10.884499999999999</v>
      </c>
    </row>
    <row r="35" spans="1:3">
      <c r="B35" s="831" t="s">
        <v>697</v>
      </c>
    </row>
    <row r="36" spans="1:3">
      <c r="A36" s="833" t="s">
        <v>684</v>
      </c>
      <c r="B36" s="831" t="s">
        <v>698</v>
      </c>
      <c r="C36" s="832">
        <v>637284826.60740411</v>
      </c>
    </row>
    <row r="37" spans="1:3">
      <c r="A37" s="833" t="s">
        <v>699</v>
      </c>
      <c r="B37" s="831" t="s">
        <v>700</v>
      </c>
      <c r="C37" s="832">
        <v>658474075.97999871</v>
      </c>
    </row>
    <row r="38" spans="1:3">
      <c r="C38" s="848">
        <f>C37-C36</f>
        <v>21189249.372594595</v>
      </c>
    </row>
    <row r="40" spans="1:3" ht="23.4" thickBot="1">
      <c r="A40" s="839" t="s">
        <v>713</v>
      </c>
      <c r="B40" s="831" t="s">
        <v>702</v>
      </c>
      <c r="C40" s="850">
        <f>C38+C25</f>
        <v>20520777.322842441</v>
      </c>
    </row>
    <row r="41" spans="1:3" ht="12" thickTop="1">
      <c r="C41" s="832">
        <v>20520777.322842441</v>
      </c>
    </row>
    <row r="42" spans="1:3">
      <c r="A42" s="833" t="s">
        <v>703</v>
      </c>
      <c r="C42" s="832">
        <v>20583625.234508302</v>
      </c>
    </row>
    <row r="44" spans="1:3">
      <c r="A44" s="833" t="s">
        <v>21</v>
      </c>
      <c r="C44" s="832">
        <v>-62847.911665860564</v>
      </c>
    </row>
    <row r="46" spans="1:3">
      <c r="A46" s="841" t="s">
        <v>710</v>
      </c>
    </row>
    <row r="47" spans="1:3">
      <c r="A47" s="833" t="s">
        <v>711</v>
      </c>
      <c r="B47" s="831" t="s">
        <v>689</v>
      </c>
    </row>
    <row r="48" spans="1:3">
      <c r="A48" s="833" t="s">
        <v>712</v>
      </c>
      <c r="B48" s="831" t="s">
        <v>691</v>
      </c>
      <c r="C48" s="832">
        <v>44868502.886300005</v>
      </c>
    </row>
    <row r="49" spans="1:3">
      <c r="A49" s="833" t="s">
        <v>679</v>
      </c>
      <c r="B49" s="831" t="s">
        <v>692</v>
      </c>
      <c r="C49" s="832">
        <v>-37793195.065500006</v>
      </c>
    </row>
    <row r="50" spans="1:3">
      <c r="C50" s="848">
        <f>SUM(C48:C49)</f>
        <v>7075307.8207999989</v>
      </c>
    </row>
    <row r="51" spans="1:3">
      <c r="A51" s="833" t="s">
        <v>681</v>
      </c>
      <c r="B51" s="831" t="s">
        <v>682</v>
      </c>
      <c r="C51" s="838"/>
    </row>
    <row r="52" spans="1:3">
      <c r="A52" s="833" t="s">
        <v>693</v>
      </c>
      <c r="B52" s="831" t="s">
        <v>694</v>
      </c>
      <c r="C52" s="838">
        <v>11.0214</v>
      </c>
    </row>
    <row r="53" spans="1:3">
      <c r="A53" s="833" t="s">
        <v>695</v>
      </c>
      <c r="B53" s="831" t="s">
        <v>696</v>
      </c>
      <c r="C53" s="838">
        <v>-0.13689999999999999</v>
      </c>
    </row>
    <row r="54" spans="1:3">
      <c r="C54" s="849">
        <f>SUM(C52:C53)</f>
        <v>10.884499999999999</v>
      </c>
    </row>
    <row r="55" spans="1:3">
      <c r="B55" s="831" t="s">
        <v>697</v>
      </c>
    </row>
    <row r="56" spans="1:3">
      <c r="A56" s="833" t="s">
        <v>684</v>
      </c>
      <c r="B56" s="831" t="s">
        <v>698</v>
      </c>
      <c r="C56" s="832">
        <v>77011187.975497589</v>
      </c>
    </row>
    <row r="57" spans="1:3">
      <c r="A57" s="833" t="s">
        <v>699</v>
      </c>
      <c r="B57" s="831" t="s">
        <v>700</v>
      </c>
      <c r="C57" s="832">
        <v>86948062.850000203</v>
      </c>
    </row>
    <row r="58" spans="1:3">
      <c r="C58" s="832">
        <f>C57-C56</f>
        <v>9936874.8745026141</v>
      </c>
    </row>
    <row r="60" spans="1:3">
      <c r="A60" s="2709" t="s">
        <v>713</v>
      </c>
      <c r="B60" s="831" t="s">
        <v>702</v>
      </c>
    </row>
    <row r="61" spans="1:3" ht="12" thickBot="1">
      <c r="A61" s="2709"/>
      <c r="C61" s="851">
        <f>C58+C25</f>
        <v>9268402.8247504607</v>
      </c>
    </row>
    <row r="62" spans="1:3" ht="12" thickTop="1"/>
  </sheetData>
  <mergeCells count="1">
    <mergeCell ref="A60:A61"/>
  </mergeCells>
  <pageMargins left="0.7" right="0.7" top="0.75" bottom="0.75" header="0.3" footer="0.3"/>
  <pageSetup scale="9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AG49"/>
  <sheetViews>
    <sheetView view="pageBreakPreview" zoomScaleSheetLayoutView="100" workbookViewId="0">
      <selection activeCell="A11" sqref="A11"/>
    </sheetView>
  </sheetViews>
  <sheetFormatPr defaultColWidth="9" defaultRowHeight="11.4"/>
  <cols>
    <col min="1" max="1" width="5.09765625" style="7" customWidth="1"/>
    <col min="2" max="2" width="3.59765625" style="7" customWidth="1"/>
    <col min="3" max="3" width="34.69921875" style="7" customWidth="1"/>
    <col min="4" max="4" width="9.09765625" style="7" customWidth="1"/>
    <col min="5" max="5" width="1.19921875" style="7" customWidth="1"/>
    <col min="6" max="6" width="9.09765625" style="7" customWidth="1"/>
    <col min="7" max="7" width="1.19921875" style="7" customWidth="1"/>
    <col min="8" max="8" width="9.09765625" style="7" customWidth="1"/>
    <col min="9" max="9" width="1.19921875" style="7" customWidth="1"/>
    <col min="10" max="10" width="9.09765625" style="7" customWidth="1"/>
    <col min="11" max="14" width="9" style="7" hidden="1" customWidth="1"/>
    <col min="15" max="31" width="0" style="7" hidden="1" customWidth="1"/>
    <col min="32" max="32" width="9" style="7"/>
    <col min="33" max="33" width="11.69921875" style="7" hidden="1" customWidth="1"/>
    <col min="34" max="16384" width="9" style="7"/>
  </cols>
  <sheetData>
    <row r="1" spans="1:33">
      <c r="A1" s="77" t="e">
        <f>'Note 25.2.1-30.1'!#REF!+1</f>
        <v>#REF!</v>
      </c>
      <c r="B1" s="77"/>
      <c r="C1" s="77"/>
      <c r="D1" s="77"/>
      <c r="E1" s="77"/>
      <c r="F1" s="77"/>
      <c r="G1" s="77"/>
      <c r="H1" s="77"/>
      <c r="I1" s="77"/>
      <c r="J1" s="77"/>
    </row>
    <row r="3" spans="1:33" s="32" customFormat="1" ht="12">
      <c r="A3" s="55"/>
      <c r="B3" s="235" t="s">
        <v>210</v>
      </c>
      <c r="C3" s="235"/>
      <c r="D3" s="235"/>
      <c r="E3" s="235"/>
      <c r="F3" s="235"/>
      <c r="G3" s="235"/>
      <c r="H3" s="235"/>
      <c r="I3" s="235"/>
      <c r="J3" s="235"/>
    </row>
    <row r="4" spans="1:33" s="32" customFormat="1" ht="12">
      <c r="A4" s="55"/>
      <c r="B4" s="235"/>
      <c r="C4" s="235"/>
      <c r="D4" s="235"/>
      <c r="E4" s="235"/>
      <c r="F4" s="235"/>
      <c r="G4" s="235"/>
      <c r="H4" s="235"/>
      <c r="I4" s="235"/>
      <c r="J4" s="235"/>
    </row>
    <row r="5" spans="1:33" s="232" customFormat="1" ht="10.199999999999999">
      <c r="A5" s="236"/>
      <c r="B5" s="237"/>
      <c r="C5" s="237"/>
      <c r="D5" s="2710" t="s">
        <v>270</v>
      </c>
      <c r="E5" s="2710"/>
      <c r="F5" s="2710"/>
      <c r="G5" s="2710"/>
      <c r="H5" s="2710"/>
      <c r="I5" s="2710"/>
      <c r="J5" s="2710"/>
    </row>
    <row r="6" spans="1:33" s="232" customFormat="1" ht="10.199999999999999">
      <c r="A6" s="239"/>
      <c r="B6" s="239" t="s">
        <v>50</v>
      </c>
      <c r="C6" s="240"/>
      <c r="D6" s="241" t="s">
        <v>211</v>
      </c>
      <c r="F6" s="241" t="s">
        <v>212</v>
      </c>
      <c r="H6" s="241" t="s">
        <v>213</v>
      </c>
      <c r="I6" s="240"/>
      <c r="J6" s="241" t="s">
        <v>44</v>
      </c>
    </row>
    <row r="7" spans="1:33" s="232" customFormat="1" ht="10.199999999999999">
      <c r="A7" s="236"/>
      <c r="B7" s="240"/>
      <c r="C7" s="240"/>
      <c r="D7" s="2710" t="s">
        <v>214</v>
      </c>
      <c r="E7" s="2710"/>
      <c r="F7" s="2710"/>
      <c r="G7" s="2710"/>
      <c r="H7" s="2710"/>
      <c r="I7" s="2710"/>
      <c r="J7" s="2710"/>
    </row>
    <row r="8" spans="1:33" s="232" customFormat="1" ht="10.199999999999999">
      <c r="A8" s="236"/>
      <c r="B8" s="240"/>
      <c r="C8" s="240"/>
      <c r="D8" s="238"/>
      <c r="E8" s="238"/>
      <c r="F8" s="238"/>
      <c r="G8" s="238"/>
      <c r="H8" s="238"/>
      <c r="I8" s="238"/>
      <c r="J8" s="238"/>
    </row>
    <row r="9" spans="1:33" s="232" customFormat="1" ht="10.199999999999999">
      <c r="A9" s="236"/>
      <c r="B9" s="330" t="s">
        <v>215</v>
      </c>
      <c r="C9" s="331"/>
      <c r="D9" s="332">
        <f>'5.1-5.3'!I124</f>
        <v>1763907</v>
      </c>
      <c r="E9" s="332"/>
      <c r="F9" s="332">
        <v>0</v>
      </c>
      <c r="G9" s="332"/>
      <c r="H9" s="332">
        <v>0</v>
      </c>
      <c r="I9" s="332"/>
      <c r="J9" s="332">
        <f>D9+F9+H9</f>
        <v>1763907</v>
      </c>
    </row>
    <row r="10" spans="1:33" s="32" customFormat="1" ht="12">
      <c r="A10" s="55"/>
      <c r="B10" s="234"/>
      <c r="C10" s="234"/>
      <c r="D10" s="234"/>
      <c r="E10" s="234"/>
      <c r="F10" s="234"/>
      <c r="G10" s="234"/>
      <c r="H10" s="234"/>
      <c r="I10" s="234"/>
      <c r="J10" s="234"/>
    </row>
    <row r="11" spans="1:33" s="245" customFormat="1" ht="12">
      <c r="A11" s="342">
        <f>+'Note 25.2.1-30.1'!A93+1</f>
        <v>25</v>
      </c>
      <c r="B11" s="343" t="s">
        <v>179</v>
      </c>
      <c r="C11" s="344"/>
      <c r="D11" s="244"/>
      <c r="E11" s="244"/>
      <c r="F11" s="244"/>
      <c r="G11" s="244"/>
      <c r="H11" s="244"/>
      <c r="I11" s="244"/>
      <c r="J11" s="244"/>
    </row>
    <row r="12" spans="1:33" s="245" customFormat="1" ht="12">
      <c r="A12" s="242"/>
      <c r="B12" s="243"/>
      <c r="C12" s="244"/>
      <c r="D12" s="244"/>
      <c r="E12" s="244"/>
      <c r="F12" s="244"/>
      <c r="G12" s="244"/>
      <c r="H12" s="244"/>
      <c r="I12" s="244"/>
      <c r="J12" s="244"/>
    </row>
    <row r="13" spans="1:33" s="245" customFormat="1" ht="12">
      <c r="A13" s="242"/>
      <c r="B13" s="2711" t="s">
        <v>146</v>
      </c>
      <c r="C13" s="2711"/>
      <c r="D13" s="2711"/>
      <c r="E13" s="2711"/>
      <c r="F13" s="2711"/>
      <c r="G13" s="2711"/>
      <c r="H13" s="2711"/>
      <c r="I13" s="2711"/>
      <c r="J13" s="2711"/>
    </row>
    <row r="14" spans="1:33" s="245" customFormat="1" ht="12">
      <c r="A14" s="242"/>
      <c r="B14" s="2711"/>
      <c r="C14" s="2711"/>
      <c r="D14" s="2711"/>
      <c r="E14" s="2711"/>
      <c r="F14" s="2711"/>
      <c r="G14" s="2711"/>
      <c r="H14" s="2711"/>
      <c r="I14" s="2711"/>
      <c r="J14" s="2711"/>
    </row>
    <row r="15" spans="1:33" s="245" customFormat="1" ht="12">
      <c r="A15" s="242"/>
      <c r="B15" s="2711"/>
      <c r="C15" s="2711"/>
      <c r="D15" s="2711"/>
      <c r="E15" s="2711"/>
      <c r="F15" s="2711"/>
      <c r="G15" s="2711"/>
      <c r="H15" s="2711"/>
      <c r="I15" s="2711"/>
      <c r="J15" s="2711"/>
    </row>
    <row r="16" spans="1:33" s="245" customFormat="1" ht="12">
      <c r="A16" s="242"/>
      <c r="B16" s="2711"/>
      <c r="C16" s="2711"/>
      <c r="D16" s="2711"/>
      <c r="E16" s="2711"/>
      <c r="F16" s="2711"/>
      <c r="G16" s="2711"/>
      <c r="H16" s="2711"/>
      <c r="I16" s="2711"/>
      <c r="J16" s="2711"/>
      <c r="AG16" s="39">
        <f>0.3656*'[128]Balance sheet'!F35</f>
        <v>38886096.290546641</v>
      </c>
    </row>
    <row r="17" spans="1:10" s="32" customFormat="1" ht="12">
      <c r="A17" s="55"/>
      <c r="B17" s="31"/>
      <c r="C17" s="31"/>
      <c r="D17" s="31"/>
      <c r="E17" s="31"/>
      <c r="F17" s="209"/>
      <c r="G17" s="209"/>
      <c r="H17" s="31"/>
      <c r="I17" s="209"/>
      <c r="J17" s="31"/>
    </row>
    <row r="18" spans="1:10" s="32" customFormat="1" ht="12">
      <c r="A18" s="233">
        <f>+A11+1</f>
        <v>26</v>
      </c>
      <c r="B18" s="214" t="s">
        <v>138</v>
      </c>
      <c r="F18" s="26"/>
      <c r="G18" s="26"/>
      <c r="I18" s="26"/>
    </row>
    <row r="19" spans="1:10" s="32" customFormat="1">
      <c r="A19" s="205"/>
      <c r="F19" s="26"/>
      <c r="G19" s="26"/>
      <c r="I19" s="26"/>
    </row>
    <row r="20" spans="1:10" s="32" customFormat="1">
      <c r="A20" s="205"/>
      <c r="B20" s="2580" t="s">
        <v>216</v>
      </c>
      <c r="C20" s="2580"/>
      <c r="D20" s="2580"/>
      <c r="E20" s="2580"/>
      <c r="F20" s="2580"/>
      <c r="G20" s="2580"/>
      <c r="H20" s="2580"/>
      <c r="I20" s="2580"/>
      <c r="J20" s="2580"/>
    </row>
    <row r="21" spans="1:10" s="32" customFormat="1">
      <c r="A21" s="205"/>
      <c r="B21" s="2580"/>
      <c r="C21" s="2580"/>
      <c r="D21" s="2580"/>
      <c r="E21" s="2580"/>
      <c r="F21" s="2580"/>
      <c r="G21" s="2580"/>
      <c r="H21" s="2580"/>
      <c r="I21" s="2580"/>
      <c r="J21" s="2580"/>
    </row>
    <row r="22" spans="1:10" s="32" customFormat="1">
      <c r="F22" s="26"/>
      <c r="G22" s="26"/>
      <c r="I22" s="26"/>
    </row>
    <row r="23" spans="1:10" s="32" customFormat="1" ht="12">
      <c r="A23" s="233">
        <f>+A18+1</f>
        <v>27</v>
      </c>
      <c r="B23" s="214" t="s">
        <v>139</v>
      </c>
      <c r="F23" s="26"/>
      <c r="G23" s="26"/>
      <c r="I23" s="26"/>
    </row>
    <row r="24" spans="1:10" s="32" customFormat="1" ht="12">
      <c r="A24" s="216"/>
      <c r="B24" s="214"/>
      <c r="F24" s="26"/>
      <c r="G24" s="26"/>
      <c r="I24" s="26"/>
    </row>
    <row r="25" spans="1:10" s="32" customFormat="1" ht="12">
      <c r="A25" s="246">
        <f>A23+0.1</f>
        <v>27.1</v>
      </c>
      <c r="B25" s="34" t="s">
        <v>140</v>
      </c>
      <c r="C25" s="34"/>
      <c r="D25" s="34"/>
      <c r="E25" s="34"/>
      <c r="F25" s="34"/>
      <c r="G25" s="34"/>
      <c r="H25" s="34"/>
      <c r="I25" s="34"/>
      <c r="J25" s="34"/>
    </row>
    <row r="26" spans="1:10" s="32" customFormat="1" ht="12">
      <c r="A26" s="216"/>
      <c r="B26" s="247"/>
      <c r="C26" s="247"/>
      <c r="D26" s="247"/>
      <c r="E26" s="247"/>
      <c r="F26" s="247"/>
      <c r="G26" s="247"/>
      <c r="H26" s="247"/>
      <c r="I26" s="247"/>
    </row>
    <row r="27" spans="1:10" s="32" customFormat="1" ht="12">
      <c r="A27" s="216"/>
      <c r="B27" s="247"/>
      <c r="C27" s="247"/>
      <c r="D27" s="247"/>
      <c r="E27" s="247"/>
      <c r="F27" s="247"/>
      <c r="G27" s="247"/>
      <c r="H27" s="247"/>
      <c r="I27" s="247"/>
    </row>
    <row r="28" spans="1:10" s="10" customFormat="1" ht="12">
      <c r="A28" s="14"/>
      <c r="B28" s="14"/>
      <c r="C28" s="14"/>
      <c r="D28" s="14"/>
      <c r="E28" s="14"/>
      <c r="F28" s="14"/>
      <c r="G28" s="14"/>
      <c r="H28" s="14"/>
      <c r="I28" s="12"/>
      <c r="J28" s="248"/>
    </row>
    <row r="29" spans="1:10" s="10" customFormat="1" ht="12">
      <c r="A29" s="11" t="s">
        <v>147</v>
      </c>
      <c r="B29" s="14"/>
      <c r="C29" s="14"/>
      <c r="D29" s="14"/>
      <c r="E29" s="14"/>
      <c r="F29" s="14"/>
      <c r="G29" s="14"/>
      <c r="H29" s="14"/>
      <c r="I29" s="12"/>
      <c r="J29" s="248"/>
    </row>
    <row r="30" spans="1:10" s="8" customFormat="1" ht="12">
      <c r="A30" s="14" t="s">
        <v>148</v>
      </c>
      <c r="B30" s="14"/>
      <c r="C30" s="14"/>
      <c r="D30" s="249"/>
      <c r="E30" s="14"/>
      <c r="F30" s="14"/>
      <c r="G30" s="14"/>
      <c r="H30" s="14"/>
      <c r="I30" s="12"/>
      <c r="J30" s="248"/>
    </row>
    <row r="31" spans="1:10" s="8" customFormat="1" ht="12">
      <c r="A31" s="15"/>
      <c r="B31" s="15"/>
      <c r="C31" s="15"/>
      <c r="D31" s="250"/>
      <c r="E31" s="15"/>
      <c r="F31" s="15"/>
      <c r="G31" s="15"/>
      <c r="H31" s="15"/>
      <c r="J31" s="251"/>
    </row>
    <row r="32" spans="1:10" s="8" customFormat="1" ht="12">
      <c r="A32" s="15"/>
      <c r="B32" s="15"/>
      <c r="C32" s="15"/>
      <c r="D32" s="250"/>
      <c r="E32" s="15"/>
      <c r="F32" s="15"/>
      <c r="G32" s="15"/>
      <c r="H32" s="15"/>
      <c r="J32" s="251"/>
    </row>
    <row r="33" spans="1:10" s="8" customFormat="1" ht="12">
      <c r="A33" s="15"/>
      <c r="B33" s="15"/>
      <c r="C33" s="15"/>
      <c r="D33" s="250"/>
      <c r="E33" s="15"/>
      <c r="F33" s="15"/>
      <c r="G33" s="15"/>
      <c r="H33" s="15"/>
      <c r="J33" s="251"/>
    </row>
    <row r="34" spans="1:10" s="8" customFormat="1" ht="12">
      <c r="A34" s="15"/>
      <c r="B34" s="15"/>
      <c r="C34" s="15"/>
      <c r="D34" s="250"/>
      <c r="E34" s="15"/>
      <c r="F34" s="15"/>
      <c r="G34" s="15"/>
      <c r="H34" s="15"/>
      <c r="J34" s="251"/>
    </row>
    <row r="35" spans="1:10" s="8" customFormat="1" ht="12">
      <c r="A35" s="15"/>
      <c r="B35" s="15"/>
      <c r="C35" s="15"/>
      <c r="D35" s="250"/>
      <c r="E35" s="15"/>
      <c r="F35" s="15"/>
      <c r="G35" s="15"/>
      <c r="H35" s="15"/>
      <c r="J35" s="251"/>
    </row>
    <row r="36" spans="1:10" s="8" customFormat="1" ht="12">
      <c r="A36" s="15" t="s">
        <v>149</v>
      </c>
      <c r="B36" s="15"/>
      <c r="C36" s="15"/>
      <c r="D36" s="13"/>
      <c r="E36" s="6"/>
      <c r="F36" s="6"/>
      <c r="G36" s="6"/>
      <c r="H36" s="252"/>
      <c r="J36" s="253"/>
    </row>
    <row r="47" spans="1:10">
      <c r="G47" s="7">
        <f>C47+D47+E47-F47</f>
        <v>0</v>
      </c>
    </row>
    <row r="48" spans="1:10">
      <c r="G48" s="7">
        <f>C48+D48+E48-F48</f>
        <v>0</v>
      </c>
    </row>
    <row r="49" spans="7:7">
      <c r="G49" s="7">
        <f>C49+D49+E49-F49</f>
        <v>0</v>
      </c>
    </row>
  </sheetData>
  <mergeCells count="4">
    <mergeCell ref="D5:J5"/>
    <mergeCell ref="D7:J7"/>
    <mergeCell ref="B13:J16"/>
    <mergeCell ref="B20:J21"/>
  </mergeCells>
  <phoneticPr fontId="39" type="noConversion"/>
  <printOptions horizontalCentered="1"/>
  <pageMargins left="0.75" right="0.5" top="0.5" bottom="0.25" header="0.28999999999999998" footer="0.5"/>
  <pageSetup paperSize="9" scale="97" orientation="portrait" r:id="rId1"/>
  <headerFooter alignWithMargins="0"/>
  <colBreaks count="1" manualBreakCount="1">
    <brk id="3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23"/>
  <sheetViews>
    <sheetView view="pageBreakPreview" zoomScale="85" workbookViewId="0">
      <selection activeCell="Q19" sqref="Q19"/>
    </sheetView>
  </sheetViews>
  <sheetFormatPr defaultColWidth="9" defaultRowHeight="15"/>
  <cols>
    <col min="1" max="1" width="2.69921875" style="284" customWidth="1"/>
    <col min="2" max="2" width="10.19921875" style="278" customWidth="1"/>
    <col min="3" max="3" width="0.69921875" style="278" customWidth="1"/>
    <col min="4" max="4" width="28.19921875" style="278" customWidth="1"/>
    <col min="5" max="5" width="0.69921875" style="278" customWidth="1"/>
    <col min="6" max="6" width="12" style="278" customWidth="1"/>
    <col min="7" max="7" width="0.69921875" style="278" customWidth="1"/>
    <col min="8" max="8" width="19.09765625" style="284" bestFit="1" customWidth="1"/>
    <col min="9" max="9" width="0.69921875" style="284" customWidth="1"/>
    <col min="10" max="10" width="10.69921875" style="284" bestFit="1" customWidth="1"/>
    <col min="11" max="11" width="0.69921875" style="284" customWidth="1"/>
    <col min="12" max="12" width="13.69921875" style="284" customWidth="1"/>
    <col min="13" max="16384" width="9" style="284"/>
  </cols>
  <sheetData>
    <row r="1" spans="1:14" s="269" customFormat="1" ht="15.6">
      <c r="A1" s="268" t="s">
        <v>76</v>
      </c>
      <c r="H1" s="270"/>
    </row>
    <row r="2" spans="1:14" s="269" customFormat="1" ht="15.6">
      <c r="A2" s="268" t="s">
        <v>77</v>
      </c>
      <c r="H2" s="270"/>
    </row>
    <row r="3" spans="1:14" s="269" customFormat="1" ht="15.6">
      <c r="A3" s="268" t="s">
        <v>78</v>
      </c>
      <c r="H3" s="270"/>
    </row>
    <row r="4" spans="1:14" s="269" customFormat="1" ht="15.6">
      <c r="B4" s="268"/>
      <c r="H4" s="270"/>
    </row>
    <row r="5" spans="1:14" s="269" customFormat="1" ht="15.6">
      <c r="B5" s="268"/>
      <c r="H5" s="270"/>
    </row>
    <row r="6" spans="1:14" s="269" customFormat="1" ht="15.6" thickBot="1">
      <c r="H6" s="270"/>
    </row>
    <row r="7" spans="1:14" s="271" customFormat="1" ht="63" thickBot="1">
      <c r="B7" s="272" t="s">
        <v>79</v>
      </c>
      <c r="C7" s="273"/>
      <c r="D7" s="272" t="s">
        <v>80</v>
      </c>
      <c r="E7" s="273"/>
      <c r="F7" s="272" t="s">
        <v>81</v>
      </c>
      <c r="G7" s="273"/>
      <c r="H7" s="274" t="s">
        <v>82</v>
      </c>
      <c r="I7" s="273"/>
      <c r="J7" s="272" t="s">
        <v>83</v>
      </c>
      <c r="L7" s="272" t="s">
        <v>171</v>
      </c>
    </row>
    <row r="8" spans="1:14" s="275" customFormat="1" ht="15.6">
      <c r="H8" s="276" t="s">
        <v>262</v>
      </c>
    </row>
    <row r="9" spans="1:14" s="275" customFormat="1" ht="16.2" thickBot="1">
      <c r="H9" s="276"/>
    </row>
    <row r="10" spans="1:14" s="275" customFormat="1" ht="16.2" thickBot="1">
      <c r="B10" s="2712" t="s">
        <v>175</v>
      </c>
      <c r="C10" s="2713"/>
      <c r="D10" s="2714"/>
      <c r="H10" s="276"/>
    </row>
    <row r="11" spans="1:14" s="275" customFormat="1" ht="15.6">
      <c r="B11" s="294"/>
      <c r="C11" s="294"/>
      <c r="D11" s="294"/>
      <c r="H11" s="276"/>
    </row>
    <row r="12" spans="1:14" s="275" customFormat="1" ht="15.6">
      <c r="B12" s="277"/>
      <c r="C12" s="278"/>
      <c r="D12" s="279" t="s">
        <v>3</v>
      </c>
      <c r="E12" s="278"/>
      <c r="F12" s="280">
        <v>2000</v>
      </c>
      <c r="G12" s="281"/>
      <c r="H12" s="280">
        <v>10200</v>
      </c>
      <c r="I12" s="280"/>
      <c r="J12" s="295" t="s">
        <v>172</v>
      </c>
      <c r="K12" s="280">
        <v>107278500</v>
      </c>
      <c r="L12" s="283">
        <f>H12/$H$20</f>
        <v>0.1953798413975405</v>
      </c>
      <c r="N12" s="318">
        <f>ROUND(10200067/1000,0)</f>
        <v>10200</v>
      </c>
    </row>
    <row r="13" spans="1:14" s="275" customFormat="1" ht="15.6">
      <c r="B13" s="277"/>
      <c r="C13" s="278"/>
      <c r="D13" s="279" t="s">
        <v>4</v>
      </c>
      <c r="E13" s="278"/>
      <c r="F13" s="280">
        <v>3000</v>
      </c>
      <c r="G13" s="281"/>
      <c r="H13" s="280">
        <v>15160</v>
      </c>
      <c r="I13" s="280"/>
      <c r="J13" s="295" t="s">
        <v>172</v>
      </c>
      <c r="K13" s="280"/>
      <c r="L13" s="283">
        <f>H13/$H$20</f>
        <v>0.29038807799869748</v>
      </c>
      <c r="N13" s="318">
        <f>ROUND((15159444+100)/1000,0)</f>
        <v>15160</v>
      </c>
    </row>
    <row r="14" spans="1:14" ht="15.6">
      <c r="B14" s="277"/>
      <c r="D14" s="279" t="s">
        <v>6</v>
      </c>
      <c r="F14" s="284">
        <v>3400</v>
      </c>
      <c r="H14" s="284">
        <v>16802</v>
      </c>
      <c r="J14" s="295" t="s">
        <v>172</v>
      </c>
      <c r="L14" s="283">
        <f>H14/$H$20</f>
        <v>0.32184040148641918</v>
      </c>
      <c r="N14" s="318">
        <f>ROUND(10043758/1000,0)</f>
        <v>10044</v>
      </c>
    </row>
    <row r="15" spans="1:14" ht="16.2" thickBot="1">
      <c r="B15" s="277"/>
      <c r="D15" s="279"/>
      <c r="F15" s="284"/>
      <c r="J15" s="282"/>
      <c r="L15" s="298">
        <f>SUM(L12:L14)</f>
        <v>0.80760832088265722</v>
      </c>
      <c r="N15" s="318">
        <f>ROUND(16802409/1000,0)</f>
        <v>16802</v>
      </c>
    </row>
    <row r="16" spans="1:14" ht="16.2" thickBot="1">
      <c r="B16" s="2712" t="s">
        <v>176</v>
      </c>
      <c r="C16" s="2713"/>
      <c r="D16" s="2714"/>
      <c r="F16" s="284"/>
      <c r="J16" s="282"/>
      <c r="L16" s="283"/>
    </row>
    <row r="17" spans="2:12" ht="15.6">
      <c r="B17" s="294"/>
      <c r="C17" s="294"/>
      <c r="D17" s="294"/>
      <c r="F17" s="284"/>
      <c r="J17" s="282"/>
      <c r="L17" s="283"/>
    </row>
    <row r="18" spans="2:12" s="275" customFormat="1" ht="15.6">
      <c r="B18" s="277"/>
      <c r="C18" s="278"/>
      <c r="D18" s="279" t="s">
        <v>5</v>
      </c>
      <c r="E18" s="278"/>
      <c r="F18" s="280">
        <v>2000</v>
      </c>
      <c r="G18" s="281"/>
      <c r="H18" s="280">
        <v>10044</v>
      </c>
      <c r="I18" s="280"/>
      <c r="J18" s="295" t="s">
        <v>173</v>
      </c>
      <c r="K18" s="280"/>
      <c r="L18" s="299">
        <f>H18/$H$20</f>
        <v>0.19239167911734284</v>
      </c>
    </row>
    <row r="19" spans="2:12">
      <c r="B19" s="277"/>
      <c r="D19" s="279"/>
      <c r="F19" s="284"/>
      <c r="J19" s="282"/>
      <c r="L19" s="285"/>
    </row>
    <row r="20" spans="2:12" ht="16.2" thickBot="1">
      <c r="B20" s="277"/>
      <c r="D20" s="286" t="s">
        <v>174</v>
      </c>
      <c r="F20" s="284"/>
      <c r="H20" s="296">
        <f>SUM(H12:H19)</f>
        <v>52206</v>
      </c>
      <c r="J20" s="282"/>
      <c r="L20" s="297">
        <f>+L18+L15</f>
        <v>1</v>
      </c>
    </row>
    <row r="21" spans="2:12" ht="16.2" thickTop="1">
      <c r="B21" s="277"/>
      <c r="D21" s="287"/>
      <c r="F21" s="284"/>
      <c r="H21" s="288"/>
      <c r="J21" s="282"/>
      <c r="L21" s="289"/>
    </row>
    <row r="22" spans="2:12" ht="15.6">
      <c r="B22" s="275"/>
      <c r="C22" s="275"/>
      <c r="D22" s="290"/>
      <c r="E22" s="275"/>
      <c r="F22" s="284"/>
      <c r="G22" s="275"/>
      <c r="H22" s="291"/>
      <c r="I22" s="275"/>
      <c r="J22" s="275"/>
      <c r="K22" s="275"/>
      <c r="L22" s="277"/>
    </row>
    <row r="23" spans="2:12">
      <c r="B23" s="277"/>
      <c r="D23" s="287"/>
      <c r="F23" s="284"/>
      <c r="H23" s="292"/>
      <c r="J23" s="282"/>
      <c r="L23" s="293"/>
    </row>
  </sheetData>
  <mergeCells count="2">
    <mergeCell ref="B10:D10"/>
    <mergeCell ref="B16:D16"/>
  </mergeCells>
  <phoneticPr fontId="51" type="noConversion"/>
  <pageMargins left="0.75" right="0.75" top="1" bottom="1" header="0.5" footer="0.5"/>
  <pageSetup orientation="landscape" horizontalDpi="300" verticalDpi="300" r:id="rId1"/>
  <headerFooter alignWithMargins="0"/>
  <colBreaks count="1" manualBreakCount="1">
    <brk id="12"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32"/>
  <sheetViews>
    <sheetView view="pageBreakPreview" topLeftCell="A7" workbookViewId="0">
      <selection activeCell="C17" sqref="C17"/>
    </sheetView>
  </sheetViews>
  <sheetFormatPr defaultColWidth="9" defaultRowHeight="14.4"/>
  <cols>
    <col min="1" max="1" width="36" style="267" bestFit="1" customWidth="1"/>
    <col min="2" max="2" width="14.5" style="255" bestFit="1" customWidth="1"/>
    <col min="3" max="3" width="12.69921875" style="255" customWidth="1"/>
    <col min="4" max="5" width="11.5" style="255" customWidth="1"/>
    <col min="6" max="6" width="11.69921875" style="255" customWidth="1"/>
    <col min="7" max="16384" width="9" style="255"/>
  </cols>
  <sheetData>
    <row r="1" spans="1:13">
      <c r="A1" s="254" t="s">
        <v>296</v>
      </c>
    </row>
    <row r="2" spans="1:13">
      <c r="A2" s="254" t="s">
        <v>355</v>
      </c>
    </row>
    <row r="3" spans="1:13">
      <c r="A3" s="254" t="s">
        <v>218</v>
      </c>
    </row>
    <row r="4" spans="1:13">
      <c r="A4" s="254"/>
    </row>
    <row r="5" spans="1:13">
      <c r="A5" s="256" t="s">
        <v>219</v>
      </c>
    </row>
    <row r="6" spans="1:13">
      <c r="A6" s="256" t="s">
        <v>220</v>
      </c>
    </row>
    <row r="7" spans="1:13">
      <c r="A7" s="256" t="s">
        <v>221</v>
      </c>
    </row>
    <row r="8" spans="1:13">
      <c r="A8" s="256" t="s">
        <v>222</v>
      </c>
    </row>
    <row r="9" spans="1:13">
      <c r="A9" s="256" t="s">
        <v>356</v>
      </c>
    </row>
    <row r="10" spans="1:13">
      <c r="A10" s="254"/>
    </row>
    <row r="12" spans="1:13" ht="12.75" customHeight="1">
      <c r="A12" s="2715" t="s">
        <v>110</v>
      </c>
      <c r="B12" s="2715" t="s">
        <v>305</v>
      </c>
      <c r="C12" s="2715" t="s">
        <v>223</v>
      </c>
      <c r="D12" s="2715" t="s">
        <v>224</v>
      </c>
      <c r="E12" s="2722" t="s">
        <v>362</v>
      </c>
      <c r="F12" s="2717" t="s">
        <v>217</v>
      </c>
      <c r="G12" s="2717" t="s">
        <v>359</v>
      </c>
    </row>
    <row r="13" spans="1:13" ht="17.25" customHeight="1">
      <c r="A13" s="2715"/>
      <c r="B13" s="2716"/>
      <c r="C13" s="2716"/>
      <c r="D13" s="2716"/>
      <c r="E13" s="2723"/>
      <c r="F13" s="2717"/>
      <c r="G13" s="2717"/>
    </row>
    <row r="14" spans="1:13" ht="30" customHeight="1">
      <c r="A14" s="2715"/>
      <c r="B14" s="2719" t="s">
        <v>303</v>
      </c>
      <c r="C14" s="2720"/>
      <c r="D14" s="2720"/>
      <c r="E14" s="2721"/>
      <c r="F14" s="2718"/>
      <c r="G14" s="2718"/>
    </row>
    <row r="15" spans="1:13">
      <c r="A15" s="257"/>
      <c r="B15" s="258"/>
      <c r="C15" s="258"/>
      <c r="D15" s="258"/>
      <c r="E15" s="258"/>
      <c r="F15" s="259"/>
    </row>
    <row r="16" spans="1:13">
      <c r="A16" s="260" t="s">
        <v>274</v>
      </c>
      <c r="B16" s="261" t="s">
        <v>225</v>
      </c>
      <c r="C16" s="262">
        <v>15771</v>
      </c>
      <c r="D16" s="262">
        <f>ROUND(C16/1000,0)</f>
        <v>16</v>
      </c>
      <c r="E16" s="361">
        <f>D16/$D$26</f>
        <v>4.2957287032537463E-5</v>
      </c>
      <c r="F16" s="262">
        <f>D16</f>
        <v>16</v>
      </c>
      <c r="G16" s="260" t="s">
        <v>360</v>
      </c>
      <c r="H16" s="255">
        <v>48440</v>
      </c>
      <c r="I16" s="255">
        <v>0</v>
      </c>
      <c r="J16" s="255">
        <v>0</v>
      </c>
      <c r="K16" s="255">
        <v>0</v>
      </c>
      <c r="L16" s="255">
        <v>0</v>
      </c>
      <c r="M16" s="255">
        <v>0</v>
      </c>
    </row>
    <row r="17" spans="1:13" ht="5.0999999999999996" customHeight="1">
      <c r="A17" s="260"/>
      <c r="B17" s="261"/>
      <c r="C17" s="262"/>
      <c r="D17" s="262"/>
      <c r="E17" s="262"/>
      <c r="F17" s="262"/>
    </row>
    <row r="18" spans="1:13">
      <c r="A18" s="260" t="s">
        <v>358</v>
      </c>
      <c r="B18" s="261" t="s">
        <v>225</v>
      </c>
      <c r="C18" s="262">
        <v>4659</v>
      </c>
      <c r="D18" s="262">
        <f>ROUND(C18/1000,0)</f>
        <v>5</v>
      </c>
      <c r="E18" s="361">
        <f>D18/$D$26</f>
        <v>1.3424152197667957E-5</v>
      </c>
      <c r="F18" s="262">
        <f>D18</f>
        <v>5</v>
      </c>
      <c r="G18" s="260" t="s">
        <v>360</v>
      </c>
    </row>
    <row r="19" spans="1:13" ht="5.0999999999999996" customHeight="1">
      <c r="A19" s="260"/>
      <c r="B19" s="261"/>
      <c r="C19" s="262"/>
      <c r="D19" s="262"/>
      <c r="E19" s="262"/>
      <c r="F19" s="262"/>
    </row>
    <row r="20" spans="1:13">
      <c r="A20" s="260" t="s">
        <v>275</v>
      </c>
      <c r="B20" s="261" t="s">
        <v>225</v>
      </c>
      <c r="C20" s="262">
        <v>356372315</v>
      </c>
      <c r="D20" s="262">
        <f>ROUND(C20/1000,0)</f>
        <v>356372</v>
      </c>
      <c r="E20" s="361">
        <f>D20/$D$26</f>
        <v>0.95679839339746497</v>
      </c>
      <c r="F20" s="262">
        <f>D20</f>
        <v>356372</v>
      </c>
      <c r="G20" s="260" t="s">
        <v>360</v>
      </c>
      <c r="H20" s="255">
        <v>48440</v>
      </c>
      <c r="I20" s="255">
        <v>0</v>
      </c>
      <c r="J20" s="255">
        <v>0</v>
      </c>
      <c r="K20" s="255">
        <v>0</v>
      </c>
      <c r="L20" s="255">
        <v>0</v>
      </c>
      <c r="M20" s="255">
        <v>0</v>
      </c>
    </row>
    <row r="21" spans="1:13" ht="3.75" customHeight="1">
      <c r="A21" s="260"/>
      <c r="B21" s="261"/>
      <c r="C21" s="262"/>
      <c r="D21" s="262"/>
      <c r="E21" s="262"/>
      <c r="F21" s="262"/>
    </row>
    <row r="22" spans="1:13">
      <c r="A22" s="260" t="s">
        <v>304</v>
      </c>
      <c r="B22" s="261" t="s">
        <v>225</v>
      </c>
      <c r="C22" s="262">
        <v>49018</v>
      </c>
      <c r="D22" s="262">
        <f>ROUND(C22/1000,0)</f>
        <v>49</v>
      </c>
      <c r="E22" s="361">
        <f>D22/$D$26</f>
        <v>1.3155669153714597E-4</v>
      </c>
      <c r="F22" s="262">
        <f>D22</f>
        <v>49</v>
      </c>
      <c r="G22" s="260" t="s">
        <v>360</v>
      </c>
      <c r="H22" s="255">
        <v>4</v>
      </c>
      <c r="I22" s="255">
        <v>0</v>
      </c>
      <c r="J22" s="255">
        <v>0</v>
      </c>
      <c r="K22" s="255">
        <v>0</v>
      </c>
      <c r="L22" s="255">
        <v>0</v>
      </c>
      <c r="M22" s="255">
        <v>0</v>
      </c>
    </row>
    <row r="23" spans="1:13" ht="5.0999999999999996" customHeight="1">
      <c r="A23" s="260"/>
      <c r="B23" s="261"/>
      <c r="C23" s="262"/>
      <c r="D23" s="262"/>
      <c r="E23" s="262"/>
      <c r="F23" s="262"/>
    </row>
    <row r="24" spans="1:13">
      <c r="A24" s="260" t="s">
        <v>357</v>
      </c>
      <c r="B24" s="261" t="s">
        <v>225</v>
      </c>
      <c r="C24" s="262">
        <v>16020978</v>
      </c>
      <c r="D24" s="262">
        <f>ROUND(C24/1000,0)</f>
        <v>16021</v>
      </c>
      <c r="E24" s="361">
        <f>D24/$D$26</f>
        <v>4.3013668471767665E-2</v>
      </c>
      <c r="F24" s="262">
        <f>D24</f>
        <v>16021</v>
      </c>
      <c r="G24" s="260" t="s">
        <v>361</v>
      </c>
      <c r="H24" s="255">
        <v>4124</v>
      </c>
      <c r="I24" s="255">
        <v>0</v>
      </c>
      <c r="J24" s="255">
        <v>0</v>
      </c>
      <c r="K24" s="255">
        <v>0</v>
      </c>
      <c r="L24" s="255">
        <v>0</v>
      </c>
      <c r="M24" s="255">
        <v>0</v>
      </c>
    </row>
    <row r="25" spans="1:13" ht="5.0999999999999996" customHeight="1">
      <c r="A25" s="260"/>
      <c r="B25" s="261"/>
      <c r="C25" s="262"/>
      <c r="D25" s="262"/>
      <c r="E25" s="262"/>
      <c r="F25" s="262"/>
    </row>
    <row r="26" spans="1:13" ht="15" thickBot="1">
      <c r="A26" s="260"/>
      <c r="B26" s="261"/>
      <c r="C26" s="263">
        <f>SUM(C16:C25)</f>
        <v>372462741</v>
      </c>
      <c r="D26" s="263">
        <f>SUM(D16:D25)</f>
        <v>372463</v>
      </c>
      <c r="E26" s="362">
        <f>SUM(E16:E25)</f>
        <v>1</v>
      </c>
      <c r="F26" s="263">
        <f>SUM(F16:F25)</f>
        <v>372463</v>
      </c>
      <c r="H26" s="255">
        <f t="shared" ref="H26:M26" si="0">SUM(H16:H25)</f>
        <v>101008</v>
      </c>
      <c r="I26" s="255">
        <f t="shared" si="0"/>
        <v>0</v>
      </c>
      <c r="J26" s="255">
        <f t="shared" si="0"/>
        <v>0</v>
      </c>
      <c r="K26" s="255">
        <f t="shared" si="0"/>
        <v>0</v>
      </c>
      <c r="L26" s="255">
        <f t="shared" si="0"/>
        <v>0</v>
      </c>
      <c r="M26" s="255">
        <f t="shared" si="0"/>
        <v>0</v>
      </c>
    </row>
    <row r="27" spans="1:13" ht="15" thickTop="1">
      <c r="A27" s="255"/>
      <c r="H27" s="264"/>
    </row>
    <row r="28" spans="1:13">
      <c r="A28" s="255"/>
      <c r="C28" s="265" t="s">
        <v>226</v>
      </c>
      <c r="F28" s="266">
        <f>ROUND(F26/$D$26,8)</f>
        <v>1</v>
      </c>
    </row>
    <row r="29" spans="1:13">
      <c r="A29" s="255"/>
    </row>
    <row r="30" spans="1:13">
      <c r="A30" s="255"/>
    </row>
    <row r="31" spans="1:13">
      <c r="A31" s="255"/>
      <c r="C31" s="264"/>
    </row>
    <row r="32" spans="1:13">
      <c r="A32" s="255"/>
    </row>
  </sheetData>
  <mergeCells count="8">
    <mergeCell ref="A12:A14"/>
    <mergeCell ref="D12:D13"/>
    <mergeCell ref="B12:B13"/>
    <mergeCell ref="G12:G14"/>
    <mergeCell ref="B14:E14"/>
    <mergeCell ref="E12:E13"/>
    <mergeCell ref="F12:F14"/>
    <mergeCell ref="C12:C13"/>
  </mergeCells>
  <phoneticPr fontId="51" type="noConversion"/>
  <printOptions horizontalCentered="1"/>
  <pageMargins left="1.1599999999999999" right="0.75" top="0.5" bottom="0.5" header="0.5" footer="0.5"/>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48"/>
  <sheetViews>
    <sheetView showGridLines="0" view="pageBreakPreview" topLeftCell="A6" zoomScaleSheetLayoutView="100" workbookViewId="0">
      <selection activeCell="B24" sqref="B24"/>
    </sheetView>
  </sheetViews>
  <sheetFormatPr defaultColWidth="9" defaultRowHeight="11.4"/>
  <cols>
    <col min="1" max="1" width="38.69921875" style="386" customWidth="1"/>
    <col min="2" max="2" width="18.5" style="395" bestFit="1" customWidth="1"/>
    <col min="3" max="3" width="13.19921875" style="386" bestFit="1" customWidth="1"/>
    <col min="4" max="4" width="14.69921875" style="386" bestFit="1" customWidth="1"/>
    <col min="5" max="16384" width="9" style="386"/>
  </cols>
  <sheetData>
    <row r="1" spans="1:4" ht="12" thickBot="1">
      <c r="A1" s="400" t="s">
        <v>401</v>
      </c>
      <c r="B1" s="2726" t="s">
        <v>459</v>
      </c>
      <c r="C1" s="2726"/>
      <c r="D1" s="2726"/>
    </row>
    <row r="2" spans="1:4" ht="12" thickBot="1">
      <c r="A2" s="400" t="s">
        <v>402</v>
      </c>
      <c r="B2" s="2727">
        <v>42185</v>
      </c>
      <c r="C2" s="2727"/>
      <c r="D2" s="2727"/>
    </row>
    <row r="3" spans="1:4" ht="12" thickBot="1">
      <c r="A3" s="400" t="s">
        <v>403</v>
      </c>
      <c r="B3" s="2726" t="s">
        <v>460</v>
      </c>
      <c r="C3" s="2726"/>
      <c r="D3" s="2726"/>
    </row>
    <row r="4" spans="1:4" ht="12" thickBot="1">
      <c r="A4" s="400" t="s">
        <v>404</v>
      </c>
      <c r="B4" s="2726" t="s">
        <v>405</v>
      </c>
      <c r="C4" s="2726"/>
      <c r="D4" s="2726"/>
    </row>
    <row r="5" spans="1:4" ht="12" thickBot="1">
      <c r="A5" s="400" t="s">
        <v>406</v>
      </c>
      <c r="B5" s="2726" t="s">
        <v>407</v>
      </c>
      <c r="C5" s="2726"/>
      <c r="D5" s="2726"/>
    </row>
    <row r="6" spans="1:4" ht="12" thickBot="1">
      <c r="A6" s="400" t="s">
        <v>408</v>
      </c>
      <c r="B6" s="2726" t="s">
        <v>409</v>
      </c>
      <c r="C6" s="2726"/>
      <c r="D6" s="2726"/>
    </row>
    <row r="7" spans="1:4" ht="12" thickBot="1">
      <c r="A7" s="400" t="s">
        <v>410</v>
      </c>
      <c r="B7" s="2726"/>
      <c r="C7" s="2726"/>
      <c r="D7" s="2726"/>
    </row>
    <row r="9" spans="1:4" ht="12" thickBot="1"/>
    <row r="10" spans="1:4" ht="12" thickBot="1">
      <c r="A10" s="391" t="s">
        <v>261</v>
      </c>
      <c r="B10" s="392" t="s">
        <v>429</v>
      </c>
      <c r="C10" s="390" t="s">
        <v>52</v>
      </c>
    </row>
    <row r="11" spans="1:4">
      <c r="A11" s="387" t="s">
        <v>377</v>
      </c>
      <c r="B11" s="388">
        <v>0</v>
      </c>
      <c r="C11" s="389">
        <v>0</v>
      </c>
    </row>
    <row r="12" spans="1:4">
      <c r="B12" s="389"/>
      <c r="C12" s="389"/>
    </row>
    <row r="13" spans="1:4">
      <c r="A13" s="386" t="s">
        <v>427</v>
      </c>
      <c r="B13" s="389">
        <v>220182818</v>
      </c>
      <c r="C13" s="389">
        <f>ROUND(UHF!E13,0)</f>
        <v>1508195</v>
      </c>
    </row>
    <row r="14" spans="1:4">
      <c r="B14" s="389"/>
      <c r="C14" s="389"/>
    </row>
    <row r="15" spans="1:4">
      <c r="A15" s="386" t="s">
        <v>428</v>
      </c>
      <c r="B15" s="389">
        <v>106630337</v>
      </c>
      <c r="C15" s="389">
        <f>ROUND(UHF!E15,0)</f>
        <v>-1423065</v>
      </c>
    </row>
    <row r="16" spans="1:4">
      <c r="B16" s="396"/>
      <c r="C16" s="389"/>
    </row>
    <row r="17" spans="1:4" ht="12" thickBot="1">
      <c r="A17" s="386" t="s">
        <v>342</v>
      </c>
      <c r="B17" s="397">
        <f>ROUND(+B13-B15,0)</f>
        <v>113552481</v>
      </c>
      <c r="C17" s="397">
        <f>ROUND(+C13+C15,0)</f>
        <v>85130</v>
      </c>
    </row>
    <row r="18" spans="1:4" ht="12" thickTop="1">
      <c r="B18" s="396"/>
      <c r="C18" s="389"/>
    </row>
    <row r="19" spans="1:4" ht="12" thickBot="1">
      <c r="B19" s="396"/>
      <c r="C19" s="389"/>
    </row>
    <row r="20" spans="1:4" ht="12" thickBot="1">
      <c r="A20" s="2724" t="s">
        <v>430</v>
      </c>
      <c r="B20" s="2725"/>
      <c r="C20" s="2725"/>
      <c r="D20" s="2725"/>
    </row>
    <row r="21" spans="1:4">
      <c r="B21" s="396"/>
      <c r="C21" s="389"/>
    </row>
    <row r="22" spans="1:4">
      <c r="A22" s="386" t="s">
        <v>431</v>
      </c>
      <c r="B22" s="393">
        <f>B17</f>
        <v>113552481</v>
      </c>
      <c r="C22" s="389"/>
    </row>
    <row r="23" spans="1:4">
      <c r="B23" s="393"/>
      <c r="C23" s="389"/>
    </row>
    <row r="24" spans="1:4">
      <c r="A24" s="386" t="s">
        <v>432</v>
      </c>
      <c r="B24" s="394">
        <v>172253473.8046</v>
      </c>
      <c r="C24" s="389"/>
    </row>
    <row r="25" spans="1:4">
      <c r="A25" s="386" t="s">
        <v>433</v>
      </c>
      <c r="B25" s="393">
        <f>-B22+B24</f>
        <v>58700992.8046</v>
      </c>
      <c r="C25" s="389"/>
    </row>
    <row r="26" spans="1:4">
      <c r="B26" s="386"/>
      <c r="C26" s="389"/>
    </row>
    <row r="27" spans="1:4">
      <c r="A27" s="386" t="s">
        <v>434</v>
      </c>
      <c r="B27" s="459">
        <v>10.884499999999999</v>
      </c>
      <c r="C27" s="389"/>
    </row>
    <row r="28" spans="1:4">
      <c r="B28" s="460">
        <f>B25*B27</f>
        <v>638930956.18166864</v>
      </c>
      <c r="C28" s="389"/>
    </row>
    <row r="29" spans="1:4">
      <c r="B29" s="396"/>
      <c r="C29" s="389"/>
    </row>
    <row r="30" spans="1:4">
      <c r="B30" s="386"/>
      <c r="C30" s="389"/>
    </row>
    <row r="31" spans="1:4">
      <c r="A31" s="386" t="s">
        <v>647</v>
      </c>
      <c r="B31" s="393">
        <v>659567396.5</v>
      </c>
      <c r="C31" s="389"/>
    </row>
    <row r="32" spans="1:4">
      <c r="B32" s="386"/>
      <c r="C32" s="389"/>
    </row>
    <row r="33" spans="1:3" ht="12" thickBot="1">
      <c r="A33" s="386" t="s">
        <v>437</v>
      </c>
      <c r="B33" s="401">
        <f>+B31-B28</f>
        <v>20636440.318331361</v>
      </c>
      <c r="C33" s="389">
        <f>ROUND(B33/1000,0)</f>
        <v>20636</v>
      </c>
    </row>
    <row r="34" spans="1:3" ht="12" thickTop="1">
      <c r="B34" s="396"/>
      <c r="C34" s="389"/>
    </row>
    <row r="35" spans="1:3">
      <c r="A35" s="398" t="s">
        <v>435</v>
      </c>
      <c r="B35" s="399"/>
      <c r="C35" s="389">
        <f>ROUND(B35/1000,0)</f>
        <v>0</v>
      </c>
    </row>
    <row r="36" spans="1:3">
      <c r="A36" s="398" t="s">
        <v>436</v>
      </c>
      <c r="B36" s="396"/>
      <c r="C36" s="389">
        <f>ROUND(B36/1000,0)</f>
        <v>0</v>
      </c>
    </row>
    <row r="37" spans="1:3">
      <c r="B37" s="396"/>
      <c r="C37" s="389"/>
    </row>
    <row r="38" spans="1:3">
      <c r="B38" s="396"/>
      <c r="C38" s="389"/>
    </row>
    <row r="39" spans="1:3">
      <c r="B39" s="396"/>
      <c r="C39" s="389"/>
    </row>
    <row r="40" spans="1:3">
      <c r="B40" s="396"/>
      <c r="C40" s="389"/>
    </row>
    <row r="41" spans="1:3">
      <c r="B41" s="396"/>
      <c r="C41" s="389"/>
    </row>
    <row r="42" spans="1:3">
      <c r="B42" s="396"/>
      <c r="C42" s="389"/>
    </row>
    <row r="43" spans="1:3">
      <c r="B43" s="396"/>
      <c r="C43" s="389"/>
    </row>
    <row r="44" spans="1:3">
      <c r="B44" s="396"/>
      <c r="C44" s="389"/>
    </row>
    <row r="45" spans="1:3">
      <c r="B45" s="396"/>
      <c r="C45" s="389"/>
    </row>
    <row r="46" spans="1:3">
      <c r="B46" s="396"/>
      <c r="C46" s="389"/>
    </row>
    <row r="47" spans="1:3">
      <c r="B47" s="386"/>
    </row>
    <row r="48" spans="1:3">
      <c r="B48" s="386"/>
    </row>
  </sheetData>
  <mergeCells count="8">
    <mergeCell ref="A20:D20"/>
    <mergeCell ref="B1:D1"/>
    <mergeCell ref="B2:D2"/>
    <mergeCell ref="B3:D3"/>
    <mergeCell ref="B4:D4"/>
    <mergeCell ref="B5:D5"/>
    <mergeCell ref="B6:D6"/>
    <mergeCell ref="B7:D7"/>
  </mergeCells>
  <pageMargins left="0.7" right="0.7" top="0.75" bottom="0.75" header="0.3" footer="0.3"/>
  <pageSetup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59"/>
  <sheetViews>
    <sheetView workbookViewId="0"/>
  </sheetViews>
  <sheetFormatPr defaultColWidth="9" defaultRowHeight="15.6"/>
  <cols>
    <col min="1" max="1" width="14.19921875" style="383" bestFit="1" customWidth="1"/>
    <col min="2" max="2" width="9" style="383"/>
    <col min="3" max="3" width="23" style="383" bestFit="1" customWidth="1"/>
    <col min="4" max="5" width="14.69921875" style="382" bestFit="1" customWidth="1"/>
    <col min="6" max="6" width="13.09765625" style="383" bestFit="1" customWidth="1"/>
    <col min="7" max="16384" width="9" style="383"/>
  </cols>
  <sheetData>
    <row r="1" spans="1:5" ht="16.2" thickBot="1">
      <c r="A1" s="381" t="s">
        <v>401</v>
      </c>
      <c r="B1" s="2728" t="s">
        <v>425</v>
      </c>
      <c r="C1" s="2726"/>
      <c r="D1" s="2726"/>
    </row>
    <row r="2" spans="1:5" ht="16.2" thickBot="1">
      <c r="A2" s="381" t="s">
        <v>402</v>
      </c>
      <c r="B2" s="2729">
        <v>42185</v>
      </c>
      <c r="C2" s="2727"/>
      <c r="D2" s="2727"/>
    </row>
    <row r="3" spans="1:5" ht="16.2" thickBot="1">
      <c r="A3" s="381" t="s">
        <v>403</v>
      </c>
      <c r="B3" s="2728" t="s">
        <v>426</v>
      </c>
      <c r="C3" s="2726"/>
      <c r="D3" s="2726"/>
    </row>
    <row r="4" spans="1:5" ht="16.2" thickBot="1">
      <c r="A4" s="381" t="s">
        <v>404</v>
      </c>
      <c r="B4" s="2728" t="s">
        <v>405</v>
      </c>
      <c r="C4" s="2726"/>
      <c r="D4" s="2726"/>
    </row>
    <row r="5" spans="1:5" ht="16.2" thickBot="1">
      <c r="A5" s="381" t="s">
        <v>406</v>
      </c>
      <c r="B5" s="2728" t="s">
        <v>407</v>
      </c>
      <c r="C5" s="2726"/>
      <c r="D5" s="2726"/>
    </row>
    <row r="6" spans="1:5" ht="16.2" thickBot="1">
      <c r="A6" s="381" t="s">
        <v>408</v>
      </c>
      <c r="B6" s="2728" t="s">
        <v>409</v>
      </c>
      <c r="C6" s="2726"/>
      <c r="D6" s="2726"/>
    </row>
    <row r="7" spans="1:5" ht="16.2" thickBot="1">
      <c r="A7" s="381" t="s">
        <v>410</v>
      </c>
      <c r="B7" s="2728"/>
      <c r="C7" s="2726"/>
      <c r="D7" s="2726"/>
    </row>
    <row r="13" spans="1:5">
      <c r="D13" s="382" t="s">
        <v>411</v>
      </c>
      <c r="E13" s="382" t="s">
        <v>412</v>
      </c>
    </row>
    <row r="14" spans="1:5">
      <c r="C14" s="383" t="s">
        <v>413</v>
      </c>
      <c r="D14" s="384">
        <v>0</v>
      </c>
    </row>
    <row r="16" spans="1:5">
      <c r="C16" s="383" t="s">
        <v>414</v>
      </c>
      <c r="D16" s="384">
        <v>100368356.83400014</v>
      </c>
    </row>
    <row r="17" spans="3:6">
      <c r="C17" s="383" t="s">
        <v>415</v>
      </c>
      <c r="D17" s="384">
        <v>24184516.492400005</v>
      </c>
    </row>
    <row r="19" spans="3:6">
      <c r="C19" s="383" t="s">
        <v>416</v>
      </c>
      <c r="D19" s="382">
        <f>D14+D16-D17</f>
        <v>76183840.341600135</v>
      </c>
    </row>
    <row r="21" spans="3:6">
      <c r="C21" s="383" t="s">
        <v>378</v>
      </c>
      <c r="D21" s="382">
        <f>D16-D17</f>
        <v>76183840.341600135</v>
      </c>
    </row>
    <row r="23" spans="3:6">
      <c r="C23" s="383" t="s">
        <v>417</v>
      </c>
      <c r="D23" s="384">
        <v>10</v>
      </c>
    </row>
    <row r="25" spans="3:6">
      <c r="C25" s="383" t="s">
        <v>418</v>
      </c>
      <c r="D25" s="382">
        <f>D23*D21</f>
        <v>761838403.41600132</v>
      </c>
    </row>
    <row r="27" spans="3:6">
      <c r="C27" s="383" t="s">
        <v>419</v>
      </c>
      <c r="D27" s="384">
        <v>1005415655.229997</v>
      </c>
    </row>
    <row r="28" spans="3:6">
      <c r="C28" s="383" t="s">
        <v>420</v>
      </c>
      <c r="D28" s="384">
        <v>234199652.13000014</v>
      </c>
    </row>
    <row r="30" spans="3:6">
      <c r="C30" s="383" t="s">
        <v>421</v>
      </c>
      <c r="D30" s="382">
        <f>D27-D28</f>
        <v>771216003.09999692</v>
      </c>
    </row>
    <row r="32" spans="3:6">
      <c r="C32" s="383" t="s">
        <v>328</v>
      </c>
      <c r="D32" s="382">
        <f>D25-D30</f>
        <v>-9377599.6839956045</v>
      </c>
      <c r="E32" s="384">
        <v>9382000</v>
      </c>
      <c r="F32" s="385">
        <f>E32+D32</f>
        <v>4400.3160043954849</v>
      </c>
    </row>
    <row r="36" spans="3:4">
      <c r="C36" s="383" t="s">
        <v>422</v>
      </c>
      <c r="D36" s="382">
        <f>D19</f>
        <v>76183840.341600135</v>
      </c>
    </row>
    <row r="38" spans="3:4">
      <c r="C38" s="383" t="s">
        <v>414</v>
      </c>
      <c r="D38" s="384">
        <v>119814461.02299999</v>
      </c>
    </row>
    <row r="39" spans="3:4">
      <c r="C39" s="383" t="s">
        <v>415</v>
      </c>
      <c r="D39" s="384">
        <v>82445820.211199999</v>
      </c>
    </row>
    <row r="41" spans="3:4">
      <c r="C41" s="383" t="s">
        <v>423</v>
      </c>
      <c r="D41" s="382">
        <f>D36+D38-D39</f>
        <v>113552481.15340012</v>
      </c>
    </row>
    <row r="43" spans="3:4">
      <c r="C43" s="383" t="s">
        <v>378</v>
      </c>
      <c r="D43" s="382">
        <f>D38-D39</f>
        <v>37368640.811799988</v>
      </c>
    </row>
    <row r="45" spans="3:4">
      <c r="C45" s="383" t="s">
        <v>417</v>
      </c>
      <c r="D45" s="382">
        <f>D23</f>
        <v>10</v>
      </c>
    </row>
    <row r="47" spans="3:4">
      <c r="C47" s="383" t="s">
        <v>418</v>
      </c>
      <c r="D47" s="382">
        <f>D45*D43</f>
        <v>373686408.11799991</v>
      </c>
    </row>
    <row r="49" spans="3:6">
      <c r="C49" s="383" t="s">
        <v>419</v>
      </c>
      <c r="D49" s="384">
        <v>1301902055.4399981</v>
      </c>
    </row>
    <row r="50" spans="3:6">
      <c r="C50" s="383" t="s">
        <v>420</v>
      </c>
      <c r="D50" s="384">
        <v>904086650.57000029</v>
      </c>
    </row>
    <row r="52" spans="3:6">
      <c r="C52" s="383" t="s">
        <v>421</v>
      </c>
      <c r="D52" s="382">
        <f>D49-D50</f>
        <v>397815404.86999786</v>
      </c>
    </row>
    <row r="54" spans="3:6">
      <c r="C54" s="383" t="s">
        <v>328</v>
      </c>
      <c r="D54" s="382">
        <f>D47-D52</f>
        <v>-24128996.751997948</v>
      </c>
      <c r="E54" s="384">
        <v>24125000</v>
      </c>
      <c r="F54" s="385">
        <f>D54+E54</f>
        <v>-3996.7519979476929</v>
      </c>
    </row>
    <row r="56" spans="3:6">
      <c r="C56" s="383" t="s">
        <v>424</v>
      </c>
      <c r="D56" s="385">
        <f>D54+D32</f>
        <v>-33506596.435993552</v>
      </c>
      <c r="E56" s="382">
        <f>E54+E32</f>
        <v>33507000</v>
      </c>
      <c r="F56" s="385">
        <f>D56+E56</f>
        <v>403.56400644779205</v>
      </c>
    </row>
    <row r="59" spans="3:6">
      <c r="C59" s="383" t="s">
        <v>421</v>
      </c>
      <c r="D59" s="382">
        <f>D52+D30</f>
        <v>1169031407.9699948</v>
      </c>
      <c r="E59" s="384">
        <v>1169031000</v>
      </c>
      <c r="F59" s="385">
        <f>D59-E59</f>
        <v>407.96999478340149</v>
      </c>
    </row>
  </sheetData>
  <mergeCells count="7">
    <mergeCell ref="B7:D7"/>
    <mergeCell ref="B1:D1"/>
    <mergeCell ref="B2:D2"/>
    <mergeCell ref="B3:D3"/>
    <mergeCell ref="B4:D4"/>
    <mergeCell ref="B5:D5"/>
    <mergeCell ref="B6:D6"/>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32"/>
  <sheetViews>
    <sheetView showGridLines="0" view="pageBreakPreview" topLeftCell="A2" zoomScaleSheetLayoutView="100" workbookViewId="0">
      <selection activeCell="B28" sqref="B28"/>
    </sheetView>
  </sheetViews>
  <sheetFormatPr defaultRowHeight="11.4"/>
  <cols>
    <col min="1" max="1" width="34.5" style="407" bestFit="1" customWidth="1"/>
    <col min="2" max="2" width="12.19921875" style="407" bestFit="1" customWidth="1"/>
    <col min="3" max="3" width="12.5" style="414" bestFit="1" customWidth="1"/>
    <col min="4" max="4" width="11.69921875" style="407" bestFit="1" customWidth="1"/>
    <col min="5" max="5" width="11.59765625" style="407" bestFit="1" customWidth="1"/>
    <col min="6" max="6" width="10.5" style="407" bestFit="1" customWidth="1"/>
    <col min="7" max="7" width="10.69921875" style="407" bestFit="1" customWidth="1"/>
    <col min="8" max="8" width="22.09765625" style="407" customWidth="1"/>
    <col min="9" max="255" width="9" style="407"/>
    <col min="256" max="256" width="48.69921875" style="407" customWidth="1"/>
    <col min="257" max="257" width="9.5" style="407" customWidth="1"/>
    <col min="258" max="258" width="13.19921875" style="407" bestFit="1" customWidth="1"/>
    <col min="259" max="261" width="0" style="407" hidden="1" customWidth="1"/>
    <col min="262" max="262" width="10.59765625" style="407" customWidth="1"/>
    <col min="263" max="511" width="9" style="407"/>
    <col min="512" max="512" width="48.69921875" style="407" customWidth="1"/>
    <col min="513" max="513" width="9.5" style="407" customWidth="1"/>
    <col min="514" max="514" width="13.19921875" style="407" bestFit="1" customWidth="1"/>
    <col min="515" max="517" width="0" style="407" hidden="1" customWidth="1"/>
    <col min="518" max="518" width="10.59765625" style="407" customWidth="1"/>
    <col min="519" max="767" width="9" style="407"/>
    <col min="768" max="768" width="48.69921875" style="407" customWidth="1"/>
    <col min="769" max="769" width="9.5" style="407" customWidth="1"/>
    <col min="770" max="770" width="13.19921875" style="407" bestFit="1" customWidth="1"/>
    <col min="771" max="773" width="0" style="407" hidden="1" customWidth="1"/>
    <col min="774" max="774" width="10.59765625" style="407" customWidth="1"/>
    <col min="775" max="1023" width="9" style="407"/>
    <col min="1024" max="1024" width="48.69921875" style="407" customWidth="1"/>
    <col min="1025" max="1025" width="9.5" style="407" customWidth="1"/>
    <col min="1026" max="1026" width="13.19921875" style="407" bestFit="1" customWidth="1"/>
    <col min="1027" max="1029" width="0" style="407" hidden="1" customWidth="1"/>
    <col min="1030" max="1030" width="10.59765625" style="407" customWidth="1"/>
    <col min="1031" max="1279" width="9" style="407"/>
    <col min="1280" max="1280" width="48.69921875" style="407" customWidth="1"/>
    <col min="1281" max="1281" width="9.5" style="407" customWidth="1"/>
    <col min="1282" max="1282" width="13.19921875" style="407" bestFit="1" customWidth="1"/>
    <col min="1283" max="1285" width="0" style="407" hidden="1" customWidth="1"/>
    <col min="1286" max="1286" width="10.59765625" style="407" customWidth="1"/>
    <col min="1287" max="1535" width="9" style="407"/>
    <col min="1536" max="1536" width="48.69921875" style="407" customWidth="1"/>
    <col min="1537" max="1537" width="9.5" style="407" customWidth="1"/>
    <col min="1538" max="1538" width="13.19921875" style="407" bestFit="1" customWidth="1"/>
    <col min="1539" max="1541" width="0" style="407" hidden="1" customWidth="1"/>
    <col min="1542" max="1542" width="10.59765625" style="407" customWidth="1"/>
    <col min="1543" max="1791" width="9" style="407"/>
    <col min="1792" max="1792" width="48.69921875" style="407" customWidth="1"/>
    <col min="1793" max="1793" width="9.5" style="407" customWidth="1"/>
    <col min="1794" max="1794" width="13.19921875" style="407" bestFit="1" customWidth="1"/>
    <col min="1795" max="1797" width="0" style="407" hidden="1" customWidth="1"/>
    <col min="1798" max="1798" width="10.59765625" style="407" customWidth="1"/>
    <col min="1799" max="2047" width="9" style="407"/>
    <col min="2048" max="2048" width="48.69921875" style="407" customWidth="1"/>
    <col min="2049" max="2049" width="9.5" style="407" customWidth="1"/>
    <col min="2050" max="2050" width="13.19921875" style="407" bestFit="1" customWidth="1"/>
    <col min="2051" max="2053" width="0" style="407" hidden="1" customWidth="1"/>
    <col min="2054" max="2054" width="10.59765625" style="407" customWidth="1"/>
    <col min="2055" max="2303" width="9" style="407"/>
    <col min="2304" max="2304" width="48.69921875" style="407" customWidth="1"/>
    <col min="2305" max="2305" width="9.5" style="407" customWidth="1"/>
    <col min="2306" max="2306" width="13.19921875" style="407" bestFit="1" customWidth="1"/>
    <col min="2307" max="2309" width="0" style="407" hidden="1" customWidth="1"/>
    <col min="2310" max="2310" width="10.59765625" style="407" customWidth="1"/>
    <col min="2311" max="2559" width="9" style="407"/>
    <col min="2560" max="2560" width="48.69921875" style="407" customWidth="1"/>
    <col min="2561" max="2561" width="9.5" style="407" customWidth="1"/>
    <col min="2562" max="2562" width="13.19921875" style="407" bestFit="1" customWidth="1"/>
    <col min="2563" max="2565" width="0" style="407" hidden="1" customWidth="1"/>
    <col min="2566" max="2566" width="10.59765625" style="407" customWidth="1"/>
    <col min="2567" max="2815" width="9" style="407"/>
    <col min="2816" max="2816" width="48.69921875" style="407" customWidth="1"/>
    <col min="2817" max="2817" width="9.5" style="407" customWidth="1"/>
    <col min="2818" max="2818" width="13.19921875" style="407" bestFit="1" customWidth="1"/>
    <col min="2819" max="2821" width="0" style="407" hidden="1" customWidth="1"/>
    <col min="2822" max="2822" width="10.59765625" style="407" customWidth="1"/>
    <col min="2823" max="3071" width="9" style="407"/>
    <col min="3072" max="3072" width="48.69921875" style="407" customWidth="1"/>
    <col min="3073" max="3073" width="9.5" style="407" customWidth="1"/>
    <col min="3074" max="3074" width="13.19921875" style="407" bestFit="1" customWidth="1"/>
    <col min="3075" max="3077" width="0" style="407" hidden="1" customWidth="1"/>
    <col min="3078" max="3078" width="10.59765625" style="407" customWidth="1"/>
    <col min="3079" max="3327" width="9" style="407"/>
    <col min="3328" max="3328" width="48.69921875" style="407" customWidth="1"/>
    <col min="3329" max="3329" width="9.5" style="407" customWidth="1"/>
    <col min="3330" max="3330" width="13.19921875" style="407" bestFit="1" customWidth="1"/>
    <col min="3331" max="3333" width="0" style="407" hidden="1" customWidth="1"/>
    <col min="3334" max="3334" width="10.59765625" style="407" customWidth="1"/>
    <col min="3335" max="3583" width="9" style="407"/>
    <col min="3584" max="3584" width="48.69921875" style="407" customWidth="1"/>
    <col min="3585" max="3585" width="9.5" style="407" customWidth="1"/>
    <col min="3586" max="3586" width="13.19921875" style="407" bestFit="1" customWidth="1"/>
    <col min="3587" max="3589" width="0" style="407" hidden="1" customWidth="1"/>
    <col min="3590" max="3590" width="10.59765625" style="407" customWidth="1"/>
    <col min="3591" max="3839" width="9" style="407"/>
    <col min="3840" max="3840" width="48.69921875" style="407" customWidth="1"/>
    <col min="3841" max="3841" width="9.5" style="407" customWidth="1"/>
    <col min="3842" max="3842" width="13.19921875" style="407" bestFit="1" customWidth="1"/>
    <col min="3843" max="3845" width="0" style="407" hidden="1" customWidth="1"/>
    <col min="3846" max="3846" width="10.59765625" style="407" customWidth="1"/>
    <col min="3847" max="4095" width="9" style="407"/>
    <col min="4096" max="4096" width="48.69921875" style="407" customWidth="1"/>
    <col min="4097" max="4097" width="9.5" style="407" customWidth="1"/>
    <col min="4098" max="4098" width="13.19921875" style="407" bestFit="1" customWidth="1"/>
    <col min="4099" max="4101" width="0" style="407" hidden="1" customWidth="1"/>
    <col min="4102" max="4102" width="10.59765625" style="407" customWidth="1"/>
    <col min="4103" max="4351" width="9" style="407"/>
    <col min="4352" max="4352" width="48.69921875" style="407" customWidth="1"/>
    <col min="4353" max="4353" width="9.5" style="407" customWidth="1"/>
    <col min="4354" max="4354" width="13.19921875" style="407" bestFit="1" customWidth="1"/>
    <col min="4355" max="4357" width="0" style="407" hidden="1" customWidth="1"/>
    <col min="4358" max="4358" width="10.59765625" style="407" customWidth="1"/>
    <col min="4359" max="4607" width="9" style="407"/>
    <col min="4608" max="4608" width="48.69921875" style="407" customWidth="1"/>
    <col min="4609" max="4609" width="9.5" style="407" customWidth="1"/>
    <col min="4610" max="4610" width="13.19921875" style="407" bestFit="1" customWidth="1"/>
    <col min="4611" max="4613" width="0" style="407" hidden="1" customWidth="1"/>
    <col min="4614" max="4614" width="10.59765625" style="407" customWidth="1"/>
    <col min="4615" max="4863" width="9" style="407"/>
    <col min="4864" max="4864" width="48.69921875" style="407" customWidth="1"/>
    <col min="4865" max="4865" width="9.5" style="407" customWidth="1"/>
    <col min="4866" max="4866" width="13.19921875" style="407" bestFit="1" customWidth="1"/>
    <col min="4867" max="4869" width="0" style="407" hidden="1" customWidth="1"/>
    <col min="4870" max="4870" width="10.59765625" style="407" customWidth="1"/>
    <col min="4871" max="5119" width="9" style="407"/>
    <col min="5120" max="5120" width="48.69921875" style="407" customWidth="1"/>
    <col min="5121" max="5121" width="9.5" style="407" customWidth="1"/>
    <col min="5122" max="5122" width="13.19921875" style="407" bestFit="1" customWidth="1"/>
    <col min="5123" max="5125" width="0" style="407" hidden="1" customWidth="1"/>
    <col min="5126" max="5126" width="10.59765625" style="407" customWidth="1"/>
    <col min="5127" max="5375" width="9" style="407"/>
    <col min="5376" max="5376" width="48.69921875" style="407" customWidth="1"/>
    <col min="5377" max="5377" width="9.5" style="407" customWidth="1"/>
    <col min="5378" max="5378" width="13.19921875" style="407" bestFit="1" customWidth="1"/>
    <col min="5379" max="5381" width="0" style="407" hidden="1" customWidth="1"/>
    <col min="5382" max="5382" width="10.59765625" style="407" customWidth="1"/>
    <col min="5383" max="5631" width="9" style="407"/>
    <col min="5632" max="5632" width="48.69921875" style="407" customWidth="1"/>
    <col min="5633" max="5633" width="9.5" style="407" customWidth="1"/>
    <col min="5634" max="5634" width="13.19921875" style="407" bestFit="1" customWidth="1"/>
    <col min="5635" max="5637" width="0" style="407" hidden="1" customWidth="1"/>
    <col min="5638" max="5638" width="10.59765625" style="407" customWidth="1"/>
    <col min="5639" max="5887" width="9" style="407"/>
    <col min="5888" max="5888" width="48.69921875" style="407" customWidth="1"/>
    <col min="5889" max="5889" width="9.5" style="407" customWidth="1"/>
    <col min="5890" max="5890" width="13.19921875" style="407" bestFit="1" customWidth="1"/>
    <col min="5891" max="5893" width="0" style="407" hidden="1" customWidth="1"/>
    <col min="5894" max="5894" width="10.59765625" style="407" customWidth="1"/>
    <col min="5895" max="6143" width="9" style="407"/>
    <col min="6144" max="6144" width="48.69921875" style="407" customWidth="1"/>
    <col min="6145" max="6145" width="9.5" style="407" customWidth="1"/>
    <col min="6146" max="6146" width="13.19921875" style="407" bestFit="1" customWidth="1"/>
    <col min="6147" max="6149" width="0" style="407" hidden="1" customWidth="1"/>
    <col min="6150" max="6150" width="10.59765625" style="407" customWidth="1"/>
    <col min="6151" max="6399" width="9" style="407"/>
    <col min="6400" max="6400" width="48.69921875" style="407" customWidth="1"/>
    <col min="6401" max="6401" width="9.5" style="407" customWidth="1"/>
    <col min="6402" max="6402" width="13.19921875" style="407" bestFit="1" customWidth="1"/>
    <col min="6403" max="6405" width="0" style="407" hidden="1" customWidth="1"/>
    <col min="6406" max="6406" width="10.59765625" style="407" customWidth="1"/>
    <col min="6407" max="6655" width="9" style="407"/>
    <col min="6656" max="6656" width="48.69921875" style="407" customWidth="1"/>
    <col min="6657" max="6657" width="9.5" style="407" customWidth="1"/>
    <col min="6658" max="6658" width="13.19921875" style="407" bestFit="1" customWidth="1"/>
    <col min="6659" max="6661" width="0" style="407" hidden="1" customWidth="1"/>
    <col min="6662" max="6662" width="10.59765625" style="407" customWidth="1"/>
    <col min="6663" max="6911" width="9" style="407"/>
    <col min="6912" max="6912" width="48.69921875" style="407" customWidth="1"/>
    <col min="6913" max="6913" width="9.5" style="407" customWidth="1"/>
    <col min="6914" max="6914" width="13.19921875" style="407" bestFit="1" customWidth="1"/>
    <col min="6915" max="6917" width="0" style="407" hidden="1" customWidth="1"/>
    <col min="6918" max="6918" width="10.59765625" style="407" customWidth="1"/>
    <col min="6919" max="7167" width="9" style="407"/>
    <col min="7168" max="7168" width="48.69921875" style="407" customWidth="1"/>
    <col min="7169" max="7169" width="9.5" style="407" customWidth="1"/>
    <col min="7170" max="7170" width="13.19921875" style="407" bestFit="1" customWidth="1"/>
    <col min="7171" max="7173" width="0" style="407" hidden="1" customWidth="1"/>
    <col min="7174" max="7174" width="10.59765625" style="407" customWidth="1"/>
    <col min="7175" max="7423" width="9" style="407"/>
    <col min="7424" max="7424" width="48.69921875" style="407" customWidth="1"/>
    <col min="7425" max="7425" width="9.5" style="407" customWidth="1"/>
    <col min="7426" max="7426" width="13.19921875" style="407" bestFit="1" customWidth="1"/>
    <col min="7427" max="7429" width="0" style="407" hidden="1" customWidth="1"/>
    <col min="7430" max="7430" width="10.59765625" style="407" customWidth="1"/>
    <col min="7431" max="7679" width="9" style="407"/>
    <col min="7680" max="7680" width="48.69921875" style="407" customWidth="1"/>
    <col min="7681" max="7681" width="9.5" style="407" customWidth="1"/>
    <col min="7682" max="7682" width="13.19921875" style="407" bestFit="1" customWidth="1"/>
    <col min="7683" max="7685" width="0" style="407" hidden="1" customWidth="1"/>
    <col min="7686" max="7686" width="10.59765625" style="407" customWidth="1"/>
    <col min="7687" max="7935" width="9" style="407"/>
    <col min="7936" max="7936" width="48.69921875" style="407" customWidth="1"/>
    <col min="7937" max="7937" width="9.5" style="407" customWidth="1"/>
    <col min="7938" max="7938" width="13.19921875" style="407" bestFit="1" customWidth="1"/>
    <col min="7939" max="7941" width="0" style="407" hidden="1" customWidth="1"/>
    <col min="7942" max="7942" width="10.59765625" style="407" customWidth="1"/>
    <col min="7943" max="8191" width="9" style="407"/>
    <col min="8192" max="8192" width="48.69921875" style="407" customWidth="1"/>
    <col min="8193" max="8193" width="9.5" style="407" customWidth="1"/>
    <col min="8194" max="8194" width="13.19921875" style="407" bestFit="1" customWidth="1"/>
    <col min="8195" max="8197" width="0" style="407" hidden="1" customWidth="1"/>
    <col min="8198" max="8198" width="10.59765625" style="407" customWidth="1"/>
    <col min="8199" max="8447" width="9" style="407"/>
    <col min="8448" max="8448" width="48.69921875" style="407" customWidth="1"/>
    <col min="8449" max="8449" width="9.5" style="407" customWidth="1"/>
    <col min="8450" max="8450" width="13.19921875" style="407" bestFit="1" customWidth="1"/>
    <col min="8451" max="8453" width="0" style="407" hidden="1" customWidth="1"/>
    <col min="8454" max="8454" width="10.59765625" style="407" customWidth="1"/>
    <col min="8455" max="8703" width="9" style="407"/>
    <col min="8704" max="8704" width="48.69921875" style="407" customWidth="1"/>
    <col min="8705" max="8705" width="9.5" style="407" customWidth="1"/>
    <col min="8706" max="8706" width="13.19921875" style="407" bestFit="1" customWidth="1"/>
    <col min="8707" max="8709" width="0" style="407" hidden="1" customWidth="1"/>
    <col min="8710" max="8710" width="10.59765625" style="407" customWidth="1"/>
    <col min="8711" max="8959" width="9" style="407"/>
    <col min="8960" max="8960" width="48.69921875" style="407" customWidth="1"/>
    <col min="8961" max="8961" width="9.5" style="407" customWidth="1"/>
    <col min="8962" max="8962" width="13.19921875" style="407" bestFit="1" customWidth="1"/>
    <col min="8963" max="8965" width="0" style="407" hidden="1" customWidth="1"/>
    <col min="8966" max="8966" width="10.59765625" style="407" customWidth="1"/>
    <col min="8967" max="9215" width="9" style="407"/>
    <col min="9216" max="9216" width="48.69921875" style="407" customWidth="1"/>
    <col min="9217" max="9217" width="9.5" style="407" customWidth="1"/>
    <col min="9218" max="9218" width="13.19921875" style="407" bestFit="1" customWidth="1"/>
    <col min="9219" max="9221" width="0" style="407" hidden="1" customWidth="1"/>
    <col min="9222" max="9222" width="10.59765625" style="407" customWidth="1"/>
    <col min="9223" max="9471" width="9" style="407"/>
    <col min="9472" max="9472" width="48.69921875" style="407" customWidth="1"/>
    <col min="9473" max="9473" width="9.5" style="407" customWidth="1"/>
    <col min="9474" max="9474" width="13.19921875" style="407" bestFit="1" customWidth="1"/>
    <col min="9475" max="9477" width="0" style="407" hidden="1" customWidth="1"/>
    <col min="9478" max="9478" width="10.59765625" style="407" customWidth="1"/>
    <col min="9479" max="9727" width="9" style="407"/>
    <col min="9728" max="9728" width="48.69921875" style="407" customWidth="1"/>
    <col min="9729" max="9729" width="9.5" style="407" customWidth="1"/>
    <col min="9730" max="9730" width="13.19921875" style="407" bestFit="1" customWidth="1"/>
    <col min="9731" max="9733" width="0" style="407" hidden="1" customWidth="1"/>
    <col min="9734" max="9734" width="10.59765625" style="407" customWidth="1"/>
    <col min="9735" max="9983" width="9" style="407"/>
    <col min="9984" max="9984" width="48.69921875" style="407" customWidth="1"/>
    <col min="9985" max="9985" width="9.5" style="407" customWidth="1"/>
    <col min="9986" max="9986" width="13.19921875" style="407" bestFit="1" customWidth="1"/>
    <col min="9987" max="9989" width="0" style="407" hidden="1" customWidth="1"/>
    <col min="9990" max="9990" width="10.59765625" style="407" customWidth="1"/>
    <col min="9991" max="10239" width="9" style="407"/>
    <col min="10240" max="10240" width="48.69921875" style="407" customWidth="1"/>
    <col min="10241" max="10241" width="9.5" style="407" customWidth="1"/>
    <col min="10242" max="10242" width="13.19921875" style="407" bestFit="1" customWidth="1"/>
    <col min="10243" max="10245" width="0" style="407" hidden="1" customWidth="1"/>
    <col min="10246" max="10246" width="10.59765625" style="407" customWidth="1"/>
    <col min="10247" max="10495" width="9" style="407"/>
    <col min="10496" max="10496" width="48.69921875" style="407" customWidth="1"/>
    <col min="10497" max="10497" width="9.5" style="407" customWidth="1"/>
    <col min="10498" max="10498" width="13.19921875" style="407" bestFit="1" customWidth="1"/>
    <col min="10499" max="10501" width="0" style="407" hidden="1" customWidth="1"/>
    <col min="10502" max="10502" width="10.59765625" style="407" customWidth="1"/>
    <col min="10503" max="10751" width="9" style="407"/>
    <col min="10752" max="10752" width="48.69921875" style="407" customWidth="1"/>
    <col min="10753" max="10753" width="9.5" style="407" customWidth="1"/>
    <col min="10754" max="10754" width="13.19921875" style="407" bestFit="1" customWidth="1"/>
    <col min="10755" max="10757" width="0" style="407" hidden="1" customWidth="1"/>
    <col min="10758" max="10758" width="10.59765625" style="407" customWidth="1"/>
    <col min="10759" max="11007" width="9" style="407"/>
    <col min="11008" max="11008" width="48.69921875" style="407" customWidth="1"/>
    <col min="11009" max="11009" width="9.5" style="407" customWidth="1"/>
    <col min="11010" max="11010" width="13.19921875" style="407" bestFit="1" customWidth="1"/>
    <col min="11011" max="11013" width="0" style="407" hidden="1" customWidth="1"/>
    <col min="11014" max="11014" width="10.59765625" style="407" customWidth="1"/>
    <col min="11015" max="11263" width="9" style="407"/>
    <col min="11264" max="11264" width="48.69921875" style="407" customWidth="1"/>
    <col min="11265" max="11265" width="9.5" style="407" customWidth="1"/>
    <col min="11266" max="11266" width="13.19921875" style="407" bestFit="1" customWidth="1"/>
    <col min="11267" max="11269" width="0" style="407" hidden="1" customWidth="1"/>
    <col min="11270" max="11270" width="10.59765625" style="407" customWidth="1"/>
    <col min="11271" max="11519" width="9" style="407"/>
    <col min="11520" max="11520" width="48.69921875" style="407" customWidth="1"/>
    <col min="11521" max="11521" width="9.5" style="407" customWidth="1"/>
    <col min="11522" max="11522" width="13.19921875" style="407" bestFit="1" customWidth="1"/>
    <col min="11523" max="11525" width="0" style="407" hidden="1" customWidth="1"/>
    <col min="11526" max="11526" width="10.59765625" style="407" customWidth="1"/>
    <col min="11527" max="11775" width="9" style="407"/>
    <col min="11776" max="11776" width="48.69921875" style="407" customWidth="1"/>
    <col min="11777" max="11777" width="9.5" style="407" customWidth="1"/>
    <col min="11778" max="11778" width="13.19921875" style="407" bestFit="1" customWidth="1"/>
    <col min="11779" max="11781" width="0" style="407" hidden="1" customWidth="1"/>
    <col min="11782" max="11782" width="10.59765625" style="407" customWidth="1"/>
    <col min="11783" max="12031" width="9" style="407"/>
    <col min="12032" max="12032" width="48.69921875" style="407" customWidth="1"/>
    <col min="12033" max="12033" width="9.5" style="407" customWidth="1"/>
    <col min="12034" max="12034" width="13.19921875" style="407" bestFit="1" customWidth="1"/>
    <col min="12035" max="12037" width="0" style="407" hidden="1" customWidth="1"/>
    <col min="12038" max="12038" width="10.59765625" style="407" customWidth="1"/>
    <col min="12039" max="12287" width="9" style="407"/>
    <col min="12288" max="12288" width="48.69921875" style="407" customWidth="1"/>
    <col min="12289" max="12289" width="9.5" style="407" customWidth="1"/>
    <col min="12290" max="12290" width="13.19921875" style="407" bestFit="1" customWidth="1"/>
    <col min="12291" max="12293" width="0" style="407" hidden="1" customWidth="1"/>
    <col min="12294" max="12294" width="10.59765625" style="407" customWidth="1"/>
    <col min="12295" max="12543" width="9" style="407"/>
    <col min="12544" max="12544" width="48.69921875" style="407" customWidth="1"/>
    <col min="12545" max="12545" width="9.5" style="407" customWidth="1"/>
    <col min="12546" max="12546" width="13.19921875" style="407" bestFit="1" customWidth="1"/>
    <col min="12547" max="12549" width="0" style="407" hidden="1" customWidth="1"/>
    <col min="12550" max="12550" width="10.59765625" style="407" customWidth="1"/>
    <col min="12551" max="12799" width="9" style="407"/>
    <col min="12800" max="12800" width="48.69921875" style="407" customWidth="1"/>
    <col min="12801" max="12801" width="9.5" style="407" customWidth="1"/>
    <col min="12802" max="12802" width="13.19921875" style="407" bestFit="1" customWidth="1"/>
    <col min="12803" max="12805" width="0" style="407" hidden="1" customWidth="1"/>
    <col min="12806" max="12806" width="10.59765625" style="407" customWidth="1"/>
    <col min="12807" max="13055" width="9" style="407"/>
    <col min="13056" max="13056" width="48.69921875" style="407" customWidth="1"/>
    <col min="13057" max="13057" width="9.5" style="407" customWidth="1"/>
    <col min="13058" max="13058" width="13.19921875" style="407" bestFit="1" customWidth="1"/>
    <col min="13059" max="13061" width="0" style="407" hidden="1" customWidth="1"/>
    <col min="13062" max="13062" width="10.59765625" style="407" customWidth="1"/>
    <col min="13063" max="13311" width="9" style="407"/>
    <col min="13312" max="13312" width="48.69921875" style="407" customWidth="1"/>
    <col min="13313" max="13313" width="9.5" style="407" customWidth="1"/>
    <col min="13314" max="13314" width="13.19921875" style="407" bestFit="1" customWidth="1"/>
    <col min="13315" max="13317" width="0" style="407" hidden="1" customWidth="1"/>
    <col min="13318" max="13318" width="10.59765625" style="407" customWidth="1"/>
    <col min="13319" max="13567" width="9" style="407"/>
    <col min="13568" max="13568" width="48.69921875" style="407" customWidth="1"/>
    <col min="13569" max="13569" width="9.5" style="407" customWidth="1"/>
    <col min="13570" max="13570" width="13.19921875" style="407" bestFit="1" customWidth="1"/>
    <col min="13571" max="13573" width="0" style="407" hidden="1" customWidth="1"/>
    <col min="13574" max="13574" width="10.59765625" style="407" customWidth="1"/>
    <col min="13575" max="13823" width="9" style="407"/>
    <col min="13824" max="13824" width="48.69921875" style="407" customWidth="1"/>
    <col min="13825" max="13825" width="9.5" style="407" customWidth="1"/>
    <col min="13826" max="13826" width="13.19921875" style="407" bestFit="1" customWidth="1"/>
    <col min="13827" max="13829" width="0" style="407" hidden="1" customWidth="1"/>
    <col min="13830" max="13830" width="10.59765625" style="407" customWidth="1"/>
    <col min="13831" max="14079" width="9" style="407"/>
    <col min="14080" max="14080" width="48.69921875" style="407" customWidth="1"/>
    <col min="14081" max="14081" width="9.5" style="407" customWidth="1"/>
    <col min="14082" max="14082" width="13.19921875" style="407" bestFit="1" customWidth="1"/>
    <col min="14083" max="14085" width="0" style="407" hidden="1" customWidth="1"/>
    <col min="14086" max="14086" width="10.59765625" style="407" customWidth="1"/>
    <col min="14087" max="14335" width="9" style="407"/>
    <col min="14336" max="14336" width="48.69921875" style="407" customWidth="1"/>
    <col min="14337" max="14337" width="9.5" style="407" customWidth="1"/>
    <col min="14338" max="14338" width="13.19921875" style="407" bestFit="1" customWidth="1"/>
    <col min="14339" max="14341" width="0" style="407" hidden="1" customWidth="1"/>
    <col min="14342" max="14342" width="10.59765625" style="407" customWidth="1"/>
    <col min="14343" max="14591" width="9" style="407"/>
    <col min="14592" max="14592" width="48.69921875" style="407" customWidth="1"/>
    <col min="14593" max="14593" width="9.5" style="407" customWidth="1"/>
    <col min="14594" max="14594" width="13.19921875" style="407" bestFit="1" customWidth="1"/>
    <col min="14595" max="14597" width="0" style="407" hidden="1" customWidth="1"/>
    <col min="14598" max="14598" width="10.59765625" style="407" customWidth="1"/>
    <col min="14599" max="14847" width="9" style="407"/>
    <col min="14848" max="14848" width="48.69921875" style="407" customWidth="1"/>
    <col min="14849" max="14849" width="9.5" style="407" customWidth="1"/>
    <col min="14850" max="14850" width="13.19921875" style="407" bestFit="1" customWidth="1"/>
    <col min="14851" max="14853" width="0" style="407" hidden="1" customWidth="1"/>
    <col min="14854" max="14854" width="10.59765625" style="407" customWidth="1"/>
    <col min="14855" max="15103" width="9" style="407"/>
    <col min="15104" max="15104" width="48.69921875" style="407" customWidth="1"/>
    <col min="15105" max="15105" width="9.5" style="407" customWidth="1"/>
    <col min="15106" max="15106" width="13.19921875" style="407" bestFit="1" customWidth="1"/>
    <col min="15107" max="15109" width="0" style="407" hidden="1" customWidth="1"/>
    <col min="15110" max="15110" width="10.59765625" style="407" customWidth="1"/>
    <col min="15111" max="15359" width="9" style="407"/>
    <col min="15360" max="15360" width="48.69921875" style="407" customWidth="1"/>
    <col min="15361" max="15361" width="9.5" style="407" customWidth="1"/>
    <col min="15362" max="15362" width="13.19921875" style="407" bestFit="1" customWidth="1"/>
    <col min="15363" max="15365" width="0" style="407" hidden="1" customWidth="1"/>
    <col min="15366" max="15366" width="10.59765625" style="407" customWidth="1"/>
    <col min="15367" max="15615" width="9" style="407"/>
    <col min="15616" max="15616" width="48.69921875" style="407" customWidth="1"/>
    <col min="15617" max="15617" width="9.5" style="407" customWidth="1"/>
    <col min="15618" max="15618" width="13.19921875" style="407" bestFit="1" customWidth="1"/>
    <col min="15619" max="15621" width="0" style="407" hidden="1" customWidth="1"/>
    <col min="15622" max="15622" width="10.59765625" style="407" customWidth="1"/>
    <col min="15623" max="15871" width="9" style="407"/>
    <col min="15872" max="15872" width="48.69921875" style="407" customWidth="1"/>
    <col min="15873" max="15873" width="9.5" style="407" customWidth="1"/>
    <col min="15874" max="15874" width="13.19921875" style="407" bestFit="1" customWidth="1"/>
    <col min="15875" max="15877" width="0" style="407" hidden="1" customWidth="1"/>
    <col min="15878" max="15878" width="10.59765625" style="407" customWidth="1"/>
    <col min="15879" max="16127" width="9" style="407"/>
    <col min="16128" max="16128" width="48.69921875" style="407" customWidth="1"/>
    <col min="16129" max="16129" width="9.5" style="407" customWidth="1"/>
    <col min="16130" max="16130" width="13.19921875" style="407" bestFit="1" customWidth="1"/>
    <col min="16131" max="16133" width="0" style="407" hidden="1" customWidth="1"/>
    <col min="16134" max="16134" width="10.59765625" style="407" customWidth="1"/>
    <col min="16135" max="16384" width="9" style="407"/>
  </cols>
  <sheetData>
    <row r="1" spans="1:8">
      <c r="A1" s="404" t="str">
        <f>CFs!A1</f>
        <v>MCB PAKISTAN STOCK MARKET FUND</v>
      </c>
      <c r="B1" s="404"/>
      <c r="C1" s="405"/>
      <c r="D1" s="406"/>
      <c r="E1" s="406"/>
      <c r="F1" s="406"/>
    </row>
    <row r="2" spans="1:8">
      <c r="A2" s="404" t="s">
        <v>525</v>
      </c>
      <c r="B2" s="404"/>
      <c r="C2" s="405"/>
      <c r="D2" s="406"/>
      <c r="E2" s="406"/>
      <c r="F2" s="406"/>
    </row>
    <row r="3" spans="1:8">
      <c r="A3" s="404" t="s">
        <v>344</v>
      </c>
      <c r="B3" s="404"/>
      <c r="C3" s="405"/>
      <c r="D3" s="406"/>
      <c r="E3" s="406"/>
      <c r="F3" s="406"/>
    </row>
    <row r="4" spans="1:8" ht="12" thickBot="1">
      <c r="C4" s="405"/>
      <c r="D4" s="406"/>
      <c r="E4" s="406"/>
      <c r="F4" s="406"/>
    </row>
    <row r="5" spans="1:8" ht="34.799999999999997" thickBot="1">
      <c r="A5" s="402" t="s">
        <v>261</v>
      </c>
      <c r="B5" s="403" t="s">
        <v>522</v>
      </c>
      <c r="C5" s="403" t="s">
        <v>523</v>
      </c>
      <c r="D5" s="403" t="s">
        <v>535</v>
      </c>
      <c r="E5" s="402" t="s">
        <v>536</v>
      </c>
      <c r="F5" s="402" t="s">
        <v>537</v>
      </c>
      <c r="G5" s="402" t="s">
        <v>524</v>
      </c>
      <c r="H5" s="402" t="s">
        <v>538</v>
      </c>
    </row>
    <row r="6" spans="1:8">
      <c r="A6" s="408"/>
      <c r="B6" s="2730" t="s">
        <v>539</v>
      </c>
      <c r="C6" s="2730"/>
      <c r="D6" s="2730"/>
      <c r="E6" s="2730"/>
      <c r="F6" s="2730"/>
    </row>
    <row r="7" spans="1:8">
      <c r="A7" s="408" t="s">
        <v>450</v>
      </c>
      <c r="B7" s="408"/>
      <c r="C7" s="409"/>
      <c r="D7" s="410"/>
      <c r="E7" s="410"/>
      <c r="F7" s="410"/>
    </row>
    <row r="8" spans="1:8">
      <c r="A8" s="407" t="s">
        <v>452</v>
      </c>
      <c r="B8" s="419">
        <v>1726003</v>
      </c>
      <c r="C8" s="420">
        <v>5583476</v>
      </c>
      <c r="D8" s="420">
        <f t="shared" ref="D8:D13" si="0">B8-C8</f>
        <v>-3857473</v>
      </c>
      <c r="E8" s="420">
        <v>3857473</v>
      </c>
      <c r="F8" s="420">
        <f t="shared" ref="F8:F13" si="1">E8+D8</f>
        <v>0</v>
      </c>
      <c r="G8" s="421">
        <v>42193</v>
      </c>
      <c r="H8" s="2731" t="s">
        <v>541</v>
      </c>
    </row>
    <row r="9" spans="1:8">
      <c r="A9" s="411" t="s">
        <v>455</v>
      </c>
      <c r="B9" s="419">
        <v>504781</v>
      </c>
      <c r="C9" s="420">
        <v>1238025</v>
      </c>
      <c r="D9" s="420">
        <f t="shared" si="0"/>
        <v>-733244</v>
      </c>
      <c r="E9" s="420">
        <v>733244</v>
      </c>
      <c r="F9" s="420">
        <f t="shared" si="1"/>
        <v>0</v>
      </c>
      <c r="G9" s="421">
        <v>42195</v>
      </c>
      <c r="H9" s="2732"/>
    </row>
    <row r="10" spans="1:8">
      <c r="A10" s="411" t="s">
        <v>456</v>
      </c>
      <c r="B10" s="419">
        <v>0</v>
      </c>
      <c r="C10" s="420">
        <v>67131</v>
      </c>
      <c r="D10" s="420">
        <f t="shared" si="0"/>
        <v>-67131</v>
      </c>
      <c r="E10" s="420">
        <v>67131</v>
      </c>
      <c r="F10" s="420">
        <f t="shared" si="1"/>
        <v>0</v>
      </c>
      <c r="G10" s="421">
        <v>42194</v>
      </c>
      <c r="H10" s="2732"/>
    </row>
    <row r="11" spans="1:8">
      <c r="A11" s="411" t="s">
        <v>457</v>
      </c>
      <c r="B11" s="419">
        <v>0</v>
      </c>
      <c r="C11" s="420">
        <v>461606</v>
      </c>
      <c r="D11" s="420">
        <f t="shared" si="0"/>
        <v>-461606</v>
      </c>
      <c r="E11" s="420">
        <v>461606</v>
      </c>
      <c r="F11" s="420">
        <f t="shared" si="1"/>
        <v>0</v>
      </c>
      <c r="G11" s="421">
        <v>42194</v>
      </c>
      <c r="H11" s="2732"/>
    </row>
    <row r="12" spans="1:8">
      <c r="A12" s="411" t="s">
        <v>458</v>
      </c>
      <c r="B12" s="419">
        <v>30261053</v>
      </c>
      <c r="C12" s="420">
        <v>53058700</v>
      </c>
      <c r="D12" s="420">
        <f t="shared" si="0"/>
        <v>-22797647</v>
      </c>
      <c r="E12" s="420">
        <v>22710567</v>
      </c>
      <c r="F12" s="420">
        <f t="shared" si="1"/>
        <v>-87080</v>
      </c>
      <c r="G12" s="421">
        <v>42193</v>
      </c>
      <c r="H12" s="2733"/>
    </row>
    <row r="13" spans="1:8">
      <c r="A13" s="407" t="s">
        <v>520</v>
      </c>
      <c r="B13" s="419">
        <v>0</v>
      </c>
      <c r="C13" s="420">
        <v>537077.16</v>
      </c>
      <c r="D13" s="420">
        <f t="shared" si="0"/>
        <v>-537077.16</v>
      </c>
      <c r="E13" s="420"/>
      <c r="F13" s="420">
        <f t="shared" si="1"/>
        <v>-537077.16</v>
      </c>
      <c r="G13" s="422"/>
      <c r="H13" s="422"/>
    </row>
    <row r="14" spans="1:8">
      <c r="A14" s="408"/>
      <c r="B14" s="424">
        <f>SUM(B8:B13)</f>
        <v>32491837</v>
      </c>
      <c r="C14" s="425">
        <f>SUM(C8:C13)</f>
        <v>60946015.159999996</v>
      </c>
      <c r="D14" s="425">
        <f>SUM(D8:D13)</f>
        <v>-28454178.16</v>
      </c>
      <c r="E14" s="425">
        <f>SUM(E8:E13)</f>
        <v>27830021</v>
      </c>
      <c r="F14" s="412"/>
    </row>
    <row r="15" spans="1:8">
      <c r="C15" s="413"/>
      <c r="D15" s="405"/>
      <c r="E15" s="405"/>
      <c r="F15" s="405"/>
    </row>
    <row r="16" spans="1:8">
      <c r="A16" s="408" t="s">
        <v>451</v>
      </c>
      <c r="C16" s="413"/>
      <c r="D16" s="405"/>
      <c r="E16" s="405"/>
      <c r="F16" s="405"/>
    </row>
    <row r="17" spans="1:19">
      <c r="A17" s="411" t="s">
        <v>453</v>
      </c>
      <c r="B17" s="419">
        <v>749181934</v>
      </c>
      <c r="C17" s="420">
        <v>655511128</v>
      </c>
      <c r="D17" s="420">
        <f>B17-C17</f>
        <v>93670806</v>
      </c>
      <c r="E17" s="420">
        <v>92143967</v>
      </c>
      <c r="F17" s="420">
        <f>E17-D17</f>
        <v>-1526839</v>
      </c>
      <c r="G17" s="421">
        <v>42193</v>
      </c>
      <c r="H17" s="423" t="s">
        <v>541</v>
      </c>
      <c r="I17" s="416"/>
      <c r="J17" s="416"/>
      <c r="K17" s="416"/>
      <c r="L17" s="416"/>
      <c r="M17" s="416"/>
      <c r="N17" s="416"/>
      <c r="O17" s="416"/>
      <c r="P17" s="416"/>
      <c r="Q17" s="416"/>
      <c r="R17" s="416"/>
      <c r="S17" s="416"/>
    </row>
    <row r="18" spans="1:19">
      <c r="A18" s="411" t="s">
        <v>454</v>
      </c>
      <c r="B18" s="419">
        <v>4397494</v>
      </c>
      <c r="C18" s="420">
        <v>412112</v>
      </c>
      <c r="D18" s="420">
        <f>B18-C18</f>
        <v>3985382</v>
      </c>
      <c r="E18" s="420">
        <v>3983652</v>
      </c>
      <c r="F18" s="420">
        <f>E18-D18</f>
        <v>-1730</v>
      </c>
      <c r="G18" s="421">
        <v>42193</v>
      </c>
      <c r="H18" s="423" t="s">
        <v>395</v>
      </c>
      <c r="I18" s="416"/>
      <c r="J18" s="416"/>
      <c r="K18" s="416"/>
      <c r="L18" s="416"/>
      <c r="M18" s="416"/>
      <c r="N18" s="416"/>
      <c r="O18" s="416"/>
      <c r="P18" s="416"/>
      <c r="Q18" s="416"/>
      <c r="R18" s="416"/>
      <c r="S18" s="416"/>
    </row>
    <row r="19" spans="1:19">
      <c r="B19" s="425">
        <f>SUM(B17:B18)</f>
        <v>753579428</v>
      </c>
      <c r="C19" s="425">
        <f>SUM(C17:C18)</f>
        <v>655923240</v>
      </c>
      <c r="D19" s="425">
        <f>SUM(D17:D18)</f>
        <v>97656188</v>
      </c>
      <c r="E19" s="425">
        <f>SUM(E17:E18)</f>
        <v>96127619</v>
      </c>
      <c r="F19" s="412"/>
      <c r="H19" s="415"/>
      <c r="I19" s="416"/>
      <c r="J19" s="416"/>
      <c r="K19" s="416"/>
      <c r="L19" s="416"/>
      <c r="M19" s="416"/>
      <c r="N19" s="416"/>
      <c r="O19" s="416"/>
      <c r="P19" s="416"/>
      <c r="Q19" s="416"/>
      <c r="R19" s="416"/>
      <c r="S19" s="416"/>
    </row>
    <row r="20" spans="1:19">
      <c r="H20" s="415"/>
      <c r="I20" s="416"/>
      <c r="J20" s="416"/>
      <c r="K20" s="416"/>
      <c r="L20" s="416"/>
      <c r="M20" s="416"/>
      <c r="N20" s="416"/>
      <c r="O20" s="416"/>
      <c r="P20" s="416"/>
      <c r="Q20" s="416"/>
      <c r="R20" s="416"/>
      <c r="S20" s="416"/>
    </row>
    <row r="21" spans="1:19">
      <c r="A21" s="411"/>
      <c r="B21" s="396"/>
      <c r="C21" s="405"/>
      <c r="D21" s="405"/>
      <c r="E21" s="405"/>
      <c r="F21" s="405"/>
      <c r="H21" s="415"/>
      <c r="I21" s="416"/>
      <c r="J21" s="416"/>
      <c r="K21" s="416"/>
      <c r="L21" s="416"/>
      <c r="M21" s="416"/>
      <c r="N21" s="416"/>
      <c r="O21" s="416"/>
      <c r="P21" s="416"/>
      <c r="Q21" s="416"/>
      <c r="R21" s="416"/>
      <c r="S21" s="416"/>
    </row>
    <row r="22" spans="1:19" ht="12" thickBot="1">
      <c r="A22" s="408" t="s">
        <v>521</v>
      </c>
      <c r="B22" s="417">
        <f>B19+B14</f>
        <v>786071265</v>
      </c>
      <c r="C22" s="417">
        <f>C19+C14</f>
        <v>716869255.15999997</v>
      </c>
      <c r="D22" s="417">
        <f>D19+D14</f>
        <v>69202009.840000004</v>
      </c>
      <c r="E22" s="417">
        <f>E19+E14</f>
        <v>123957640</v>
      </c>
      <c r="F22" s="405"/>
      <c r="H22" s="414"/>
    </row>
    <row r="23" spans="1:19" ht="12" thickTop="1">
      <c r="B23" s="418"/>
      <c r="C23" s="405"/>
      <c r="D23" s="405"/>
      <c r="E23" s="405"/>
      <c r="F23" s="405"/>
      <c r="H23" s="415"/>
      <c r="I23" s="416"/>
      <c r="J23" s="416"/>
      <c r="K23" s="416"/>
      <c r="L23" s="416"/>
      <c r="M23" s="416"/>
      <c r="N23" s="416"/>
    </row>
    <row r="24" spans="1:19">
      <c r="A24" s="408" t="s">
        <v>540</v>
      </c>
      <c r="B24" s="426">
        <f>ROUND('Trial Balance'!D25+'Trial Balance'!D27,0)</f>
        <v>786071265</v>
      </c>
      <c r="C24" s="427">
        <f>-'Trial Balance'!D51</f>
        <v>716869220</v>
      </c>
      <c r="D24" s="405"/>
      <c r="E24" s="405"/>
      <c r="F24" s="405"/>
      <c r="H24" s="415"/>
      <c r="I24" s="416"/>
      <c r="J24" s="416"/>
      <c r="K24" s="416"/>
      <c r="L24" s="416"/>
      <c r="M24" s="416"/>
      <c r="N24" s="416"/>
    </row>
    <row r="25" spans="1:19">
      <c r="A25" s="408" t="s">
        <v>21</v>
      </c>
      <c r="B25" s="428">
        <f>B22-B24</f>
        <v>0</v>
      </c>
      <c r="C25" s="428">
        <f>C24-C22</f>
        <v>-35.159999966621399</v>
      </c>
      <c r="D25" s="405"/>
      <c r="E25" s="405"/>
      <c r="F25" s="405"/>
      <c r="H25" s="415"/>
      <c r="I25" s="416"/>
      <c r="J25" s="416"/>
      <c r="K25" s="416"/>
      <c r="L25" s="416"/>
      <c r="M25" s="416"/>
      <c r="N25" s="416"/>
    </row>
    <row r="26" spans="1:19" ht="12" thickBot="1">
      <c r="H26" s="415"/>
      <c r="I26" s="416"/>
      <c r="J26" s="416"/>
      <c r="K26" s="416"/>
      <c r="L26" s="416"/>
      <c r="M26" s="416"/>
      <c r="N26" s="416"/>
    </row>
    <row r="27" spans="1:19" ht="12" thickBot="1">
      <c r="A27" s="402" t="s">
        <v>542</v>
      </c>
      <c r="B27" s="402" t="s">
        <v>58</v>
      </c>
      <c r="H27" s="415"/>
      <c r="I27" s="416"/>
      <c r="J27" s="416"/>
      <c r="K27" s="416"/>
      <c r="L27" s="416"/>
      <c r="M27" s="416"/>
      <c r="N27" s="416"/>
    </row>
    <row r="28" spans="1:19">
      <c r="A28" s="407" t="s">
        <v>543</v>
      </c>
      <c r="B28" s="406">
        <f>ROUND((D14*-1),0)+D19</f>
        <v>126110366</v>
      </c>
      <c r="H28" s="415"/>
      <c r="I28" s="416"/>
      <c r="J28" s="416"/>
      <c r="K28" s="416"/>
      <c r="L28" s="416"/>
      <c r="M28" s="416"/>
      <c r="N28" s="416"/>
    </row>
    <row r="29" spans="1:19">
      <c r="A29" s="407" t="s">
        <v>544</v>
      </c>
      <c r="B29" s="418">
        <f>E22</f>
        <v>123957640</v>
      </c>
      <c r="H29" s="415"/>
      <c r="I29" s="416"/>
      <c r="J29" s="416"/>
      <c r="K29" s="416"/>
      <c r="L29" s="416"/>
      <c r="M29" s="416"/>
      <c r="N29" s="416"/>
    </row>
    <row r="30" spans="1:19" ht="12" thickBot="1">
      <c r="A30" s="407" t="s">
        <v>545</v>
      </c>
      <c r="B30" s="429">
        <f>B28-B29</f>
        <v>2152726</v>
      </c>
      <c r="H30" s="415"/>
      <c r="I30" s="416"/>
      <c r="J30" s="416"/>
      <c r="K30" s="416"/>
      <c r="L30" s="416"/>
      <c r="M30" s="416"/>
      <c r="N30" s="416"/>
    </row>
    <row r="31" spans="1:19" ht="12" thickTop="1">
      <c r="A31" s="407" t="s">
        <v>546</v>
      </c>
      <c r="B31" s="430">
        <f>B29/B28</f>
        <v>0.98292982513427962</v>
      </c>
      <c r="H31" s="415"/>
      <c r="I31" s="416"/>
      <c r="J31" s="416"/>
      <c r="K31" s="416"/>
      <c r="L31" s="416"/>
      <c r="M31" s="416"/>
      <c r="N31" s="416"/>
    </row>
    <row r="32" spans="1:19">
      <c r="A32" s="407" t="s">
        <v>547</v>
      </c>
      <c r="B32" s="430">
        <f>B30/B28</f>
        <v>1.7070174865720395E-2</v>
      </c>
    </row>
  </sheetData>
  <mergeCells count="2">
    <mergeCell ref="B6:F6"/>
    <mergeCell ref="H8:H12"/>
  </mergeCells>
  <printOptions horizontalCentered="1"/>
  <pageMargins left="0.75" right="0.5" top="0.5" bottom="0.4" header="0.28999999999999998"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81"/>
  <sheetViews>
    <sheetView topLeftCell="A41" workbookViewId="0">
      <selection activeCell="A11" sqref="A1:XFD1048576"/>
    </sheetView>
  </sheetViews>
  <sheetFormatPr defaultColWidth="9" defaultRowHeight="11.4"/>
  <cols>
    <col min="1" max="1" width="26.69921875" style="450" customWidth="1"/>
    <col min="2" max="2" width="41.19921875" style="450" bestFit="1" customWidth="1"/>
    <col min="3" max="3" width="40.69921875" style="450" bestFit="1" customWidth="1"/>
    <col min="4" max="4" width="15.59765625" style="365" bestFit="1" customWidth="1"/>
    <col min="5" max="5" width="13.19921875" style="365" customWidth="1"/>
    <col min="6" max="6" width="14.59765625" style="365" customWidth="1"/>
    <col min="7" max="7" width="9.59765625" style="365" bestFit="1" customWidth="1"/>
    <col min="8" max="16384" width="9" style="365"/>
  </cols>
  <sheetData>
    <row r="1" spans="1:7">
      <c r="D1" s="451"/>
      <c r="E1" s="451"/>
    </row>
    <row r="2" spans="1:7">
      <c r="A2" s="452"/>
      <c r="B2" s="453"/>
      <c r="C2" s="364"/>
      <c r="D2" s="364"/>
      <c r="E2" s="364"/>
    </row>
    <row r="3" spans="1:7">
      <c r="A3" s="452">
        <v>1010201010101</v>
      </c>
      <c r="B3" s="453" t="s">
        <v>106</v>
      </c>
      <c r="C3" s="364" t="s">
        <v>273</v>
      </c>
      <c r="D3" s="364">
        <v>102500</v>
      </c>
      <c r="E3" s="364">
        <f t="shared" ref="E3:E9" si="0">ROUND(D3/1000,0)</f>
        <v>103</v>
      </c>
      <c r="G3" s="365" t="s">
        <v>50</v>
      </c>
    </row>
    <row r="4" spans="1:7">
      <c r="A4" s="452">
        <v>1010201010102</v>
      </c>
      <c r="B4" s="453" t="s">
        <v>105</v>
      </c>
      <c r="C4" s="364" t="s">
        <v>273</v>
      </c>
      <c r="D4" s="364">
        <v>2530000</v>
      </c>
      <c r="E4" s="364">
        <f t="shared" si="0"/>
        <v>2530</v>
      </c>
      <c r="F4" s="366">
        <f>SUM(E3:E4)</f>
        <v>2633</v>
      </c>
      <c r="G4" s="365" t="s">
        <v>50</v>
      </c>
    </row>
    <row r="5" spans="1:7">
      <c r="A5" s="452">
        <v>1020101010101</v>
      </c>
      <c r="B5" s="453" t="s">
        <v>104</v>
      </c>
      <c r="C5" s="364" t="s">
        <v>112</v>
      </c>
      <c r="D5" s="364">
        <v>1061805518.4299999</v>
      </c>
      <c r="E5" s="364">
        <f t="shared" si="0"/>
        <v>1061806</v>
      </c>
      <c r="F5" s="366"/>
      <c r="G5" s="365" t="s">
        <v>50</v>
      </c>
    </row>
    <row r="6" spans="1:7">
      <c r="A6" s="452">
        <v>1020201010125</v>
      </c>
      <c r="B6" s="453" t="s">
        <v>274</v>
      </c>
      <c r="C6" s="364" t="s">
        <v>321</v>
      </c>
      <c r="D6" s="364">
        <v>18131780.989999998</v>
      </c>
      <c r="E6" s="364">
        <f t="shared" si="0"/>
        <v>18132</v>
      </c>
      <c r="G6" s="365" t="s">
        <v>50</v>
      </c>
    </row>
    <row r="7" spans="1:7">
      <c r="A7" s="452">
        <v>1020201010171</v>
      </c>
      <c r="B7" s="453" t="s">
        <v>275</v>
      </c>
      <c r="C7" s="364" t="s">
        <v>321</v>
      </c>
      <c r="D7" s="364">
        <v>1734400.15</v>
      </c>
      <c r="E7" s="364">
        <f t="shared" si="0"/>
        <v>1734</v>
      </c>
      <c r="G7" s="365" t="s">
        <v>50</v>
      </c>
    </row>
    <row r="8" spans="1:7">
      <c r="A8" s="452">
        <v>1020201010173</v>
      </c>
      <c r="B8" s="453" t="s">
        <v>363</v>
      </c>
      <c r="C8" s="364" t="s">
        <v>321</v>
      </c>
      <c r="D8" s="364">
        <v>1251378.1599999999</v>
      </c>
      <c r="E8" s="364">
        <f t="shared" si="0"/>
        <v>1251</v>
      </c>
      <c r="G8" s="365" t="s">
        <v>50</v>
      </c>
    </row>
    <row r="9" spans="1:7">
      <c r="A9" s="452">
        <v>1020201010180</v>
      </c>
      <c r="B9" s="453" t="s">
        <v>364</v>
      </c>
      <c r="C9" s="364" t="s">
        <v>321</v>
      </c>
      <c r="D9" s="364">
        <v>94811656.150000006</v>
      </c>
      <c r="E9" s="364">
        <f t="shared" si="0"/>
        <v>94812</v>
      </c>
    </row>
    <row r="10" spans="1:7">
      <c r="A10" s="452">
        <v>1020201010183</v>
      </c>
      <c r="B10" s="453" t="s">
        <v>365</v>
      </c>
      <c r="C10" s="364" t="s">
        <v>321</v>
      </c>
      <c r="D10" s="364">
        <v>5142</v>
      </c>
      <c r="E10" s="364">
        <f t="shared" ref="E10:E17" si="1">ROUND(D10/1000,0)</f>
        <v>5</v>
      </c>
    </row>
    <row r="11" spans="1:7">
      <c r="A11" s="452">
        <v>1020201010189</v>
      </c>
      <c r="B11" s="453" t="s">
        <v>366</v>
      </c>
      <c r="C11" s="364" t="s">
        <v>321</v>
      </c>
      <c r="D11" s="364">
        <v>4931436.66</v>
      </c>
      <c r="E11" s="364">
        <f t="shared" si="1"/>
        <v>4931</v>
      </c>
      <c r="F11" s="366"/>
    </row>
    <row r="12" spans="1:7">
      <c r="A12" s="452">
        <v>1020201010191</v>
      </c>
      <c r="B12" s="453" t="s">
        <v>319</v>
      </c>
      <c r="C12" s="364" t="s">
        <v>321</v>
      </c>
      <c r="D12" s="364">
        <v>4665</v>
      </c>
      <c r="E12" s="364">
        <f t="shared" si="1"/>
        <v>5</v>
      </c>
      <c r="F12" s="366"/>
    </row>
    <row r="13" spans="1:7">
      <c r="A13" s="452">
        <v>1020201010192</v>
      </c>
      <c r="B13" s="453" t="s">
        <v>367</v>
      </c>
      <c r="C13" s="364" t="s">
        <v>321</v>
      </c>
      <c r="D13" s="364">
        <v>5000</v>
      </c>
      <c r="E13" s="364">
        <f t="shared" si="1"/>
        <v>5</v>
      </c>
      <c r="F13" s="366">
        <f>SUM(E6:E13)</f>
        <v>120875</v>
      </c>
    </row>
    <row r="14" spans="1:7">
      <c r="A14" s="452">
        <v>1020202010144</v>
      </c>
      <c r="B14" s="453" t="s">
        <v>368</v>
      </c>
      <c r="C14" s="364" t="s">
        <v>322</v>
      </c>
      <c r="D14" s="364">
        <v>641557.11</v>
      </c>
      <c r="E14" s="364">
        <f t="shared" si="1"/>
        <v>642</v>
      </c>
      <c r="G14" s="365" t="s">
        <v>50</v>
      </c>
    </row>
    <row r="15" spans="1:7">
      <c r="A15" s="452">
        <v>1020202010145</v>
      </c>
      <c r="B15" s="453" t="s">
        <v>369</v>
      </c>
      <c r="C15" s="364" t="s">
        <v>322</v>
      </c>
      <c r="D15" s="364">
        <v>9172252</v>
      </c>
      <c r="E15" s="364">
        <f>ROUNDDOWN(D15/1000,0)</f>
        <v>9172</v>
      </c>
    </row>
    <row r="16" spans="1:7">
      <c r="A16" s="452">
        <v>1020202010150</v>
      </c>
      <c r="B16" s="453" t="s">
        <v>370</v>
      </c>
      <c r="C16" s="364" t="s">
        <v>322</v>
      </c>
      <c r="D16" s="364">
        <v>1652798.03</v>
      </c>
      <c r="E16" s="364">
        <f t="shared" si="1"/>
        <v>1653</v>
      </c>
    </row>
    <row r="17" spans="1:7">
      <c r="A17" s="452">
        <v>1020202010151</v>
      </c>
      <c r="B17" s="453" t="s">
        <v>371</v>
      </c>
      <c r="C17" s="364" t="s">
        <v>322</v>
      </c>
      <c r="D17" s="364">
        <v>1479723.12</v>
      </c>
      <c r="E17" s="364">
        <f t="shared" si="1"/>
        <v>1480</v>
      </c>
      <c r="F17" s="366">
        <f>ROUND(SUM(D14:D17)/1000,0)</f>
        <v>12946</v>
      </c>
    </row>
    <row r="18" spans="1:7">
      <c r="A18" s="452">
        <v>1020301010101</v>
      </c>
      <c r="B18" s="453" t="s">
        <v>161</v>
      </c>
      <c r="C18" s="364" t="s">
        <v>280</v>
      </c>
      <c r="D18" s="366">
        <v>-2465685.73</v>
      </c>
      <c r="E18" s="365">
        <f t="shared" ref="E18:E25" si="2">ROUND(D18/1000,0)</f>
        <v>-2466</v>
      </c>
      <c r="F18" s="365">
        <f>E18*-1</f>
        <v>2466</v>
      </c>
      <c r="G18" s="365" t="s">
        <v>50</v>
      </c>
    </row>
    <row r="19" spans="1:7">
      <c r="A19" s="452">
        <v>1020402010125</v>
      </c>
      <c r="B19" s="453" t="s">
        <v>274</v>
      </c>
      <c r="C19" s="364" t="s">
        <v>299</v>
      </c>
      <c r="D19" s="364">
        <v>16893</v>
      </c>
      <c r="E19" s="454">
        <f t="shared" si="2"/>
        <v>17</v>
      </c>
      <c r="G19" s="365" t="s">
        <v>50</v>
      </c>
    </row>
    <row r="20" spans="1:7">
      <c r="A20" s="452">
        <v>1020402010171</v>
      </c>
      <c r="B20" s="453" t="s">
        <v>276</v>
      </c>
      <c r="C20" s="364" t="s">
        <v>299</v>
      </c>
      <c r="D20" s="364">
        <v>40830</v>
      </c>
      <c r="E20" s="454">
        <f t="shared" si="2"/>
        <v>41</v>
      </c>
      <c r="G20" s="365" t="s">
        <v>50</v>
      </c>
    </row>
    <row r="21" spans="1:7">
      <c r="A21" s="452">
        <v>1020402010173</v>
      </c>
      <c r="B21" s="453" t="s">
        <v>363</v>
      </c>
      <c r="C21" s="364" t="s">
        <v>299</v>
      </c>
      <c r="D21" s="364">
        <v>26311</v>
      </c>
      <c r="E21" s="454">
        <f t="shared" si="2"/>
        <v>26</v>
      </c>
      <c r="F21" s="367"/>
      <c r="G21" s="365" t="s">
        <v>50</v>
      </c>
    </row>
    <row r="22" spans="1:7">
      <c r="A22" s="452">
        <v>1020402010180</v>
      </c>
      <c r="B22" s="453" t="s">
        <v>364</v>
      </c>
      <c r="C22" s="364" t="s">
        <v>299</v>
      </c>
      <c r="D22" s="364">
        <v>354105</v>
      </c>
      <c r="E22" s="454">
        <f t="shared" si="2"/>
        <v>354</v>
      </c>
      <c r="F22" s="367"/>
      <c r="G22" s="365" t="s">
        <v>50</v>
      </c>
    </row>
    <row r="23" spans="1:7">
      <c r="A23" s="452">
        <v>1020402010183</v>
      </c>
      <c r="B23" s="453" t="s">
        <v>365</v>
      </c>
      <c r="C23" s="364" t="s">
        <v>299</v>
      </c>
      <c r="D23" s="364">
        <v>858</v>
      </c>
      <c r="E23" s="454">
        <f t="shared" si="2"/>
        <v>1</v>
      </c>
      <c r="F23" s="367"/>
      <c r="G23" s="365" t="s">
        <v>50</v>
      </c>
    </row>
    <row r="24" spans="1:7">
      <c r="A24" s="452">
        <v>1020402010189</v>
      </c>
      <c r="B24" s="453" t="s">
        <v>366</v>
      </c>
      <c r="C24" s="364" t="s">
        <v>299</v>
      </c>
      <c r="D24" s="364">
        <v>22596</v>
      </c>
      <c r="E24" s="454">
        <f t="shared" si="2"/>
        <v>23</v>
      </c>
      <c r="F24" s="367">
        <f>ROUNDDOWN(SUM(D19:D24)/1000,0)</f>
        <v>461</v>
      </c>
      <c r="G24" s="365" t="s">
        <v>50</v>
      </c>
    </row>
    <row r="25" spans="1:7">
      <c r="A25" s="452">
        <v>1020506010102</v>
      </c>
      <c r="B25" s="453" t="s">
        <v>102</v>
      </c>
      <c r="C25" s="364" t="s">
        <v>374</v>
      </c>
      <c r="D25" s="364">
        <v>35090236</v>
      </c>
      <c r="E25" s="454">
        <f t="shared" si="2"/>
        <v>35090</v>
      </c>
      <c r="F25" s="367"/>
      <c r="G25" s="365" t="s">
        <v>50</v>
      </c>
    </row>
    <row r="26" spans="1:7">
      <c r="A26" s="452">
        <v>1020502010101</v>
      </c>
      <c r="B26" s="453" t="s">
        <v>161</v>
      </c>
      <c r="C26" s="453" t="s">
        <v>320</v>
      </c>
      <c r="D26" s="364">
        <v>3387570</v>
      </c>
      <c r="E26" s="454">
        <f>ROUNDDOWN(D26/1000,0)</f>
        <v>3387</v>
      </c>
      <c r="G26" s="365" t="s">
        <v>50</v>
      </c>
    </row>
    <row r="27" spans="1:7">
      <c r="A27" s="452">
        <v>1020504010103</v>
      </c>
      <c r="B27" s="453" t="s">
        <v>102</v>
      </c>
      <c r="C27" s="364" t="s">
        <v>374</v>
      </c>
      <c r="D27" s="364">
        <v>750981029.15999997</v>
      </c>
      <c r="E27" s="454">
        <f>ROUND(D27/1000,0)</f>
        <v>750981</v>
      </c>
      <c r="F27" s="367"/>
    </row>
    <row r="28" spans="1:7">
      <c r="A28" s="452">
        <v>2010101010201</v>
      </c>
      <c r="B28" s="453" t="s">
        <v>162</v>
      </c>
      <c r="C28" s="364" t="s">
        <v>277</v>
      </c>
      <c r="D28" s="365">
        <v>-1169031408.1300001</v>
      </c>
      <c r="E28" s="368">
        <f t="shared" ref="E28:E38" si="3">ROUND(D28/1000,0)</f>
        <v>-1169031</v>
      </c>
      <c r="F28" s="369">
        <f>ROUND(D28+D29+D30,0)/1000</f>
        <v>-1251505.1869999999</v>
      </c>
      <c r="G28" s="365" t="s">
        <v>278</v>
      </c>
    </row>
    <row r="29" spans="1:7">
      <c r="A29" s="452">
        <v>2030201010101</v>
      </c>
      <c r="B29" s="453" t="s">
        <v>164</v>
      </c>
      <c r="C29" s="364" t="s">
        <v>277</v>
      </c>
      <c r="D29" s="365">
        <v>-106598376.83</v>
      </c>
      <c r="E29" s="368">
        <f t="shared" si="3"/>
        <v>-106598</v>
      </c>
      <c r="G29" s="365" t="s">
        <v>278</v>
      </c>
    </row>
    <row r="30" spans="1:7">
      <c r="A30" s="452">
        <v>2030105010101</v>
      </c>
      <c r="B30" s="453" t="s">
        <v>163</v>
      </c>
      <c r="C30" s="364" t="s">
        <v>328</v>
      </c>
      <c r="D30" s="365">
        <v>24124598</v>
      </c>
      <c r="E30" s="368">
        <f t="shared" si="3"/>
        <v>24125</v>
      </c>
      <c r="G30" s="365" t="s">
        <v>278</v>
      </c>
    </row>
    <row r="31" spans="1:7">
      <c r="A31" s="452">
        <v>3020301010101</v>
      </c>
      <c r="B31" s="453" t="s">
        <v>279</v>
      </c>
      <c r="C31" s="364" t="s">
        <v>280</v>
      </c>
      <c r="D31" s="366">
        <v>-2976598.83</v>
      </c>
      <c r="E31" s="368">
        <f t="shared" si="3"/>
        <v>-2977</v>
      </c>
      <c r="F31" s="365">
        <f t="shared" ref="F31:F37" si="4">E31*-1</f>
        <v>2977</v>
      </c>
      <c r="G31" s="365" t="s">
        <v>54</v>
      </c>
    </row>
    <row r="32" spans="1:7">
      <c r="A32" s="452">
        <v>3020301010102</v>
      </c>
      <c r="B32" s="453" t="s">
        <v>100</v>
      </c>
      <c r="C32" s="364" t="s">
        <v>280</v>
      </c>
      <c r="D32" s="366">
        <v>-1082422.79</v>
      </c>
      <c r="E32" s="368">
        <f t="shared" si="3"/>
        <v>-1082</v>
      </c>
      <c r="F32" s="365">
        <f t="shared" si="4"/>
        <v>1082</v>
      </c>
      <c r="G32" s="365" t="s">
        <v>54</v>
      </c>
    </row>
    <row r="33" spans="1:7">
      <c r="A33" s="452">
        <v>3020301010103</v>
      </c>
      <c r="B33" s="453" t="s">
        <v>99</v>
      </c>
      <c r="C33" s="364" t="s">
        <v>280</v>
      </c>
      <c r="D33" s="366">
        <v>-62656.11</v>
      </c>
      <c r="E33" s="368">
        <f t="shared" si="3"/>
        <v>-63</v>
      </c>
      <c r="F33" s="365">
        <f t="shared" si="4"/>
        <v>63</v>
      </c>
      <c r="G33" s="365" t="s">
        <v>54</v>
      </c>
    </row>
    <row r="34" spans="1:7">
      <c r="A34" s="452">
        <v>3020301010105</v>
      </c>
      <c r="B34" s="453" t="s">
        <v>372</v>
      </c>
      <c r="C34" s="364" t="s">
        <v>280</v>
      </c>
      <c r="D34" s="366">
        <v>-2697500</v>
      </c>
      <c r="E34" s="368">
        <f>ROUNDDOWN(D34/1000,0)</f>
        <v>-2697</v>
      </c>
      <c r="F34" s="365">
        <f t="shared" si="4"/>
        <v>2697</v>
      </c>
      <c r="G34" s="365" t="s">
        <v>54</v>
      </c>
    </row>
    <row r="35" spans="1:7">
      <c r="A35" s="452">
        <v>3020301010106</v>
      </c>
      <c r="B35" s="453" t="s">
        <v>281</v>
      </c>
      <c r="C35" s="364" t="s">
        <v>280</v>
      </c>
      <c r="D35" s="366">
        <v>-517927.36</v>
      </c>
      <c r="E35" s="368">
        <f t="shared" si="3"/>
        <v>-518</v>
      </c>
      <c r="F35" s="365">
        <f t="shared" si="4"/>
        <v>518</v>
      </c>
      <c r="G35" s="365" t="s">
        <v>54</v>
      </c>
    </row>
    <row r="36" spans="1:7">
      <c r="A36" s="452">
        <v>3020301010107</v>
      </c>
      <c r="B36" s="453" t="s">
        <v>282</v>
      </c>
      <c r="C36" s="364" t="s">
        <v>280</v>
      </c>
      <c r="D36" s="366">
        <v>-2009615.04</v>
      </c>
      <c r="E36" s="368">
        <f t="shared" si="3"/>
        <v>-2010</v>
      </c>
      <c r="F36" s="365">
        <f t="shared" si="4"/>
        <v>2010</v>
      </c>
      <c r="G36" s="365" t="s">
        <v>54</v>
      </c>
    </row>
    <row r="37" spans="1:7">
      <c r="A37" s="452">
        <v>3020301010108</v>
      </c>
      <c r="B37" s="453" t="s">
        <v>283</v>
      </c>
      <c r="C37" s="364" t="s">
        <v>280</v>
      </c>
      <c r="D37" s="366">
        <v>-425844.08</v>
      </c>
      <c r="E37" s="368">
        <f t="shared" si="3"/>
        <v>-426</v>
      </c>
      <c r="F37" s="365">
        <f t="shared" si="4"/>
        <v>426</v>
      </c>
      <c r="G37" s="365" t="s">
        <v>54</v>
      </c>
    </row>
    <row r="38" spans="1:7">
      <c r="A38" s="452">
        <v>3020301010109</v>
      </c>
      <c r="B38" s="453" t="s">
        <v>284</v>
      </c>
      <c r="C38" s="364" t="s">
        <v>280</v>
      </c>
      <c r="D38" s="365">
        <v>-1127212.76</v>
      </c>
      <c r="E38" s="368">
        <f t="shared" si="3"/>
        <v>-1127</v>
      </c>
      <c r="F38" s="365">
        <f>SUM(E37:E38)*-1</f>
        <v>1553</v>
      </c>
      <c r="G38" s="365" t="s">
        <v>54</v>
      </c>
    </row>
    <row r="39" spans="1:7">
      <c r="A39" s="452">
        <v>3020302010201</v>
      </c>
      <c r="B39" s="453" t="s">
        <v>101</v>
      </c>
      <c r="C39" s="364" t="s">
        <v>280</v>
      </c>
      <c r="D39" s="366">
        <v>-278385</v>
      </c>
      <c r="E39" s="365">
        <f t="shared" ref="E39:E57" si="5">ROUND(D39/1000,0)</f>
        <v>-278</v>
      </c>
      <c r="F39" s="365">
        <f>E39*-1</f>
        <v>278</v>
      </c>
      <c r="G39" s="365" t="s">
        <v>54</v>
      </c>
    </row>
    <row r="40" spans="1:7">
      <c r="A40" s="452">
        <v>3020302010305</v>
      </c>
      <c r="B40" s="453" t="s">
        <v>323</v>
      </c>
      <c r="C40" s="364" t="s">
        <v>280</v>
      </c>
      <c r="D40" s="366">
        <v>-125000</v>
      </c>
      <c r="E40" s="365">
        <f t="shared" si="5"/>
        <v>-125</v>
      </c>
      <c r="F40" s="365">
        <f>E40*-1</f>
        <v>125</v>
      </c>
      <c r="G40" s="365" t="s">
        <v>54</v>
      </c>
    </row>
    <row r="41" spans="1:7">
      <c r="A41" s="452">
        <v>3020302010901</v>
      </c>
      <c r="B41" s="453" t="s">
        <v>87</v>
      </c>
      <c r="C41" s="364" t="s">
        <v>280</v>
      </c>
      <c r="D41" s="366">
        <v>-397736.3</v>
      </c>
      <c r="E41" s="365">
        <f>ROUND(D41/1000,0)</f>
        <v>-398</v>
      </c>
      <c r="F41" s="365">
        <f>E41*-1</f>
        <v>398</v>
      </c>
      <c r="G41" s="365" t="s">
        <v>54</v>
      </c>
    </row>
    <row r="42" spans="1:7">
      <c r="A42" s="452">
        <v>3020303010101</v>
      </c>
      <c r="B42" s="453" t="s">
        <v>285</v>
      </c>
      <c r="C42" s="364" t="s">
        <v>280</v>
      </c>
      <c r="D42" s="366">
        <v>-181413.47</v>
      </c>
      <c r="E42" s="365">
        <f t="shared" si="5"/>
        <v>-181</v>
      </c>
      <c r="F42" s="365">
        <f t="shared" ref="F42:F51" si="6">E42*-1</f>
        <v>181</v>
      </c>
      <c r="G42" s="365" t="s">
        <v>54</v>
      </c>
    </row>
    <row r="43" spans="1:7">
      <c r="A43" s="452">
        <v>3020303010103</v>
      </c>
      <c r="B43" s="453" t="s">
        <v>286</v>
      </c>
      <c r="C43" s="364" t="s">
        <v>280</v>
      </c>
      <c r="D43" s="366">
        <v>-63520</v>
      </c>
      <c r="E43" s="365">
        <f t="shared" si="5"/>
        <v>-64</v>
      </c>
      <c r="F43" s="365">
        <f t="shared" si="6"/>
        <v>64</v>
      </c>
      <c r="G43" s="365" t="s">
        <v>54</v>
      </c>
    </row>
    <row r="44" spans="1:7">
      <c r="A44" s="452">
        <v>3020402020101</v>
      </c>
      <c r="B44" s="453" t="s">
        <v>97</v>
      </c>
      <c r="C44" s="364" t="s">
        <v>280</v>
      </c>
      <c r="D44" s="366">
        <v>-32699</v>
      </c>
      <c r="E44" s="365">
        <f t="shared" si="5"/>
        <v>-33</v>
      </c>
      <c r="F44" s="365">
        <f>(E44*-1)</f>
        <v>33</v>
      </c>
      <c r="G44" s="365" t="s">
        <v>54</v>
      </c>
    </row>
    <row r="45" spans="1:7">
      <c r="A45" s="452">
        <v>3020406010109</v>
      </c>
      <c r="B45" s="453" t="s">
        <v>324</v>
      </c>
      <c r="C45" s="364" t="s">
        <v>280</v>
      </c>
      <c r="D45" s="366">
        <v>-388171.07</v>
      </c>
      <c r="E45" s="365">
        <f t="shared" si="5"/>
        <v>-388</v>
      </c>
      <c r="F45" s="365">
        <f>(E45*-1)</f>
        <v>388</v>
      </c>
      <c r="G45" s="365" t="s">
        <v>54</v>
      </c>
    </row>
    <row r="46" spans="1:7">
      <c r="A46" s="452">
        <v>3020406010121</v>
      </c>
      <c r="B46" s="453" t="s">
        <v>96</v>
      </c>
      <c r="C46" s="364" t="s">
        <v>280</v>
      </c>
      <c r="D46" s="366">
        <v>-97184</v>
      </c>
      <c r="E46" s="365">
        <f t="shared" si="5"/>
        <v>-97</v>
      </c>
      <c r="F46" s="365">
        <f t="shared" si="6"/>
        <v>97</v>
      </c>
      <c r="G46" s="365" t="s">
        <v>54</v>
      </c>
    </row>
    <row r="47" spans="1:7">
      <c r="A47" s="452">
        <v>3020406010124</v>
      </c>
      <c r="B47" s="453" t="s">
        <v>95</v>
      </c>
      <c r="C47" s="364" t="s">
        <v>280</v>
      </c>
      <c r="D47" s="366">
        <v>-2403365.85</v>
      </c>
      <c r="E47" s="365">
        <f t="shared" si="5"/>
        <v>-2403</v>
      </c>
      <c r="F47" s="365">
        <f t="shared" si="6"/>
        <v>2403</v>
      </c>
      <c r="G47" s="365" t="s">
        <v>54</v>
      </c>
    </row>
    <row r="48" spans="1:7">
      <c r="A48" s="452">
        <v>3020406010202</v>
      </c>
      <c r="B48" s="453" t="s">
        <v>325</v>
      </c>
      <c r="C48" s="364" t="s">
        <v>280</v>
      </c>
      <c r="D48" s="366">
        <v>-691659.46</v>
      </c>
      <c r="E48" s="365">
        <f t="shared" si="5"/>
        <v>-692</v>
      </c>
      <c r="F48" s="365">
        <f t="shared" si="6"/>
        <v>692</v>
      </c>
      <c r="G48" s="365" t="s">
        <v>54</v>
      </c>
    </row>
    <row r="49" spans="1:7">
      <c r="A49" s="452">
        <v>3020406010203</v>
      </c>
      <c r="B49" s="453" t="s">
        <v>94</v>
      </c>
      <c r="C49" s="364" t="s">
        <v>280</v>
      </c>
      <c r="D49" s="365">
        <v>-13204</v>
      </c>
      <c r="E49" s="365">
        <f t="shared" si="5"/>
        <v>-13</v>
      </c>
      <c r="F49" s="365">
        <f t="shared" si="6"/>
        <v>13</v>
      </c>
      <c r="G49" s="365" t="s">
        <v>54</v>
      </c>
    </row>
    <row r="50" spans="1:7">
      <c r="A50" s="452">
        <v>3020406010205</v>
      </c>
      <c r="B50" s="453" t="s">
        <v>93</v>
      </c>
      <c r="C50" s="364" t="s">
        <v>280</v>
      </c>
      <c r="D50" s="365">
        <v>-1767292</v>
      </c>
      <c r="E50" s="365">
        <f t="shared" si="5"/>
        <v>-1767</v>
      </c>
      <c r="F50" s="365">
        <f t="shared" si="6"/>
        <v>1767</v>
      </c>
      <c r="G50" s="365" t="s">
        <v>54</v>
      </c>
    </row>
    <row r="51" spans="1:7">
      <c r="A51" s="452">
        <v>3020406010301</v>
      </c>
      <c r="B51" s="453" t="s">
        <v>165</v>
      </c>
      <c r="C51" s="364" t="s">
        <v>280</v>
      </c>
      <c r="D51" s="365">
        <f>-716341220-528000</f>
        <v>-716869220</v>
      </c>
      <c r="E51" s="365">
        <f>ROUND(D51/1000,0)</f>
        <v>-716869</v>
      </c>
      <c r="F51" s="365">
        <f t="shared" si="6"/>
        <v>716869</v>
      </c>
      <c r="G51" s="365" t="s">
        <v>54</v>
      </c>
    </row>
    <row r="52" spans="1:7">
      <c r="A52" s="452">
        <v>4010101010101</v>
      </c>
      <c r="B52" s="453" t="s">
        <v>92</v>
      </c>
      <c r="C52" s="364" t="s">
        <v>287</v>
      </c>
      <c r="D52" s="366">
        <v>12560094.609999999</v>
      </c>
      <c r="E52" s="365">
        <f t="shared" si="5"/>
        <v>12560</v>
      </c>
      <c r="G52" s="365" t="s">
        <v>60</v>
      </c>
    </row>
    <row r="53" spans="1:7">
      <c r="A53" s="452">
        <v>4010102010101</v>
      </c>
      <c r="B53" s="453" t="s">
        <v>288</v>
      </c>
      <c r="C53" s="364" t="s">
        <v>287</v>
      </c>
      <c r="D53" s="366">
        <v>820305.49</v>
      </c>
      <c r="E53" s="365">
        <f t="shared" si="5"/>
        <v>820</v>
      </c>
      <c r="G53" s="365" t="s">
        <v>60</v>
      </c>
    </row>
    <row r="54" spans="1:7">
      <c r="A54" s="452">
        <v>4010401010109</v>
      </c>
      <c r="B54" s="453" t="s">
        <v>326</v>
      </c>
      <c r="C54" s="364" t="s">
        <v>287</v>
      </c>
      <c r="D54" s="366">
        <v>1240846.08</v>
      </c>
      <c r="E54" s="365">
        <f t="shared" si="5"/>
        <v>1241</v>
      </c>
      <c r="G54" s="365" t="s">
        <v>60</v>
      </c>
    </row>
    <row r="55" spans="1:7">
      <c r="A55" s="452">
        <v>4010402010101</v>
      </c>
      <c r="B55" s="453" t="s">
        <v>160</v>
      </c>
      <c r="C55" s="364" t="s">
        <v>287</v>
      </c>
      <c r="D55" s="366">
        <v>131719.21</v>
      </c>
      <c r="E55" s="365">
        <f t="shared" si="5"/>
        <v>132</v>
      </c>
      <c r="G55" s="365" t="s">
        <v>60</v>
      </c>
    </row>
    <row r="56" spans="1:7">
      <c r="A56" s="452">
        <v>4010403010101</v>
      </c>
      <c r="B56" s="453" t="s">
        <v>89</v>
      </c>
      <c r="C56" s="364" t="s">
        <v>287</v>
      </c>
      <c r="D56" s="366">
        <v>186127.18</v>
      </c>
      <c r="E56" s="365">
        <f t="shared" si="5"/>
        <v>186</v>
      </c>
      <c r="F56" s="365">
        <f>E54+E55+E56</f>
        <v>1559</v>
      </c>
      <c r="G56" s="365" t="s">
        <v>60</v>
      </c>
    </row>
    <row r="57" spans="1:7">
      <c r="A57" s="452">
        <v>4010501010102</v>
      </c>
      <c r="B57" s="453" t="s">
        <v>90</v>
      </c>
      <c r="C57" s="364" t="s">
        <v>287</v>
      </c>
      <c r="D57" s="366">
        <v>308500</v>
      </c>
      <c r="E57" s="365">
        <f t="shared" si="5"/>
        <v>309</v>
      </c>
      <c r="G57" s="365" t="s">
        <v>60</v>
      </c>
    </row>
    <row r="58" spans="1:7">
      <c r="A58" s="452">
        <v>4010502010101</v>
      </c>
      <c r="B58" s="453" t="s">
        <v>143</v>
      </c>
      <c r="C58" s="364" t="s">
        <v>287</v>
      </c>
      <c r="D58" s="366">
        <v>95500</v>
      </c>
      <c r="E58" s="365">
        <f t="shared" ref="E58:E74" si="7">ROUND(D58/1000,0)</f>
        <v>96</v>
      </c>
      <c r="F58" s="365">
        <f>(E58+E57)</f>
        <v>405</v>
      </c>
      <c r="G58" s="365" t="s">
        <v>60</v>
      </c>
    </row>
    <row r="59" spans="1:7">
      <c r="A59" s="452">
        <v>4020101010101</v>
      </c>
      <c r="B59" s="453" t="s">
        <v>88</v>
      </c>
      <c r="C59" s="364" t="s">
        <v>287</v>
      </c>
      <c r="D59" s="366">
        <v>278385</v>
      </c>
      <c r="E59" s="365">
        <f t="shared" si="7"/>
        <v>278</v>
      </c>
      <c r="G59" s="365" t="s">
        <v>60</v>
      </c>
    </row>
    <row r="60" spans="1:7">
      <c r="A60" s="452">
        <v>4020201010106</v>
      </c>
      <c r="B60" s="453" t="s">
        <v>323</v>
      </c>
      <c r="C60" s="364" t="s">
        <v>287</v>
      </c>
      <c r="D60" s="366">
        <v>125000</v>
      </c>
      <c r="E60" s="365">
        <f t="shared" si="7"/>
        <v>125</v>
      </c>
      <c r="G60" s="365" t="s">
        <v>60</v>
      </c>
    </row>
    <row r="61" spans="1:7">
      <c r="A61" s="452">
        <v>4020301010101</v>
      </c>
      <c r="B61" s="453" t="s">
        <v>87</v>
      </c>
      <c r="C61" s="364" t="s">
        <v>287</v>
      </c>
      <c r="D61" s="366">
        <v>397736.32</v>
      </c>
      <c r="E61" s="365">
        <f t="shared" si="7"/>
        <v>398</v>
      </c>
      <c r="G61" s="365" t="s">
        <v>60</v>
      </c>
    </row>
    <row r="62" spans="1:7">
      <c r="A62" s="452">
        <v>4020401010102</v>
      </c>
      <c r="B62" s="453" t="s">
        <v>145</v>
      </c>
      <c r="C62" s="364" t="s">
        <v>287</v>
      </c>
      <c r="D62" s="366">
        <v>20000</v>
      </c>
      <c r="E62" s="365">
        <f t="shared" si="7"/>
        <v>20</v>
      </c>
      <c r="G62" s="365" t="s">
        <v>60</v>
      </c>
    </row>
    <row r="63" spans="1:7">
      <c r="A63" s="452">
        <v>4020401010214</v>
      </c>
      <c r="B63" s="453" t="s">
        <v>289</v>
      </c>
      <c r="C63" s="364" t="s">
        <v>287</v>
      </c>
      <c r="D63" s="455">
        <v>97184</v>
      </c>
      <c r="E63" s="456">
        <f t="shared" si="7"/>
        <v>97</v>
      </c>
      <c r="G63" s="365" t="s">
        <v>60</v>
      </c>
    </row>
    <row r="64" spans="1:7">
      <c r="A64" s="452">
        <v>4020401010215</v>
      </c>
      <c r="B64" s="453" t="s">
        <v>290</v>
      </c>
      <c r="C64" s="364" t="s">
        <v>287</v>
      </c>
      <c r="D64" s="455">
        <v>2185456.5</v>
      </c>
      <c r="E64" s="456">
        <f t="shared" si="7"/>
        <v>2185</v>
      </c>
      <c r="G64" s="365" t="s">
        <v>60</v>
      </c>
    </row>
    <row r="65" spans="1:7">
      <c r="A65" s="452">
        <v>4020401010216</v>
      </c>
      <c r="B65" s="453" t="s">
        <v>291</v>
      </c>
      <c r="C65" s="364" t="s">
        <v>287</v>
      </c>
      <c r="D65" s="455">
        <v>2009615.17</v>
      </c>
      <c r="E65" s="456">
        <f t="shared" si="7"/>
        <v>2010</v>
      </c>
      <c r="G65" s="365" t="s">
        <v>60</v>
      </c>
    </row>
    <row r="66" spans="1:7">
      <c r="A66" s="452">
        <v>4050101010101</v>
      </c>
      <c r="B66" s="453" t="s">
        <v>292</v>
      </c>
      <c r="C66" s="364" t="s">
        <v>287</v>
      </c>
      <c r="D66" s="455">
        <v>2403365.85</v>
      </c>
      <c r="E66" s="456">
        <f t="shared" si="7"/>
        <v>2403</v>
      </c>
      <c r="G66" s="365" t="s">
        <v>60</v>
      </c>
    </row>
    <row r="67" spans="1:7">
      <c r="A67" s="452">
        <v>5010301010101</v>
      </c>
      <c r="B67" s="453" t="s">
        <v>141</v>
      </c>
      <c r="C67" s="450" t="s">
        <v>373</v>
      </c>
      <c r="D67" s="455">
        <v>-13073505.82</v>
      </c>
      <c r="E67" s="456">
        <f t="shared" si="7"/>
        <v>-13074</v>
      </c>
      <c r="G67" s="365" t="s">
        <v>59</v>
      </c>
    </row>
    <row r="68" spans="1:7">
      <c r="A68" s="452">
        <v>5010201010101</v>
      </c>
      <c r="B68" s="453" t="s">
        <v>142</v>
      </c>
      <c r="C68" s="450" t="s">
        <v>327</v>
      </c>
      <c r="D68" s="455">
        <v>-16209177.93</v>
      </c>
      <c r="E68" s="456">
        <f t="shared" si="7"/>
        <v>-16209</v>
      </c>
      <c r="F68" s="364"/>
      <c r="G68" s="365" t="s">
        <v>59</v>
      </c>
    </row>
    <row r="69" spans="1:7">
      <c r="A69" s="452">
        <v>5010301010101</v>
      </c>
      <c r="B69" s="453" t="s">
        <v>141</v>
      </c>
      <c r="C69" s="450" t="s">
        <v>293</v>
      </c>
      <c r="D69" s="455">
        <v>-85046682.109999999</v>
      </c>
      <c r="E69" s="456">
        <f>ROUND(D69/1000,0)</f>
        <v>-85047</v>
      </c>
      <c r="F69" s="364"/>
      <c r="G69" s="365" t="s">
        <v>59</v>
      </c>
    </row>
    <row r="70" spans="1:7">
      <c r="A70" s="452">
        <v>5020101010125</v>
      </c>
      <c r="B70" s="453" t="s">
        <v>274</v>
      </c>
      <c r="C70" s="364" t="s">
        <v>294</v>
      </c>
      <c r="D70" s="455">
        <v>-391835</v>
      </c>
      <c r="E70" s="456">
        <f>ROUND(D70/1000,0)</f>
        <v>-392</v>
      </c>
      <c r="F70" s="364"/>
      <c r="G70" s="365" t="s">
        <v>59</v>
      </c>
    </row>
    <row r="71" spans="1:7">
      <c r="A71" s="452">
        <v>5020101010171</v>
      </c>
      <c r="B71" s="453" t="s">
        <v>276</v>
      </c>
      <c r="C71" s="364" t="s">
        <v>294</v>
      </c>
      <c r="D71" s="455">
        <v>-1035033</v>
      </c>
      <c r="E71" s="456">
        <f t="shared" si="7"/>
        <v>-1035</v>
      </c>
      <c r="F71" s="364"/>
      <c r="G71" s="365" t="s">
        <v>59</v>
      </c>
    </row>
    <row r="72" spans="1:7">
      <c r="A72" s="452">
        <v>5020101010173</v>
      </c>
      <c r="B72" s="453" t="s">
        <v>363</v>
      </c>
      <c r="C72" s="364" t="s">
        <v>294</v>
      </c>
      <c r="D72" s="455">
        <v>-235929</v>
      </c>
      <c r="E72" s="456">
        <f t="shared" si="7"/>
        <v>-236</v>
      </c>
      <c r="F72" s="364"/>
      <c r="G72" s="365" t="s">
        <v>59</v>
      </c>
    </row>
    <row r="73" spans="1:7">
      <c r="A73" s="452">
        <v>5020101010180</v>
      </c>
      <c r="B73" s="453" t="s">
        <v>364</v>
      </c>
      <c r="C73" s="364" t="s">
        <v>294</v>
      </c>
      <c r="D73" s="455">
        <v>-421661</v>
      </c>
      <c r="E73" s="456">
        <f t="shared" si="7"/>
        <v>-422</v>
      </c>
      <c r="F73" s="364"/>
      <c r="G73" s="365" t="s">
        <v>59</v>
      </c>
    </row>
    <row r="74" spans="1:7">
      <c r="A74" s="452">
        <v>5020101010189</v>
      </c>
      <c r="B74" s="453" t="s">
        <v>366</v>
      </c>
      <c r="C74" s="364" t="s">
        <v>294</v>
      </c>
      <c r="D74" s="455">
        <v>-86356</v>
      </c>
      <c r="E74" s="456">
        <f t="shared" si="7"/>
        <v>-86</v>
      </c>
      <c r="F74" s="364">
        <f>SUM(E70:E74)</f>
        <v>-2171</v>
      </c>
      <c r="G74" s="365" t="s">
        <v>59</v>
      </c>
    </row>
    <row r="80" spans="1:7">
      <c r="D80" s="366"/>
    </row>
    <row r="81" spans="4:4">
      <c r="D81" s="457"/>
    </row>
  </sheetData>
  <dataConsolidat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V28"/>
  <sheetViews>
    <sheetView zoomScale="60" workbookViewId="0"/>
  </sheetViews>
  <sheetFormatPr defaultColWidth="14.09765625" defaultRowHeight="28.5" customHeight="1"/>
  <cols>
    <col min="1" max="1" width="32.59765625" style="161" customWidth="1"/>
    <col min="2" max="2" width="8.09765625" style="113" customWidth="1"/>
    <col min="3" max="3" width="16.5" style="157" customWidth="1"/>
    <col min="4" max="4" width="10.09765625" style="157" customWidth="1"/>
    <col min="5" max="5" width="16.19921875" style="157" customWidth="1"/>
    <col min="6" max="6" width="7.19921875" style="157" customWidth="1"/>
    <col min="7" max="7" width="19" style="157" customWidth="1"/>
    <col min="8" max="8" width="30.19921875" style="157" customWidth="1"/>
    <col min="9" max="16384" width="14.09765625" style="113"/>
  </cols>
  <sheetData>
    <row r="1" spans="1:22" s="92" customFormat="1" ht="21" customHeight="1" thickBot="1">
      <c r="A1" s="88" t="s">
        <v>9</v>
      </c>
      <c r="B1" s="89"/>
      <c r="C1" s="89"/>
      <c r="D1" s="89"/>
      <c r="E1" s="89"/>
      <c r="F1" s="89"/>
      <c r="G1" s="90"/>
      <c r="H1" s="91"/>
    </row>
    <row r="2" spans="1:22" s="98" customFormat="1" ht="21" customHeight="1" thickBot="1">
      <c r="A2" s="93" t="s">
        <v>111</v>
      </c>
      <c r="B2" s="94"/>
      <c r="C2" s="94"/>
      <c r="D2" s="94"/>
      <c r="E2" s="94"/>
      <c r="F2" s="95"/>
      <c r="G2" s="96" t="s">
        <v>10</v>
      </c>
      <c r="H2" s="97"/>
    </row>
    <row r="3" spans="1:22" s="98" customFormat="1" ht="21" customHeight="1" thickBot="1">
      <c r="A3" s="93" t="s">
        <v>11</v>
      </c>
      <c r="B3" s="94"/>
      <c r="C3" s="94"/>
      <c r="D3" s="94"/>
      <c r="E3" s="94"/>
      <c r="F3" s="95"/>
      <c r="G3" s="99" t="s">
        <v>12</v>
      </c>
      <c r="H3" s="100"/>
      <c r="I3" s="101"/>
    </row>
    <row r="4" spans="1:22" s="98" customFormat="1" ht="21" customHeight="1" thickBot="1">
      <c r="A4" s="93" t="s">
        <v>13</v>
      </c>
      <c r="B4" s="94"/>
      <c r="C4" s="94"/>
      <c r="D4" s="94"/>
      <c r="E4" s="94"/>
      <c r="F4" s="95"/>
      <c r="G4" s="102" t="s">
        <v>14</v>
      </c>
      <c r="H4" s="103"/>
    </row>
    <row r="5" spans="1:22" s="105" customFormat="1" ht="18.75" customHeight="1" thickBot="1">
      <c r="A5" s="2740" t="s">
        <v>15</v>
      </c>
      <c r="B5" s="2742" t="s">
        <v>16</v>
      </c>
      <c r="C5" s="2744" t="s">
        <v>17</v>
      </c>
      <c r="D5" s="2745"/>
      <c r="E5" s="2746"/>
      <c r="F5" s="104"/>
      <c r="G5" s="2734" t="s">
        <v>18</v>
      </c>
      <c r="H5" s="2735"/>
    </row>
    <row r="6" spans="1:22" s="105" customFormat="1" ht="27.75" customHeight="1" thickTop="1" thickBot="1">
      <c r="A6" s="2741"/>
      <c r="B6" s="2743"/>
      <c r="C6" s="106" t="s">
        <v>19</v>
      </c>
      <c r="D6" s="106" t="s">
        <v>20</v>
      </c>
      <c r="E6" s="107" t="s">
        <v>21</v>
      </c>
      <c r="F6" s="107" t="s">
        <v>22</v>
      </c>
      <c r="G6" s="2736"/>
      <c r="H6" s="2737"/>
    </row>
    <row r="7" spans="1:22" ht="15.75" customHeight="1">
      <c r="A7" s="108"/>
      <c r="B7" s="109"/>
      <c r="C7" s="110"/>
      <c r="D7" s="110"/>
      <c r="E7" s="110"/>
      <c r="F7" s="110"/>
      <c r="G7" s="111"/>
      <c r="H7" s="112"/>
    </row>
    <row r="8" spans="1:22" s="120" customFormat="1" ht="15.75" customHeight="1">
      <c r="A8" s="114"/>
      <c r="B8" s="115"/>
      <c r="C8" s="116"/>
      <c r="D8" s="116"/>
      <c r="E8" s="116"/>
      <c r="F8" s="117"/>
      <c r="G8" s="118"/>
      <c r="H8" s="119"/>
    </row>
    <row r="9" spans="1:22" s="120" customFormat="1" ht="15.75" customHeight="1">
      <c r="A9" s="121"/>
      <c r="B9" s="115"/>
      <c r="C9" s="122"/>
      <c r="D9" s="123"/>
      <c r="E9" s="124"/>
      <c r="F9" s="125"/>
      <c r="G9" s="126"/>
      <c r="H9" s="127"/>
      <c r="I9" s="128"/>
      <c r="K9" s="113"/>
    </row>
    <row r="10" spans="1:22" s="120" customFormat="1" ht="15.75" customHeight="1">
      <c r="A10" s="114" t="s">
        <v>23</v>
      </c>
      <c r="B10" s="115"/>
      <c r="C10" s="115"/>
      <c r="D10" s="115"/>
      <c r="E10" s="129"/>
      <c r="F10" s="115"/>
      <c r="G10" s="130"/>
      <c r="H10" s="127"/>
    </row>
    <row r="11" spans="1:22" s="120" customFormat="1" ht="15.75" customHeight="1">
      <c r="A11" s="131" t="s">
        <v>24</v>
      </c>
      <c r="B11" s="115"/>
      <c r="C11" s="116">
        <f>'invst Control Sheet'!B39</f>
        <v>198351.75</v>
      </c>
      <c r="D11" s="116">
        <v>0</v>
      </c>
      <c r="E11" s="116">
        <f>C11-D11</f>
        <v>198351.75</v>
      </c>
      <c r="F11" s="125">
        <v>1</v>
      </c>
      <c r="G11" s="2747" t="s">
        <v>25</v>
      </c>
      <c r="H11" s="2748"/>
    </row>
    <row r="12" spans="1:22" s="120" customFormat="1" ht="15.75" customHeight="1">
      <c r="A12" s="121"/>
      <c r="B12" s="115"/>
      <c r="C12" s="122"/>
      <c r="D12" s="123"/>
      <c r="E12" s="124"/>
      <c r="F12" s="125"/>
      <c r="G12" s="2749"/>
      <c r="H12" s="2748"/>
      <c r="I12" s="128"/>
      <c r="K12" s="113"/>
    </row>
    <row r="13" spans="1:22" s="120" customFormat="1" ht="15.75" customHeight="1">
      <c r="A13" s="121"/>
      <c r="B13" s="115"/>
      <c r="C13" s="123"/>
      <c r="D13" s="123"/>
      <c r="E13" s="123"/>
      <c r="F13" s="123"/>
      <c r="G13" s="118"/>
      <c r="H13" s="119"/>
      <c r="I13" s="128"/>
      <c r="M13" s="132"/>
      <c r="N13" s="132"/>
      <c r="O13" s="132"/>
      <c r="P13" s="132"/>
      <c r="Q13" s="132"/>
      <c r="R13" s="133"/>
      <c r="S13" s="134"/>
      <c r="T13" s="132"/>
      <c r="U13" s="113"/>
      <c r="V13" s="135"/>
    </row>
    <row r="14" spans="1:22" s="120" customFormat="1" ht="15.75" customHeight="1">
      <c r="A14" s="136"/>
      <c r="B14" s="115"/>
      <c r="C14" s="123"/>
      <c r="D14" s="123"/>
      <c r="E14" s="123"/>
      <c r="F14" s="137"/>
      <c r="G14" s="118"/>
      <c r="H14" s="119"/>
      <c r="I14" s="128"/>
      <c r="N14" s="113"/>
      <c r="O14" s="113"/>
      <c r="P14" s="113"/>
      <c r="Q14" s="113"/>
      <c r="R14" s="133"/>
      <c r="S14" s="134"/>
      <c r="T14" s="132"/>
      <c r="U14" s="113"/>
      <c r="V14" s="135"/>
    </row>
    <row r="15" spans="1:22" s="120" customFormat="1" ht="15.75" customHeight="1">
      <c r="A15" s="121"/>
      <c r="B15" s="115"/>
      <c r="C15" s="123"/>
      <c r="D15" s="123"/>
      <c r="E15" s="124"/>
      <c r="F15" s="125"/>
      <c r="G15" s="118"/>
      <c r="H15" s="119"/>
      <c r="I15" s="128"/>
    </row>
    <row r="16" spans="1:22" s="120" customFormat="1" ht="15.75" customHeight="1">
      <c r="A16" s="121"/>
      <c r="B16" s="115"/>
      <c r="C16" s="123"/>
      <c r="D16" s="123"/>
      <c r="E16" s="124"/>
      <c r="F16" s="125"/>
      <c r="G16" s="118"/>
      <c r="H16" s="119"/>
      <c r="I16" s="128"/>
      <c r="P16" s="113"/>
      <c r="S16" s="113"/>
      <c r="U16" s="113"/>
    </row>
    <row r="17" spans="1:21" s="120" customFormat="1" ht="15.75" customHeight="1">
      <c r="A17" s="121"/>
      <c r="B17" s="115"/>
      <c r="C17" s="123"/>
      <c r="D17" s="123"/>
      <c r="E17" s="124"/>
      <c r="F17" s="124"/>
      <c r="G17" s="138"/>
      <c r="H17" s="139"/>
      <c r="I17" s="128"/>
      <c r="P17" s="113"/>
      <c r="S17" s="113"/>
      <c r="U17" s="113"/>
    </row>
    <row r="18" spans="1:21" s="120" customFormat="1" ht="15.75" customHeight="1">
      <c r="A18" s="121"/>
      <c r="B18" s="115"/>
      <c r="C18" s="123"/>
      <c r="D18" s="123"/>
      <c r="E18" s="124"/>
      <c r="F18" s="124"/>
      <c r="G18" s="138"/>
      <c r="H18" s="139"/>
      <c r="I18" s="128"/>
      <c r="P18" s="113"/>
      <c r="S18" s="113"/>
      <c r="U18" s="113"/>
    </row>
    <row r="19" spans="1:21" s="120" customFormat="1" ht="15.75" customHeight="1">
      <c r="A19" s="121"/>
      <c r="B19" s="115"/>
      <c r="C19" s="123"/>
      <c r="D19" s="123"/>
      <c r="E19" s="123"/>
      <c r="F19" s="125"/>
      <c r="G19" s="138"/>
      <c r="H19" s="139"/>
      <c r="I19" s="128"/>
      <c r="S19" s="140"/>
      <c r="T19" s="113"/>
      <c r="U19" s="135"/>
    </row>
    <row r="20" spans="1:21" s="120" customFormat="1" ht="15.75" customHeight="1">
      <c r="A20" s="141"/>
      <c r="B20" s="115"/>
      <c r="C20" s="123"/>
      <c r="D20" s="123"/>
      <c r="E20" s="123"/>
      <c r="F20" s="123"/>
      <c r="G20" s="142"/>
      <c r="H20" s="87"/>
      <c r="I20" s="128"/>
    </row>
    <row r="21" spans="1:21" s="120" customFormat="1" ht="15.75" customHeight="1">
      <c r="A21" s="141"/>
      <c r="B21" s="115"/>
      <c r="C21" s="123"/>
      <c r="D21" s="123"/>
      <c r="E21" s="123"/>
      <c r="F21" s="125"/>
      <c r="G21" s="2750"/>
      <c r="H21" s="2751"/>
      <c r="I21" s="128"/>
    </row>
    <row r="22" spans="1:21" s="120" customFormat="1" ht="15.75" customHeight="1">
      <c r="A22" s="143"/>
      <c r="B22" s="115"/>
      <c r="C22" s="123"/>
      <c r="D22" s="123"/>
      <c r="E22" s="123"/>
      <c r="F22" s="123"/>
      <c r="G22" s="2750"/>
      <c r="H22" s="2751"/>
      <c r="I22" s="128"/>
    </row>
    <row r="23" spans="1:21" s="120" customFormat="1" ht="15.75" customHeight="1">
      <c r="A23" s="143"/>
      <c r="B23" s="115"/>
      <c r="C23" s="123"/>
      <c r="D23" s="123"/>
      <c r="E23" s="123"/>
      <c r="F23" s="123"/>
      <c r="G23" s="2750"/>
      <c r="H23" s="2751"/>
      <c r="I23" s="128"/>
    </row>
    <row r="24" spans="1:21" s="120" customFormat="1" ht="15.75" customHeight="1" thickBot="1">
      <c r="A24" s="144"/>
      <c r="B24" s="145"/>
      <c r="C24" s="146"/>
      <c r="D24" s="146"/>
      <c r="E24" s="123"/>
      <c r="F24" s="146"/>
      <c r="G24" s="147"/>
      <c r="H24" s="148"/>
      <c r="I24" s="128"/>
    </row>
    <row r="25" spans="1:21" s="120" customFormat="1" ht="13.8" thickBot="1">
      <c r="A25" s="149"/>
      <c r="B25" s="150"/>
      <c r="C25" s="151">
        <f>SUM(C11:C22)</f>
        <v>198351.75</v>
      </c>
      <c r="D25" s="151">
        <f>SUM(D11:D22)</f>
        <v>0</v>
      </c>
      <c r="E25" s="151">
        <f>SUM(E11:E22)</f>
        <v>198351.75</v>
      </c>
      <c r="F25" s="152">
        <v>1</v>
      </c>
      <c r="G25" s="153"/>
      <c r="H25" s="154"/>
    </row>
    <row r="26" spans="1:21" ht="44.25" customHeight="1">
      <c r="A26" s="2752" t="s">
        <v>49</v>
      </c>
      <c r="B26" s="2753"/>
      <c r="C26" s="2753"/>
      <c r="D26" s="2753"/>
      <c r="E26" s="2753"/>
      <c r="F26" s="2753"/>
      <c r="G26" s="2754"/>
      <c r="H26" s="2755"/>
      <c r="I26" s="155"/>
    </row>
    <row r="27" spans="1:21" ht="20.25" customHeight="1">
      <c r="A27" s="156" t="s">
        <v>26</v>
      </c>
      <c r="B27" s="113" t="s">
        <v>27</v>
      </c>
      <c r="C27" s="157" t="s">
        <v>28</v>
      </c>
      <c r="E27" s="157" t="s">
        <v>29</v>
      </c>
      <c r="H27" s="158"/>
      <c r="I27" s="155"/>
    </row>
    <row r="28" spans="1:21" ht="18" customHeight="1" thickBot="1">
      <c r="A28" s="2738" t="s">
        <v>30</v>
      </c>
      <c r="B28" s="2739"/>
      <c r="C28" s="2739"/>
      <c r="D28" s="2739"/>
      <c r="E28" s="159"/>
      <c r="F28" s="159"/>
      <c r="G28" s="159"/>
      <c r="H28" s="160"/>
    </row>
  </sheetData>
  <mergeCells count="9">
    <mergeCell ref="G5:H6"/>
    <mergeCell ref="A28:D28"/>
    <mergeCell ref="A5:A6"/>
    <mergeCell ref="B5:B6"/>
    <mergeCell ref="C5:E5"/>
    <mergeCell ref="G11:H12"/>
    <mergeCell ref="G21:H22"/>
    <mergeCell ref="G23:H23"/>
    <mergeCell ref="A26:H26"/>
  </mergeCells>
  <phoneticPr fontId="44" type="noConversion"/>
  <pageMargins left="0.75" right="0.75" top="1" bottom="1" header="0.5" footer="0.5"/>
  <pageSetup scale="81" orientation="landscape" r:id="rId1"/>
  <headerFooter alignWithMargins="0"/>
  <colBreaks count="1" manualBreakCount="1">
    <brk id="8" max="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T57"/>
  <sheetViews>
    <sheetView view="pageBreakPreview" topLeftCell="A3" zoomScaleSheetLayoutView="100" workbookViewId="0">
      <selection activeCell="I14" sqref="I14"/>
    </sheetView>
  </sheetViews>
  <sheetFormatPr defaultColWidth="9" defaultRowHeight="11.4"/>
  <cols>
    <col min="1" max="1" width="5.09765625" style="8" customWidth="1"/>
    <col min="2" max="2" width="2.19921875" style="8" customWidth="1"/>
    <col min="3" max="3" width="34.69921875" style="8" customWidth="1"/>
    <col min="4" max="4" width="4" style="8" bestFit="1" customWidth="1"/>
    <col min="5" max="5" width="8.69921875" style="8" customWidth="1"/>
    <col min="6" max="6" width="1" style="846" customWidth="1"/>
    <col min="7" max="7" width="8.59765625" style="846" customWidth="1"/>
    <col min="8" max="8" width="1" style="846" customWidth="1"/>
    <col min="9" max="9" width="8.19921875" style="846" customWidth="1"/>
    <col min="10" max="10" width="1" style="8" customWidth="1"/>
    <col min="11" max="11" width="8.59765625" style="8" customWidth="1"/>
    <col min="12" max="12" width="8.59765625" style="846" customWidth="1"/>
    <col min="13" max="13" width="13.19921875" style="8" customWidth="1"/>
    <col min="14" max="14" width="14.5" style="8" bestFit="1" customWidth="1"/>
    <col min="15" max="18" width="9" style="8"/>
    <col min="19" max="19" width="9.5" style="8" bestFit="1" customWidth="1"/>
    <col min="20" max="16384" width="9" style="8"/>
  </cols>
  <sheetData>
    <row r="1" spans="1:20" ht="12">
      <c r="A1" s="536" t="str">
        <f>BS!$A$1</f>
        <v>MCB PAKISTAN STOCK MARKET FUND</v>
      </c>
      <c r="B1" s="9"/>
      <c r="C1" s="9"/>
      <c r="D1" s="9"/>
      <c r="E1" s="9"/>
      <c r="F1" s="715"/>
      <c r="G1" s="715"/>
      <c r="H1" s="715"/>
      <c r="I1" s="715"/>
      <c r="K1" s="9"/>
      <c r="L1" s="715"/>
      <c r="M1" s="9"/>
    </row>
    <row r="2" spans="1:20" ht="12">
      <c r="A2" s="9" t="s">
        <v>725</v>
      </c>
      <c r="B2" s="9"/>
      <c r="C2" s="9"/>
      <c r="D2" s="9"/>
      <c r="E2" s="9"/>
      <c r="F2" s="715"/>
      <c r="G2" s="715"/>
      <c r="H2" s="715"/>
      <c r="I2" s="715"/>
      <c r="K2" s="9"/>
      <c r="L2" s="715"/>
      <c r="M2" s="9"/>
    </row>
    <row r="3" spans="1:20" ht="12">
      <c r="A3" s="9" t="str">
        <f>+IS!A3</f>
        <v>FOR THE QUARTER ENDED SEPTEMBER 30, 2021</v>
      </c>
      <c r="B3" s="9"/>
      <c r="C3" s="9"/>
      <c r="D3" s="9"/>
      <c r="E3" s="9"/>
      <c r="F3" s="715"/>
      <c r="G3" s="715"/>
      <c r="H3" s="715"/>
      <c r="I3" s="715"/>
      <c r="K3" s="9"/>
      <c r="L3" s="715"/>
      <c r="M3" s="9">
        <v>38728225</v>
      </c>
      <c r="N3" s="1040">
        <v>22923854</v>
      </c>
      <c r="O3" s="1040">
        <f>M3-N3</f>
        <v>15804371</v>
      </c>
    </row>
    <row r="4" spans="1:20" ht="12">
      <c r="A4" s="9"/>
      <c r="B4" s="9"/>
      <c r="C4" s="9"/>
      <c r="D4" s="9"/>
      <c r="E4" s="9"/>
      <c r="F4" s="715"/>
      <c r="G4" s="715"/>
      <c r="H4" s="715"/>
      <c r="I4" s="715"/>
      <c r="K4" s="9"/>
      <c r="L4" s="715"/>
      <c r="M4" s="9"/>
    </row>
    <row r="5" spans="1:20" s="317" customFormat="1" ht="10.199999999999999">
      <c r="A5" s="213"/>
      <c r="B5" s="213"/>
      <c r="C5" s="213"/>
      <c r="D5" s="213"/>
      <c r="E5" s="2320" t="s">
        <v>704</v>
      </c>
      <c r="F5" s="2320"/>
      <c r="G5" s="2320"/>
      <c r="H5" s="949"/>
      <c r="I5" s="2320" t="s">
        <v>705</v>
      </c>
      <c r="J5" s="2320"/>
      <c r="K5" s="2320"/>
      <c r="L5" s="1033"/>
      <c r="M5" s="949"/>
    </row>
    <row r="6" spans="1:20" s="317" customFormat="1" ht="10.199999999999999">
      <c r="A6" s="213"/>
      <c r="B6" s="213"/>
      <c r="C6" s="213"/>
      <c r="D6" s="213"/>
      <c r="E6" s="2321" t="s">
        <v>622</v>
      </c>
      <c r="F6" s="2321"/>
      <c r="G6" s="2321"/>
      <c r="H6" s="948"/>
      <c r="I6" s="2321" t="s">
        <v>622</v>
      </c>
      <c r="J6" s="2321"/>
      <c r="K6" s="2321"/>
      <c r="L6" s="1032"/>
      <c r="M6" s="948" t="s">
        <v>624</v>
      </c>
    </row>
    <row r="7" spans="1:20" s="317" customFormat="1" ht="10.199999999999999">
      <c r="A7" s="213"/>
      <c r="B7" s="213"/>
      <c r="C7" s="213"/>
      <c r="D7" s="213"/>
      <c r="E7" s="948" t="s">
        <v>1158</v>
      </c>
      <c r="F7" s="948"/>
      <c r="G7" s="948" t="s">
        <v>989</v>
      </c>
      <c r="H7" s="948"/>
      <c r="I7" s="948" t="s">
        <v>1158</v>
      </c>
      <c r="J7" s="948"/>
      <c r="K7" s="948" t="s">
        <v>989</v>
      </c>
      <c r="L7" s="1032"/>
      <c r="M7" s="948" t="s">
        <v>989</v>
      </c>
    </row>
    <row r="8" spans="1:20" s="317" customFormat="1" ht="10.199999999999999">
      <c r="A8" s="213"/>
      <c r="B8" s="213"/>
      <c r="C8" s="213"/>
      <c r="D8" s="213"/>
      <c r="E8" s="2324" t="s">
        <v>1068</v>
      </c>
      <c r="F8" s="2324"/>
      <c r="G8" s="2324"/>
      <c r="H8" s="2324"/>
      <c r="I8" s="2324" t="s">
        <v>1068</v>
      </c>
      <c r="J8" s="2324"/>
      <c r="K8" s="2324"/>
      <c r="L8" s="2324"/>
      <c r="M8" s="844"/>
    </row>
    <row r="9" spans="1:20" s="317" customFormat="1" ht="10.199999999999999">
      <c r="A9" s="213"/>
      <c r="B9" s="213"/>
      <c r="C9" s="213"/>
      <c r="D9" s="213"/>
      <c r="E9" s="843"/>
      <c r="F9" s="843"/>
      <c r="G9" s="843"/>
      <c r="H9" s="843"/>
      <c r="I9" s="843"/>
      <c r="K9" s="843"/>
      <c r="L9" s="843"/>
      <c r="M9" s="843"/>
    </row>
    <row r="10" spans="1:20" s="317" customFormat="1" ht="10.199999999999999">
      <c r="A10" s="349" t="s">
        <v>463</v>
      </c>
      <c r="E10" s="230">
        <f>BS!$H$31</f>
        <v>12397182.4</v>
      </c>
      <c r="F10" s="230"/>
      <c r="G10" s="230">
        <v>6075006</v>
      </c>
      <c r="H10" s="230"/>
      <c r="I10" s="230">
        <f>$M$44</f>
        <v>7910020.5</v>
      </c>
      <c r="K10" s="230">
        <v>6266068</v>
      </c>
      <c r="L10" s="230"/>
      <c r="M10" s="952">
        <v>8017886</v>
      </c>
      <c r="N10" s="962">
        <f>E10-I10</f>
        <v>4487161.9000000004</v>
      </c>
    </row>
    <row r="11" spans="1:20" s="317" customFormat="1" ht="10.199999999999999">
      <c r="E11" s="872"/>
      <c r="I11" s="872"/>
      <c r="M11" s="946"/>
      <c r="N11" s="962">
        <f t="shared" ref="N11:N44" si="0">E11-I11</f>
        <v>0</v>
      </c>
    </row>
    <row r="12" spans="1:20" s="317" customFormat="1" ht="10.199999999999999">
      <c r="A12" s="929" t="s">
        <v>2308</v>
      </c>
      <c r="E12" s="972"/>
      <c r="G12" s="973"/>
      <c r="I12" s="972"/>
      <c r="K12" s="974"/>
      <c r="L12" s="946"/>
      <c r="M12" s="946"/>
      <c r="N12" s="962">
        <f t="shared" si="0"/>
        <v>0</v>
      </c>
    </row>
    <row r="13" spans="1:20" s="317" customFormat="1" ht="10.199999999999999">
      <c r="A13" s="928" t="s">
        <v>1177</v>
      </c>
      <c r="E13" s="954">
        <f>CFs!$H$37</f>
        <v>1508195</v>
      </c>
      <c r="F13" s="952"/>
      <c r="G13" s="954">
        <v>4172735</v>
      </c>
      <c r="H13" s="952"/>
      <c r="I13" s="954">
        <f>E13-M13</f>
        <v>-742091.25</v>
      </c>
      <c r="K13" s="954">
        <v>2849646</v>
      </c>
      <c r="L13" s="952"/>
      <c r="M13" s="952">
        <v>2250286.25</v>
      </c>
      <c r="N13" s="962">
        <f t="shared" si="0"/>
        <v>2250286.25</v>
      </c>
      <c r="R13" s="975"/>
      <c r="S13" s="975"/>
      <c r="T13" s="975"/>
    </row>
    <row r="14" spans="1:20" s="317" customFormat="1" ht="10.199999999999999">
      <c r="A14" s="930" t="s">
        <v>1179</v>
      </c>
      <c r="E14" s="954"/>
      <c r="F14" s="952"/>
      <c r="G14" s="954"/>
      <c r="H14" s="952"/>
      <c r="I14" s="954"/>
      <c r="K14" s="954"/>
      <c r="L14" s="952"/>
      <c r="M14" s="952"/>
      <c r="N14" s="962">
        <f t="shared" si="0"/>
        <v>0</v>
      </c>
      <c r="R14" s="975"/>
      <c r="S14" s="975"/>
      <c r="T14" s="975"/>
    </row>
    <row r="15" spans="1:20" s="317" customFormat="1" ht="10.199999999999999">
      <c r="A15" s="928" t="s">
        <v>1178</v>
      </c>
      <c r="E15" s="957">
        <f>CFs!$H$38</f>
        <v>-1423065</v>
      </c>
      <c r="F15" s="952"/>
      <c r="G15" s="976">
        <v>-3621217</v>
      </c>
      <c r="H15" s="952"/>
      <c r="I15" s="956">
        <f>ROUND(E15-M15,0)</f>
        <v>1634759</v>
      </c>
      <c r="K15" s="957">
        <v>-2421551</v>
      </c>
      <c r="L15" s="952"/>
      <c r="M15" s="952">
        <v>-3057824.25</v>
      </c>
      <c r="N15" s="962">
        <f t="shared" si="0"/>
        <v>-3057824</v>
      </c>
      <c r="R15" s="975"/>
      <c r="S15" s="975"/>
      <c r="T15" s="975"/>
    </row>
    <row r="16" spans="1:20" s="317" customFormat="1" ht="10.199999999999999">
      <c r="E16" s="230">
        <f>SUM(E13:E15)</f>
        <v>85130</v>
      </c>
      <c r="F16" s="230"/>
      <c r="G16" s="230">
        <f>SUM(G13:G15)</f>
        <v>551518</v>
      </c>
      <c r="H16" s="230"/>
      <c r="I16" s="230">
        <f>SUM(I13:I15)</f>
        <v>892667.75</v>
      </c>
      <c r="K16" s="230">
        <f>+SUM(K13:K15)</f>
        <v>428095</v>
      </c>
      <c r="L16" s="230"/>
      <c r="M16" s="952">
        <f>SUM(M13:M15)</f>
        <v>-807538</v>
      </c>
      <c r="N16" s="962">
        <f t="shared" si="0"/>
        <v>-807537.75</v>
      </c>
    </row>
    <row r="17" spans="1:14" s="317" customFormat="1" ht="10.199999999999999">
      <c r="A17" s="959"/>
      <c r="E17" s="230"/>
      <c r="F17" s="230"/>
      <c r="G17" s="230"/>
      <c r="H17" s="230"/>
      <c r="I17" s="230"/>
      <c r="K17" s="230"/>
      <c r="L17" s="230"/>
      <c r="M17" s="952"/>
      <c r="N17" s="962">
        <f t="shared" si="0"/>
        <v>0</v>
      </c>
    </row>
    <row r="18" spans="1:14" s="317" customFormat="1" ht="10.199999999999999">
      <c r="A18" s="921" t="s">
        <v>1009</v>
      </c>
      <c r="E18" s="230"/>
      <c r="F18" s="230"/>
      <c r="G18" s="230"/>
      <c r="H18" s="230"/>
      <c r="I18" s="230"/>
      <c r="K18" s="230"/>
      <c r="L18" s="230"/>
      <c r="M18" s="952"/>
      <c r="N18" s="962">
        <f t="shared" si="0"/>
        <v>0</v>
      </c>
    </row>
    <row r="19" spans="1:14" s="317" customFormat="1" ht="10.199999999999999">
      <c r="A19" s="922" t="s">
        <v>1010</v>
      </c>
      <c r="E19" s="230"/>
      <c r="F19" s="230"/>
      <c r="G19" s="230"/>
      <c r="H19" s="230"/>
      <c r="I19" s="230"/>
      <c r="K19" s="230"/>
      <c r="L19" s="230"/>
      <c r="M19" s="952"/>
      <c r="N19" s="962">
        <f t="shared" si="0"/>
        <v>0</v>
      </c>
    </row>
    <row r="20" spans="1:14" s="317" customFormat="1" ht="10.199999999999999">
      <c r="A20" s="923" t="s">
        <v>1011</v>
      </c>
      <c r="E20" s="951"/>
      <c r="F20" s="230"/>
      <c r="G20" s="951"/>
      <c r="H20" s="230"/>
      <c r="I20" s="951"/>
      <c r="K20" s="951"/>
      <c r="L20" s="952"/>
      <c r="M20" s="952"/>
      <c r="N20" s="962">
        <f t="shared" si="0"/>
        <v>0</v>
      </c>
    </row>
    <row r="21" spans="1:14" s="317" customFormat="1" ht="10.199999999999999">
      <c r="A21" s="924" t="s">
        <v>1012</v>
      </c>
      <c r="E21" s="954"/>
      <c r="F21" s="230"/>
      <c r="G21" s="954"/>
      <c r="H21" s="230"/>
      <c r="I21" s="954"/>
      <c r="K21" s="954"/>
      <c r="L21" s="952"/>
      <c r="M21" s="952"/>
      <c r="N21" s="962">
        <f t="shared" si="0"/>
        <v>0</v>
      </c>
    </row>
    <row r="22" spans="1:14" s="317" customFormat="1" ht="10.199999999999999">
      <c r="A22" s="925"/>
      <c r="B22" s="926" t="s">
        <v>1096</v>
      </c>
      <c r="E22" s="954" t="e">
        <f>-IS!#REF!</f>
        <v>#REF!</v>
      </c>
      <c r="F22" s="230"/>
      <c r="G22" s="954">
        <v>-61486</v>
      </c>
      <c r="H22" s="230"/>
      <c r="I22" s="954" t="e">
        <f>ROUND(E22-M22,0)-0.5</f>
        <v>#REF!</v>
      </c>
      <c r="K22" s="954">
        <v>-36477</v>
      </c>
      <c r="L22" s="952"/>
      <c r="M22" s="952">
        <v>-8425.75</v>
      </c>
      <c r="N22" s="872" t="e">
        <f t="shared" si="0"/>
        <v>#REF!</v>
      </c>
    </row>
    <row r="23" spans="1:14" s="317" customFormat="1" ht="10.199999999999999">
      <c r="A23" s="925"/>
      <c r="B23" s="926" t="s">
        <v>1095</v>
      </c>
      <c r="E23" s="954" t="e">
        <f>-IS!#REF!</f>
        <v>#REF!</v>
      </c>
      <c r="F23" s="230"/>
      <c r="G23" s="954">
        <v>5554</v>
      </c>
      <c r="H23" s="230"/>
      <c r="I23" s="954" t="e">
        <f>E23-M23-0.1</f>
        <v>#REF!</v>
      </c>
      <c r="K23" s="954">
        <v>2806</v>
      </c>
      <c r="L23" s="952"/>
      <c r="M23" s="952">
        <v>2100</v>
      </c>
      <c r="N23" s="962" t="e">
        <f t="shared" si="0"/>
        <v>#REF!</v>
      </c>
    </row>
    <row r="24" spans="1:14" s="317" customFormat="1" ht="10.199999999999999">
      <c r="A24" s="923" t="s">
        <v>1102</v>
      </c>
      <c r="E24" s="954"/>
      <c r="F24" s="230"/>
      <c r="G24" s="954"/>
      <c r="H24" s="230"/>
      <c r="I24" s="954"/>
      <c r="K24" s="954"/>
      <c r="L24" s="952"/>
      <c r="M24" s="952"/>
      <c r="N24" s="962">
        <f t="shared" si="0"/>
        <v>0</v>
      </c>
    </row>
    <row r="25" spans="1:14" s="317" customFormat="1" ht="10.199999999999999">
      <c r="A25" s="924" t="s">
        <v>1013</v>
      </c>
      <c r="E25" s="956">
        <f>-DS!$E$16</f>
        <v>0</v>
      </c>
      <c r="F25" s="230"/>
      <c r="G25" s="956">
        <v>-570912</v>
      </c>
      <c r="H25" s="230"/>
      <c r="I25" s="956">
        <f>ROUND(E25-M25,0)</f>
        <v>44101</v>
      </c>
      <c r="K25" s="956">
        <v>-255428</v>
      </c>
      <c r="L25" s="952"/>
      <c r="M25" s="952">
        <v>-44100.75</v>
      </c>
      <c r="N25" s="962">
        <f t="shared" si="0"/>
        <v>-44101</v>
      </c>
    </row>
    <row r="26" spans="1:14" s="317" customFormat="1" ht="10.199999999999999">
      <c r="A26" s="959"/>
      <c r="E26" s="230" t="e">
        <f>SUM(E20:E25)</f>
        <v>#REF!</v>
      </c>
      <c r="F26" s="230"/>
      <c r="G26" s="230">
        <f>SUM(G20:G25)</f>
        <v>-626844</v>
      </c>
      <c r="H26" s="230"/>
      <c r="I26" s="230" t="e">
        <f>SUM(I20:I25)</f>
        <v>#REF!</v>
      </c>
      <c r="K26" s="230">
        <f>SUM(K20:K25)</f>
        <v>-289099</v>
      </c>
      <c r="L26" s="230"/>
      <c r="M26" s="952">
        <f>SUM(M20:M25)</f>
        <v>-50426.5</v>
      </c>
      <c r="N26" s="962" t="e">
        <f t="shared" si="0"/>
        <v>#REF!</v>
      </c>
    </row>
    <row r="27" spans="1:14" s="317" customFormat="1" ht="10.199999999999999">
      <c r="A27" s="959"/>
      <c r="E27" s="230"/>
      <c r="F27" s="230"/>
      <c r="G27" s="230"/>
      <c r="H27" s="230"/>
      <c r="I27" s="230"/>
      <c r="K27" s="230"/>
      <c r="L27" s="230"/>
      <c r="M27" s="952"/>
      <c r="N27" s="962">
        <f t="shared" si="0"/>
        <v>0</v>
      </c>
    </row>
    <row r="28" spans="1:14" s="317" customFormat="1" ht="10.199999999999999">
      <c r="A28" s="921" t="s">
        <v>1101</v>
      </c>
      <c r="E28" s="230"/>
      <c r="F28" s="230"/>
      <c r="G28" s="230"/>
      <c r="H28" s="230"/>
      <c r="I28" s="230"/>
      <c r="K28" s="230"/>
      <c r="L28" s="230"/>
      <c r="M28" s="952"/>
      <c r="N28" s="962">
        <f t="shared" si="0"/>
        <v>0</v>
      </c>
    </row>
    <row r="29" spans="1:14" s="317" customFormat="1" ht="10.199999999999999">
      <c r="A29" s="922" t="s">
        <v>1091</v>
      </c>
      <c r="E29" s="230"/>
      <c r="F29" s="230"/>
      <c r="G29" s="230"/>
      <c r="H29" s="230"/>
      <c r="I29" s="230"/>
      <c r="K29" s="230"/>
      <c r="L29" s="230"/>
      <c r="M29" s="952"/>
      <c r="N29" s="962">
        <f t="shared" si="0"/>
        <v>0</v>
      </c>
    </row>
    <row r="30" spans="1:14" s="317" customFormat="1" ht="10.199999999999999">
      <c r="A30" s="927" t="s">
        <v>1090</v>
      </c>
      <c r="E30" s="230">
        <f>-E25</f>
        <v>0</v>
      </c>
      <c r="F30" s="230"/>
      <c r="G30" s="230">
        <v>570912</v>
      </c>
      <c r="H30" s="230"/>
      <c r="I30" s="230">
        <f>ROUND(E30-M30,0)</f>
        <v>-44101</v>
      </c>
      <c r="K30" s="230">
        <v>255428</v>
      </c>
      <c r="L30" s="230"/>
      <c r="M30" s="952">
        <v>44100.75</v>
      </c>
      <c r="N30" s="962">
        <f t="shared" si="0"/>
        <v>44101</v>
      </c>
    </row>
    <row r="31" spans="1:14" s="317" customFormat="1" ht="10.199999999999999">
      <c r="A31" s="959"/>
      <c r="E31" s="230"/>
      <c r="F31" s="230"/>
      <c r="G31" s="230"/>
      <c r="H31" s="230"/>
      <c r="I31" s="230"/>
      <c r="K31" s="230"/>
      <c r="L31" s="230"/>
      <c r="M31" s="952"/>
      <c r="N31" s="962">
        <f t="shared" si="0"/>
        <v>0</v>
      </c>
    </row>
    <row r="32" spans="1:14" s="317" customFormat="1" ht="10.199999999999999">
      <c r="A32" s="317" t="s">
        <v>1014</v>
      </c>
      <c r="E32" s="951">
        <f>IS!$H$10</f>
        <v>-25206</v>
      </c>
      <c r="F32" s="230"/>
      <c r="G32" s="951">
        <v>147253</v>
      </c>
      <c r="H32" s="230"/>
      <c r="I32" s="951">
        <f>E32-M32</f>
        <v>-394368</v>
      </c>
      <c r="K32" s="951">
        <v>14084</v>
      </c>
      <c r="L32" s="952"/>
      <c r="M32" s="952">
        <v>369162</v>
      </c>
      <c r="N32" s="962">
        <f t="shared" si="0"/>
        <v>369162</v>
      </c>
    </row>
    <row r="33" spans="1:17" s="317" customFormat="1" ht="10.199999999999999">
      <c r="E33" s="954"/>
      <c r="F33" s="230"/>
      <c r="G33" s="954"/>
      <c r="H33" s="230"/>
      <c r="I33" s="954"/>
      <c r="K33" s="954"/>
      <c r="L33" s="952"/>
      <c r="M33" s="952"/>
      <c r="N33" s="997">
        <f t="shared" si="0"/>
        <v>0</v>
      </c>
    </row>
    <row r="34" spans="1:17" s="317" customFormat="1" ht="10.199999999999999">
      <c r="A34" s="317" t="s">
        <v>1099</v>
      </c>
      <c r="E34" s="977"/>
      <c r="G34" s="978"/>
      <c r="I34" s="977"/>
      <c r="K34" s="978"/>
      <c r="L34" s="946"/>
      <c r="M34" s="946"/>
      <c r="N34" s="962">
        <f t="shared" si="0"/>
        <v>0</v>
      </c>
    </row>
    <row r="35" spans="1:17" s="317" customFormat="1" ht="10.199999999999999">
      <c r="A35" s="959" t="s">
        <v>1015</v>
      </c>
      <c r="E35" s="977"/>
      <c r="F35" s="950"/>
      <c r="G35" s="977"/>
      <c r="H35" s="950"/>
      <c r="I35" s="977"/>
      <c r="K35" s="955"/>
      <c r="L35" s="950"/>
      <c r="M35" s="950"/>
      <c r="N35" s="962">
        <f t="shared" si="0"/>
        <v>0</v>
      </c>
    </row>
    <row r="36" spans="1:17" s="317" customFormat="1" ht="10.199999999999999">
      <c r="A36" s="959" t="s">
        <v>1016</v>
      </c>
      <c r="E36" s="977">
        <f>IS!$H$15</f>
        <v>-813834.11999999546</v>
      </c>
      <c r="F36" s="950"/>
      <c r="G36" s="977">
        <v>110653</v>
      </c>
      <c r="H36" s="950"/>
      <c r="I36" s="977">
        <f>ROUND(E36-M36,0)</f>
        <v>-811656</v>
      </c>
      <c r="K36" s="977">
        <v>87096</v>
      </c>
      <c r="L36" s="947"/>
      <c r="M36" s="947">
        <v>-2177.75</v>
      </c>
      <c r="N36" s="962">
        <f t="shared" si="0"/>
        <v>-2178.1199999954551</v>
      </c>
    </row>
    <row r="37" spans="1:17" s="317" customFormat="1" ht="10.199999999999999">
      <c r="A37" s="979"/>
      <c r="E37" s="977"/>
      <c r="F37" s="950"/>
      <c r="G37" s="977"/>
      <c r="H37" s="950"/>
      <c r="I37" s="977"/>
      <c r="K37" s="955"/>
      <c r="L37" s="950"/>
      <c r="M37" s="950"/>
      <c r="N37" s="962">
        <f t="shared" si="0"/>
        <v>0</v>
      </c>
    </row>
    <row r="38" spans="1:17" s="317" customFormat="1" ht="10.199999999999999">
      <c r="A38" s="314" t="s">
        <v>1017</v>
      </c>
      <c r="E38" s="954" t="e">
        <f>IS!H11+IS!H12+IS!H13-IS!H35+IS!#REF!+IS!#REF!</f>
        <v>#REF!</v>
      </c>
      <c r="F38" s="953"/>
      <c r="G38" s="954">
        <v>109894</v>
      </c>
      <c r="H38" s="953"/>
      <c r="I38" s="954" t="e">
        <f>ROUND(E38-M38,0)</f>
        <v>#REF!</v>
      </c>
      <c r="K38" s="977">
        <v>56115</v>
      </c>
      <c r="L38" s="947"/>
      <c r="M38" s="952">
        <v>43407.75</v>
      </c>
      <c r="N38" s="962" t="e">
        <f t="shared" si="0"/>
        <v>#REF!</v>
      </c>
    </row>
    <row r="39" spans="1:17" s="317" customFormat="1" ht="10.199999999999999">
      <c r="A39" s="314"/>
      <c r="E39" s="954"/>
      <c r="F39" s="953"/>
      <c r="G39" s="980"/>
      <c r="H39" s="953"/>
      <c r="I39" s="954"/>
      <c r="K39" s="955"/>
      <c r="L39" s="950"/>
      <c r="M39" s="952"/>
      <c r="N39" s="962">
        <f t="shared" si="0"/>
        <v>0</v>
      </c>
    </row>
    <row r="40" spans="1:17" s="317" customFormat="1" ht="10.199999999999999">
      <c r="A40" s="314" t="s">
        <v>1094</v>
      </c>
      <c r="E40" s="954"/>
      <c r="F40" s="953"/>
      <c r="G40" s="980"/>
      <c r="H40" s="953"/>
      <c r="I40" s="954"/>
      <c r="K40" s="955"/>
      <c r="L40" s="950"/>
      <c r="M40" s="952"/>
      <c r="N40" s="962">
        <f t="shared" si="0"/>
        <v>0</v>
      </c>
    </row>
    <row r="41" spans="1:17" s="317" customFormat="1" ht="10.199999999999999">
      <c r="A41" s="314" t="s">
        <v>1018</v>
      </c>
      <c r="E41" s="956" t="e">
        <f>OCI!#REF!</f>
        <v>#REF!</v>
      </c>
      <c r="F41" s="953"/>
      <c r="G41" s="981" t="e">
        <f>OCI!#REF!</f>
        <v>#REF!</v>
      </c>
      <c r="H41" s="953"/>
      <c r="I41" s="956" t="e">
        <f>OCI!#REF!</f>
        <v>#REF!</v>
      </c>
      <c r="K41" s="982" t="e">
        <f>OCI!#REF!</f>
        <v>#REF!</v>
      </c>
      <c r="L41" s="947"/>
      <c r="M41" s="952">
        <v>295606.25</v>
      </c>
      <c r="N41" s="962" t="e">
        <f t="shared" si="0"/>
        <v>#REF!</v>
      </c>
    </row>
    <row r="42" spans="1:17" s="317" customFormat="1" ht="10.199999999999999">
      <c r="A42" s="317" t="s">
        <v>1103</v>
      </c>
      <c r="E42" s="230" t="e">
        <f>SUM(E32:E41)</f>
        <v>#REF!</v>
      </c>
      <c r="F42" s="958"/>
      <c r="G42" s="958" t="e">
        <f>SUM(G32:G41)</f>
        <v>#REF!</v>
      </c>
      <c r="H42" s="958"/>
      <c r="I42" s="230" t="e">
        <f>SUM(I32:I41)</f>
        <v>#REF!</v>
      </c>
      <c r="K42" s="964" t="e">
        <f>SUM(K32:K41)</f>
        <v>#REF!</v>
      </c>
      <c r="L42" s="952"/>
      <c r="M42" s="952">
        <f>SUM(M32:M41)</f>
        <v>705998.25</v>
      </c>
      <c r="N42" s="962" t="e">
        <f t="shared" si="0"/>
        <v>#REF!</v>
      </c>
    </row>
    <row r="43" spans="1:17" s="317" customFormat="1" ht="10.199999999999999">
      <c r="E43" s="230"/>
      <c r="F43" s="230"/>
      <c r="G43" s="230"/>
      <c r="H43" s="230"/>
      <c r="I43" s="230"/>
      <c r="K43" s="230"/>
      <c r="L43" s="230"/>
      <c r="M43" s="952"/>
      <c r="N43" s="962">
        <f t="shared" si="0"/>
        <v>0</v>
      </c>
    </row>
    <row r="44" spans="1:17" s="317" customFormat="1" ht="10.8" thickBot="1">
      <c r="A44" s="213" t="s">
        <v>66</v>
      </c>
      <c r="B44" s="213"/>
      <c r="C44" s="213"/>
      <c r="D44" s="213"/>
      <c r="E44" s="983" t="e">
        <f>E42+E30+E26+E16+E10</f>
        <v>#REF!</v>
      </c>
      <c r="F44" s="950"/>
      <c r="G44" s="963" t="e">
        <f>G42+G30+G26+G16+G10</f>
        <v>#REF!</v>
      </c>
      <c r="H44" s="950"/>
      <c r="I44" s="983" t="e">
        <f>I42+I30+I26+I16+I10</f>
        <v>#REF!</v>
      </c>
      <c r="K44" s="963" t="e">
        <f>K42+K30+K26+K16+K10</f>
        <v>#REF!</v>
      </c>
      <c r="L44" s="1034"/>
      <c r="M44" s="963">
        <f>M42+M30+M26+M16+M10</f>
        <v>7910020.5</v>
      </c>
      <c r="N44" s="962" t="e">
        <f t="shared" si="0"/>
        <v>#REF!</v>
      </c>
    </row>
    <row r="45" spans="1:17" ht="12" thickTop="1">
      <c r="M45" s="816"/>
    </row>
    <row r="46" spans="1:17">
      <c r="M46" s="816"/>
    </row>
    <row r="47" spans="1:17" s="846" customFormat="1">
      <c r="A47" s="244" t="e">
        <f>BS!#REF!</f>
        <v>#REF!</v>
      </c>
      <c r="H47" s="816"/>
      <c r="I47" s="816"/>
      <c r="J47" s="816"/>
      <c r="K47" s="816"/>
      <c r="L47" s="816"/>
      <c r="M47" s="816"/>
      <c r="N47" s="816"/>
      <c r="O47" s="816"/>
      <c r="P47" s="816"/>
      <c r="Q47" s="816"/>
    </row>
    <row r="48" spans="1:17" s="846" customFormat="1">
      <c r="H48" s="816"/>
      <c r="I48" s="816"/>
      <c r="J48" s="816"/>
      <c r="K48" s="816"/>
      <c r="L48" s="816"/>
      <c r="M48" s="816"/>
      <c r="N48" s="816"/>
      <c r="O48" s="816"/>
      <c r="P48" s="816"/>
      <c r="Q48" s="816"/>
    </row>
    <row r="49" spans="1:17" s="846" customFormat="1">
      <c r="H49" s="816"/>
      <c r="I49" s="816"/>
      <c r="J49" s="816"/>
      <c r="K49" s="816"/>
      <c r="L49" s="816"/>
      <c r="M49" s="816"/>
      <c r="N49" s="816"/>
      <c r="O49" s="816"/>
      <c r="P49" s="816"/>
      <c r="Q49" s="816"/>
    </row>
    <row r="50" spans="1:17" s="1000" customFormat="1" ht="12">
      <c r="A50" s="999">
        <f>BS!$A$44</f>
        <v>0</v>
      </c>
      <c r="B50" s="999"/>
      <c r="C50" s="999"/>
      <c r="D50" s="999"/>
      <c r="E50" s="999"/>
      <c r="F50" s="999"/>
      <c r="G50" s="999"/>
      <c r="H50" s="999"/>
      <c r="I50" s="999"/>
      <c r="J50" s="999"/>
    </row>
    <row r="51" spans="1:17" s="1000" customFormat="1" ht="12">
      <c r="A51" s="1001" t="str">
        <f>BS!$A$45</f>
        <v>For MCB-Arif Habib Savings and Investments Limited</v>
      </c>
      <c r="B51" s="1001"/>
      <c r="C51" s="1001"/>
      <c r="D51" s="1001"/>
      <c r="E51" s="1001"/>
      <c r="F51" s="1001"/>
      <c r="G51" s="1001"/>
      <c r="H51" s="1001"/>
      <c r="I51" s="1001"/>
      <c r="J51" s="1001"/>
      <c r="K51" s="1001"/>
      <c r="L51" s="1001"/>
    </row>
    <row r="52" spans="1:17" s="1013" customFormat="1" ht="12">
      <c r="A52" s="1011"/>
      <c r="B52" s="1004"/>
      <c r="C52" s="1004"/>
      <c r="D52" s="1004"/>
      <c r="E52" s="1005"/>
      <c r="F52" s="1004"/>
      <c r="G52" s="1008"/>
      <c r="H52" s="1007"/>
      <c r="I52" s="1004"/>
      <c r="J52" s="1008"/>
      <c r="K52" s="1012"/>
      <c r="L52" s="1012"/>
    </row>
    <row r="53" spans="1:17" s="1013" customFormat="1" ht="12">
      <c r="B53" s="1004"/>
      <c r="C53" s="1004"/>
      <c r="D53" s="1004"/>
      <c r="E53" s="1005"/>
      <c r="F53" s="1004"/>
      <c r="G53" s="1008"/>
      <c r="H53" s="1007"/>
      <c r="I53" s="1004"/>
      <c r="J53" s="1008"/>
      <c r="K53" s="1012"/>
      <c r="L53" s="1012"/>
    </row>
    <row r="54" spans="1:17" s="1013" customFormat="1" ht="12">
      <c r="B54" s="1004"/>
      <c r="C54" s="1004"/>
      <c r="D54" s="1004"/>
      <c r="E54" s="1005"/>
      <c r="F54" s="1004"/>
      <c r="G54" s="1008"/>
      <c r="H54" s="1007"/>
      <c r="I54" s="1004"/>
      <c r="J54" s="1008"/>
      <c r="K54" s="1012"/>
      <c r="L54" s="1012"/>
    </row>
    <row r="55" spans="1:17" s="1013" customFormat="1" ht="12">
      <c r="B55" s="1004"/>
      <c r="C55" s="1004"/>
      <c r="D55" s="1004"/>
      <c r="E55" s="1005"/>
      <c r="F55" s="1004"/>
      <c r="G55" s="1008"/>
      <c r="H55" s="1007"/>
      <c r="I55" s="1004"/>
      <c r="J55" s="1008"/>
      <c r="K55" s="1012"/>
      <c r="L55" s="1012"/>
    </row>
    <row r="56" spans="1:17" s="1013" customFormat="1" ht="12">
      <c r="A56" s="1002" t="str">
        <f>BS!$A$52</f>
        <v>Chief Executive Officer</v>
      </c>
      <c r="B56" s="1003"/>
      <c r="C56" s="1004"/>
      <c r="D56" s="1004"/>
      <c r="E56" s="1005"/>
      <c r="F56" s="1004"/>
      <c r="G56" s="1006"/>
      <c r="H56" s="1007"/>
      <c r="I56" s="1004"/>
      <c r="J56" s="1008"/>
      <c r="K56" s="1012"/>
      <c r="L56" s="1012"/>
    </row>
    <row r="57" spans="1:17" s="1013" customFormat="1" ht="12">
      <c r="A57" s="1009" t="e">
        <f>BS!#REF!</f>
        <v>#REF!</v>
      </c>
      <c r="B57" s="1003"/>
      <c r="C57" s="1004"/>
      <c r="D57" s="1004"/>
      <c r="E57" s="1005"/>
      <c r="F57" s="1004"/>
      <c r="G57" s="1010"/>
      <c r="H57" s="1007"/>
      <c r="I57" s="1004"/>
      <c r="J57" s="1008"/>
      <c r="K57" s="1012"/>
      <c r="L57" s="1012"/>
    </row>
  </sheetData>
  <mergeCells count="6">
    <mergeCell ref="E5:G5"/>
    <mergeCell ref="E6:G6"/>
    <mergeCell ref="I6:K6"/>
    <mergeCell ref="I5:K5"/>
    <mergeCell ref="E8:H8"/>
    <mergeCell ref="I8:L8"/>
  </mergeCells>
  <phoneticPr fontId="39" type="noConversion"/>
  <printOptions horizontalCentered="1"/>
  <pageMargins left="0.75" right="0.5" top="0.5" bottom="0.4" header="0.28999999999999998" footer="0.5"/>
  <pageSetup paperSize="9"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61"/>
  <sheetViews>
    <sheetView topLeftCell="A19" workbookViewId="0"/>
  </sheetViews>
  <sheetFormatPr defaultColWidth="8" defaultRowHeight="13.2"/>
  <cols>
    <col min="1" max="1" width="42.59765625" style="163" customWidth="1"/>
    <col min="2" max="2" width="15.5" style="164" customWidth="1"/>
    <col min="3" max="3" width="14.19921875" style="164" customWidth="1"/>
    <col min="4" max="4" width="13.59765625" style="164" customWidth="1"/>
    <col min="5" max="5" width="10.5" style="168" customWidth="1"/>
    <col min="6" max="8" width="8" style="166" customWidth="1"/>
    <col min="9" max="16384" width="8" style="163"/>
  </cols>
  <sheetData>
    <row r="1" spans="1:7">
      <c r="A1" s="162" t="s">
        <v>111</v>
      </c>
      <c r="B1" s="163"/>
      <c r="D1" s="165" t="s">
        <v>31</v>
      </c>
      <c r="E1" s="166"/>
    </row>
    <row r="2" spans="1:7">
      <c r="A2" s="162" t="s">
        <v>168</v>
      </c>
      <c r="B2" s="163"/>
      <c r="C2" s="167" t="s">
        <v>32</v>
      </c>
      <c r="D2" s="163"/>
    </row>
    <row r="3" spans="1:7" ht="13.8" thickBot="1">
      <c r="A3" s="169" t="s">
        <v>112</v>
      </c>
      <c r="B3" s="170"/>
      <c r="C3" s="170"/>
      <c r="D3" s="171"/>
      <c r="E3" s="172"/>
      <c r="F3" s="173"/>
      <c r="G3" s="173"/>
    </row>
    <row r="4" spans="1:7">
      <c r="A4" s="162"/>
      <c r="B4" s="163"/>
      <c r="C4" s="163"/>
      <c r="D4" s="174"/>
      <c r="E4" s="174"/>
      <c r="F4" s="174"/>
    </row>
    <row r="5" spans="1:7">
      <c r="A5" s="162"/>
      <c r="B5" s="163"/>
      <c r="C5" s="163"/>
      <c r="D5" s="175"/>
      <c r="E5" s="163"/>
    </row>
    <row r="6" spans="1:7">
      <c r="A6" s="176" t="s">
        <v>33</v>
      </c>
    </row>
    <row r="7" spans="1:7">
      <c r="A7" s="177" t="s">
        <v>34</v>
      </c>
    </row>
    <row r="8" spans="1:7">
      <c r="A8" s="178" t="s">
        <v>35</v>
      </c>
    </row>
    <row r="9" spans="1:7">
      <c r="A9" s="163" t="s">
        <v>248</v>
      </c>
    </row>
    <row r="10" spans="1:7" ht="6" customHeight="1"/>
    <row r="11" spans="1:7">
      <c r="A11" s="176" t="s">
        <v>249</v>
      </c>
    </row>
    <row r="12" spans="1:7">
      <c r="A12" s="179" t="s">
        <v>250</v>
      </c>
    </row>
    <row r="13" spans="1:7">
      <c r="A13" s="179" t="s">
        <v>251</v>
      </c>
    </row>
    <row r="14" spans="1:7" ht="6" customHeight="1"/>
    <row r="15" spans="1:7">
      <c r="A15" s="176" t="s">
        <v>252</v>
      </c>
    </row>
    <row r="16" spans="1:7" ht="5.25" customHeight="1"/>
    <row r="17" spans="1:5">
      <c r="A17" s="163" t="s">
        <v>253</v>
      </c>
    </row>
    <row r="18" spans="1:5">
      <c r="A18" s="163" t="s">
        <v>254</v>
      </c>
    </row>
    <row r="19" spans="1:5">
      <c r="A19" s="163" t="s">
        <v>255</v>
      </c>
    </row>
    <row r="20" spans="1:5">
      <c r="A20" s="163" t="s">
        <v>256</v>
      </c>
    </row>
    <row r="21" spans="1:5">
      <c r="A21" s="163" t="s">
        <v>257</v>
      </c>
    </row>
    <row r="22" spans="1:5">
      <c r="A22" s="163" t="s">
        <v>258</v>
      </c>
    </row>
    <row r="23" spans="1:5" ht="7.5" customHeight="1"/>
    <row r="24" spans="1:5">
      <c r="A24" s="176" t="s">
        <v>259</v>
      </c>
    </row>
    <row r="25" spans="1:5" ht="6.75" customHeight="1">
      <c r="A25" s="162"/>
    </row>
    <row r="26" spans="1:5">
      <c r="A26" s="176" t="s">
        <v>260</v>
      </c>
    </row>
    <row r="27" spans="1:5" ht="13.8" thickBot="1">
      <c r="A27" s="176"/>
    </row>
    <row r="28" spans="1:5" ht="42.75" customHeight="1" thickBot="1">
      <c r="A28" s="180" t="s">
        <v>261</v>
      </c>
      <c r="B28" s="181" t="s">
        <v>168</v>
      </c>
      <c r="C28" s="182"/>
      <c r="D28" s="182"/>
      <c r="E28" s="183"/>
    </row>
    <row r="29" spans="1:5">
      <c r="B29" s="184" t="s">
        <v>262</v>
      </c>
      <c r="C29" s="185"/>
      <c r="D29" s="185"/>
      <c r="E29" s="186"/>
    </row>
    <row r="30" spans="1:5">
      <c r="C30" s="187"/>
      <c r="D30" s="187"/>
      <c r="E30" s="188"/>
    </row>
    <row r="31" spans="1:5" ht="13.8" thickBot="1">
      <c r="A31" s="189" t="s">
        <v>263</v>
      </c>
      <c r="B31" s="190"/>
      <c r="C31" s="190"/>
      <c r="D31" s="191"/>
      <c r="E31" s="192"/>
    </row>
    <row r="32" spans="1:5">
      <c r="A32" s="193"/>
      <c r="B32" s="190"/>
      <c r="C32" s="190"/>
      <c r="D32" s="191"/>
      <c r="E32" s="192"/>
    </row>
    <row r="33" spans="1:8" s="166" customFormat="1">
      <c r="A33" s="193" t="s">
        <v>264</v>
      </c>
      <c r="B33" s="190">
        <f>ROUND((74704019.55+1796730.57)/1000,3)</f>
        <v>76500.75</v>
      </c>
      <c r="C33" s="190"/>
      <c r="D33" s="191"/>
      <c r="E33" s="192"/>
    </row>
    <row r="34" spans="1:8" s="166" customFormat="1">
      <c r="A34" s="193"/>
      <c r="B34" s="190"/>
      <c r="C34" s="190"/>
      <c r="D34" s="191"/>
      <c r="E34" s="192"/>
    </row>
    <row r="35" spans="1:8" s="166" customFormat="1">
      <c r="A35" s="193" t="s">
        <v>265</v>
      </c>
      <c r="B35" s="190">
        <f>ROUND((19947061.12+14960520+298095+17000000)/1000,0)</f>
        <v>52206</v>
      </c>
      <c r="C35" s="190"/>
      <c r="D35" s="191"/>
      <c r="E35" s="192"/>
    </row>
    <row r="36" spans="1:8" s="166" customFormat="1">
      <c r="A36" s="193"/>
      <c r="B36" s="190"/>
      <c r="C36" s="190"/>
      <c r="D36" s="191"/>
      <c r="E36" s="192"/>
    </row>
    <row r="37" spans="1:8" s="166" customFormat="1">
      <c r="A37" s="193" t="s">
        <v>43</v>
      </c>
      <c r="B37" s="190">
        <f>ROUND((69679334-34389)/1000,0)</f>
        <v>69645</v>
      </c>
      <c r="C37" s="190"/>
      <c r="D37" s="191"/>
      <c r="E37" s="192"/>
    </row>
    <row r="38" spans="1:8" s="166" customFormat="1">
      <c r="A38" s="193"/>
      <c r="B38" s="190"/>
      <c r="C38" s="190"/>
      <c r="D38" s="191"/>
      <c r="E38" s="192"/>
    </row>
    <row r="39" spans="1:8" ht="13.8" thickBot="1">
      <c r="A39" s="162" t="s">
        <v>44</v>
      </c>
      <c r="B39" s="194">
        <f>SUM(B33:B38)</f>
        <v>198351.75</v>
      </c>
      <c r="C39" s="195"/>
      <c r="D39" s="195"/>
      <c r="E39" s="196"/>
    </row>
    <row r="40" spans="1:8" ht="9" customHeight="1" thickTop="1">
      <c r="B40" s="197"/>
      <c r="C40" s="198"/>
      <c r="D40" s="199"/>
      <c r="E40" s="200"/>
    </row>
    <row r="41" spans="1:8" s="164" customFormat="1">
      <c r="A41" s="176" t="s">
        <v>45</v>
      </c>
      <c r="B41" s="201"/>
      <c r="C41" s="199"/>
      <c r="D41" s="202"/>
      <c r="E41" s="200"/>
      <c r="F41" s="166"/>
      <c r="G41" s="166"/>
      <c r="H41" s="166"/>
    </row>
    <row r="42" spans="1:8" s="164" customFormat="1">
      <c r="A42" s="163" t="s">
        <v>46</v>
      </c>
      <c r="B42" s="201"/>
      <c r="C42" s="201"/>
      <c r="D42" s="163"/>
      <c r="E42" s="203"/>
      <c r="F42" s="166"/>
      <c r="G42" s="166"/>
      <c r="H42" s="166"/>
    </row>
    <row r="43" spans="1:8" s="164" customFormat="1" ht="6.75" customHeight="1">
      <c r="A43" s="163"/>
      <c r="B43" s="201"/>
      <c r="C43" s="201"/>
      <c r="D43" s="201"/>
      <c r="E43" s="203"/>
      <c r="F43" s="166"/>
      <c r="G43" s="166"/>
      <c r="H43" s="166"/>
    </row>
    <row r="44" spans="1:8" s="166" customFormat="1">
      <c r="A44" s="176" t="s">
        <v>47</v>
      </c>
      <c r="B44" s="201"/>
      <c r="C44" s="201"/>
      <c r="D44" s="201"/>
      <c r="E44" s="203"/>
    </row>
    <row r="45" spans="1:8" s="166" customFormat="1">
      <c r="A45" s="204" t="s">
        <v>48</v>
      </c>
      <c r="B45" s="201"/>
      <c r="C45" s="201"/>
      <c r="D45" s="201"/>
      <c r="E45" s="203"/>
    </row>
    <row r="46" spans="1:8" s="166" customFormat="1">
      <c r="A46" s="163"/>
      <c r="B46" s="201"/>
      <c r="C46" s="201"/>
      <c r="D46" s="201"/>
      <c r="E46" s="203"/>
    </row>
    <row r="47" spans="1:8" s="166" customFormat="1">
      <c r="A47" s="163"/>
      <c r="C47" s="201"/>
      <c r="D47" s="201"/>
    </row>
    <row r="48" spans="1:8" s="166" customFormat="1">
      <c r="A48" s="163"/>
      <c r="C48" s="201"/>
      <c r="D48" s="201"/>
      <c r="E48" s="203"/>
    </row>
    <row r="49" spans="1:8" s="166" customFormat="1">
      <c r="A49" s="163"/>
      <c r="C49" s="164"/>
      <c r="D49" s="164"/>
      <c r="E49" s="168"/>
    </row>
    <row r="50" spans="1:8" s="166" customFormat="1">
      <c r="A50" s="163"/>
      <c r="C50" s="164"/>
      <c r="D50" s="164"/>
      <c r="E50" s="168"/>
    </row>
    <row r="51" spans="1:8" s="166" customFormat="1">
      <c r="A51" s="163"/>
      <c r="C51" s="164"/>
      <c r="D51" s="164"/>
      <c r="E51" s="168"/>
    </row>
    <row r="52" spans="1:8" s="166" customFormat="1">
      <c r="A52" s="163"/>
      <c r="C52" s="164"/>
      <c r="D52" s="164"/>
      <c r="E52" s="168"/>
    </row>
    <row r="53" spans="1:8" s="166" customFormat="1">
      <c r="A53" s="163"/>
      <c r="C53" s="164"/>
      <c r="D53" s="164"/>
      <c r="E53" s="168"/>
    </row>
    <row r="54" spans="1:8" s="166" customFormat="1">
      <c r="A54" s="163"/>
      <c r="C54" s="164"/>
      <c r="D54" s="164"/>
      <c r="E54" s="168"/>
    </row>
    <row r="55" spans="1:8" s="166" customFormat="1">
      <c r="A55" s="163"/>
      <c r="C55" s="164"/>
      <c r="D55" s="164"/>
      <c r="E55" s="168"/>
    </row>
    <row r="56" spans="1:8" s="166" customFormat="1">
      <c r="A56" s="163"/>
      <c r="C56" s="164"/>
      <c r="D56" s="164"/>
      <c r="E56" s="168"/>
    </row>
    <row r="57" spans="1:8" s="166" customFormat="1">
      <c r="A57" s="163"/>
      <c r="C57" s="164"/>
      <c r="D57" s="164"/>
      <c r="E57" s="168"/>
    </row>
    <row r="58" spans="1:8" s="166" customFormat="1">
      <c r="A58" s="163"/>
      <c r="C58" s="164"/>
      <c r="D58" s="164"/>
      <c r="E58" s="168"/>
    </row>
    <row r="59" spans="1:8" s="166" customFormat="1">
      <c r="A59" s="163"/>
      <c r="C59" s="164"/>
      <c r="D59" s="164"/>
      <c r="E59" s="168"/>
    </row>
    <row r="60" spans="1:8" s="166" customFormat="1">
      <c r="A60" s="163"/>
      <c r="C60" s="164"/>
      <c r="D60" s="164"/>
      <c r="E60" s="168"/>
    </row>
    <row r="61" spans="1:8" s="164" customFormat="1">
      <c r="A61" s="163"/>
      <c r="B61" s="166"/>
      <c r="E61" s="168"/>
      <c r="F61" s="166"/>
      <c r="G61" s="166"/>
      <c r="H61" s="166"/>
    </row>
  </sheetData>
  <phoneticPr fontId="22" type="noConversion"/>
  <pageMargins left="0.61" right="0.18" top="0.44" bottom="0.28000000000000003" header="0.17" footer="0.18"/>
  <pageSetup paperSize="9" scale="92" orientation="portrait" r:id="rId1"/>
  <headerFooter alignWithMargins="0"/>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Q73"/>
  <sheetViews>
    <sheetView view="pageBreakPreview" topLeftCell="A43" zoomScale="90" zoomScaleSheetLayoutView="90" workbookViewId="0">
      <selection activeCell="H16" sqref="H16"/>
    </sheetView>
  </sheetViews>
  <sheetFormatPr defaultColWidth="9" defaultRowHeight="15" customHeight="1"/>
  <cols>
    <col min="1" max="1" width="5.09765625" style="1446" customWidth="1"/>
    <col min="2" max="2" width="2.19921875" style="1446" customWidth="1"/>
    <col min="3" max="3" width="22" style="1446" customWidth="1"/>
    <col min="4" max="4" width="25" style="1446" customWidth="1"/>
    <col min="5" max="5" width="11.09765625" style="1446" customWidth="1"/>
    <col min="6" max="6" width="13.19921875" style="1446" customWidth="1"/>
    <col min="7" max="7" width="3" style="1446" hidden="1" customWidth="1"/>
    <col min="8" max="10" width="11.09765625" style="1446" customWidth="1"/>
    <col min="11" max="11" width="11.09765625" style="1446" hidden="1" customWidth="1"/>
    <col min="12" max="12" width="11.09765625" style="1446" customWidth="1"/>
    <col min="13" max="13" width="1" style="1446" customWidth="1"/>
    <col min="14" max="14" width="16" style="1446" customWidth="1"/>
    <col min="15" max="15" width="25.09765625" style="1446" customWidth="1"/>
    <col min="16" max="16" width="33" style="1446" customWidth="1"/>
    <col min="17" max="17" width="16" style="1446" customWidth="1"/>
    <col min="18" max="18" width="16.8984375" style="1446" customWidth="1"/>
    <col min="19" max="19" width="18" style="1446" customWidth="1"/>
    <col min="20" max="20" width="8.59765625" style="1446" customWidth="1"/>
    <col min="21" max="21" width="11.69921875" style="1446" customWidth="1"/>
    <col min="22" max="24" width="8.59765625" style="1446" customWidth="1"/>
    <col min="25" max="25" width="16.59765625" style="1446" customWidth="1"/>
    <col min="26" max="26" width="18.59765625" style="1446" customWidth="1"/>
    <col min="27" max="27" width="16.59765625" style="1446" customWidth="1"/>
    <col min="28" max="28" width="18.59765625" style="1446" customWidth="1"/>
    <col min="29" max="29" width="1.59765625" style="1446" customWidth="1"/>
    <col min="30" max="30" width="10.19921875" style="1446" customWidth="1"/>
    <col min="31" max="31" width="1" style="1446" customWidth="1"/>
    <col min="32" max="32" width="8.19921875" style="1446" customWidth="1"/>
    <col min="33" max="33" width="1" style="1446" customWidth="1"/>
    <col min="34" max="35" width="8.59765625" style="1446" customWidth="1"/>
    <col min="36" max="36" width="13.19921875" style="1446" customWidth="1"/>
    <col min="37" max="37" width="14.69921875" style="1446" customWidth="1"/>
    <col min="38" max="38" width="10.69921875" style="1446" customWidth="1"/>
    <col min="39" max="39" width="12.69921875" style="1446" customWidth="1"/>
    <col min="40" max="41" width="9" style="1446" customWidth="1"/>
    <col min="42" max="42" width="9.5" style="1446" customWidth="1"/>
    <col min="43" max="51" width="9" style="1446" customWidth="1"/>
    <col min="52" max="16384" width="9" style="1446"/>
  </cols>
  <sheetData>
    <row r="1" spans="1:43" ht="18.75" customHeight="1">
      <c r="A1" s="2325" t="str">
        <f>BS!$A$1</f>
        <v>MCB PAKISTAN STOCK MARKET FUND</v>
      </c>
      <c r="B1" s="2325"/>
      <c r="C1" s="2325"/>
      <c r="D1" s="2325"/>
      <c r="E1" s="2325"/>
      <c r="F1" s="2325"/>
      <c r="G1" s="2325"/>
      <c r="H1" s="2325"/>
      <c r="I1" s="2325"/>
      <c r="J1" s="2325"/>
      <c r="K1" s="2325"/>
      <c r="L1" s="2325"/>
      <c r="M1" s="2325"/>
      <c r="N1" s="1445"/>
      <c r="O1" s="1445"/>
      <c r="P1" s="1445"/>
      <c r="Q1" s="1445"/>
      <c r="R1" s="1445"/>
      <c r="S1" s="1445"/>
      <c r="T1" s="1445"/>
      <c r="U1" s="1445"/>
      <c r="V1" s="1445"/>
      <c r="W1" s="1445"/>
      <c r="X1" s="1445"/>
      <c r="Y1" s="1445"/>
      <c r="Z1" s="1445"/>
      <c r="AA1" s="1445"/>
      <c r="AB1" s="1445"/>
      <c r="AC1" s="1445"/>
      <c r="AD1" s="1445"/>
      <c r="AE1" s="1445"/>
      <c r="AF1" s="1445"/>
      <c r="AH1" s="1445"/>
      <c r="AI1" s="1445"/>
      <c r="AJ1" s="1569"/>
    </row>
    <row r="2" spans="1:43" ht="18.75" customHeight="1">
      <c r="A2" s="2325" t="s">
        <v>725</v>
      </c>
      <c r="B2" s="2325"/>
      <c r="C2" s="2325"/>
      <c r="D2" s="2325"/>
      <c r="E2" s="2325"/>
      <c r="F2" s="2325"/>
      <c r="G2" s="2325"/>
      <c r="H2" s="2325"/>
      <c r="I2" s="2325"/>
      <c r="J2" s="2325"/>
      <c r="K2" s="2325"/>
      <c r="L2" s="2325"/>
      <c r="M2" s="2325"/>
      <c r="N2" s="1445"/>
      <c r="O2" s="1445"/>
      <c r="P2" s="1445"/>
      <c r="Q2" s="1445"/>
      <c r="R2" s="1569"/>
      <c r="S2" s="1445"/>
      <c r="T2" s="1445"/>
      <c r="U2" s="1445"/>
      <c r="V2" s="1445"/>
      <c r="W2" s="1445"/>
      <c r="X2" s="1445"/>
      <c r="Y2" s="1445"/>
      <c r="Z2" s="1569"/>
      <c r="AA2" s="1445"/>
      <c r="AB2" s="1445"/>
      <c r="AC2" s="1445"/>
      <c r="AD2" s="1445"/>
      <c r="AE2" s="1445"/>
      <c r="AF2" s="1445"/>
      <c r="AH2" s="1445"/>
      <c r="AI2" s="1613"/>
    </row>
    <row r="3" spans="1:43" ht="18.75" customHeight="1">
      <c r="A3" s="2325" t="str">
        <f>+OCI!A3</f>
        <v>FOR THE QUARTER ENDED SEPTEMBER 30, 2021</v>
      </c>
      <c r="B3" s="2325"/>
      <c r="C3" s="2325"/>
      <c r="D3" s="2325"/>
      <c r="E3" s="2325"/>
      <c r="F3" s="2325"/>
      <c r="G3" s="2325"/>
      <c r="H3" s="2325"/>
      <c r="I3" s="2325"/>
      <c r="J3" s="2325"/>
      <c r="K3" s="2325"/>
      <c r="L3" s="2325"/>
      <c r="M3" s="2325"/>
      <c r="N3" s="1445"/>
      <c r="O3" s="1445">
        <f>14628438-13751711</f>
        <v>876727</v>
      </c>
      <c r="P3" s="1445"/>
      <c r="Q3" s="1445"/>
      <c r="R3" s="1569"/>
      <c r="S3" s="1445"/>
      <c r="T3" s="1445"/>
      <c r="U3" s="1445"/>
      <c r="V3" s="1445"/>
      <c r="W3" s="1445"/>
      <c r="X3" s="1445"/>
      <c r="Y3" s="1445"/>
      <c r="Z3" s="1614"/>
      <c r="AA3" s="1445"/>
      <c r="AB3" s="1445"/>
      <c r="AC3" s="1445"/>
      <c r="AD3" s="1445"/>
      <c r="AE3" s="1445"/>
      <c r="AF3" s="1445"/>
      <c r="AH3" s="1445"/>
      <c r="AI3" s="1484"/>
      <c r="AJ3" s="1445"/>
      <c r="AK3" s="1615"/>
      <c r="AL3" s="1615"/>
    </row>
    <row r="4" spans="1:43" ht="15" customHeight="1">
      <c r="A4" s="1445"/>
      <c r="B4" s="1445"/>
      <c r="C4" s="1445"/>
      <c r="D4" s="1445"/>
      <c r="E4" s="1445"/>
      <c r="F4" s="1445"/>
      <c r="G4" s="1445"/>
      <c r="H4" s="1445"/>
      <c r="M4" s="1445"/>
      <c r="N4" s="1445"/>
      <c r="O4" s="1485">
        <f>+BS!F37-BS!H37</f>
        <v>876727.35490000248</v>
      </c>
      <c r="P4" s="1445"/>
      <c r="Q4" s="1445"/>
      <c r="R4" s="1569"/>
      <c r="S4" s="1445"/>
      <c r="T4" s="1445"/>
      <c r="U4" s="1445"/>
      <c r="V4" s="1445"/>
      <c r="W4" s="1445"/>
      <c r="X4" s="1445"/>
      <c r="Y4" s="1445"/>
      <c r="Z4" s="1569"/>
      <c r="AA4" s="1445"/>
      <c r="AB4" s="2328"/>
      <c r="AC4" s="2328"/>
      <c r="AD4" s="2328"/>
      <c r="AE4" s="1527"/>
      <c r="AF4" s="2328"/>
      <c r="AG4" s="2328"/>
      <c r="AH4" s="2328"/>
      <c r="AI4" s="1445"/>
      <c r="AJ4" s="1527"/>
      <c r="AK4" s="1615"/>
    </row>
    <row r="5" spans="1:43" ht="15" customHeight="1">
      <c r="A5" s="1445"/>
      <c r="B5" s="1445"/>
      <c r="C5" s="1445"/>
      <c r="D5" s="1445"/>
      <c r="E5" s="1445"/>
      <c r="F5" s="1445"/>
      <c r="G5" s="1445"/>
      <c r="H5" s="1445"/>
      <c r="M5" s="1445"/>
      <c r="N5" s="1445"/>
      <c r="O5" s="1983"/>
      <c r="P5" s="1445"/>
      <c r="Q5" s="1445"/>
      <c r="R5" s="1569"/>
      <c r="S5" s="1445"/>
      <c r="T5" s="1445"/>
      <c r="U5" s="1445"/>
      <c r="V5" s="1445"/>
      <c r="W5" s="1445"/>
      <c r="X5" s="1445"/>
      <c r="Y5" s="1445"/>
      <c r="Z5" s="1569"/>
      <c r="AA5" s="1445"/>
      <c r="AB5" s="1773"/>
      <c r="AC5" s="1773"/>
      <c r="AD5" s="1773"/>
      <c r="AE5" s="1773"/>
      <c r="AF5" s="1773"/>
      <c r="AG5" s="1773"/>
      <c r="AH5" s="1773"/>
      <c r="AI5" s="1445"/>
      <c r="AJ5" s="1773"/>
      <c r="AK5" s="1615"/>
    </row>
    <row r="6" spans="1:43" ht="15" customHeight="1">
      <c r="A6" s="1445"/>
      <c r="B6" s="1445"/>
      <c r="C6" s="1445"/>
      <c r="D6" s="1445"/>
      <c r="E6" s="2329" t="s">
        <v>3198</v>
      </c>
      <c r="F6" s="2330"/>
      <c r="G6" s="2330"/>
      <c r="H6" s="2331"/>
      <c r="I6" s="2332" t="s">
        <v>3163</v>
      </c>
      <c r="J6" s="2333"/>
      <c r="K6" s="2333"/>
      <c r="L6" s="2334"/>
      <c r="M6" s="1616"/>
      <c r="N6" s="1985">
        <f>+BS!H37</f>
        <v>119629978</v>
      </c>
      <c r="O6" s="2014">
        <f>O15</f>
        <v>14628437.609999999</v>
      </c>
      <c r="P6" s="2014">
        <f>O21</f>
        <v>-13751710.662999995</v>
      </c>
      <c r="Q6" s="2014">
        <f>+N6+O6+P6</f>
        <v>120506704.94700003</v>
      </c>
      <c r="R6" s="1985"/>
      <c r="S6" s="1617"/>
      <c r="T6" s="1617"/>
      <c r="U6" s="1617"/>
      <c r="V6" s="1617"/>
      <c r="W6" s="1617"/>
      <c r="X6" s="1617"/>
      <c r="Y6" s="1616"/>
      <c r="Z6" s="1618"/>
      <c r="AA6" s="1616"/>
      <c r="AB6" s="2318"/>
      <c r="AC6" s="2318"/>
      <c r="AD6" s="2318"/>
      <c r="AE6" s="1526"/>
      <c r="AF6" s="2318"/>
      <c r="AG6" s="2318"/>
      <c r="AH6" s="2318"/>
      <c r="AI6" s="1526"/>
      <c r="AJ6" s="1526"/>
      <c r="AK6" s="1571"/>
      <c r="AM6" s="1615"/>
    </row>
    <row r="7" spans="1:43" ht="78" customHeight="1" thickBot="1">
      <c r="A7" s="1445"/>
      <c r="B7" s="1445"/>
      <c r="C7" s="1445"/>
      <c r="D7" s="1445"/>
      <c r="E7" s="1794" t="s">
        <v>2387</v>
      </c>
      <c r="F7" s="1794" t="s">
        <v>2536</v>
      </c>
      <c r="G7" s="1794" t="s">
        <v>2537</v>
      </c>
      <c r="H7" s="1794" t="s">
        <v>44</v>
      </c>
      <c r="I7" s="2004" t="s">
        <v>2387</v>
      </c>
      <c r="J7" s="2004" t="s">
        <v>2536</v>
      </c>
      <c r="K7" s="2004" t="s">
        <v>2537</v>
      </c>
      <c r="L7" s="2004" t="s">
        <v>44</v>
      </c>
      <c r="M7" s="1795"/>
      <c r="N7" s="1621"/>
      <c r="O7" s="1984"/>
      <c r="P7" s="1621"/>
      <c r="Q7" s="1621"/>
      <c r="R7" s="1986"/>
      <c r="S7" s="1621"/>
      <c r="T7" s="1621"/>
      <c r="U7" s="1621"/>
      <c r="V7" s="1621"/>
      <c r="W7" s="1621"/>
      <c r="X7" s="1621"/>
      <c r="Y7" s="1619"/>
      <c r="Z7" s="1620"/>
      <c r="AA7" s="1621"/>
      <c r="AB7" s="2327"/>
      <c r="AC7" s="2327"/>
      <c r="AD7" s="2327"/>
      <c r="AE7" s="2327"/>
      <c r="AF7" s="2327"/>
      <c r="AG7" s="2327"/>
      <c r="AH7" s="2327"/>
      <c r="AI7" s="2327"/>
      <c r="AJ7" s="1622"/>
    </row>
    <row r="8" spans="1:43" ht="15" customHeight="1" thickBot="1">
      <c r="A8" s="1445"/>
      <c r="B8" s="1445"/>
      <c r="C8" s="1445"/>
      <c r="D8" s="1445"/>
      <c r="E8" s="2326" t="s">
        <v>2600</v>
      </c>
      <c r="F8" s="2326"/>
      <c r="G8" s="2326"/>
      <c r="H8" s="2326"/>
      <c r="I8" s="2326"/>
      <c r="J8" s="2326"/>
      <c r="K8" s="2326"/>
      <c r="L8" s="2326"/>
      <c r="M8" s="2326"/>
      <c r="N8" s="2010">
        <f>(551132670+99937237)/1000</f>
        <v>651069.90700000001</v>
      </c>
      <c r="O8" s="2010">
        <f>+H17-N8</f>
        <v>857125.09299999999</v>
      </c>
      <c r="P8" s="1792"/>
      <c r="Q8" s="1792"/>
      <c r="R8" s="1986"/>
      <c r="S8" s="1621"/>
      <c r="T8" s="1621"/>
      <c r="U8" s="1621"/>
      <c r="V8" s="1621"/>
      <c r="W8" s="1621"/>
      <c r="X8" s="1621"/>
      <c r="Y8" s="2335" t="s">
        <v>3214</v>
      </c>
      <c r="Z8" s="2336"/>
      <c r="AA8" s="2336"/>
      <c r="AB8" s="2337"/>
      <c r="AC8" s="1760"/>
      <c r="AD8" s="1760"/>
      <c r="AE8" s="1760"/>
      <c r="AF8" s="1760"/>
      <c r="AG8" s="1760"/>
      <c r="AH8" s="1760"/>
      <c r="AI8" s="1760"/>
      <c r="AJ8" s="1622"/>
    </row>
    <row r="9" spans="1:43" ht="15" customHeight="1">
      <c r="A9" s="1445"/>
      <c r="B9" s="1445"/>
      <c r="C9" s="1445"/>
      <c r="D9" s="1445"/>
      <c r="E9" s="1621"/>
      <c r="F9" s="1621"/>
      <c r="G9" s="1621"/>
      <c r="H9" s="1621"/>
      <c r="I9" s="2005"/>
      <c r="J9" s="2005"/>
      <c r="K9" s="2005"/>
      <c r="L9" s="2005"/>
      <c r="M9" s="1621"/>
      <c r="N9" s="1986">
        <f>(1384712270+518924129)/1000</f>
        <v>1903636.399</v>
      </c>
      <c r="O9" s="1986">
        <f>+N9+H23</f>
        <v>480571.39899999998</v>
      </c>
      <c r="P9" s="1621"/>
      <c r="Q9" s="1621"/>
      <c r="R9" s="1986"/>
      <c r="S9" s="1621"/>
      <c r="T9" s="1621"/>
      <c r="U9" s="1621"/>
      <c r="V9" s="1621"/>
      <c r="W9" s="1621"/>
      <c r="X9" s="1621"/>
      <c r="Y9" s="2338" t="s">
        <v>3130</v>
      </c>
      <c r="Z9" s="2339"/>
      <c r="AA9" s="2340" t="s">
        <v>3131</v>
      </c>
      <c r="AB9" s="2341"/>
      <c r="AC9" s="1623"/>
      <c r="AD9" s="1623"/>
      <c r="AE9" s="1623"/>
      <c r="AF9" s="1623"/>
      <c r="AG9" s="1623"/>
      <c r="AH9" s="1623"/>
      <c r="AI9" s="1623"/>
      <c r="AJ9" s="1623"/>
    </row>
    <row r="10" spans="1:43" ht="15" customHeight="1" thickBot="1">
      <c r="A10" s="1689" t="s">
        <v>463</v>
      </c>
      <c r="E10" s="1798">
        <v>7165600</v>
      </c>
      <c r="F10" s="1798">
        <v>5231582</v>
      </c>
      <c r="G10" s="1798"/>
      <c r="H10" s="1798">
        <f>SUM(E10:F10)</f>
        <v>12397182</v>
      </c>
      <c r="I10" s="1625">
        <v>5894800</v>
      </c>
      <c r="J10" s="1625">
        <v>2909097</v>
      </c>
      <c r="K10" s="1625">
        <v>0</v>
      </c>
      <c r="L10" s="1625">
        <f>SUM(I10:K10)</f>
        <v>8803897</v>
      </c>
      <c r="M10" s="1625"/>
      <c r="N10" s="1626">
        <f>+N8-N9</f>
        <v>-1252566.4920000001</v>
      </c>
      <c r="O10" s="1625"/>
      <c r="P10" s="1625"/>
      <c r="Q10" s="1625"/>
      <c r="R10" s="1626"/>
      <c r="S10" s="1625"/>
      <c r="T10" s="1625"/>
      <c r="U10" s="1625"/>
      <c r="V10" s="1625"/>
      <c r="W10" s="1625"/>
      <c r="X10" s="1625"/>
      <c r="Y10" s="2229" t="s">
        <v>2397</v>
      </c>
      <c r="Z10" s="2230" t="s">
        <v>3215</v>
      </c>
      <c r="AA10" s="2231" t="s">
        <v>2397</v>
      </c>
      <c r="AB10" s="2232" t="s">
        <v>3215</v>
      </c>
      <c r="AC10" s="1623"/>
      <c r="AD10" s="1623"/>
      <c r="AE10" s="1623"/>
      <c r="AF10" s="1623"/>
      <c r="AG10" s="1623"/>
      <c r="AH10" s="1623"/>
      <c r="AI10" s="1623"/>
      <c r="AJ10" s="1623"/>
      <c r="AM10" s="1615"/>
    </row>
    <row r="11" spans="1:43" ht="15" customHeight="1">
      <c r="A11" s="1624"/>
      <c r="E11" s="1798"/>
      <c r="F11" s="1798"/>
      <c r="G11" s="1798"/>
      <c r="H11" s="1798"/>
      <c r="I11" s="1625"/>
      <c r="J11" s="1625"/>
      <c r="K11" s="1625"/>
      <c r="L11" s="1625"/>
      <c r="M11" s="1625"/>
      <c r="N11" s="1625"/>
      <c r="O11" s="1625">
        <v>14628438</v>
      </c>
      <c r="P11" s="1625"/>
      <c r="Q11" s="1625"/>
      <c r="R11" s="1626"/>
      <c r="S11" s="1625"/>
      <c r="T11" s="1625"/>
      <c r="U11" s="1625"/>
      <c r="V11" s="1625"/>
      <c r="W11" s="1625"/>
      <c r="X11" s="1625"/>
      <c r="Y11" s="2233">
        <v>57726.146399999998</v>
      </c>
      <c r="Z11" s="2233">
        <v>5920067.8099999996</v>
      </c>
      <c r="AA11" s="2233">
        <v>-777128.01619999995</v>
      </c>
      <c r="AB11" s="2239">
        <v>-80628145.709999993</v>
      </c>
      <c r="AC11" s="1623"/>
      <c r="AD11" s="1623"/>
      <c r="AE11" s="1623"/>
      <c r="AF11" s="1623"/>
      <c r="AG11" s="1623"/>
      <c r="AH11" s="1623"/>
      <c r="AI11" s="1623"/>
      <c r="AJ11" s="1623"/>
      <c r="AM11" s="1615"/>
    </row>
    <row r="12" spans="1:43" ht="15" customHeight="1">
      <c r="E12" s="1798"/>
      <c r="F12" s="1798"/>
      <c r="G12" s="1798"/>
      <c r="H12" s="1798"/>
      <c r="I12" s="1625"/>
      <c r="J12" s="1625"/>
      <c r="K12" s="1625"/>
      <c r="L12" s="1625"/>
      <c r="M12" s="1625"/>
      <c r="N12" s="1625"/>
      <c r="O12" s="1625">
        <v>-13751711</v>
      </c>
      <c r="P12" s="1625"/>
      <c r="Q12" s="1625"/>
      <c r="R12" s="1626"/>
      <c r="S12" s="1625"/>
      <c r="T12" s="1625"/>
      <c r="U12" s="1625"/>
      <c r="V12" s="1625"/>
      <c r="W12" s="1625"/>
      <c r="X12" s="1625"/>
      <c r="Y12" s="2234">
        <v>55.339599999999997</v>
      </c>
      <c r="Z12" s="2234">
        <v>5655</v>
      </c>
      <c r="AA12" s="2234">
        <v>-9.1091999999999995</v>
      </c>
      <c r="AB12" s="2240">
        <v>-944</v>
      </c>
      <c r="AC12" s="1623"/>
      <c r="AD12" s="1623"/>
      <c r="AE12" s="1623"/>
      <c r="AF12" s="1623"/>
      <c r="AG12" s="1623"/>
      <c r="AH12" s="1623"/>
      <c r="AI12" s="1623"/>
      <c r="AJ12" s="1623"/>
      <c r="AK12" s="1571"/>
      <c r="AM12" s="1571"/>
    </row>
    <row r="13" spans="1:43" ht="15" customHeight="1" thickBot="1">
      <c r="A13" s="2274" t="s">
        <v>3267</v>
      </c>
      <c r="E13" s="1799"/>
      <c r="F13" s="1799"/>
      <c r="G13" s="1799"/>
      <c r="H13" s="1799"/>
      <c r="I13" s="2006"/>
      <c r="J13" s="2006"/>
      <c r="K13" s="2006"/>
      <c r="L13" s="2006"/>
      <c r="M13" s="1625"/>
      <c r="N13" s="1625"/>
      <c r="O13" s="1625"/>
      <c r="P13" s="1625"/>
      <c r="Q13" s="1625"/>
      <c r="R13" s="1625"/>
      <c r="S13" s="1625"/>
      <c r="T13" s="1625"/>
      <c r="U13" s="1626"/>
      <c r="V13" s="1625"/>
      <c r="W13" s="1625"/>
      <c r="X13" s="1625"/>
      <c r="Y13" s="2234">
        <v>155078.01680000001</v>
      </c>
      <c r="Z13" s="2234">
        <v>16218058.310000001</v>
      </c>
      <c r="AA13" s="2234">
        <v>-585.40449999999998</v>
      </c>
      <c r="AB13" s="2240">
        <v>-58057.599999999999</v>
      </c>
      <c r="AC13" s="1623"/>
      <c r="AD13" s="1623"/>
      <c r="AE13" s="1623"/>
      <c r="AF13" s="1623"/>
      <c r="AG13" s="1623"/>
      <c r="AH13" s="1623"/>
      <c r="AI13" s="1623"/>
      <c r="AJ13" s="1623"/>
      <c r="AK13" s="1571"/>
    </row>
    <row r="14" spans="1:43" ht="15" customHeight="1" thickBot="1">
      <c r="A14" s="1814" t="s">
        <v>2538</v>
      </c>
      <c r="E14" s="1800"/>
      <c r="F14" s="1801"/>
      <c r="G14" s="1802"/>
      <c r="H14" s="1800"/>
      <c r="I14" s="1628"/>
      <c r="J14" s="1629"/>
      <c r="K14" s="1630"/>
      <c r="L14" s="1628"/>
      <c r="M14" s="1625"/>
      <c r="N14" s="1625"/>
      <c r="O14" s="2215" t="s">
        <v>3208</v>
      </c>
      <c r="P14" s="2216" t="s">
        <v>3209</v>
      </c>
      <c r="Q14" s="2216" t="s">
        <v>434</v>
      </c>
      <c r="R14" s="2216" t="s">
        <v>3210</v>
      </c>
      <c r="S14" s="2217" t="s">
        <v>3211</v>
      </c>
      <c r="T14" s="1625"/>
      <c r="U14" s="1625"/>
      <c r="V14" s="1625"/>
      <c r="W14" s="1625"/>
      <c r="X14" s="1625"/>
      <c r="Y14" s="2235">
        <v>4233949.5998999998</v>
      </c>
      <c r="Z14" s="2235">
        <v>437350316.95999998</v>
      </c>
      <c r="AA14" s="2234">
        <v>-716298.34450000001</v>
      </c>
      <c r="AB14" s="2240">
        <v>-73595859</v>
      </c>
      <c r="AC14" s="1623"/>
      <c r="AD14" s="1623"/>
      <c r="AE14" s="1623"/>
      <c r="AF14" s="1623"/>
      <c r="AG14" s="1623"/>
      <c r="AH14" s="1623"/>
      <c r="AI14" s="1623"/>
      <c r="AJ14" s="1623"/>
      <c r="AK14" s="1571"/>
      <c r="AO14" s="1615"/>
      <c r="AP14" s="1615"/>
      <c r="AQ14" s="1615"/>
    </row>
    <row r="15" spans="1:43" ht="15" customHeight="1">
      <c r="A15" s="2275" t="s">
        <v>3227</v>
      </c>
      <c r="E15" s="1803">
        <f>R16</f>
        <v>1515936</v>
      </c>
      <c r="F15" s="1804">
        <v>0</v>
      </c>
      <c r="G15" s="1805">
        <v>0</v>
      </c>
      <c r="H15" s="1803">
        <f>ROUND(SUM(E15:G15),0)+1</f>
        <v>1515937</v>
      </c>
      <c r="I15" s="1796">
        <v>2589115</v>
      </c>
      <c r="J15" s="1797">
        <v>0</v>
      </c>
      <c r="K15" s="1700">
        <v>0</v>
      </c>
      <c r="L15" s="1796">
        <f>SUM(I15:K15)</f>
        <v>2589115</v>
      </c>
      <c r="M15" s="1625"/>
      <c r="N15" s="1626"/>
      <c r="O15" s="2218">
        <f>Y27</f>
        <v>14628437.609999999</v>
      </c>
      <c r="P15" s="2219">
        <f>Z27</f>
        <v>1508194613.99</v>
      </c>
      <c r="Q15" s="2241">
        <f>BS!H40</f>
        <v>103.6293963039933</v>
      </c>
      <c r="R15" s="2220">
        <f>O15*Q15</f>
        <v>1515936158.3949306</v>
      </c>
      <c r="S15" s="2221">
        <f>P15-R15</f>
        <v>-7741544.4049305916</v>
      </c>
      <c r="T15" s="1625"/>
      <c r="U15" s="1625"/>
      <c r="V15" s="1625"/>
      <c r="W15" s="1625"/>
      <c r="X15" s="1625"/>
      <c r="Y15" s="2235">
        <v>4537399.3865</v>
      </c>
      <c r="Z15" s="2235">
        <v>464757309.39999998</v>
      </c>
      <c r="AA15" s="2234">
        <v>-14212.0191</v>
      </c>
      <c r="AB15" s="2240">
        <v>-1475331.07</v>
      </c>
      <c r="AC15" s="1623"/>
      <c r="AD15" s="1623"/>
      <c r="AE15" s="1623"/>
      <c r="AF15" s="1623"/>
      <c r="AG15" s="1623"/>
      <c r="AH15" s="1623"/>
      <c r="AI15" s="1623"/>
      <c r="AJ15" s="1623"/>
      <c r="AK15" s="1571"/>
      <c r="AO15" s="1615"/>
      <c r="AP15" s="1615"/>
      <c r="AQ15" s="1615"/>
    </row>
    <row r="16" spans="1:43" ht="15" customHeight="1">
      <c r="A16" s="1815" t="s">
        <v>2325</v>
      </c>
      <c r="E16" s="1806">
        <f>S16</f>
        <v>-7742</v>
      </c>
      <c r="F16" s="1807">
        <v>0</v>
      </c>
      <c r="G16" s="1808">
        <v>0</v>
      </c>
      <c r="H16" s="1806">
        <f>ROUND(SUM(E16:G16),0)</f>
        <v>-7742</v>
      </c>
      <c r="I16" s="1633">
        <v>370662.56699999981</v>
      </c>
      <c r="J16" s="1634">
        <v>0</v>
      </c>
      <c r="K16" s="1635">
        <v>0</v>
      </c>
      <c r="L16" s="1633">
        <f>SUM(I16:K16)</f>
        <v>370662.56699999981</v>
      </c>
      <c r="M16" s="1625"/>
      <c r="N16" s="1626"/>
      <c r="O16" s="2218">
        <f>ROUND(O15,0)</f>
        <v>14628438</v>
      </c>
      <c r="P16" s="2222">
        <f>ROUND(P15,0)</f>
        <v>1508194614</v>
      </c>
      <c r="Q16" s="2223"/>
      <c r="R16" s="2242">
        <f>ROUND(R15/1000,0)</f>
        <v>1515936</v>
      </c>
      <c r="S16" s="2242">
        <f>ROUND(S15/1000,0)</f>
        <v>-7742</v>
      </c>
      <c r="T16" s="1625"/>
      <c r="U16" s="1625"/>
      <c r="V16" s="1625"/>
      <c r="W16" s="1625"/>
      <c r="X16" s="1625"/>
      <c r="Y16" s="2234">
        <v>774775.19209999999</v>
      </c>
      <c r="Z16" s="2234">
        <v>80383413.640000001</v>
      </c>
      <c r="AA16" s="2234">
        <v>-300.47210000000001</v>
      </c>
      <c r="AB16" s="2240">
        <v>-31332.31</v>
      </c>
      <c r="AC16" s="1623"/>
      <c r="AD16" s="1623"/>
      <c r="AE16" s="1623"/>
      <c r="AF16" s="1623"/>
      <c r="AG16" s="1623"/>
      <c r="AH16" s="1623"/>
      <c r="AI16" s="1623"/>
      <c r="AJ16" s="1623"/>
      <c r="AK16" s="1571"/>
      <c r="AO16" s="1615"/>
      <c r="AP16" s="1615"/>
      <c r="AQ16" s="1615"/>
    </row>
    <row r="17" spans="1:43" ht="15" customHeight="1">
      <c r="A17" s="1636"/>
      <c r="E17" s="1799">
        <f>SUM(E14:E16)</f>
        <v>1508194</v>
      </c>
      <c r="F17" s="1799">
        <f>SUM(F14:F16)</f>
        <v>0</v>
      </c>
      <c r="G17" s="1799">
        <f>SUM(G14:G16)</f>
        <v>0</v>
      </c>
      <c r="H17" s="1799">
        <f>SUM(H15:H16)</f>
        <v>1508195</v>
      </c>
      <c r="I17" s="2006">
        <f>SUM(I15:I16)</f>
        <v>2959777.5669999998</v>
      </c>
      <c r="J17" s="2006">
        <f>SUM(J15:J16)</f>
        <v>0</v>
      </c>
      <c r="K17" s="2006">
        <f>SUM(K15:K16)</f>
        <v>0</v>
      </c>
      <c r="L17" s="2006">
        <f>SUM(L15:L16)</f>
        <v>2959777.5669999998</v>
      </c>
      <c r="M17" s="1625"/>
      <c r="N17" s="1626"/>
      <c r="O17" s="1625"/>
      <c r="P17" s="1625"/>
      <c r="Q17" s="1625"/>
      <c r="R17" s="1625"/>
      <c r="S17" s="1625"/>
      <c r="T17" s="1625"/>
      <c r="U17" s="1625"/>
      <c r="V17" s="1625"/>
      <c r="W17" s="1625"/>
      <c r="X17" s="1625"/>
      <c r="Y17" s="2234">
        <v>738536.02590000001</v>
      </c>
      <c r="Z17" s="2234">
        <v>76907460.939999998</v>
      </c>
      <c r="AA17" s="2234">
        <v>-1265830.0274</v>
      </c>
      <c r="AB17" s="2240">
        <v>-131162224.2</v>
      </c>
      <c r="AC17" s="1623"/>
      <c r="AD17" s="1623"/>
      <c r="AE17" s="1623"/>
      <c r="AF17" s="1623"/>
      <c r="AG17" s="1623"/>
      <c r="AH17" s="1623"/>
      <c r="AI17" s="1623"/>
      <c r="AJ17" s="1623"/>
      <c r="AK17" s="1571"/>
      <c r="AO17" s="1615"/>
      <c r="AP17" s="1615"/>
      <c r="AQ17" s="1615"/>
    </row>
    <row r="18" spans="1:43" ht="15" customHeight="1">
      <c r="A18" s="1636"/>
      <c r="E18" s="1799"/>
      <c r="F18" s="1799"/>
      <c r="G18" s="1799"/>
      <c r="H18" s="1799"/>
      <c r="I18" s="2006"/>
      <c r="J18" s="2006"/>
      <c r="K18" s="2006"/>
      <c r="L18" s="2006"/>
      <c r="M18" s="1625"/>
      <c r="N18" s="1626"/>
      <c r="O18" s="1625"/>
      <c r="P18" s="1625"/>
      <c r="Q18" s="1625"/>
      <c r="R18" s="1625"/>
      <c r="S18" s="1625"/>
      <c r="T18" s="1625"/>
      <c r="U18" s="1625"/>
      <c r="V18" s="1625"/>
      <c r="W18" s="1625"/>
      <c r="X18" s="1625"/>
      <c r="Y18" s="2234">
        <v>14126.566699999999</v>
      </c>
      <c r="Z18" s="2234">
        <v>1468176.14</v>
      </c>
      <c r="AA18" s="2234">
        <v>-1564798.4713000001</v>
      </c>
      <c r="AB18" s="2240">
        <v>-162868022.69999999</v>
      </c>
      <c r="AC18" s="1623"/>
      <c r="AD18" s="1623"/>
      <c r="AE18" s="1623"/>
      <c r="AF18" s="1623"/>
      <c r="AG18" s="1623"/>
      <c r="AH18" s="1623"/>
      <c r="AI18" s="1623"/>
      <c r="AJ18" s="1623"/>
      <c r="AK18" s="1571"/>
      <c r="AO18" s="1615"/>
      <c r="AP18" s="1615"/>
      <c r="AQ18" s="1615"/>
    </row>
    <row r="19" spans="1:43" ht="15" customHeight="1" thickBot="1">
      <c r="A19" s="2276" t="s">
        <v>3266</v>
      </c>
      <c r="E19" s="1798"/>
      <c r="F19" s="1798"/>
      <c r="G19" s="1798"/>
      <c r="H19" s="1798"/>
      <c r="I19" s="1625"/>
      <c r="J19" s="1625"/>
      <c r="K19" s="1625"/>
      <c r="L19" s="1625"/>
      <c r="M19" s="1625"/>
      <c r="N19" s="1626"/>
      <c r="O19" s="1625"/>
      <c r="P19" s="1625"/>
      <c r="Q19" s="1625"/>
      <c r="R19" s="1625"/>
      <c r="S19" s="1625"/>
      <c r="T19" s="1625"/>
      <c r="U19" s="1625"/>
      <c r="V19" s="1625"/>
      <c r="W19" s="1625"/>
      <c r="X19" s="1625"/>
      <c r="Y19" s="2234">
        <v>20043.356</v>
      </c>
      <c r="Z19" s="2234">
        <v>1987808.01</v>
      </c>
      <c r="AA19" s="2234">
        <v>-5679943.6771999998</v>
      </c>
      <c r="AB19" s="2240">
        <v>-586038941.12</v>
      </c>
      <c r="AC19" s="1623"/>
      <c r="AD19" s="1623"/>
      <c r="AE19" s="1623"/>
      <c r="AF19" s="1623"/>
      <c r="AG19" s="1623"/>
      <c r="AH19" s="1623"/>
      <c r="AI19" s="1623"/>
      <c r="AJ19" s="1623"/>
      <c r="AK19" s="1571"/>
      <c r="AO19" s="1615"/>
      <c r="AP19" s="1615"/>
      <c r="AQ19" s="1615"/>
    </row>
    <row r="20" spans="1:43" ht="15" customHeight="1" thickBot="1">
      <c r="A20" s="1814" t="s">
        <v>2538</v>
      </c>
      <c r="E20" s="1801"/>
      <c r="F20" s="1801"/>
      <c r="G20" s="1802"/>
      <c r="H20" s="1801"/>
      <c r="I20" s="1629"/>
      <c r="J20" s="1629"/>
      <c r="K20" s="1630"/>
      <c r="L20" s="1629"/>
      <c r="M20" s="1625"/>
      <c r="O20" s="2224" t="s">
        <v>3212</v>
      </c>
      <c r="P20" s="2225" t="s">
        <v>3213</v>
      </c>
      <c r="Q20" s="2225" t="s">
        <v>434</v>
      </c>
      <c r="R20" s="2226" t="s">
        <v>3210</v>
      </c>
      <c r="S20" s="2227" t="s">
        <v>3211</v>
      </c>
      <c r="T20" s="1625"/>
      <c r="U20" s="1625"/>
      <c r="V20" s="1625"/>
      <c r="W20" s="1625"/>
      <c r="X20" s="1625"/>
      <c r="Y20" s="2234">
        <v>2856105.5759000001</v>
      </c>
      <c r="Z20" s="2234">
        <v>294570503.51999998</v>
      </c>
      <c r="AA20" s="2234">
        <v>-3138361.8563999999</v>
      </c>
      <c r="AB20" s="2240">
        <v>-325550197.12</v>
      </c>
      <c r="AC20" s="1623"/>
      <c r="AD20" s="1623"/>
      <c r="AE20" s="1623"/>
      <c r="AF20" s="1623"/>
      <c r="AG20" s="1623"/>
      <c r="AH20" s="1623"/>
      <c r="AI20" s="1623"/>
      <c r="AJ20" s="1623"/>
      <c r="AK20" s="1571"/>
      <c r="AO20" s="1615"/>
      <c r="AP20" s="1615"/>
      <c r="AQ20" s="1615"/>
    </row>
    <row r="21" spans="1:43" ht="15" customHeight="1">
      <c r="A21" s="2275" t="s">
        <v>3227</v>
      </c>
      <c r="E21" s="1804">
        <f>R22</f>
        <v>-1425081</v>
      </c>
      <c r="F21" s="1804">
        <v>0</v>
      </c>
      <c r="G21" s="1805">
        <v>0</v>
      </c>
      <c r="H21" s="1804">
        <f>ROUND(SUM(E21:G21),0)</f>
        <v>-1425081</v>
      </c>
      <c r="I21" s="1797">
        <v>-1608005</v>
      </c>
      <c r="J21" s="1797">
        <v>0</v>
      </c>
      <c r="K21" s="1700">
        <v>0</v>
      </c>
      <c r="L21" s="1797">
        <f>SUM(I21:K21)</f>
        <v>-1608005</v>
      </c>
      <c r="M21" s="1625"/>
      <c r="N21" s="1625"/>
      <c r="O21" s="2228">
        <f>AA27</f>
        <v>-13751710.662999995</v>
      </c>
      <c r="P21" s="2219">
        <f>AB27</f>
        <v>-1423065878.7399998</v>
      </c>
      <c r="Q21" s="2241">
        <f>BS!H40</f>
        <v>103.6293963039933</v>
      </c>
      <c r="R21" s="1226">
        <f>O21*Q21</f>
        <v>-1425081474.153877</v>
      </c>
      <c r="S21" s="2221">
        <f>P21-R21</f>
        <v>2015595.4138772488</v>
      </c>
      <c r="T21" s="1625"/>
      <c r="U21" s="1625"/>
      <c r="V21" s="1625"/>
      <c r="W21" s="1625"/>
      <c r="X21" s="1625"/>
      <c r="Y21" s="2234">
        <v>1233793.8621</v>
      </c>
      <c r="Z21" s="2234">
        <v>127915647.06</v>
      </c>
      <c r="AA21" s="2234">
        <v>-57980.405700000003</v>
      </c>
      <c r="AB21" s="2240">
        <v>-5946468.8099999996</v>
      </c>
      <c r="AC21" s="1623"/>
      <c r="AD21" s="1623"/>
      <c r="AE21" s="1623"/>
      <c r="AF21" s="1623"/>
      <c r="AG21" s="1623"/>
      <c r="AH21" s="1623"/>
      <c r="AI21" s="1623"/>
      <c r="AJ21" s="1623"/>
      <c r="AK21" s="1571"/>
      <c r="AO21" s="1615"/>
      <c r="AP21" s="1615"/>
      <c r="AQ21" s="1615"/>
    </row>
    <row r="22" spans="1:43" ht="15" customHeight="1">
      <c r="A22" s="1814" t="s">
        <v>2444</v>
      </c>
      <c r="E22" s="1807">
        <f>S22</f>
        <v>2016</v>
      </c>
      <c r="F22" s="1809">
        <f>IS!H47</f>
        <v>0</v>
      </c>
      <c r="G22" s="1809">
        <v>0</v>
      </c>
      <c r="H22" s="1807">
        <f>ROUND(SUM(E22:G22),0)</f>
        <v>2016</v>
      </c>
      <c r="I22" s="1634">
        <v>-126019.64577095835</v>
      </c>
      <c r="J22" s="1637">
        <v>-105623.71</v>
      </c>
      <c r="K22" s="1637">
        <v>0</v>
      </c>
      <c r="L22" s="1634">
        <f>SUM(I22:K22)</f>
        <v>-231643.35577095835</v>
      </c>
      <c r="M22" s="1625"/>
      <c r="N22" s="1625"/>
      <c r="O22" s="2218">
        <f>ROUND(O21,0)</f>
        <v>-13751711</v>
      </c>
      <c r="P22" s="2222">
        <f>ROUND(P21,0)</f>
        <v>-1423065879</v>
      </c>
      <c r="Q22" s="2219"/>
      <c r="R22" s="2242">
        <f>ROUND(R21/1000,0)</f>
        <v>-1425081</v>
      </c>
      <c r="S22" s="2242">
        <f>ROUND(S21/1000,0)</f>
        <v>2016</v>
      </c>
      <c r="T22" s="1625"/>
      <c r="U22" s="1625"/>
      <c r="V22" s="1625"/>
      <c r="W22" s="1625"/>
      <c r="X22" s="1625"/>
      <c r="Y22" s="2235">
        <v>0.30819999999999997</v>
      </c>
      <c r="Z22" s="2235">
        <v>32.78</v>
      </c>
      <c r="AA22" s="2234">
        <v>-535832.42249999999</v>
      </c>
      <c r="AB22" s="2240">
        <v>-55665507.229999997</v>
      </c>
      <c r="AC22" s="1623"/>
      <c r="AD22" s="1623"/>
      <c r="AE22" s="1623"/>
      <c r="AF22" s="1623"/>
      <c r="AG22" s="1623"/>
      <c r="AH22" s="1623"/>
      <c r="AI22" s="1623"/>
      <c r="AJ22" s="1623"/>
      <c r="AK22" s="1571"/>
      <c r="AO22" s="1615"/>
      <c r="AP22" s="1615"/>
      <c r="AQ22" s="1615"/>
    </row>
    <row r="23" spans="1:43" ht="15" customHeight="1">
      <c r="E23" s="1798">
        <f>SUM(E20:E22)</f>
        <v>-1423065</v>
      </c>
      <c r="F23" s="1798">
        <f>SUM(F20:F22)</f>
        <v>0</v>
      </c>
      <c r="G23" s="1798">
        <f>SUM(G20:G22)</f>
        <v>0</v>
      </c>
      <c r="H23" s="1798">
        <f>SUM(H21:H22)</f>
        <v>-1423065</v>
      </c>
      <c r="I23" s="2006">
        <f>SUM(I21:I22)</f>
        <v>-1734024.6457709584</v>
      </c>
      <c r="J23" s="2006">
        <f>SUM(J21:J22)</f>
        <v>-105623.71</v>
      </c>
      <c r="K23" s="2006">
        <f>SUM(K21:K22)</f>
        <v>0</v>
      </c>
      <c r="L23" s="2006">
        <f>SUM(L21:L22)</f>
        <v>-1839648.3557709584</v>
      </c>
      <c r="M23" s="1625"/>
      <c r="N23" s="1625"/>
      <c r="O23" s="1625"/>
      <c r="P23" s="1625"/>
      <c r="Q23" s="1625"/>
      <c r="R23" s="1625"/>
      <c r="S23" s="1625"/>
      <c r="T23" s="1625"/>
      <c r="U23" s="1625"/>
      <c r="V23" s="1625"/>
      <c r="W23" s="1625"/>
      <c r="X23" s="1625"/>
      <c r="Y23" s="2234">
        <v>97.504599999999996</v>
      </c>
      <c r="Z23" s="2235">
        <v>10164.42</v>
      </c>
      <c r="AA23" s="2234">
        <v>-58.531100000000002</v>
      </c>
      <c r="AB23" s="2240">
        <v>-6119.3</v>
      </c>
      <c r="AC23" s="1623"/>
      <c r="AD23" s="1623"/>
      <c r="AE23" s="1623"/>
      <c r="AF23" s="1623"/>
      <c r="AG23" s="1623"/>
      <c r="AH23" s="1623"/>
      <c r="AI23" s="1623"/>
      <c r="AJ23" s="1623"/>
      <c r="AK23" s="1571"/>
      <c r="AO23" s="1615"/>
      <c r="AP23" s="1615"/>
      <c r="AQ23" s="1615"/>
    </row>
    <row r="24" spans="1:43" ht="15" customHeight="1">
      <c r="E24" s="1810"/>
      <c r="F24" s="1810"/>
      <c r="G24" s="1810"/>
      <c r="H24" s="1810"/>
      <c r="I24" s="2007"/>
      <c r="J24" s="2007"/>
      <c r="K24" s="2007"/>
      <c r="L24" s="2007"/>
      <c r="M24" s="1625"/>
      <c r="N24" s="1625"/>
      <c r="O24" s="1625"/>
      <c r="P24" s="1625"/>
      <c r="Q24" s="1625"/>
      <c r="R24" s="1625"/>
      <c r="S24" s="1625"/>
      <c r="T24" s="1625"/>
      <c r="U24" s="1625"/>
      <c r="V24" s="1625"/>
      <c r="W24" s="1625"/>
      <c r="X24" s="1625"/>
      <c r="Y24" s="2234">
        <v>6750.7293</v>
      </c>
      <c r="Z24" s="2235">
        <v>700000</v>
      </c>
      <c r="AA24" s="2234">
        <v>-0.1211</v>
      </c>
      <c r="AB24" s="2240">
        <v>-12.5</v>
      </c>
      <c r="AC24" s="1623"/>
      <c r="AD24" s="1623"/>
      <c r="AE24" s="1623"/>
      <c r="AF24" s="1623"/>
      <c r="AG24" s="1623"/>
      <c r="AH24" s="1623"/>
      <c r="AI24" s="1623"/>
      <c r="AJ24" s="1623"/>
      <c r="AK24" s="1571"/>
      <c r="AO24" s="1615"/>
      <c r="AP24" s="1615"/>
      <c r="AQ24" s="1615"/>
    </row>
    <row r="25" spans="1:43" ht="15" customHeight="1">
      <c r="A25" s="1638"/>
      <c r="B25" s="1639"/>
      <c r="E25" s="1798"/>
      <c r="F25" s="1798"/>
      <c r="G25" s="1798"/>
      <c r="H25" s="1798"/>
      <c r="I25" s="1625"/>
      <c r="J25" s="1625"/>
      <c r="K25" s="1625"/>
      <c r="L25" s="1625"/>
      <c r="M25" s="1625"/>
      <c r="N25" s="1625">
        <f>+H17+H23</f>
        <v>85130</v>
      </c>
      <c r="O25" s="1625"/>
      <c r="P25" s="1625"/>
      <c r="Q25" s="1625"/>
      <c r="R25" s="1625"/>
      <c r="S25" s="1625"/>
      <c r="T25" s="1625"/>
      <c r="U25" s="1625"/>
      <c r="V25" s="1625"/>
      <c r="W25" s="1625"/>
      <c r="X25" s="1625"/>
      <c r="Y25" s="2234"/>
      <c r="Z25" s="2235"/>
      <c r="AA25" s="2234">
        <v>-367.96640000000002</v>
      </c>
      <c r="AB25" s="2240">
        <v>-38314.07</v>
      </c>
      <c r="AC25" s="1623"/>
      <c r="AD25" s="1623"/>
      <c r="AE25" s="1623"/>
      <c r="AF25" s="1623"/>
      <c r="AG25" s="1623"/>
      <c r="AH25" s="1623"/>
      <c r="AI25" s="1623"/>
      <c r="AJ25" s="1623"/>
      <c r="AK25" s="1571"/>
    </row>
    <row r="26" spans="1:43" ht="15" customHeight="1" thickBot="1">
      <c r="A26" s="1640" t="str">
        <f>+OCI!A16</f>
        <v>Total comprehensive (loss) / Income for the period</v>
      </c>
      <c r="B26" s="1639"/>
      <c r="E26" s="1811">
        <v>0</v>
      </c>
      <c r="F26" s="1811">
        <f>+OCI!H16</f>
        <v>-670037.11999999546</v>
      </c>
      <c r="G26" s="1811"/>
      <c r="H26" s="1811">
        <f>ROUND(SUM(E26:G26),0)</f>
        <v>-670037</v>
      </c>
      <c r="I26" s="1641">
        <v>0</v>
      </c>
      <c r="J26" s="1641">
        <v>1568033.5</v>
      </c>
      <c r="K26" s="1641"/>
      <c r="L26" s="1641">
        <f>SUM(I26:K26)</f>
        <v>1568033.5</v>
      </c>
      <c r="M26" s="1625"/>
      <c r="N26" s="1625"/>
      <c r="O26" s="1625">
        <f>+BS!H37+14628438-13751711</f>
        <v>120506705</v>
      </c>
      <c r="P26" s="1643"/>
      <c r="Q26" s="1643"/>
      <c r="R26" s="1643"/>
      <c r="S26" s="1643"/>
      <c r="T26" s="1643"/>
      <c r="U26" s="1643"/>
      <c r="V26" s="1643"/>
      <c r="W26" s="1643"/>
      <c r="X26" s="1643"/>
      <c r="Y26" s="2236"/>
      <c r="Z26" s="2237"/>
      <c r="AA26" s="2236">
        <v>-3.8182999999999998</v>
      </c>
      <c r="AB26" s="2259">
        <v>-402</v>
      </c>
      <c r="AC26" s="1623"/>
      <c r="AD26" s="1623"/>
      <c r="AE26" s="1623"/>
      <c r="AF26" s="1623"/>
      <c r="AG26" s="1623"/>
      <c r="AH26" s="1623"/>
      <c r="AI26" s="1623"/>
      <c r="AJ26" s="1623"/>
      <c r="AK26" s="1571"/>
    </row>
    <row r="27" spans="1:43" ht="15" customHeight="1">
      <c r="A27" s="1640"/>
      <c r="B27" s="1639"/>
      <c r="E27" s="2044"/>
      <c r="F27" s="2044"/>
      <c r="G27" s="2044"/>
      <c r="H27" s="2044"/>
      <c r="I27" s="2045"/>
      <c r="J27" s="2045"/>
      <c r="K27" s="2045"/>
      <c r="L27" s="2045"/>
      <c r="M27" s="1625"/>
      <c r="N27" s="1643"/>
      <c r="O27" s="1625">
        <f>+O26-BS!F37</f>
        <v>-0.35490000247955322</v>
      </c>
      <c r="P27" s="1643"/>
      <c r="Q27" s="1643"/>
      <c r="R27" s="1643"/>
      <c r="S27" s="1643"/>
      <c r="T27" s="1643"/>
      <c r="U27" s="1643"/>
      <c r="V27" s="1643"/>
      <c r="W27" s="1643"/>
      <c r="X27" s="1643"/>
      <c r="Y27" s="2238">
        <f>SUM(Y11:Y26)</f>
        <v>14628437.609999999</v>
      </c>
      <c r="Z27" s="2238">
        <f t="shared" ref="Z27:AB27" si="0">SUM(Z11:Z26)</f>
        <v>1508194613.99</v>
      </c>
      <c r="AA27" s="2238">
        <f t="shared" si="0"/>
        <v>-13751710.662999995</v>
      </c>
      <c r="AB27" s="2238">
        <f t="shared" si="0"/>
        <v>-1423065878.7399998</v>
      </c>
      <c r="AC27" s="1623"/>
      <c r="AD27" s="1623"/>
      <c r="AE27" s="1623"/>
      <c r="AF27" s="1623"/>
      <c r="AG27" s="1623"/>
      <c r="AH27" s="1623"/>
      <c r="AI27" s="1623"/>
      <c r="AJ27" s="1623"/>
      <c r="AK27" s="1571"/>
    </row>
    <row r="28" spans="1:43" ht="15" customHeight="1">
      <c r="A28" s="1640"/>
      <c r="B28" s="1639"/>
      <c r="E28" s="1812"/>
      <c r="F28" s="1812"/>
      <c r="G28" s="1812"/>
      <c r="H28" s="1812"/>
      <c r="I28" s="1644"/>
      <c r="J28" s="1644"/>
      <c r="K28" s="1644"/>
      <c r="L28" s="1644"/>
      <c r="M28" s="1625"/>
      <c r="N28" s="1643"/>
      <c r="O28" s="1643"/>
      <c r="P28" s="1643"/>
      <c r="Q28" s="1643"/>
      <c r="R28" s="1643"/>
      <c r="S28" s="1643"/>
      <c r="T28" s="1643"/>
      <c r="U28" s="1643"/>
      <c r="V28" s="1643"/>
      <c r="W28" s="1643"/>
      <c r="X28" s="1643"/>
      <c r="Y28" s="1562"/>
      <c r="Z28" s="1632"/>
      <c r="AA28" s="1562"/>
      <c r="AB28" s="1623"/>
      <c r="AC28" s="1623"/>
      <c r="AD28" s="1623"/>
      <c r="AE28" s="1623"/>
      <c r="AF28" s="1623"/>
      <c r="AG28" s="1623"/>
      <c r="AH28" s="1623"/>
      <c r="AI28" s="1623"/>
      <c r="AJ28" s="1623"/>
      <c r="AK28" s="1571"/>
    </row>
    <row r="29" spans="1:43" ht="15" customHeight="1">
      <c r="A29" s="1640" t="s">
        <v>2423</v>
      </c>
      <c r="B29" s="1639"/>
      <c r="E29" s="1798">
        <f t="shared" ref="E29:L29" si="1">SUM(E26:E28)</f>
        <v>0</v>
      </c>
      <c r="F29" s="1798">
        <f t="shared" si="1"/>
        <v>-670037.11999999546</v>
      </c>
      <c r="G29" s="1798">
        <f t="shared" si="1"/>
        <v>0</v>
      </c>
      <c r="H29" s="1798">
        <f t="shared" si="1"/>
        <v>-670037</v>
      </c>
      <c r="I29" s="1625">
        <f t="shared" si="1"/>
        <v>0</v>
      </c>
      <c r="J29" s="1625">
        <f t="shared" si="1"/>
        <v>1568033.5</v>
      </c>
      <c r="K29" s="1625">
        <f t="shared" si="1"/>
        <v>0</v>
      </c>
      <c r="L29" s="1625">
        <f t="shared" si="1"/>
        <v>1568033.5</v>
      </c>
      <c r="M29" s="1625"/>
      <c r="N29" s="1643"/>
      <c r="O29" s="1643"/>
      <c r="P29" s="1625"/>
      <c r="Q29" s="1625"/>
      <c r="R29" s="1625"/>
      <c r="S29" s="1625"/>
      <c r="T29" s="1625"/>
      <c r="U29" s="1625"/>
      <c r="V29" s="1625"/>
      <c r="W29" s="1625"/>
      <c r="X29" s="1625"/>
      <c r="Y29" s="1562"/>
      <c r="Z29" s="1562"/>
      <c r="AA29" s="1562"/>
      <c r="AB29" s="1623"/>
      <c r="AC29" s="1623"/>
      <c r="AD29" s="1623"/>
      <c r="AE29" s="1623"/>
      <c r="AF29" s="1623"/>
      <c r="AG29" s="1623"/>
      <c r="AH29" s="1623"/>
      <c r="AI29" s="1623"/>
      <c r="AJ29" s="1623"/>
      <c r="AK29" s="1571"/>
    </row>
    <row r="30" spans="1:43" ht="15" customHeight="1">
      <c r="A30" s="1638"/>
      <c r="B30" s="1639"/>
      <c r="E30" s="1798"/>
      <c r="F30" s="1798"/>
      <c r="G30" s="1798"/>
      <c r="H30" s="1798"/>
      <c r="I30" s="1625"/>
      <c r="J30" s="1625"/>
      <c r="K30" s="1625"/>
      <c r="L30" s="1625"/>
      <c r="M30" s="1625"/>
      <c r="N30" s="1625"/>
      <c r="O30" s="1625"/>
      <c r="P30" s="1625"/>
      <c r="Q30" s="1625"/>
      <c r="R30" s="1625"/>
      <c r="S30" s="1625"/>
      <c r="T30" s="1625"/>
      <c r="U30" s="1625"/>
      <c r="V30" s="1625"/>
      <c r="W30" s="1625"/>
      <c r="X30" s="1625"/>
      <c r="Y30" s="1645">
        <f>+Y27+AA27</f>
        <v>876726.94700000435</v>
      </c>
      <c r="Z30" s="1645">
        <f>+Z27+AB27</f>
        <v>85128735.250000238</v>
      </c>
      <c r="AA30" s="1645"/>
      <c r="AB30" s="1623"/>
      <c r="AC30" s="1623"/>
      <c r="AD30" s="1623"/>
      <c r="AE30" s="1623"/>
      <c r="AF30" s="1623"/>
      <c r="AG30" s="1623"/>
      <c r="AH30" s="1623"/>
      <c r="AI30" s="1623"/>
      <c r="AJ30" s="1623"/>
      <c r="AK30" s="1571"/>
    </row>
    <row r="31" spans="1:43" ht="15" customHeight="1" thickBot="1">
      <c r="A31" s="1647" t="s">
        <v>2310</v>
      </c>
      <c r="E31" s="2078">
        <f t="shared" ref="E31:K31" si="2">ROUND(E10+E11+E17+E23+E29,0)</f>
        <v>7250729</v>
      </c>
      <c r="F31" s="2078">
        <f t="shared" si="2"/>
        <v>4561545</v>
      </c>
      <c r="G31" s="2078">
        <f t="shared" si="2"/>
        <v>0</v>
      </c>
      <c r="H31" s="2078">
        <f>ROUND(H10+H17+H23+H29,0)</f>
        <v>11812275</v>
      </c>
      <c r="I31" s="2079">
        <f t="shared" si="2"/>
        <v>7120553</v>
      </c>
      <c r="J31" s="2079">
        <f t="shared" si="2"/>
        <v>4371507</v>
      </c>
      <c r="K31" s="2079">
        <f t="shared" si="2"/>
        <v>0</v>
      </c>
      <c r="L31" s="2079">
        <f>ROUND(L10+L17+L23+L29,0)</f>
        <v>11492060</v>
      </c>
      <c r="M31" s="1816"/>
      <c r="N31" s="1631"/>
      <c r="O31" s="1625"/>
      <c r="P31" s="1631"/>
      <c r="Q31" s="1631"/>
      <c r="R31" s="1631"/>
      <c r="S31" s="1631"/>
      <c r="T31" s="1631"/>
      <c r="U31" s="1631"/>
      <c r="V31" s="1631"/>
      <c r="W31" s="1631"/>
      <c r="X31" s="1631"/>
      <c r="Y31" s="1645"/>
      <c r="Z31" s="1645"/>
      <c r="AA31" s="1645"/>
      <c r="AB31" s="1623"/>
      <c r="AC31" s="1623"/>
      <c r="AD31" s="1623"/>
      <c r="AE31" s="1623"/>
      <c r="AF31" s="1623"/>
      <c r="AG31" s="1623"/>
      <c r="AH31" s="1623"/>
      <c r="AI31" s="1623"/>
      <c r="AJ31" s="1623"/>
      <c r="AK31" s="1571"/>
    </row>
    <row r="32" spans="1:43" ht="15" customHeight="1" thickTop="1">
      <c r="E32" s="1625"/>
      <c r="F32" s="1625"/>
      <c r="G32" s="1625"/>
      <c r="H32" s="1625"/>
      <c r="I32" s="1625"/>
      <c r="J32" s="1625"/>
      <c r="K32" s="1625"/>
      <c r="L32" s="1625"/>
      <c r="M32" s="1625"/>
      <c r="N32" s="1625"/>
      <c r="O32" s="1631"/>
      <c r="P32" s="1625"/>
      <c r="Q32" s="1625"/>
      <c r="R32" s="1625"/>
      <c r="S32" s="1625"/>
      <c r="T32" s="1625"/>
      <c r="U32" s="1625"/>
      <c r="V32" s="1625"/>
      <c r="W32" s="1625"/>
      <c r="X32" s="1625"/>
      <c r="Y32" s="1562"/>
      <c r="Z32" s="1562"/>
      <c r="AA32" s="1562"/>
      <c r="AB32" s="1623"/>
      <c r="AC32" s="1623"/>
      <c r="AD32" s="1623"/>
      <c r="AE32" s="1623"/>
      <c r="AF32" s="1623"/>
      <c r="AG32" s="1623"/>
      <c r="AH32" s="1623"/>
      <c r="AI32" s="1623"/>
      <c r="AJ32" s="1623"/>
      <c r="AK32" s="1571"/>
    </row>
    <row r="33" spans="1:37" ht="15" customHeight="1">
      <c r="A33" s="1445" t="s">
        <v>2388</v>
      </c>
      <c r="E33" s="1625"/>
      <c r="F33" s="1625"/>
      <c r="G33" s="1625"/>
      <c r="H33" s="1625"/>
      <c r="I33" s="1625"/>
      <c r="J33" s="1625"/>
      <c r="K33" s="1625"/>
      <c r="L33" s="1625"/>
      <c r="M33" s="1625"/>
      <c r="N33" s="1625"/>
      <c r="O33" s="1631"/>
      <c r="P33" s="1625"/>
      <c r="Q33" s="1625"/>
      <c r="R33" s="1625"/>
      <c r="S33" s="1625"/>
      <c r="T33" s="1625"/>
      <c r="U33" s="1625"/>
      <c r="V33" s="1625"/>
      <c r="W33" s="1625"/>
      <c r="X33" s="1625"/>
      <c r="Y33" s="1562"/>
      <c r="Z33" s="1562"/>
      <c r="AA33" s="1562"/>
      <c r="AB33" s="1623"/>
      <c r="AC33" s="1623"/>
      <c r="AD33" s="1623"/>
      <c r="AE33" s="1623"/>
      <c r="AF33" s="1623"/>
      <c r="AG33" s="1623"/>
      <c r="AH33" s="1623"/>
      <c r="AI33" s="1623"/>
      <c r="AJ33" s="1623"/>
      <c r="AK33" s="1571"/>
    </row>
    <row r="34" spans="1:37" ht="13.8">
      <c r="A34" s="1791" t="s">
        <v>2598</v>
      </c>
      <c r="E34" s="1625"/>
      <c r="F34" s="1625"/>
      <c r="G34" s="1625"/>
      <c r="H34" s="1625"/>
      <c r="I34" s="1625"/>
      <c r="J34" s="1625"/>
      <c r="K34" s="1625"/>
      <c r="L34" s="1625"/>
      <c r="M34" s="1625"/>
      <c r="N34" s="1625"/>
      <c r="O34" s="1625"/>
      <c r="P34" s="1625"/>
      <c r="Q34" s="1625"/>
      <c r="R34" s="1625"/>
      <c r="S34" s="1625"/>
      <c r="T34" s="1625"/>
      <c r="U34" s="1625"/>
      <c r="V34" s="1625"/>
      <c r="W34" s="1625"/>
      <c r="X34" s="1625"/>
      <c r="Y34" s="1562"/>
      <c r="Z34" s="1562"/>
      <c r="AA34" s="1562"/>
      <c r="AB34" s="1623"/>
      <c r="AC34" s="1623"/>
      <c r="AD34" s="1623"/>
      <c r="AE34" s="1623"/>
      <c r="AF34" s="1623"/>
      <c r="AG34" s="1623"/>
      <c r="AH34" s="1623"/>
      <c r="AI34" s="1623"/>
      <c r="AJ34" s="1623"/>
    </row>
    <row r="35" spans="1:37" ht="15" customHeight="1">
      <c r="A35" s="1542" t="s">
        <v>2539</v>
      </c>
      <c r="E35" s="1625"/>
      <c r="F35" s="1798">
        <v>4508639</v>
      </c>
      <c r="G35" s="1625"/>
      <c r="H35" s="1625"/>
      <c r="I35" s="1625"/>
      <c r="J35" s="1625">
        <v>3417678</v>
      </c>
      <c r="K35" s="1625"/>
      <c r="L35" s="1625"/>
      <c r="M35" s="1625"/>
      <c r="N35" s="1625"/>
      <c r="O35" s="1625"/>
      <c r="P35" s="1625"/>
      <c r="Q35" s="1625"/>
      <c r="R35" s="1625"/>
      <c r="S35" s="1625"/>
      <c r="T35" s="1625"/>
      <c r="U35" s="1625"/>
      <c r="V35" s="1625"/>
      <c r="W35" s="1625"/>
      <c r="X35" s="1625"/>
      <c r="Y35" s="1562"/>
      <c r="Z35" s="1562"/>
      <c r="AA35" s="1562"/>
      <c r="AB35" s="1623"/>
      <c r="AC35" s="1623"/>
      <c r="AD35" s="1623"/>
      <c r="AE35" s="1623"/>
      <c r="AF35" s="1623"/>
      <c r="AG35" s="1623"/>
      <c r="AH35" s="1623"/>
      <c r="AI35" s="1623"/>
      <c r="AJ35" s="1623"/>
      <c r="AK35" s="1571"/>
    </row>
    <row r="36" spans="1:37" ht="15" customHeight="1">
      <c r="A36" s="1542" t="s">
        <v>2540</v>
      </c>
      <c r="E36" s="1625"/>
      <c r="F36" s="1798">
        <v>722943</v>
      </c>
      <c r="G36" s="1625"/>
      <c r="H36" s="1625"/>
      <c r="I36" s="1625"/>
      <c r="J36" s="1625">
        <v>-508581</v>
      </c>
      <c r="K36" s="1625"/>
      <c r="L36" s="1625"/>
      <c r="M36" s="1625"/>
      <c r="N36" s="1625"/>
      <c r="O36" s="1625"/>
      <c r="P36" s="1625"/>
      <c r="Q36" s="1625"/>
      <c r="R36" s="1625"/>
      <c r="S36" s="1625"/>
      <c r="T36" s="1625"/>
      <c r="U36" s="1625"/>
      <c r="V36" s="1625"/>
      <c r="W36" s="1625"/>
      <c r="X36" s="1625"/>
      <c r="Y36" s="1562"/>
      <c r="Z36" s="1562"/>
      <c r="AA36" s="1562"/>
      <c r="AB36" s="1623"/>
      <c r="AC36" s="1623"/>
      <c r="AD36" s="1623"/>
      <c r="AE36" s="1623"/>
      <c r="AF36" s="1623"/>
      <c r="AG36" s="1623"/>
      <c r="AH36" s="1623"/>
      <c r="AI36" s="1623"/>
      <c r="AJ36" s="1623"/>
      <c r="AK36" s="1571"/>
    </row>
    <row r="37" spans="1:37" ht="15" customHeight="1">
      <c r="E37" s="1625"/>
      <c r="F37" s="1817">
        <f>SUM(F35:F36)</f>
        <v>5231582</v>
      </c>
      <c r="G37" s="1625"/>
      <c r="H37" s="1625"/>
      <c r="I37" s="1625"/>
      <c r="J37" s="1650">
        <f>SUM(J35:J36)</f>
        <v>2909097</v>
      </c>
      <c r="K37" s="1625"/>
      <c r="L37" s="1625"/>
      <c r="M37" s="1625"/>
      <c r="N37" s="1631"/>
      <c r="O37" s="1631"/>
      <c r="P37" s="1631"/>
      <c r="Q37" s="1631"/>
      <c r="R37" s="1631"/>
      <c r="S37" s="1631"/>
      <c r="T37" s="1631"/>
      <c r="U37" s="1631"/>
      <c r="V37" s="1631"/>
      <c r="W37" s="1631"/>
      <c r="X37" s="1631"/>
      <c r="Y37" s="1562"/>
      <c r="Z37" s="1562"/>
      <c r="AA37" s="1562"/>
      <c r="AB37" s="1623"/>
      <c r="AC37" s="1623"/>
      <c r="AD37" s="1623"/>
      <c r="AE37" s="1623"/>
      <c r="AF37" s="1623"/>
      <c r="AG37" s="1623"/>
      <c r="AH37" s="1623"/>
      <c r="AI37" s="1623"/>
      <c r="AJ37" s="1623"/>
      <c r="AK37" s="1571"/>
    </row>
    <row r="38" spans="1:37" s="1775" customFormat="1" ht="9" customHeight="1">
      <c r="E38" s="1816"/>
      <c r="F38" s="1822"/>
      <c r="G38" s="1816"/>
      <c r="H38" s="1816"/>
      <c r="I38" s="1816"/>
      <c r="J38" s="1816"/>
      <c r="K38" s="1816"/>
      <c r="L38" s="1816"/>
      <c r="M38" s="1816"/>
      <c r="N38" s="1816"/>
      <c r="O38" s="1816"/>
      <c r="P38" s="1816"/>
      <c r="Q38" s="1816"/>
      <c r="R38" s="1816"/>
      <c r="S38" s="1816"/>
      <c r="T38" s="1816"/>
      <c r="U38" s="1816"/>
      <c r="V38" s="1816"/>
      <c r="W38" s="1816"/>
      <c r="X38" s="1816"/>
      <c r="Y38" s="1562"/>
      <c r="Z38" s="1818"/>
      <c r="AA38" s="1818"/>
      <c r="AB38" s="1623"/>
      <c r="AC38" s="1623"/>
      <c r="AD38" s="1623"/>
      <c r="AE38" s="1623"/>
      <c r="AF38" s="1623"/>
      <c r="AG38" s="1623"/>
      <c r="AH38" s="1623"/>
      <c r="AI38" s="1623"/>
      <c r="AJ38" s="1623"/>
      <c r="AK38" s="1821"/>
    </row>
    <row r="39" spans="1:37" ht="15" customHeight="1">
      <c r="A39" s="1649" t="s">
        <v>2409</v>
      </c>
      <c r="E39" s="1625"/>
      <c r="F39" s="1625"/>
      <c r="G39" s="1625"/>
      <c r="H39" s="1625"/>
      <c r="I39" s="1625"/>
      <c r="J39" s="1625"/>
      <c r="K39" s="1625"/>
      <c r="L39" s="1625"/>
      <c r="M39" s="1625"/>
      <c r="N39" s="1625"/>
      <c r="O39" s="1625"/>
      <c r="P39" s="1625"/>
      <c r="Q39" s="1625"/>
      <c r="R39" s="1625"/>
      <c r="S39" s="1625"/>
      <c r="T39" s="1625"/>
      <c r="U39" s="1625"/>
      <c r="V39" s="1625"/>
      <c r="W39" s="1625"/>
      <c r="X39" s="1625"/>
      <c r="Y39" s="1562"/>
      <c r="Z39" s="1651"/>
      <c r="AA39" s="1562"/>
      <c r="AB39" s="1623"/>
      <c r="AC39" s="1623"/>
      <c r="AD39" s="1623"/>
      <c r="AE39" s="1623"/>
      <c r="AF39" s="1623"/>
      <c r="AG39" s="1623"/>
      <c r="AH39" s="1623"/>
      <c r="AI39" s="1623"/>
      <c r="AJ39" s="1623"/>
      <c r="AK39" s="1571"/>
    </row>
    <row r="40" spans="1:37" ht="15" customHeight="1">
      <c r="A40" s="1542" t="s">
        <v>2541</v>
      </c>
      <c r="E40" s="1625"/>
      <c r="F40" s="1823">
        <f>IS!H50</f>
        <v>0</v>
      </c>
      <c r="G40" s="1625"/>
      <c r="H40" s="1625"/>
      <c r="I40" s="1625"/>
      <c r="J40" s="1642">
        <v>1462409.79</v>
      </c>
      <c r="K40" s="1625"/>
      <c r="L40" s="1625"/>
      <c r="M40" s="1625"/>
      <c r="N40" s="1631"/>
      <c r="O40" s="1631"/>
      <c r="P40" s="1631"/>
      <c r="Q40" s="1631"/>
      <c r="R40" s="1631"/>
      <c r="S40" s="1631"/>
      <c r="T40" s="1631"/>
      <c r="U40" s="1631"/>
      <c r="V40" s="1631"/>
      <c r="W40" s="1631"/>
      <c r="X40" s="1631"/>
      <c r="Y40" s="1562"/>
      <c r="Z40" s="1562"/>
      <c r="AA40" s="1562"/>
      <c r="AB40" s="1623"/>
      <c r="AC40" s="1623"/>
      <c r="AD40" s="1623"/>
      <c r="AE40" s="1623"/>
      <c r="AF40" s="1623"/>
      <c r="AG40" s="1623"/>
      <c r="AH40" s="1623"/>
      <c r="AI40" s="1623"/>
      <c r="AJ40" s="1623"/>
      <c r="AK40" s="1571"/>
    </row>
    <row r="41" spans="1:37" ht="15" customHeight="1">
      <c r="A41" s="1542" t="s">
        <v>2801</v>
      </c>
      <c r="E41" s="1625"/>
      <c r="F41" s="1809">
        <v>0</v>
      </c>
      <c r="G41" s="1625"/>
      <c r="H41" s="1625"/>
      <c r="I41" s="1625"/>
      <c r="J41" s="1637">
        <v>0</v>
      </c>
      <c r="K41" s="1625"/>
      <c r="L41" s="1625"/>
      <c r="M41" s="1625"/>
      <c r="N41" s="1631"/>
      <c r="O41" s="1631"/>
      <c r="P41" s="1631"/>
      <c r="Q41" s="1631"/>
      <c r="R41" s="1631"/>
      <c r="S41" s="1631"/>
      <c r="T41" s="1631"/>
      <c r="U41" s="1631"/>
      <c r="V41" s="1631"/>
      <c r="W41" s="1631"/>
      <c r="X41" s="1631"/>
      <c r="Y41" s="1562"/>
      <c r="Z41" s="1562"/>
      <c r="AA41" s="1562"/>
      <c r="AB41" s="1623"/>
      <c r="AC41" s="1623"/>
      <c r="AD41" s="1623"/>
      <c r="AE41" s="1623"/>
      <c r="AF41" s="1623"/>
      <c r="AG41" s="1623"/>
      <c r="AH41" s="1623"/>
      <c r="AI41" s="1623"/>
      <c r="AJ41" s="1623"/>
      <c r="AK41" s="1571"/>
    </row>
    <row r="42" spans="1:37" ht="15" customHeight="1">
      <c r="E42" s="1625"/>
      <c r="F42" s="1798">
        <f>SUM(F40:F41)</f>
        <v>0</v>
      </c>
      <c r="G42" s="1625"/>
      <c r="H42" s="1625"/>
      <c r="I42" s="1625"/>
      <c r="J42" s="1625">
        <f>SUM(J40:J41)</f>
        <v>1462409.79</v>
      </c>
      <c r="K42" s="1625"/>
      <c r="L42" s="1625"/>
      <c r="M42" s="1625"/>
      <c r="N42" s="1631"/>
      <c r="O42" s="1631"/>
      <c r="P42" s="1631"/>
      <c r="Q42" s="1631"/>
      <c r="R42" s="1631"/>
      <c r="S42" s="1631"/>
      <c r="T42" s="1631"/>
      <c r="U42" s="1631"/>
      <c r="V42" s="1631"/>
      <c r="W42" s="1631"/>
      <c r="X42" s="1631"/>
      <c r="Y42" s="1562"/>
      <c r="Z42" s="1562"/>
      <c r="AA42" s="1562"/>
      <c r="AB42" s="1623"/>
      <c r="AC42" s="1623"/>
      <c r="AD42" s="1623"/>
      <c r="AE42" s="1623"/>
      <c r="AF42" s="1623"/>
      <c r="AG42" s="1623"/>
      <c r="AH42" s="1623"/>
      <c r="AI42" s="1623"/>
      <c r="AJ42" s="1623"/>
      <c r="AK42" s="1571"/>
    </row>
    <row r="43" spans="1:37" ht="15" customHeight="1">
      <c r="E43" s="1625"/>
      <c r="F43" s="1798"/>
      <c r="G43" s="1625"/>
      <c r="H43" s="1625"/>
      <c r="I43" s="1625"/>
      <c r="J43" s="1798"/>
      <c r="K43" s="1625"/>
      <c r="L43" s="1625"/>
      <c r="M43" s="1625"/>
      <c r="N43" s="1631"/>
      <c r="O43" s="1631"/>
      <c r="P43" s="1631"/>
      <c r="Q43" s="1631"/>
      <c r="R43" s="1631"/>
      <c r="S43" s="1631"/>
      <c r="T43" s="1631"/>
      <c r="U43" s="1631"/>
      <c r="V43" s="1631"/>
      <c r="W43" s="1631"/>
      <c r="X43" s="1631"/>
      <c r="Y43" s="1562"/>
      <c r="Z43" s="1562"/>
      <c r="AA43" s="1562"/>
      <c r="AB43" s="1623"/>
      <c r="AC43" s="1623"/>
      <c r="AD43" s="1623"/>
      <c r="AE43" s="1623"/>
      <c r="AF43" s="1623"/>
      <c r="AG43" s="1623"/>
      <c r="AH43" s="1623"/>
      <c r="AI43" s="1623"/>
      <c r="AJ43" s="1623"/>
      <c r="AK43" s="1571"/>
    </row>
    <row r="44" spans="1:37" s="1775" customFormat="1" ht="13.8">
      <c r="A44" s="1775" t="s">
        <v>2800</v>
      </c>
      <c r="E44" s="1816"/>
      <c r="F44" s="1822">
        <f>+IS!H43</f>
        <v>-670037.11999999546</v>
      </c>
      <c r="G44" s="1816"/>
      <c r="H44" s="1816"/>
      <c r="I44" s="1816"/>
      <c r="J44" s="1816">
        <v>0</v>
      </c>
      <c r="K44" s="1816"/>
      <c r="L44" s="1816"/>
      <c r="M44" s="1816"/>
      <c r="N44" s="1816"/>
      <c r="O44" s="1816"/>
      <c r="P44" s="1816"/>
      <c r="Q44" s="1816"/>
      <c r="R44" s="1816"/>
      <c r="S44" s="1816"/>
      <c r="T44" s="1816"/>
      <c r="U44" s="1816"/>
      <c r="V44" s="1816"/>
      <c r="W44" s="1816"/>
      <c r="X44" s="1816"/>
      <c r="Y44" s="1562"/>
      <c r="Z44" s="1818"/>
      <c r="AA44" s="1818"/>
      <c r="AB44" s="1623"/>
      <c r="AC44" s="1623"/>
      <c r="AD44" s="1623"/>
      <c r="AE44" s="1623"/>
      <c r="AF44" s="1623"/>
      <c r="AG44" s="1623"/>
      <c r="AH44" s="1623"/>
      <c r="AI44" s="1623"/>
      <c r="AJ44" s="1623"/>
      <c r="AK44" s="1821"/>
    </row>
    <row r="45" spans="1:37" s="1775" customFormat="1" ht="9" customHeight="1">
      <c r="E45" s="1816"/>
      <c r="F45" s="1822"/>
      <c r="G45" s="1816"/>
      <c r="H45" s="1816"/>
      <c r="I45" s="1816"/>
      <c r="J45" s="1816"/>
      <c r="K45" s="1816"/>
      <c r="L45" s="1816"/>
      <c r="M45" s="1816"/>
      <c r="N45" s="1816"/>
      <c r="O45" s="1816"/>
      <c r="P45" s="1816"/>
      <c r="Q45" s="1816"/>
      <c r="R45" s="1816"/>
      <c r="S45" s="1816"/>
      <c r="T45" s="1816"/>
      <c r="U45" s="1816"/>
      <c r="V45" s="1816"/>
      <c r="W45" s="1816"/>
      <c r="X45" s="1816"/>
      <c r="Y45" s="1562"/>
      <c r="Z45" s="1818"/>
      <c r="AA45" s="1818"/>
      <c r="AB45" s="1623"/>
      <c r="AC45" s="1623"/>
      <c r="AD45" s="1623"/>
      <c r="AE45" s="1623"/>
      <c r="AF45" s="1623"/>
      <c r="AG45" s="1623"/>
      <c r="AH45" s="1623"/>
      <c r="AI45" s="1623"/>
      <c r="AJ45" s="1623"/>
      <c r="AK45" s="1821"/>
    </row>
    <row r="46" spans="1:37" s="1775" customFormat="1" ht="13.8">
      <c r="A46" s="1775" t="s">
        <v>3199</v>
      </c>
      <c r="E46" s="1816"/>
      <c r="F46" s="1822">
        <v>0</v>
      </c>
      <c r="G46" s="1816"/>
      <c r="H46" s="1816"/>
      <c r="I46" s="1816"/>
      <c r="J46" s="1816">
        <v>0</v>
      </c>
      <c r="K46" s="1816"/>
      <c r="L46" s="1816"/>
      <c r="M46" s="1816"/>
      <c r="N46" s="1816"/>
      <c r="O46" s="1816"/>
      <c r="P46" s="1816"/>
      <c r="Q46" s="1816"/>
      <c r="R46" s="1816"/>
      <c r="S46" s="1816"/>
      <c r="T46" s="1816"/>
      <c r="U46" s="1816"/>
      <c r="V46" s="1816"/>
      <c r="W46" s="1816"/>
      <c r="X46" s="1816"/>
      <c r="Y46" s="1562"/>
      <c r="Z46" s="1818"/>
      <c r="AA46" s="1818"/>
      <c r="AB46" s="1623"/>
      <c r="AC46" s="1623"/>
      <c r="AD46" s="1623"/>
      <c r="AE46" s="1623"/>
      <c r="AF46" s="1623"/>
      <c r="AG46" s="1623"/>
      <c r="AH46" s="1623"/>
      <c r="AI46" s="1623"/>
      <c r="AJ46" s="1623"/>
      <c r="AK46" s="1821"/>
    </row>
    <row r="47" spans="1:37" ht="12" customHeight="1">
      <c r="E47" s="1625"/>
      <c r="F47" s="1625"/>
      <c r="G47" s="1625"/>
      <c r="H47" s="1625"/>
      <c r="I47" s="1625"/>
      <c r="J47" s="1625"/>
      <c r="K47" s="1625"/>
      <c r="L47" s="1625"/>
      <c r="M47" s="1625"/>
      <c r="N47" s="1625"/>
      <c r="O47" s="1625"/>
      <c r="P47" s="1625"/>
      <c r="Q47" s="1625"/>
      <c r="R47" s="1625"/>
      <c r="S47" s="1625"/>
      <c r="T47" s="1625"/>
      <c r="U47" s="1625"/>
      <c r="V47" s="1625"/>
      <c r="W47" s="1625"/>
      <c r="X47" s="1625"/>
      <c r="Y47" s="1562"/>
      <c r="Z47" s="1562"/>
      <c r="AA47" s="1562"/>
      <c r="AB47" s="1623"/>
      <c r="AC47" s="1623"/>
      <c r="AD47" s="1623"/>
      <c r="AE47" s="1623"/>
      <c r="AF47" s="1623"/>
      <c r="AG47" s="1623"/>
      <c r="AH47" s="1623"/>
      <c r="AI47" s="1623"/>
      <c r="AJ47" s="1623"/>
      <c r="AK47" s="1571"/>
    </row>
    <row r="48" spans="1:37" ht="15" customHeight="1" thickBot="1">
      <c r="A48" s="1649" t="s">
        <v>2320</v>
      </c>
      <c r="E48" s="1625"/>
      <c r="F48" s="1813">
        <f>+F42+F44+F37-F46</f>
        <v>4561544.8800000045</v>
      </c>
      <c r="G48" s="1625"/>
      <c r="H48" s="1625"/>
      <c r="I48" s="1625"/>
      <c r="J48" s="1648">
        <f>+J42+J44+J37-J46</f>
        <v>4371506.79</v>
      </c>
      <c r="K48" s="1625"/>
      <c r="L48" s="1625"/>
      <c r="M48" s="1625"/>
      <c r="N48" s="1631"/>
      <c r="O48" s="1631"/>
      <c r="P48" s="1631"/>
      <c r="Q48" s="1631"/>
      <c r="R48" s="1631"/>
      <c r="S48" s="1631"/>
      <c r="T48" s="1631"/>
      <c r="U48" s="1631"/>
      <c r="V48" s="1631"/>
      <c r="W48" s="1631"/>
      <c r="X48" s="1631"/>
      <c r="Y48" s="1562"/>
      <c r="Z48" s="1562"/>
      <c r="AA48" s="1562"/>
      <c r="AB48" s="1623"/>
      <c r="AC48" s="1623"/>
      <c r="AD48" s="1623"/>
      <c r="AE48" s="1623"/>
      <c r="AF48" s="1623"/>
      <c r="AG48" s="1623"/>
      <c r="AH48" s="1623"/>
      <c r="AI48" s="1623"/>
      <c r="AJ48" s="1623"/>
      <c r="AK48" s="1571"/>
    </row>
    <row r="49" spans="1:37" ht="15" customHeight="1" thickTop="1">
      <c r="E49" s="1625"/>
      <c r="F49" s="1625"/>
      <c r="G49" s="1625"/>
      <c r="H49" s="1625"/>
      <c r="I49" s="1625"/>
      <c r="J49" s="1625"/>
      <c r="K49" s="1625"/>
      <c r="L49" s="1625"/>
      <c r="M49" s="1625"/>
      <c r="N49" s="1625"/>
      <c r="O49" s="1625"/>
      <c r="P49" s="1625"/>
      <c r="Q49" s="1625"/>
      <c r="R49" s="1625"/>
      <c r="S49" s="1625"/>
      <c r="T49" s="1625"/>
      <c r="U49" s="1625"/>
      <c r="V49" s="1625"/>
      <c r="W49" s="1625"/>
      <c r="X49" s="1625"/>
      <c r="Y49" s="1562"/>
      <c r="Z49" s="1562"/>
      <c r="AA49" s="1562"/>
      <c r="AB49" s="1623"/>
      <c r="AC49" s="1623"/>
      <c r="AD49" s="1623"/>
      <c r="AE49" s="1623"/>
      <c r="AF49" s="1623"/>
      <c r="AG49" s="1623"/>
      <c r="AH49" s="1623"/>
      <c r="AI49" s="1623"/>
      <c r="AJ49" s="1623"/>
      <c r="AK49" s="1571"/>
    </row>
    <row r="50" spans="1:37" ht="15" customHeight="1">
      <c r="A50" s="1445" t="s">
        <v>2599</v>
      </c>
      <c r="E50" s="1625"/>
      <c r="F50" s="1625"/>
      <c r="G50" s="1625"/>
      <c r="H50" s="1625"/>
      <c r="I50" s="1625"/>
      <c r="J50" s="1625"/>
      <c r="K50" s="1625"/>
      <c r="L50" s="1625"/>
      <c r="M50" s="1625"/>
      <c r="N50" s="1625"/>
      <c r="O50" s="1625"/>
      <c r="P50" s="1625"/>
      <c r="Q50" s="1625"/>
      <c r="R50" s="1625"/>
      <c r="S50" s="1625"/>
      <c r="T50" s="1625"/>
      <c r="U50" s="1625"/>
      <c r="V50" s="1625"/>
      <c r="W50" s="1625"/>
      <c r="X50" s="1625"/>
      <c r="Y50" s="1562"/>
      <c r="Z50" s="1562"/>
      <c r="AA50" s="1562"/>
      <c r="AB50" s="1623"/>
      <c r="AC50" s="1623"/>
      <c r="AD50" s="1623"/>
      <c r="AE50" s="1623"/>
      <c r="AF50" s="1623"/>
      <c r="AG50" s="1623"/>
      <c r="AH50" s="1623"/>
      <c r="AI50" s="1623"/>
      <c r="AJ50" s="1623"/>
      <c r="AK50" s="1571"/>
    </row>
    <row r="51" spans="1:37" ht="15" customHeight="1">
      <c r="A51" s="1791" t="s">
        <v>2598</v>
      </c>
      <c r="E51" s="1625"/>
      <c r="F51" s="1625"/>
      <c r="G51" s="1625"/>
      <c r="H51" s="1625"/>
      <c r="I51" s="1625"/>
      <c r="J51" s="1625"/>
      <c r="K51" s="1625"/>
      <c r="L51" s="1625"/>
      <c r="M51" s="1625"/>
      <c r="N51" s="1625"/>
      <c r="O51" s="1625"/>
      <c r="P51" s="1625"/>
      <c r="Q51" s="1625"/>
      <c r="R51" s="1625"/>
      <c r="S51" s="1625"/>
      <c r="T51" s="1625"/>
      <c r="U51" s="1625"/>
      <c r="V51" s="1625"/>
      <c r="W51" s="1625"/>
      <c r="X51" s="1625"/>
      <c r="Y51" s="1562"/>
      <c r="Z51" s="1562"/>
      <c r="AA51" s="1562"/>
      <c r="AB51" s="1623"/>
      <c r="AC51" s="1623"/>
      <c r="AD51" s="1623"/>
      <c r="AE51" s="1623"/>
      <c r="AF51" s="1623"/>
      <c r="AG51" s="1623"/>
      <c r="AH51" s="1623"/>
      <c r="AI51" s="1623"/>
      <c r="AJ51" s="1623"/>
      <c r="AK51" s="1571"/>
    </row>
    <row r="52" spans="1:37" ht="15" customHeight="1">
      <c r="A52" s="1542" t="s">
        <v>2539</v>
      </c>
      <c r="E52" s="1625"/>
      <c r="F52" s="1823">
        <f>+F54-F53</f>
        <v>5375379</v>
      </c>
      <c r="G52" s="1625"/>
      <c r="H52" s="1625"/>
      <c r="I52" s="1625"/>
      <c r="J52" s="2031">
        <v>3135862.79</v>
      </c>
      <c r="K52" s="1625"/>
      <c r="L52" s="1625"/>
      <c r="M52" s="1625"/>
      <c r="N52" s="1631"/>
      <c r="O52" s="1631"/>
      <c r="P52" s="1631"/>
      <c r="Q52" s="1631"/>
      <c r="R52" s="1631"/>
      <c r="S52" s="1631"/>
      <c r="T52" s="1631"/>
      <c r="U52" s="1631"/>
      <c r="V52" s="1631"/>
      <c r="W52" s="1631"/>
      <c r="X52" s="1631"/>
      <c r="Y52" s="1562"/>
      <c r="Z52" s="1562"/>
      <c r="AA52" s="1562"/>
      <c r="AB52" s="1623"/>
      <c r="AC52" s="1623"/>
      <c r="AD52" s="1623"/>
      <c r="AE52" s="1623"/>
      <c r="AF52" s="1623"/>
      <c r="AG52" s="1623"/>
      <c r="AH52" s="1623"/>
      <c r="AI52" s="1623"/>
      <c r="AJ52" s="1623"/>
      <c r="AK52" s="1571"/>
    </row>
    <row r="53" spans="1:37" ht="15" customHeight="1">
      <c r="A53" s="1542" t="s">
        <v>2540</v>
      </c>
      <c r="B53" s="1608"/>
      <c r="E53" s="1625"/>
      <c r="F53" s="1809">
        <f>IS!H15</f>
        <v>-813834.11999999546</v>
      </c>
      <c r="G53" s="1625"/>
      <c r="H53" s="1625"/>
      <c r="I53" s="1625"/>
      <c r="J53" s="2032">
        <v>1235644</v>
      </c>
      <c r="K53" s="1625"/>
      <c r="L53" s="1625"/>
      <c r="M53" s="1625"/>
      <c r="N53" s="1631"/>
      <c r="O53" s="1631"/>
      <c r="P53" s="1631"/>
      <c r="Q53" s="1631"/>
      <c r="R53" s="1631"/>
      <c r="S53" s="1631"/>
      <c r="T53" s="1631"/>
      <c r="U53" s="1631"/>
      <c r="V53" s="1631"/>
      <c r="W53" s="1631"/>
      <c r="X53" s="1631"/>
      <c r="Y53" s="1562"/>
      <c r="Z53" s="1562"/>
      <c r="AA53" s="1562"/>
      <c r="AB53" s="1623"/>
      <c r="AC53" s="1623"/>
      <c r="AD53" s="1623"/>
      <c r="AE53" s="1623"/>
      <c r="AF53" s="1623"/>
      <c r="AG53" s="1623"/>
      <c r="AH53" s="1623"/>
      <c r="AI53" s="1623"/>
      <c r="AJ53" s="1623"/>
      <c r="AK53" s="1571"/>
    </row>
    <row r="54" spans="1:37" ht="15" customHeight="1" thickBot="1">
      <c r="A54" s="1572"/>
      <c r="E54" s="1562"/>
      <c r="F54" s="2034">
        <f>+F48</f>
        <v>4561544.8800000045</v>
      </c>
      <c r="G54" s="1562"/>
      <c r="H54" s="1562"/>
      <c r="I54" s="1562"/>
      <c r="J54" s="2033">
        <f>SUM(J52:J53)</f>
        <v>4371506.79</v>
      </c>
      <c r="K54" s="1562"/>
      <c r="L54" s="1562"/>
      <c r="M54" s="1562"/>
      <c r="N54" s="1562"/>
      <c r="O54" s="1562"/>
      <c r="P54" s="1562"/>
      <c r="Q54" s="1562"/>
      <c r="R54" s="1562"/>
      <c r="S54" s="1562"/>
      <c r="T54" s="1562"/>
      <c r="U54" s="1562"/>
      <c r="V54" s="1562"/>
      <c r="W54" s="1562"/>
      <c r="X54" s="1562"/>
      <c r="Y54" s="1562"/>
      <c r="Z54" s="1562"/>
      <c r="AA54" s="1562"/>
      <c r="AB54" s="1623"/>
      <c r="AC54" s="1623"/>
      <c r="AD54" s="1623"/>
      <c r="AE54" s="1623"/>
      <c r="AF54" s="1623"/>
      <c r="AG54" s="1623"/>
      <c r="AH54" s="1623"/>
      <c r="AI54" s="1623"/>
      <c r="AJ54" s="1623"/>
      <c r="AK54" s="1571"/>
    </row>
    <row r="55" spans="1:37" ht="15" customHeight="1" thickTop="1">
      <c r="A55" s="1572"/>
      <c r="E55" s="1562"/>
      <c r="F55" s="1562"/>
      <c r="G55" s="1562"/>
      <c r="H55" s="1562"/>
      <c r="I55" s="1562"/>
      <c r="J55" s="1562"/>
      <c r="K55" s="1562"/>
      <c r="L55" s="1562"/>
      <c r="M55" s="1562"/>
      <c r="N55" s="1562"/>
      <c r="O55" s="1562"/>
      <c r="P55" s="1562"/>
      <c r="Q55" s="1562"/>
      <c r="R55" s="1562"/>
      <c r="S55" s="1562"/>
      <c r="T55" s="1562"/>
      <c r="U55" s="1562"/>
      <c r="V55" s="1562"/>
      <c r="W55" s="1562"/>
      <c r="X55" s="1562"/>
      <c r="Y55" s="1562"/>
      <c r="Z55" s="1562"/>
      <c r="AA55" s="1562"/>
      <c r="AB55" s="1623"/>
      <c r="AC55" s="1623"/>
      <c r="AD55" s="1623"/>
      <c r="AE55" s="1623"/>
      <c r="AF55" s="1623"/>
      <c r="AG55" s="1623"/>
      <c r="AH55" s="1623"/>
      <c r="AI55" s="1623"/>
      <c r="AJ55" s="1623"/>
      <c r="AK55" s="1571"/>
    </row>
    <row r="56" spans="1:37" ht="15" customHeight="1">
      <c r="A56" s="1445"/>
      <c r="B56" s="1445"/>
      <c r="C56" s="1445"/>
      <c r="D56" s="1445"/>
      <c r="E56" s="1569"/>
      <c r="F56" s="2002" t="s">
        <v>2391</v>
      </c>
      <c r="G56" s="1569"/>
      <c r="J56" s="2002" t="s">
        <v>2391</v>
      </c>
      <c r="K56" s="2002"/>
      <c r="L56" s="2002"/>
      <c r="M56" s="1569"/>
      <c r="N56" s="1653"/>
      <c r="O56" s="1653"/>
      <c r="P56" s="1653"/>
      <c r="Q56" s="1653"/>
      <c r="R56" s="1653"/>
      <c r="S56" s="1653"/>
      <c r="T56" s="1653"/>
      <c r="U56" s="1653"/>
      <c r="V56" s="1653"/>
      <c r="W56" s="1653"/>
      <c r="X56" s="1653"/>
      <c r="Y56" s="1562"/>
      <c r="Z56" s="1562"/>
      <c r="AA56" s="1562"/>
      <c r="AB56" s="1623"/>
      <c r="AC56" s="1623"/>
      <c r="AD56" s="1623"/>
      <c r="AE56" s="1623"/>
      <c r="AF56" s="1623"/>
      <c r="AG56" s="1623"/>
      <c r="AH56" s="1623"/>
      <c r="AI56" s="1623"/>
      <c r="AJ56" s="1623"/>
      <c r="AK56" s="1571"/>
    </row>
    <row r="57" spans="1:37" ht="15" customHeight="1">
      <c r="A57" s="1445"/>
      <c r="B57" s="1445"/>
      <c r="C57" s="1445"/>
      <c r="D57" s="1445"/>
      <c r="E57" s="1569"/>
      <c r="F57" s="1459"/>
      <c r="G57" s="1569"/>
      <c r="J57" s="1459"/>
      <c r="K57" s="1459"/>
      <c r="L57" s="1459"/>
      <c r="M57" s="1654"/>
      <c r="N57" s="1654"/>
      <c r="O57" s="1654"/>
      <c r="P57" s="1654"/>
      <c r="Q57" s="1654"/>
      <c r="R57" s="1654"/>
      <c r="S57" s="1654"/>
      <c r="T57" s="1654"/>
      <c r="U57" s="1654"/>
      <c r="V57" s="1654"/>
      <c r="W57" s="1654"/>
      <c r="X57" s="1654"/>
      <c r="Y57" s="1562"/>
      <c r="Z57" s="1562"/>
      <c r="AA57" s="1562"/>
      <c r="AB57" s="1623"/>
      <c r="AC57" s="1623"/>
      <c r="AD57" s="1623"/>
      <c r="AE57" s="1623"/>
      <c r="AF57" s="1623"/>
      <c r="AG57" s="1623"/>
      <c r="AH57" s="1623"/>
      <c r="AI57" s="1623"/>
      <c r="AJ57" s="1623"/>
      <c r="AK57" s="1571"/>
    </row>
    <row r="58" spans="1:37" ht="15" customHeight="1" thickBot="1">
      <c r="A58" s="1649" t="s">
        <v>2424</v>
      </c>
      <c r="E58" s="1562"/>
      <c r="F58" s="2269">
        <f>BS!H40</f>
        <v>103.6293963039933</v>
      </c>
      <c r="G58" s="1562"/>
      <c r="J58" s="1824">
        <v>77.423048084791645</v>
      </c>
      <c r="K58" s="2008"/>
      <c r="L58" s="2008"/>
      <c r="M58" s="1562"/>
      <c r="N58" s="1655"/>
      <c r="O58" s="1655"/>
      <c r="P58" s="1655"/>
      <c r="Q58" s="1655"/>
      <c r="R58" s="1655"/>
      <c r="S58" s="1655"/>
      <c r="T58" s="1655"/>
      <c r="U58" s="1655"/>
      <c r="V58" s="1655"/>
      <c r="W58" s="1655"/>
      <c r="X58" s="1655"/>
      <c r="Y58" s="1569"/>
      <c r="Z58" s="1569"/>
      <c r="AA58" s="1569"/>
      <c r="AB58" s="1623"/>
      <c r="AC58" s="1623"/>
      <c r="AD58" s="1623"/>
      <c r="AE58" s="1623"/>
      <c r="AF58" s="1623"/>
      <c r="AG58" s="1623"/>
      <c r="AH58" s="1623"/>
      <c r="AI58" s="1623"/>
      <c r="AJ58" s="1623"/>
      <c r="AK58" s="1571"/>
    </row>
    <row r="59" spans="1:37" ht="15" customHeight="1" thickTop="1">
      <c r="E59" s="1562"/>
      <c r="F59" s="2003"/>
      <c r="G59" s="1562"/>
      <c r="J59" s="2003"/>
      <c r="K59" s="2003"/>
      <c r="L59" s="2003"/>
      <c r="M59" s="1562"/>
      <c r="N59" s="1646"/>
      <c r="O59" s="1646"/>
      <c r="P59" s="1646"/>
      <c r="Q59" s="1646"/>
      <c r="R59" s="1646"/>
      <c r="S59" s="1646"/>
      <c r="T59" s="1646"/>
      <c r="U59" s="1646"/>
      <c r="V59" s="1646"/>
      <c r="W59" s="1646"/>
      <c r="X59" s="1646"/>
      <c r="Y59" s="1653"/>
      <c r="Z59" s="1653"/>
      <c r="AA59" s="1653"/>
      <c r="AB59" s="1623"/>
      <c r="AC59" s="1623"/>
      <c r="AD59" s="1623"/>
      <c r="AE59" s="1623"/>
      <c r="AF59" s="1623"/>
      <c r="AG59" s="1623"/>
      <c r="AH59" s="1623"/>
      <c r="AI59" s="1623"/>
      <c r="AJ59" s="1623"/>
      <c r="AK59" s="1571"/>
    </row>
    <row r="60" spans="1:37" ht="15" customHeight="1" thickBot="1">
      <c r="A60" s="1649" t="s">
        <v>2425</v>
      </c>
      <c r="E60" s="1562"/>
      <c r="F60" s="2269">
        <f>BS!F40</f>
        <v>98.021699999999996</v>
      </c>
      <c r="G60" s="1562"/>
      <c r="J60" s="1824">
        <v>90.93</v>
      </c>
      <c r="K60" s="2008"/>
      <c r="L60" s="2008"/>
      <c r="M60" s="1562"/>
      <c r="N60" s="1655"/>
      <c r="O60" s="1655"/>
      <c r="P60" s="1655"/>
      <c r="Q60" s="1655"/>
      <c r="R60" s="1655"/>
      <c r="S60" s="1655"/>
      <c r="T60" s="1655"/>
      <c r="U60" s="1655"/>
      <c r="V60" s="1655"/>
      <c r="W60" s="1655"/>
      <c r="X60" s="1655"/>
      <c r="Y60" s="1569"/>
      <c r="Z60" s="1569"/>
      <c r="AA60" s="1569"/>
      <c r="AB60" s="1623"/>
      <c r="AC60" s="1623"/>
      <c r="AD60" s="1623"/>
      <c r="AE60" s="1623"/>
      <c r="AF60" s="1623"/>
      <c r="AG60" s="1623"/>
      <c r="AH60" s="1623"/>
      <c r="AI60" s="1623"/>
      <c r="AJ60" s="1623"/>
      <c r="AK60" s="1571"/>
    </row>
    <row r="61" spans="1:37" ht="15" customHeight="1" thickTop="1">
      <c r="E61" s="1562"/>
      <c r="F61" s="1562"/>
      <c r="G61" s="1562"/>
      <c r="H61" s="1562"/>
      <c r="I61" s="1562"/>
      <c r="J61" s="1562"/>
      <c r="K61" s="1562"/>
      <c r="L61" s="1562"/>
      <c r="M61" s="1562"/>
      <c r="N61" s="1562"/>
      <c r="O61" s="1562"/>
      <c r="P61" s="1562"/>
      <c r="Q61" s="1562"/>
      <c r="R61" s="1562"/>
      <c r="S61" s="1562"/>
      <c r="T61" s="1562"/>
      <c r="U61" s="1562"/>
      <c r="V61" s="1562"/>
      <c r="W61" s="1562"/>
      <c r="X61" s="1562"/>
      <c r="Y61" s="1655"/>
      <c r="Z61" s="1655"/>
      <c r="AA61" s="1655"/>
      <c r="AB61" s="1623"/>
      <c r="AC61" s="1623"/>
      <c r="AD61" s="1623"/>
      <c r="AE61" s="1623"/>
      <c r="AF61" s="1623"/>
      <c r="AG61" s="1623"/>
      <c r="AH61" s="1623"/>
      <c r="AI61" s="1623"/>
      <c r="AJ61" s="1623"/>
      <c r="AK61" s="1571"/>
    </row>
    <row r="62" spans="1:37" ht="15" customHeight="1">
      <c r="A62" s="1446" t="str">
        <f>OCI!A19</f>
        <v>The annexed notes 1 to 17 form an integral part of these interim financial statements.</v>
      </c>
      <c r="E62" s="1562"/>
      <c r="F62" s="1562"/>
      <c r="G62" s="1562"/>
      <c r="H62" s="1562"/>
      <c r="I62" s="1562"/>
      <c r="J62" s="1562"/>
      <c r="K62" s="1562"/>
      <c r="L62" s="1562"/>
      <c r="M62" s="1562"/>
      <c r="N62" s="1562"/>
      <c r="O62" s="1562"/>
      <c r="P62" s="1562"/>
      <c r="Q62" s="1562"/>
      <c r="R62" s="1562"/>
      <c r="S62" s="1562"/>
      <c r="T62" s="1562"/>
      <c r="U62" s="1562"/>
      <c r="V62" s="1562"/>
      <c r="W62" s="1562"/>
      <c r="X62" s="1562"/>
      <c r="Y62" s="1655"/>
      <c r="Z62" s="1655"/>
      <c r="AA62" s="1655"/>
      <c r="AB62" s="1623"/>
      <c r="AC62" s="1623"/>
      <c r="AD62" s="1623"/>
      <c r="AE62" s="1623"/>
      <c r="AF62" s="1623"/>
      <c r="AG62" s="1623"/>
      <c r="AH62" s="1623"/>
      <c r="AI62" s="1623"/>
      <c r="AJ62" s="1623"/>
      <c r="AK62" s="1571"/>
    </row>
    <row r="63" spans="1:37" ht="15" customHeight="1">
      <c r="E63" s="1562"/>
      <c r="F63" s="1562"/>
      <c r="G63" s="1562"/>
      <c r="H63" s="1562"/>
      <c r="I63" s="1562"/>
      <c r="J63" s="1562"/>
      <c r="K63" s="1562"/>
      <c r="L63" s="1562"/>
      <c r="M63" s="1562"/>
      <c r="N63" s="1562"/>
      <c r="O63" s="1562"/>
      <c r="P63" s="1562"/>
      <c r="Q63" s="1562"/>
      <c r="R63" s="1562"/>
      <c r="S63" s="1562"/>
      <c r="T63" s="1562"/>
      <c r="U63" s="1562"/>
      <c r="V63" s="1562"/>
      <c r="W63" s="1562"/>
      <c r="X63" s="1562"/>
      <c r="Y63" s="1655"/>
      <c r="Z63" s="1655"/>
      <c r="AA63" s="1655"/>
      <c r="AB63" s="1623"/>
      <c r="AC63" s="1623"/>
      <c r="AD63" s="1623"/>
      <c r="AE63" s="1623"/>
      <c r="AF63" s="1623"/>
      <c r="AG63" s="1623"/>
      <c r="AH63" s="1623"/>
      <c r="AI63" s="1623"/>
      <c r="AJ63" s="1623"/>
      <c r="AK63" s="1571"/>
    </row>
    <row r="64" spans="1:37" ht="15" customHeight="1">
      <c r="A64" s="2316" t="s">
        <v>2524</v>
      </c>
      <c r="B64" s="2316"/>
      <c r="C64" s="2316"/>
      <c r="D64" s="2316"/>
      <c r="E64" s="2316"/>
      <c r="F64" s="2316"/>
      <c r="G64" s="2316"/>
      <c r="H64" s="2316"/>
      <c r="I64" s="2316"/>
      <c r="J64" s="2316"/>
      <c r="K64" s="2316"/>
      <c r="L64" s="2316"/>
      <c r="M64" s="2316"/>
      <c r="N64" s="1562"/>
      <c r="O64" s="1562"/>
      <c r="P64" s="1562"/>
      <c r="Q64" s="1562"/>
      <c r="R64" s="1562"/>
      <c r="S64" s="1562"/>
      <c r="T64" s="1562"/>
      <c r="U64" s="1562"/>
      <c r="V64" s="1562"/>
      <c r="W64" s="1562"/>
      <c r="X64" s="1562"/>
      <c r="Y64" s="1562"/>
      <c r="Z64" s="1562"/>
      <c r="AA64" s="1562"/>
      <c r="AB64" s="1623"/>
      <c r="AC64" s="1623"/>
      <c r="AD64" s="1623"/>
      <c r="AE64" s="1623"/>
      <c r="AF64" s="1623"/>
      <c r="AG64" s="1623"/>
      <c r="AH64" s="1623"/>
      <c r="AI64" s="1623"/>
      <c r="AJ64" s="1623"/>
      <c r="AK64" s="1571"/>
    </row>
    <row r="65" spans="1:40" ht="15" customHeight="1">
      <c r="A65" s="2316" t="s">
        <v>148</v>
      </c>
      <c r="B65" s="2316"/>
      <c r="C65" s="2316"/>
      <c r="D65" s="2316"/>
      <c r="E65" s="2316"/>
      <c r="F65" s="2316"/>
      <c r="G65" s="2316"/>
      <c r="H65" s="2316"/>
      <c r="I65" s="2316"/>
      <c r="J65" s="2316"/>
      <c r="K65" s="2316"/>
      <c r="L65" s="2021"/>
      <c r="M65" s="2021"/>
      <c r="N65" s="1562"/>
      <c r="O65" s="1562"/>
      <c r="P65" s="1562"/>
      <c r="Q65" s="1562"/>
      <c r="R65" s="1562"/>
      <c r="S65" s="1562"/>
      <c r="T65" s="1562"/>
      <c r="U65" s="1562"/>
      <c r="V65" s="1562"/>
      <c r="W65" s="1562"/>
      <c r="X65" s="1562"/>
      <c r="Y65" s="1562"/>
      <c r="Z65" s="1562"/>
      <c r="AA65" s="1562"/>
      <c r="AB65" s="1623"/>
      <c r="AC65" s="1623"/>
      <c r="AD65" s="1623"/>
      <c r="AE65" s="1623"/>
      <c r="AF65" s="1623"/>
      <c r="AG65" s="1623"/>
      <c r="AH65" s="1623"/>
      <c r="AI65" s="1623"/>
      <c r="AJ65" s="1623"/>
      <c r="AK65" s="1571"/>
    </row>
    <row r="66" spans="1:40" ht="15" customHeight="1">
      <c r="A66" s="2209"/>
      <c r="B66" s="2209"/>
      <c r="C66" s="2209"/>
      <c r="D66" s="2209"/>
      <c r="E66" s="2209"/>
      <c r="F66" s="2209"/>
      <c r="G66" s="2209"/>
      <c r="H66" s="2209"/>
      <c r="I66" s="2209"/>
      <c r="J66" s="2209"/>
      <c r="K66" s="2209"/>
      <c r="L66" s="2209"/>
      <c r="M66" s="2209"/>
      <c r="N66" s="1562"/>
      <c r="O66" s="1562"/>
      <c r="P66" s="1562"/>
      <c r="Q66" s="1562"/>
      <c r="R66" s="1562"/>
      <c r="S66" s="1562"/>
      <c r="T66" s="1562"/>
      <c r="U66" s="1562"/>
      <c r="V66" s="1562"/>
      <c r="W66" s="1562"/>
      <c r="X66" s="1562"/>
      <c r="Y66" s="1562"/>
      <c r="Z66" s="1562"/>
      <c r="AA66" s="1562"/>
      <c r="AB66" s="1623"/>
      <c r="AC66" s="1623"/>
      <c r="AD66" s="1623"/>
      <c r="AE66" s="1623"/>
      <c r="AF66" s="1623"/>
      <c r="AG66" s="1623"/>
      <c r="AH66" s="1623"/>
      <c r="AI66" s="1623"/>
      <c r="AJ66" s="1623"/>
      <c r="AK66" s="1571"/>
    </row>
    <row r="67" spans="1:40" ht="15" customHeight="1">
      <c r="A67" s="2209"/>
      <c r="B67" s="2209"/>
      <c r="C67" s="2209"/>
      <c r="D67" s="2209"/>
      <c r="E67" s="2209"/>
      <c r="F67" s="2209"/>
      <c r="G67" s="2209"/>
      <c r="H67" s="2209"/>
      <c r="I67" s="2209"/>
      <c r="J67" s="2209"/>
      <c r="K67" s="2209"/>
      <c r="L67" s="2209"/>
      <c r="M67" s="2209"/>
      <c r="N67" s="1562"/>
      <c r="O67" s="1562"/>
      <c r="P67" s="1562"/>
      <c r="Q67" s="1562"/>
      <c r="R67" s="1562"/>
      <c r="S67" s="1562"/>
      <c r="T67" s="1562"/>
      <c r="U67" s="1562"/>
      <c r="V67" s="1562"/>
      <c r="W67" s="1562"/>
      <c r="X67" s="1562"/>
      <c r="Y67" s="1562"/>
      <c r="Z67" s="1562"/>
      <c r="AA67" s="1562"/>
      <c r="AB67" s="1623"/>
      <c r="AC67" s="1623"/>
      <c r="AD67" s="1623"/>
      <c r="AE67" s="1623"/>
      <c r="AF67" s="1623"/>
      <c r="AG67" s="1623"/>
      <c r="AH67" s="1623"/>
      <c r="AI67" s="1623"/>
      <c r="AJ67" s="1623"/>
      <c r="AK67" s="1571"/>
    </row>
    <row r="68" spans="1:40" ht="15" customHeight="1">
      <c r="A68" s="1507"/>
      <c r="B68" s="1507"/>
      <c r="C68" s="1507"/>
      <c r="D68" s="1507"/>
      <c r="E68" s="1656"/>
      <c r="F68" s="1656"/>
      <c r="G68" s="1656"/>
      <c r="H68" s="1656"/>
      <c r="I68" s="1945">
        <v>0</v>
      </c>
      <c r="J68" s="1945"/>
      <c r="K68" s="1945"/>
      <c r="L68" s="1945"/>
      <c r="M68" s="1656"/>
      <c r="N68" s="1656"/>
      <c r="O68" s="1656"/>
      <c r="P68" s="1656"/>
      <c r="Q68" s="1656"/>
      <c r="R68" s="1656"/>
      <c r="S68" s="1656"/>
      <c r="T68" s="1656"/>
      <c r="U68" s="1656"/>
      <c r="V68" s="1656"/>
      <c r="W68" s="1656"/>
      <c r="X68" s="1656"/>
      <c r="Y68" s="1562"/>
      <c r="Z68" s="1562"/>
      <c r="AA68" s="1562"/>
      <c r="AB68" s="1623"/>
      <c r="AC68" s="1623"/>
      <c r="AD68" s="1623"/>
      <c r="AE68" s="1623"/>
      <c r="AF68" s="1623"/>
      <c r="AG68" s="1623"/>
      <c r="AH68" s="1623"/>
      <c r="AI68" s="1623"/>
      <c r="AJ68" s="1623"/>
      <c r="AK68" s="1449"/>
      <c r="AL68" s="1449"/>
      <c r="AM68" s="1449"/>
      <c r="AN68" s="1449"/>
    </row>
    <row r="69" spans="1:40" s="1513" customFormat="1" ht="15" customHeight="1">
      <c r="B69" s="1515"/>
      <c r="C69" s="2026" t="s">
        <v>2525</v>
      </c>
      <c r="D69" s="1997"/>
      <c r="F69" s="2026" t="s">
        <v>2601</v>
      </c>
      <c r="I69" s="1777"/>
      <c r="J69" s="1777"/>
      <c r="K69" s="2035" t="s">
        <v>2527</v>
      </c>
      <c r="L69" s="1777"/>
      <c r="M69" s="1509"/>
      <c r="O69" s="1509"/>
      <c r="P69" s="1509"/>
      <c r="Q69" s="1509"/>
      <c r="R69" s="1509"/>
      <c r="S69" s="1509"/>
      <c r="T69" s="1509"/>
      <c r="U69" s="1509"/>
      <c r="V69" s="1509"/>
      <c r="W69" s="1509"/>
      <c r="X69" s="1509"/>
      <c r="Y69" s="1509"/>
      <c r="Z69" s="1509"/>
      <c r="AA69" s="1509"/>
      <c r="AB69" s="1623"/>
      <c r="AC69" s="1623"/>
      <c r="AD69" s="1623"/>
      <c r="AE69" s="1623"/>
      <c r="AF69" s="1623"/>
      <c r="AG69" s="1623"/>
      <c r="AH69" s="1623"/>
      <c r="AI69" s="1623"/>
      <c r="AJ69" s="1623"/>
    </row>
    <row r="70" spans="1:40" s="1513" customFormat="1" ht="15"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509"/>
      <c r="Z70" s="1509"/>
      <c r="AA70" s="1509"/>
      <c r="AB70" s="1623"/>
      <c r="AC70" s="1623"/>
      <c r="AD70" s="1623"/>
      <c r="AE70" s="1623"/>
      <c r="AF70" s="1623"/>
      <c r="AG70" s="1623"/>
      <c r="AH70" s="1623"/>
      <c r="AI70" s="1623"/>
      <c r="AJ70" s="1623"/>
    </row>
    <row r="71" spans="1:40" s="1513" customFormat="1" ht="15" customHeight="1">
      <c r="A71" s="1446"/>
      <c r="B71" s="1446"/>
      <c r="C71" s="1446"/>
      <c r="D71" s="1446"/>
      <c r="E71" s="1446"/>
      <c r="F71" s="1446"/>
      <c r="G71" s="1446"/>
      <c r="H71" s="1446"/>
      <c r="I71" s="1446"/>
      <c r="J71" s="1446"/>
      <c r="K71" s="1446"/>
      <c r="L71" s="1446"/>
      <c r="M71" s="1446"/>
      <c r="N71" s="1446"/>
      <c r="O71" s="1446"/>
      <c r="P71" s="1446"/>
      <c r="Q71" s="1446"/>
      <c r="R71" s="1446"/>
      <c r="S71" s="1446"/>
      <c r="T71" s="1446"/>
      <c r="U71" s="1446"/>
      <c r="V71" s="1446"/>
      <c r="W71" s="1446"/>
      <c r="X71" s="1446"/>
      <c r="Y71" s="1509"/>
      <c r="Z71" s="1509"/>
      <c r="AA71" s="1509"/>
      <c r="AB71" s="1623"/>
      <c r="AC71" s="1623"/>
      <c r="AD71" s="1623"/>
      <c r="AE71" s="1623"/>
      <c r="AF71" s="1623"/>
      <c r="AG71" s="1623"/>
      <c r="AH71" s="1623"/>
      <c r="AI71" s="1623"/>
      <c r="AJ71" s="1623"/>
    </row>
    <row r="72" spans="1:40" s="1513" customFormat="1" ht="15" customHeight="1">
      <c r="A72" s="1446"/>
      <c r="B72" s="1446"/>
      <c r="C72" s="1446"/>
      <c r="D72" s="1446"/>
      <c r="E72" s="1446"/>
      <c r="F72" s="1446"/>
      <c r="G72" s="1446"/>
      <c r="H72" s="1446"/>
      <c r="I72" s="1446"/>
      <c r="J72" s="1446"/>
      <c r="K72" s="1446"/>
      <c r="L72" s="1446"/>
      <c r="M72" s="1446"/>
      <c r="N72" s="1446"/>
      <c r="O72" s="1446"/>
      <c r="P72" s="1446"/>
      <c r="Q72" s="1446"/>
      <c r="R72" s="1446"/>
      <c r="S72" s="1446"/>
      <c r="T72" s="1446"/>
      <c r="U72" s="1446"/>
      <c r="V72" s="1446"/>
      <c r="W72" s="1446"/>
      <c r="X72" s="1446"/>
      <c r="Y72" s="1509"/>
      <c r="Z72" s="1509"/>
      <c r="AA72" s="1509"/>
      <c r="AB72" s="1623"/>
      <c r="AC72" s="1623"/>
      <c r="AD72" s="1623"/>
      <c r="AE72" s="1623"/>
      <c r="AF72" s="1623"/>
      <c r="AG72" s="1623"/>
      <c r="AH72" s="1623"/>
      <c r="AI72" s="1623"/>
      <c r="AJ72" s="1623"/>
    </row>
    <row r="73" spans="1:40" ht="15" customHeight="1">
      <c r="AB73" s="1510"/>
      <c r="AC73" s="1509"/>
      <c r="AD73" s="1518"/>
      <c r="AE73" s="1512"/>
      <c r="AF73" s="1509"/>
      <c r="AG73" s="1511"/>
      <c r="AH73" s="1657"/>
      <c r="AI73" s="1657"/>
      <c r="AJ73" s="1513"/>
      <c r="AK73" s="1513"/>
      <c r="AL73" s="1513"/>
      <c r="AM73" s="1513"/>
    </row>
  </sheetData>
  <mergeCells count="17">
    <mergeCell ref="A65:K65"/>
    <mergeCell ref="AF7:AI7"/>
    <mergeCell ref="AB4:AD4"/>
    <mergeCell ref="AF4:AH4"/>
    <mergeCell ref="E6:H6"/>
    <mergeCell ref="AB6:AD6"/>
    <mergeCell ref="AF6:AH6"/>
    <mergeCell ref="AB7:AE7"/>
    <mergeCell ref="I6:L6"/>
    <mergeCell ref="Y8:AB8"/>
    <mergeCell ref="Y9:Z9"/>
    <mergeCell ref="AA9:AB9"/>
    <mergeCell ref="A1:M1"/>
    <mergeCell ref="A2:M2"/>
    <mergeCell ref="A3:M3"/>
    <mergeCell ref="E8:M8"/>
    <mergeCell ref="A64:M64"/>
  </mergeCells>
  <pageMargins left="0.65" right="0.25" top="0.75" bottom="0" header="0.25" footer="0"/>
  <pageSetup paperSize="9" scale="71" firstPageNumber="5" fitToHeight="0" orientation="portrait" useFirstPageNumber="1" r:id="rId1"/>
  <headerFooter>
    <oddHeader>&amp;C&amp;"Arial Black,Regular"&amp;11&amp;P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V66"/>
  <sheetViews>
    <sheetView view="pageBreakPreview" zoomScaleSheetLayoutView="100" workbookViewId="0">
      <selection activeCell="H44" sqref="H44"/>
    </sheetView>
  </sheetViews>
  <sheetFormatPr defaultColWidth="9" defaultRowHeight="13.8"/>
  <cols>
    <col min="1" max="1" width="5.09765625" style="1446" customWidth="1"/>
    <col min="2" max="2" width="3.59765625" style="1446" customWidth="1"/>
    <col min="3" max="3" width="27.5" style="1446" customWidth="1"/>
    <col min="4" max="6" width="7.59765625" style="1446" customWidth="1"/>
    <col min="7" max="7" width="6.59765625" style="1446" customWidth="1"/>
    <col min="8" max="8" width="13.59765625" style="1446" customWidth="1"/>
    <col min="9" max="9" width="1" style="1446" customWidth="1"/>
    <col min="10" max="10" width="13.59765625" style="1446" customWidth="1"/>
    <col min="11" max="11" width="1" style="1446" customWidth="1"/>
    <col min="12" max="12" width="8.5" style="1446" hidden="1" customWidth="1"/>
    <col min="13" max="13" width="1" style="1446" hidden="1" customWidth="1"/>
    <col min="14" max="14" width="10.69921875" style="1547" hidden="1" customWidth="1"/>
    <col min="15" max="15" width="11.69921875" style="1446" hidden="1" customWidth="1"/>
    <col min="16" max="16" width="10.69921875" style="1446" hidden="1" customWidth="1"/>
    <col min="17" max="17" width="11" style="1446" hidden="1" customWidth="1"/>
    <col min="18" max="18" width="11.69921875" style="1446" hidden="1" customWidth="1"/>
    <col min="19" max="19" width="9.19921875" style="1446" hidden="1" customWidth="1"/>
    <col min="20" max="21" width="0" style="1446" hidden="1" customWidth="1"/>
    <col min="22" max="16384" width="9" style="1446"/>
  </cols>
  <sheetData>
    <row r="1" spans="1:17" ht="18.75" customHeight="1">
      <c r="A1" s="2311" t="str">
        <f>OCI!A1</f>
        <v>MCB PAKISTAN STOCK MARKET FUND</v>
      </c>
      <c r="B1" s="2311"/>
      <c r="C1" s="2311"/>
      <c r="D1" s="2311"/>
      <c r="E1" s="2311"/>
      <c r="F1" s="2311"/>
      <c r="G1" s="2311"/>
      <c r="H1" s="2311"/>
      <c r="I1" s="2311"/>
      <c r="J1" s="2311"/>
      <c r="K1" s="1445"/>
      <c r="L1" s="1445"/>
      <c r="O1" s="1445"/>
    </row>
    <row r="2" spans="1:17" ht="18.75" customHeight="1">
      <c r="A2" s="2311" t="s">
        <v>625</v>
      </c>
      <c r="B2" s="2311"/>
      <c r="C2" s="2311"/>
      <c r="D2" s="2311"/>
      <c r="E2" s="2311"/>
      <c r="F2" s="2311"/>
      <c r="G2" s="2311"/>
      <c r="H2" s="2311"/>
      <c r="I2" s="2311"/>
      <c r="J2" s="2311"/>
      <c r="K2" s="1445"/>
      <c r="L2" s="1445"/>
      <c r="O2" s="1445"/>
    </row>
    <row r="3" spans="1:17" ht="18.75" customHeight="1">
      <c r="A3" s="2311" t="str">
        <f>+'UHF New V2'!A3:M3</f>
        <v>FOR THE QUARTER ENDED SEPTEMBER 30, 2021</v>
      </c>
      <c r="B3" s="2311"/>
      <c r="C3" s="2311"/>
      <c r="D3" s="2311"/>
      <c r="E3" s="2311"/>
      <c r="F3" s="2311"/>
      <c r="G3" s="2311"/>
      <c r="H3" s="2311"/>
      <c r="I3" s="2311"/>
      <c r="J3" s="2311"/>
      <c r="K3" s="1445"/>
      <c r="L3" s="1445"/>
      <c r="O3" s="1445"/>
    </row>
    <row r="4" spans="1:17" ht="15" customHeight="1">
      <c r="A4" s="1445"/>
      <c r="B4" s="1445"/>
      <c r="C4" s="1445"/>
      <c r="D4" s="1445"/>
      <c r="E4" s="1445"/>
      <c r="F4" s="1445"/>
      <c r="G4" s="1445"/>
      <c r="H4" s="1445"/>
      <c r="I4" s="1445"/>
      <c r="J4" s="1445"/>
      <c r="K4" s="1445"/>
      <c r="L4" s="1445"/>
      <c r="O4" s="1445"/>
    </row>
    <row r="5" spans="1:17" ht="15" customHeight="1">
      <c r="A5" s="1445"/>
      <c r="B5" s="1445"/>
      <c r="C5" s="1445"/>
      <c r="D5" s="1445"/>
      <c r="E5" s="1445"/>
      <c r="F5" s="1445"/>
      <c r="G5" s="1445"/>
      <c r="H5" s="2317" t="s">
        <v>705</v>
      </c>
      <c r="I5" s="2317"/>
      <c r="J5" s="2317"/>
      <c r="K5" s="1527"/>
      <c r="L5" s="2328" t="s">
        <v>705</v>
      </c>
      <c r="M5" s="2328"/>
      <c r="O5" s="1527"/>
    </row>
    <row r="6" spans="1:17" ht="15" customHeight="1">
      <c r="A6" s="1445"/>
      <c r="B6" s="1445"/>
      <c r="C6" s="1445"/>
      <c r="D6" s="1445"/>
      <c r="E6" s="1445"/>
      <c r="F6" s="1445"/>
      <c r="G6" s="1445"/>
      <c r="H6" s="2318" t="s">
        <v>2778</v>
      </c>
      <c r="I6" s="2318"/>
      <c r="J6" s="2318"/>
      <c r="K6" s="1526"/>
      <c r="L6" s="2318" t="s">
        <v>622</v>
      </c>
      <c r="M6" s="2318"/>
      <c r="O6" s="1527" t="s">
        <v>624</v>
      </c>
    </row>
    <row r="7" spans="1:17" ht="15" customHeight="1">
      <c r="A7" s="1445"/>
      <c r="B7" s="1445"/>
      <c r="C7" s="1445"/>
      <c r="D7" s="1445"/>
      <c r="E7" s="1445"/>
      <c r="F7" s="1445"/>
      <c r="G7" s="1445"/>
      <c r="H7" s="1940" t="s">
        <v>3197</v>
      </c>
      <c r="I7" s="1940"/>
      <c r="J7" s="2075" t="s">
        <v>2917</v>
      </c>
      <c r="K7" s="1526"/>
      <c r="L7" s="1526" t="s">
        <v>1158</v>
      </c>
      <c r="M7" s="1526"/>
      <c r="O7" s="1527" t="s">
        <v>989</v>
      </c>
    </row>
    <row r="8" spans="1:17" ht="15" customHeight="1">
      <c r="A8" s="1445"/>
      <c r="B8" s="1445"/>
      <c r="C8" s="1445"/>
      <c r="D8" s="1445"/>
      <c r="E8" s="1445"/>
      <c r="F8" s="1445"/>
      <c r="G8" s="1445"/>
      <c r="H8" s="2312" t="s">
        <v>2530</v>
      </c>
      <c r="I8" s="2312"/>
      <c r="J8" s="2312"/>
      <c r="K8" s="1793"/>
      <c r="L8" s="1793"/>
      <c r="M8" s="1793"/>
      <c r="O8" s="1527"/>
    </row>
    <row r="9" spans="1:17" ht="15" customHeight="1">
      <c r="A9" s="1445" t="s">
        <v>595</v>
      </c>
      <c r="B9" s="1445"/>
      <c r="C9" s="1445"/>
      <c r="D9" s="1445"/>
      <c r="E9" s="1445"/>
      <c r="F9" s="1445"/>
      <c r="G9" s="1445"/>
    </row>
    <row r="10" spans="1:17" ht="15" customHeight="1">
      <c r="A10" s="1446" t="s">
        <v>3301</v>
      </c>
      <c r="H10" s="1568">
        <f>+IS!H43</f>
        <v>-670037.11999999546</v>
      </c>
      <c r="I10" s="1547"/>
      <c r="J10" s="1547">
        <v>1568033.5</v>
      </c>
      <c r="K10" s="1547"/>
      <c r="L10" s="1547">
        <v>-251895.39799999993</v>
      </c>
      <c r="N10" s="1547">
        <v>-731258.75</v>
      </c>
      <c r="O10" s="1547">
        <v>410392</v>
      </c>
    </row>
    <row r="11" spans="1:17" ht="15" customHeight="1">
      <c r="H11" s="1568"/>
      <c r="I11" s="1547"/>
      <c r="J11" s="1547"/>
      <c r="K11" s="1547"/>
      <c r="L11" s="1547"/>
      <c r="O11" s="1547"/>
    </row>
    <row r="12" spans="1:17" ht="15" customHeight="1">
      <c r="A12" s="1445" t="s">
        <v>2535</v>
      </c>
      <c r="B12" s="1445"/>
      <c r="C12" s="1445"/>
      <c r="D12" s="1445"/>
      <c r="E12" s="1445"/>
      <c r="F12" s="1445"/>
      <c r="G12" s="1445"/>
      <c r="H12" s="1568"/>
      <c r="I12" s="1547"/>
      <c r="J12" s="1547"/>
      <c r="K12" s="1547"/>
      <c r="L12" s="1547"/>
      <c r="O12" s="1547"/>
    </row>
    <row r="13" spans="1:17" ht="15" customHeight="1">
      <c r="A13" s="1504" t="s">
        <v>3182</v>
      </c>
      <c r="B13" s="1504"/>
      <c r="C13" s="1504"/>
      <c r="D13" s="1504"/>
      <c r="E13" s="1504"/>
      <c r="F13" s="1504"/>
      <c r="G13" s="1504"/>
      <c r="H13" s="1785"/>
      <c r="I13" s="1484"/>
      <c r="J13" s="1484"/>
      <c r="K13" s="1484"/>
      <c r="L13" s="1484"/>
      <c r="O13" s="1484"/>
    </row>
    <row r="14" spans="1:17" ht="15" customHeight="1">
      <c r="A14" s="1542" t="s">
        <v>2523</v>
      </c>
      <c r="B14" s="1504"/>
      <c r="C14" s="1504"/>
      <c r="D14" s="1504"/>
      <c r="E14" s="1504"/>
      <c r="F14" s="1504"/>
      <c r="G14" s="1504"/>
      <c r="H14" s="1785">
        <f>IS!H15</f>
        <v>-813834.11999999546</v>
      </c>
      <c r="I14" s="1484"/>
      <c r="J14" s="1484">
        <v>1235644</v>
      </c>
      <c r="K14" s="1484"/>
      <c r="L14" s="1547">
        <v>-62590</v>
      </c>
      <c r="N14" s="1547">
        <v>435683</v>
      </c>
      <c r="O14" s="1484">
        <v>2178.25</v>
      </c>
    </row>
    <row r="15" spans="1:17" ht="15" customHeight="1">
      <c r="A15" s="1504"/>
      <c r="B15" s="1504"/>
      <c r="C15" s="1504"/>
      <c r="D15" s="1504"/>
      <c r="E15" s="1504"/>
      <c r="F15" s="1504"/>
      <c r="G15" s="1504"/>
      <c r="H15" s="1786">
        <f>SUM(H10:H14)</f>
        <v>-1483871.2399999909</v>
      </c>
      <c r="I15" s="1484"/>
      <c r="J15" s="1604">
        <f>SUM(J10:J14)</f>
        <v>2803677.5</v>
      </c>
      <c r="K15" s="1484"/>
      <c r="L15" s="1603" t="e">
        <f>SUM(L10:L14)+#REF!</f>
        <v>#REF!</v>
      </c>
      <c r="N15" s="1547">
        <f>N10+N14</f>
        <v>-295575.75</v>
      </c>
      <c r="O15" s="1603">
        <f>SUM(O10:O14)</f>
        <v>412570.25</v>
      </c>
      <c r="P15" s="1535">
        <f>H15-N15</f>
        <v>-1188295.4899999909</v>
      </c>
      <c r="Q15" s="1546">
        <v>2100</v>
      </c>
    </row>
    <row r="16" spans="1:17" ht="15" customHeight="1">
      <c r="A16" s="1504"/>
      <c r="B16" s="1504"/>
      <c r="C16" s="1504"/>
      <c r="D16" s="1504"/>
      <c r="E16" s="1504"/>
      <c r="F16" s="1504"/>
      <c r="G16" s="1504"/>
      <c r="H16" s="1785"/>
      <c r="I16" s="1484"/>
      <c r="J16" s="1484"/>
      <c r="K16" s="1484"/>
      <c r="L16" s="1484"/>
      <c r="O16" s="1484"/>
      <c r="P16" s="1535"/>
      <c r="Q16" s="1546"/>
    </row>
    <row r="17" spans="1:18" ht="15" customHeight="1">
      <c r="A17" s="1605" t="s">
        <v>3183</v>
      </c>
      <c r="B17" s="1605"/>
      <c r="C17" s="1605"/>
      <c r="D17" s="1605"/>
      <c r="E17" s="1605"/>
      <c r="F17" s="1605"/>
      <c r="G17" s="1605"/>
      <c r="H17" s="1568"/>
      <c r="I17" s="1547"/>
      <c r="J17" s="1547"/>
      <c r="K17" s="1547"/>
      <c r="L17" s="1547"/>
      <c r="O17" s="1547"/>
    </row>
    <row r="18" spans="1:18" ht="15" customHeight="1">
      <c r="A18" s="1504" t="s">
        <v>1082</v>
      </c>
      <c r="B18" s="1504"/>
      <c r="C18" s="1504"/>
      <c r="D18" s="1504"/>
      <c r="E18" s="1504"/>
      <c r="F18" s="1504"/>
      <c r="G18" s="1504"/>
      <c r="H18" s="1787">
        <f>-BS!I12-H14</f>
        <v>1457452.1019999925</v>
      </c>
      <c r="I18" s="1484"/>
      <c r="J18" s="1565">
        <v>-4159491</v>
      </c>
      <c r="K18" s="1484"/>
      <c r="L18" s="1565">
        <v>-195992</v>
      </c>
      <c r="N18" s="1547">
        <v>345210</v>
      </c>
      <c r="O18" s="1606">
        <v>-821543.75</v>
      </c>
      <c r="Q18" s="1445" t="s">
        <v>112</v>
      </c>
      <c r="R18" s="1571">
        <f>H18-L18</f>
        <v>1653444.1019999925</v>
      </c>
    </row>
    <row r="19" spans="1:18" ht="15" customHeight="1">
      <c r="A19" s="1504" t="s">
        <v>196</v>
      </c>
      <c r="B19" s="1504"/>
      <c r="C19" s="1504"/>
      <c r="D19" s="1504"/>
      <c r="E19" s="1504"/>
      <c r="F19" s="1504"/>
      <c r="G19" s="1504"/>
      <c r="H19" s="1774">
        <f>-BS!I13</f>
        <v>-612084</v>
      </c>
      <c r="I19" s="1484"/>
      <c r="J19" s="1555">
        <v>27085</v>
      </c>
      <c r="K19" s="1484"/>
      <c r="L19" s="1555">
        <v>-65160</v>
      </c>
      <c r="N19" s="1547">
        <v>49175</v>
      </c>
      <c r="O19" s="1555">
        <v>-157768.75</v>
      </c>
      <c r="Q19" s="1607">
        <f>BS!$H$12</f>
        <v>11903844</v>
      </c>
    </row>
    <row r="20" spans="1:18" ht="15" customHeight="1">
      <c r="A20" s="1504" t="s">
        <v>343</v>
      </c>
      <c r="B20" s="1504"/>
      <c r="C20" s="1504"/>
      <c r="D20" s="1504"/>
      <c r="E20" s="1504"/>
      <c r="F20" s="1504"/>
      <c r="G20" s="1504"/>
      <c r="H20" s="1774">
        <f>-BS!I14</f>
        <v>-86869</v>
      </c>
      <c r="I20" s="1484"/>
      <c r="J20" s="1555">
        <v>9600</v>
      </c>
      <c r="K20" s="1484"/>
      <c r="L20" s="1555">
        <v>22561</v>
      </c>
      <c r="N20" s="1547">
        <v>-36819.25</v>
      </c>
      <c r="O20" s="1555">
        <v>-67040.75</v>
      </c>
      <c r="Q20" s="1607">
        <f>BS!$F$12</f>
        <v>11260226.018000003</v>
      </c>
    </row>
    <row r="21" spans="1:18" ht="15" customHeight="1">
      <c r="A21" s="1504" t="s">
        <v>2369</v>
      </c>
      <c r="B21" s="1504"/>
      <c r="C21" s="1504"/>
      <c r="D21" s="1504"/>
      <c r="E21" s="1504"/>
      <c r="F21" s="1504"/>
      <c r="G21" s="1504"/>
      <c r="H21" s="1774">
        <f>-BS!I15</f>
        <v>57209</v>
      </c>
      <c r="I21" s="1484"/>
      <c r="J21" s="1567">
        <v>-3605</v>
      </c>
      <c r="K21" s="1484"/>
      <c r="L21" s="1567">
        <v>4</v>
      </c>
      <c r="N21" s="1547">
        <v>-165.25</v>
      </c>
      <c r="O21" s="1555">
        <v>-142</v>
      </c>
      <c r="Q21" s="1607">
        <f>-IS!$H$15</f>
        <v>813834.11999999546</v>
      </c>
    </row>
    <row r="22" spans="1:18" ht="15" customHeight="1">
      <c r="A22" s="1504"/>
      <c r="B22" s="1504"/>
      <c r="C22" s="1504"/>
      <c r="D22" s="1504"/>
      <c r="E22" s="1504"/>
      <c r="F22" s="1504"/>
      <c r="G22" s="1504"/>
      <c r="H22" s="1786">
        <f>SUM(H18:H21)</f>
        <v>815708.1019999925</v>
      </c>
      <c r="I22" s="1484"/>
      <c r="J22" s="1484">
        <f>SUM(J18:J21)</f>
        <v>-4126411</v>
      </c>
      <c r="K22" s="1484"/>
      <c r="L22" s="1484">
        <f>SUM(L18:L21)</f>
        <v>-238587</v>
      </c>
      <c r="N22" s="1547">
        <f>SUM(N18:N21)</f>
        <v>357400.5</v>
      </c>
      <c r="O22" s="1603">
        <f>SUM(O18:O21)</f>
        <v>-1046495.25</v>
      </c>
      <c r="P22" s="1535">
        <f>H22-N22</f>
        <v>458307.6019999925</v>
      </c>
      <c r="Q22" s="1607" t="e">
        <f>-IS!#REF!</f>
        <v>#REF!</v>
      </c>
      <c r="R22" s="1535"/>
    </row>
    <row r="23" spans="1:18" ht="15" customHeight="1">
      <c r="A23" s="1605" t="s">
        <v>3184</v>
      </c>
      <c r="B23" s="1605"/>
      <c r="C23" s="1605"/>
      <c r="D23" s="1605"/>
      <c r="E23" s="1605"/>
      <c r="F23" s="1605"/>
      <c r="G23" s="1605"/>
      <c r="H23" s="1568"/>
      <c r="I23" s="1547"/>
      <c r="J23" s="1547"/>
      <c r="K23" s="1547"/>
      <c r="L23" s="1547"/>
      <c r="M23" s="1605"/>
      <c r="O23" s="1547"/>
    </row>
    <row r="24" spans="1:18" ht="15" customHeight="1">
      <c r="A24" s="1504" t="s">
        <v>2514</v>
      </c>
      <c r="B24" s="1608"/>
      <c r="C24" s="1504"/>
      <c r="D24" s="1504"/>
      <c r="E24" s="1504"/>
      <c r="F24" s="1504"/>
      <c r="G24" s="1504"/>
      <c r="H24" s="1564"/>
      <c r="I24" s="1484"/>
      <c r="J24" s="1552"/>
      <c r="K24" s="1484"/>
      <c r="L24" s="1555">
        <v>0</v>
      </c>
      <c r="M24" s="1504"/>
      <c r="N24" s="1547">
        <v>7453.75</v>
      </c>
      <c r="O24" s="1606">
        <v>652</v>
      </c>
    </row>
    <row r="25" spans="1:18" ht="15" customHeight="1">
      <c r="A25" s="1572" t="s">
        <v>574</v>
      </c>
      <c r="B25" s="1608"/>
      <c r="C25" s="1504"/>
      <c r="D25" s="1504"/>
      <c r="E25" s="1504"/>
      <c r="F25" s="1504"/>
      <c r="G25" s="1504"/>
      <c r="H25" s="1774">
        <f>BS!I20</f>
        <v>1849</v>
      </c>
      <c r="I25" s="1484"/>
      <c r="J25" s="1555">
        <v>13998</v>
      </c>
      <c r="K25" s="1484"/>
      <c r="L25" s="1555"/>
      <c r="M25" s="1504"/>
      <c r="O25" s="1555"/>
    </row>
    <row r="26" spans="1:18" ht="15" customHeight="1">
      <c r="A26" s="1504" t="s">
        <v>2516</v>
      </c>
      <c r="B26" s="1608"/>
      <c r="C26" s="1504"/>
      <c r="D26" s="1504"/>
      <c r="E26" s="1504"/>
      <c r="F26" s="1504"/>
      <c r="G26" s="1504"/>
      <c r="H26" s="1774"/>
      <c r="I26" s="1484"/>
      <c r="J26" s="1555"/>
      <c r="K26" s="1484"/>
      <c r="L26" s="1555"/>
      <c r="M26" s="1504"/>
      <c r="O26" s="1555"/>
    </row>
    <row r="27" spans="1:18" ht="15" customHeight="1">
      <c r="A27" s="1572" t="s">
        <v>2515</v>
      </c>
      <c r="B27" s="1476"/>
      <c r="C27" s="1504"/>
      <c r="D27" s="1504"/>
      <c r="E27" s="1504"/>
      <c r="F27" s="1504"/>
      <c r="G27" s="1504"/>
      <c r="H27" s="1774">
        <f>BS!I22</f>
        <v>-35</v>
      </c>
      <c r="I27" s="1484"/>
      <c r="J27" s="1555">
        <v>305</v>
      </c>
      <c r="K27" s="1484"/>
      <c r="L27" s="1555">
        <v>-24</v>
      </c>
      <c r="M27" s="1504"/>
      <c r="N27" s="1547">
        <v>-168.25</v>
      </c>
      <c r="O27" s="1555">
        <v>79</v>
      </c>
    </row>
    <row r="28" spans="1:18" ht="15" customHeight="1">
      <c r="A28" s="1504" t="s">
        <v>114</v>
      </c>
      <c r="C28" s="1504"/>
      <c r="D28" s="1504"/>
      <c r="E28" s="1504"/>
      <c r="F28" s="1504"/>
      <c r="G28" s="1504"/>
      <c r="H28" s="1774">
        <f>BS!I23</f>
        <v>-1657</v>
      </c>
      <c r="I28" s="1484"/>
      <c r="J28" s="1555">
        <v>-1229</v>
      </c>
      <c r="K28" s="1484"/>
      <c r="L28" s="1555">
        <v>2301</v>
      </c>
      <c r="M28" s="1504"/>
      <c r="N28" s="1547">
        <v>-7472.25</v>
      </c>
      <c r="O28" s="1555">
        <v>-4660</v>
      </c>
    </row>
    <row r="29" spans="1:18" ht="15" customHeight="1">
      <c r="A29" s="1504" t="s">
        <v>988</v>
      </c>
      <c r="C29" s="1504"/>
      <c r="D29" s="1504"/>
      <c r="E29" s="1504"/>
      <c r="F29" s="1504"/>
      <c r="G29" s="1504"/>
      <c r="H29" s="1774">
        <f>BS!I24</f>
        <v>1196809</v>
      </c>
      <c r="I29" s="1484">
        <v>0</v>
      </c>
      <c r="J29" s="1555">
        <v>-6583</v>
      </c>
      <c r="K29" s="1484"/>
      <c r="L29" s="1555">
        <v>75829</v>
      </c>
      <c r="M29" s="1504"/>
      <c r="N29" s="1547">
        <v>-335299</v>
      </c>
      <c r="O29" s="1555">
        <v>183854.75</v>
      </c>
    </row>
    <row r="30" spans="1:18" ht="15" customHeight="1">
      <c r="A30" s="1504" t="s">
        <v>153</v>
      </c>
      <c r="C30" s="1504"/>
      <c r="D30" s="1504"/>
      <c r="E30" s="1504"/>
      <c r="F30" s="1504"/>
      <c r="G30" s="1504"/>
      <c r="H30" s="1774">
        <f>BS!I25</f>
        <v>-68753.600000000006</v>
      </c>
      <c r="I30" s="1484">
        <v>369241</v>
      </c>
      <c r="J30" s="1555">
        <v>0</v>
      </c>
      <c r="K30" s="1484"/>
      <c r="L30" s="1555"/>
      <c r="M30" s="1504"/>
      <c r="O30" s="1555"/>
    </row>
    <row r="31" spans="1:18" ht="15" customHeight="1">
      <c r="A31" s="1504" t="s">
        <v>55</v>
      </c>
      <c r="C31" s="1504"/>
      <c r="D31" s="1504"/>
      <c r="E31" s="1504"/>
      <c r="F31" s="1504"/>
      <c r="G31" s="1504"/>
      <c r="H31" s="1566">
        <f>ROUND('CF Working'!$B$63,0)</f>
        <v>-124397</v>
      </c>
      <c r="I31" s="1484"/>
      <c r="J31" s="1561">
        <v>39565</v>
      </c>
      <c r="K31" s="1484"/>
      <c r="L31" s="1567">
        <v>-1797</v>
      </c>
      <c r="M31" s="1504"/>
      <c r="N31" s="1547">
        <v>-17581.5</v>
      </c>
      <c r="O31" s="1561">
        <v>3245</v>
      </c>
    </row>
    <row r="32" spans="1:18" ht="15" customHeight="1">
      <c r="C32" s="1504"/>
      <c r="D32" s="1504"/>
      <c r="E32" s="1504"/>
      <c r="F32" s="1504"/>
      <c r="G32" s="1504"/>
      <c r="H32" s="1785">
        <f>SUM(H24:H31)</f>
        <v>1003815.3999999999</v>
      </c>
      <c r="I32" s="1484"/>
      <c r="J32" s="1484">
        <f>SUM(J24:J31)</f>
        <v>46056</v>
      </c>
      <c r="K32" s="1484"/>
      <c r="L32" s="1484">
        <f>SUM(L24:L31)</f>
        <v>76309</v>
      </c>
      <c r="M32" s="1504"/>
      <c r="N32" s="1484">
        <f>SUM(N24:N31)</f>
        <v>-353067.25</v>
      </c>
      <c r="O32" s="1484">
        <f>SUM(O24:O31)</f>
        <v>183170.75</v>
      </c>
    </row>
    <row r="33" spans="1:22" ht="15" customHeight="1">
      <c r="B33" s="1504"/>
      <c r="C33" s="1504"/>
      <c r="D33" s="1504"/>
      <c r="E33" s="1504"/>
      <c r="F33" s="1504"/>
      <c r="G33" s="1504"/>
      <c r="H33" s="1825"/>
      <c r="I33" s="1547"/>
      <c r="J33" s="1547"/>
      <c r="K33" s="1547"/>
      <c r="L33" s="1547"/>
      <c r="M33" s="1535"/>
      <c r="O33" s="1547"/>
    </row>
    <row r="34" spans="1:22" ht="15" customHeight="1">
      <c r="A34" s="1445" t="s">
        <v>3302</v>
      </c>
      <c r="B34" s="1445"/>
      <c r="C34" s="1445"/>
      <c r="D34" s="1445"/>
      <c r="E34" s="1445"/>
      <c r="F34" s="1445"/>
      <c r="G34" s="1445"/>
      <c r="H34" s="1786">
        <f>H32+H22+H15</f>
        <v>335652.2620000015</v>
      </c>
      <c r="I34" s="1484"/>
      <c r="J34" s="1603">
        <v>-1276677.5</v>
      </c>
      <c r="K34" s="1484"/>
      <c r="L34" s="1603" t="e">
        <f>L32+L22+L15</f>
        <v>#REF!</v>
      </c>
      <c r="N34" s="1603">
        <f>N32+N22+N15</f>
        <v>-291242.5</v>
      </c>
      <c r="O34" s="1603">
        <f>O32+O22+O15</f>
        <v>-450754.25</v>
      </c>
    </row>
    <row r="35" spans="1:22" ht="15" customHeight="1">
      <c r="H35" s="1568"/>
      <c r="I35" s="1547"/>
      <c r="J35" s="1547"/>
      <c r="K35" s="1547"/>
      <c r="L35" s="1547"/>
      <c r="O35" s="1547"/>
    </row>
    <row r="36" spans="1:22" ht="15" customHeight="1">
      <c r="A36" s="1445" t="s">
        <v>596</v>
      </c>
      <c r="B36" s="1445"/>
      <c r="C36" s="1445"/>
      <c r="D36" s="1445"/>
      <c r="E36" s="1445"/>
      <c r="F36" s="1445"/>
      <c r="G36" s="1445"/>
      <c r="H36" s="1568"/>
      <c r="I36" s="1547"/>
      <c r="J36" s="1547"/>
      <c r="K36" s="1547"/>
      <c r="L36" s="1547"/>
      <c r="O36" s="1547"/>
      <c r="P36" s="1446" t="s">
        <v>2445</v>
      </c>
      <c r="Q36" s="1567">
        <f>'CF Working'!$B$58</f>
        <v>-68753.600000000006</v>
      </c>
      <c r="R36" s="1484"/>
      <c r="S36" s="1567">
        <v>90073</v>
      </c>
      <c r="V36" s="1535"/>
    </row>
    <row r="37" spans="1:22" ht="15" customHeight="1">
      <c r="A37" s="1446" t="s">
        <v>2531</v>
      </c>
      <c r="H37" s="1788">
        <f>ROUND('UHF New V2'!H17,0)</f>
        <v>1508195</v>
      </c>
      <c r="I37" s="1484"/>
      <c r="J37" s="1565">
        <v>2959778</v>
      </c>
      <c r="K37" s="1484"/>
      <c r="L37" s="1565">
        <v>1457503</v>
      </c>
      <c r="N37" s="1547">
        <v>2250286.5</v>
      </c>
      <c r="O37" s="1565">
        <v>1323089</v>
      </c>
    </row>
    <row r="38" spans="1:22" ht="15" customHeight="1">
      <c r="A38" s="1446" t="s">
        <v>2532</v>
      </c>
      <c r="H38" s="1566">
        <f>ROUND('UHF New V2'!H23,0)</f>
        <v>-1423065</v>
      </c>
      <c r="I38" s="1484"/>
      <c r="J38" s="1567">
        <v>-1839648</v>
      </c>
      <c r="K38" s="1484"/>
      <c r="L38" s="1567">
        <v>-982208</v>
      </c>
      <c r="N38" s="1547">
        <v>-3057824.25</v>
      </c>
      <c r="O38" s="1561">
        <v>-1199666</v>
      </c>
      <c r="P38" s="1569">
        <f>-(BS!H25+'UHF New V2'!H23-BS!F25)</f>
        <v>1354311.4</v>
      </c>
      <c r="Q38" s="1569"/>
    </row>
    <row r="39" spans="1:22" ht="15" customHeight="1">
      <c r="A39" s="1445" t="s">
        <v>3303</v>
      </c>
      <c r="B39" s="1445"/>
      <c r="C39" s="1445"/>
      <c r="D39" s="1445"/>
      <c r="E39" s="1445"/>
      <c r="F39" s="1445"/>
      <c r="G39" s="1445"/>
      <c r="H39" s="1568">
        <f>SUM(H37:H38)</f>
        <v>85130</v>
      </c>
      <c r="I39" s="1547"/>
      <c r="J39" s="1547">
        <f>SUM(J37:J38)</f>
        <v>1120130</v>
      </c>
      <c r="K39" s="1547"/>
      <c r="L39" s="1547">
        <f>SUM(L37:L38)</f>
        <v>475295</v>
      </c>
      <c r="N39" s="1547">
        <f>SUM(N37:N38)</f>
        <v>-807537.75</v>
      </c>
      <c r="O39" s="1547">
        <f>SUM(O37:O38)</f>
        <v>123423</v>
      </c>
      <c r="P39" s="1569">
        <f>H38-P38</f>
        <v>-2777376.4</v>
      </c>
      <c r="Q39" s="1569"/>
      <c r="T39" s="1535"/>
    </row>
    <row r="40" spans="1:22" ht="15" customHeight="1">
      <c r="A40" s="1445"/>
      <c r="B40" s="1445"/>
      <c r="C40" s="1445"/>
      <c r="D40" s="1445"/>
      <c r="E40" s="1445"/>
      <c r="F40" s="1445"/>
      <c r="G40" s="1445"/>
      <c r="H40" s="1568"/>
      <c r="I40" s="1547"/>
      <c r="J40" s="1547"/>
      <c r="K40" s="1547"/>
      <c r="L40" s="1547"/>
      <c r="O40" s="1547"/>
      <c r="P40" s="1569"/>
      <c r="Q40" s="1569"/>
      <c r="T40" s="1535"/>
    </row>
    <row r="41" spans="1:22" ht="15" customHeight="1">
      <c r="A41" s="1445" t="s">
        <v>2533</v>
      </c>
      <c r="B41" s="1445"/>
      <c r="C41" s="1445"/>
      <c r="D41" s="1445"/>
      <c r="E41" s="1445"/>
      <c r="F41" s="1445"/>
      <c r="G41" s="1445"/>
      <c r="H41" s="1449"/>
      <c r="I41" s="1446">
        <v>0</v>
      </c>
      <c r="J41" s="1449"/>
      <c r="K41" s="1484"/>
      <c r="L41" s="1603" t="e">
        <f>L34+L39</f>
        <v>#REF!</v>
      </c>
      <c r="N41" s="1603">
        <f>N34+N39</f>
        <v>-1098780.25</v>
      </c>
      <c r="O41" s="1603">
        <f>O39+O34</f>
        <v>-327331.25</v>
      </c>
    </row>
    <row r="42" spans="1:22" ht="15" customHeight="1">
      <c r="A42" s="1791" t="s">
        <v>2534</v>
      </c>
      <c r="B42" s="1445"/>
      <c r="C42" s="1445"/>
      <c r="D42" s="1445"/>
      <c r="E42" s="1445"/>
      <c r="F42" s="1445"/>
      <c r="G42" s="1445"/>
      <c r="H42" s="2072">
        <f>H34+H39</f>
        <v>420782.2620000015</v>
      </c>
      <c r="I42" s="1484"/>
      <c r="J42" s="2073">
        <f>J34+J39</f>
        <v>-156547.5</v>
      </c>
      <c r="K42" s="1484"/>
      <c r="L42" s="1484"/>
      <c r="N42" s="1484"/>
      <c r="O42" s="1484"/>
    </row>
    <row r="43" spans="1:22" ht="15" customHeight="1">
      <c r="A43" s="1791"/>
      <c r="B43" s="1445"/>
      <c r="C43" s="1445"/>
      <c r="D43" s="1445"/>
      <c r="E43" s="1445"/>
      <c r="F43" s="1445"/>
      <c r="G43" s="1445"/>
      <c r="H43" s="1785"/>
      <c r="I43" s="1484"/>
      <c r="J43" s="1484"/>
      <c r="K43" s="1484"/>
      <c r="L43" s="1484"/>
      <c r="N43" s="1484"/>
      <c r="O43" s="1484"/>
    </row>
    <row r="44" spans="1:22" ht="15" customHeight="1">
      <c r="A44" s="1446" t="s">
        <v>2802</v>
      </c>
      <c r="B44" s="1445"/>
      <c r="C44" s="1445"/>
      <c r="D44" s="1445"/>
      <c r="E44" s="1445"/>
      <c r="F44" s="1445"/>
      <c r="G44" s="1445"/>
      <c r="H44" s="1785">
        <f>+BS!H11</f>
        <v>265332</v>
      </c>
      <c r="I44" s="1484"/>
      <c r="J44" s="1484">
        <v>351865.5</v>
      </c>
      <c r="K44" s="1484"/>
      <c r="L44" s="1484"/>
      <c r="N44" s="1484"/>
      <c r="O44" s="1484"/>
    </row>
    <row r="45" spans="1:22" ht="15" customHeight="1" thickBot="1">
      <c r="A45" s="1445" t="s">
        <v>297</v>
      </c>
      <c r="B45" s="1445"/>
      <c r="C45" s="1445"/>
      <c r="D45" s="1445"/>
      <c r="E45" s="1445"/>
      <c r="F45" s="1445"/>
      <c r="G45" s="1705"/>
      <c r="H45" s="1789">
        <f>+H44+H42</f>
        <v>686114.2620000015</v>
      </c>
      <c r="I45" s="1484">
        <v>82582</v>
      </c>
      <c r="J45" s="1570">
        <f>+J42+J44</f>
        <v>195318</v>
      </c>
      <c r="K45" s="1484"/>
      <c r="L45" s="1570" t="e">
        <f>ROUNDDOWN(L41+#REF!,0)</f>
        <v>#REF!</v>
      </c>
      <c r="M45" s="1535"/>
      <c r="O45" s="1570" t="e">
        <f>O41+#REF!</f>
        <v>#REF!</v>
      </c>
      <c r="Q45" s="1562">
        <v>1301989</v>
      </c>
    </row>
    <row r="46" spans="1:22" ht="15" customHeight="1" thickTop="1">
      <c r="H46" s="1445"/>
      <c r="Q46" s="1571">
        <f>Q45-H45</f>
        <v>615874.7379999985</v>
      </c>
      <c r="R46" s="1535"/>
    </row>
    <row r="47" spans="1:22" ht="15" customHeight="1">
      <c r="H47" s="1485"/>
      <c r="J47" s="1535"/>
      <c r="M47" s="1609"/>
      <c r="N47" s="1547">
        <f>+BS!F11</f>
        <v>686114</v>
      </c>
      <c r="O47" s="1535"/>
    </row>
    <row r="48" spans="1:22" ht="15" customHeight="1">
      <c r="A48" s="1504"/>
      <c r="H48" s="1790"/>
      <c r="I48" s="1446">
        <v>0</v>
      </c>
      <c r="J48" s="1535"/>
      <c r="K48" s="1449"/>
      <c r="L48" s="1449"/>
      <c r="M48" s="1449"/>
      <c r="N48" s="1484">
        <f>+H45-N47</f>
        <v>0.26200000150129199</v>
      </c>
      <c r="O48" s="1449"/>
      <c r="P48" s="1449"/>
      <c r="Q48" s="1449"/>
      <c r="R48" s="1449"/>
    </row>
    <row r="49" spans="1:18" ht="15" customHeight="1">
      <c r="A49" s="1446" t="str">
        <f>'UHF New V2'!A62</f>
        <v>The annexed notes 1 to 17 form an integral part of these interim financial statements.</v>
      </c>
      <c r="H49" s="1790"/>
      <c r="I49" s="1446">
        <v>0</v>
      </c>
      <c r="J49" s="1535"/>
      <c r="K49" s="1449"/>
      <c r="L49" s="1449"/>
      <c r="M49" s="1449"/>
      <c r="N49" s="1484"/>
      <c r="O49" s="1449"/>
      <c r="P49" s="1449"/>
      <c r="Q49" s="1449"/>
      <c r="R49" s="1449"/>
    </row>
    <row r="50" spans="1:18" ht="15" customHeight="1">
      <c r="H50" s="1445"/>
      <c r="K50" s="1449"/>
      <c r="L50" s="1449"/>
      <c r="M50" s="1449"/>
      <c r="N50" s="1484"/>
      <c r="O50" s="1457"/>
      <c r="P50" s="1449"/>
      <c r="Q50" s="1449"/>
      <c r="R50" s="1449"/>
    </row>
    <row r="51" spans="1:18" ht="15" customHeight="1">
      <c r="A51" s="2316" t="s">
        <v>2524</v>
      </c>
      <c r="B51" s="2316"/>
      <c r="C51" s="2316"/>
      <c r="D51" s="2316"/>
      <c r="E51" s="2316"/>
      <c r="F51" s="2316"/>
      <c r="G51" s="2316"/>
      <c r="H51" s="2316"/>
      <c r="I51" s="2316"/>
      <c r="J51" s="2316"/>
      <c r="K51" s="1792"/>
      <c r="L51" s="1792"/>
      <c r="M51" s="1792"/>
      <c r="N51" s="2009">
        <f>+H39+1252566</f>
        <v>1337696</v>
      </c>
      <c r="O51" s="1792"/>
      <c r="P51" s="1449"/>
      <c r="Q51" s="1449"/>
      <c r="R51" s="1449"/>
    </row>
    <row r="52" spans="1:18" s="1506" customFormat="1" ht="15" customHeight="1">
      <c r="A52" s="2316" t="s">
        <v>148</v>
      </c>
      <c r="B52" s="2316"/>
      <c r="C52" s="2316"/>
      <c r="D52" s="2316"/>
      <c r="E52" s="2316"/>
      <c r="F52" s="2316"/>
      <c r="G52" s="2316"/>
      <c r="H52" s="2316"/>
      <c r="I52" s="2316"/>
      <c r="J52" s="2316"/>
      <c r="K52" s="1505"/>
      <c r="L52" s="1505"/>
      <c r="M52" s="1505"/>
      <c r="N52" s="1611"/>
    </row>
    <row r="53" spans="1:18" s="1506" customFormat="1" ht="15" customHeight="1">
      <c r="A53" s="1507"/>
      <c r="B53" s="1507"/>
      <c r="C53" s="1507"/>
      <c r="D53" s="1507"/>
      <c r="E53" s="1507"/>
      <c r="F53" s="1507"/>
      <c r="G53" s="1507"/>
      <c r="H53" s="1507"/>
      <c r="I53" s="1507"/>
      <c r="J53" s="1507"/>
      <c r="K53" s="1507"/>
      <c r="L53" s="1507"/>
      <c r="M53" s="1507"/>
      <c r="N53" s="1611"/>
    </row>
    <row r="54" spans="1:18" s="1506" customFormat="1" ht="15" customHeight="1">
      <c r="A54" s="1507"/>
      <c r="B54" s="1507"/>
      <c r="C54" s="1507"/>
      <c r="D54" s="1507"/>
      <c r="E54" s="1507"/>
      <c r="F54" s="1507"/>
      <c r="G54" s="1507"/>
      <c r="H54" s="1507"/>
      <c r="I54" s="1507"/>
      <c r="J54" s="1507"/>
      <c r="K54" s="1507"/>
      <c r="L54" s="1507"/>
      <c r="M54" s="1507"/>
      <c r="N54" s="1611"/>
    </row>
    <row r="55" spans="1:18" s="1513" customFormat="1" ht="15" customHeight="1">
      <c r="B55" s="2017"/>
      <c r="C55" s="2017"/>
      <c r="D55" s="2017"/>
      <c r="E55" s="2017"/>
      <c r="F55" s="2017"/>
      <c r="G55" s="2017"/>
      <c r="H55" s="1510"/>
      <c r="I55" s="2017"/>
      <c r="J55" s="1511"/>
      <c r="K55" s="1512"/>
      <c r="L55" s="2017"/>
      <c r="M55" s="1511"/>
      <c r="N55" s="1612"/>
    </row>
    <row r="56" spans="1:18" s="1513" customFormat="1" ht="15" customHeight="1">
      <c r="A56" s="1513" t="s">
        <v>2526</v>
      </c>
      <c r="B56" s="2017"/>
      <c r="C56" s="2017"/>
      <c r="E56" s="1778" t="s">
        <v>2526</v>
      </c>
      <c r="F56" s="2017"/>
      <c r="G56" s="2017"/>
      <c r="H56" s="1510"/>
      <c r="I56" s="2017"/>
      <c r="J56" s="1777" t="s">
        <v>3194</v>
      </c>
      <c r="K56" s="1512"/>
      <c r="L56" s="2017"/>
      <c r="M56" s="1511"/>
      <c r="N56" s="1612"/>
    </row>
    <row r="57" spans="1:18" s="1513" customFormat="1" ht="15" customHeight="1">
      <c r="A57" s="1508" t="s">
        <v>2525</v>
      </c>
      <c r="B57" s="2017"/>
      <c r="C57" s="2017"/>
      <c r="E57" s="1779" t="s">
        <v>2529</v>
      </c>
      <c r="F57" s="2017"/>
      <c r="G57" s="2017"/>
      <c r="H57" s="1510"/>
      <c r="I57" s="2017"/>
      <c r="J57" s="2017" t="s">
        <v>2527</v>
      </c>
      <c r="K57" s="1512"/>
      <c r="L57" s="2017"/>
      <c r="M57" s="1511"/>
      <c r="N57" s="1612"/>
    </row>
    <row r="58" spans="1:18" s="1513" customFormat="1">
      <c r="A58" s="1514"/>
      <c r="B58" s="1515"/>
      <c r="C58" s="2017"/>
      <c r="D58" s="2017"/>
      <c r="E58" s="2017"/>
      <c r="F58" s="2017"/>
      <c r="G58" s="2017"/>
      <c r="H58" s="1510"/>
      <c r="I58" s="2017"/>
      <c r="J58" s="1516"/>
      <c r="K58" s="1512"/>
      <c r="L58" s="2017"/>
      <c r="M58" s="1511"/>
      <c r="N58" s="1612"/>
    </row>
    <row r="59" spans="1:18" s="1513" customFormat="1">
      <c r="A59" s="1517"/>
      <c r="B59" s="1515"/>
      <c r="C59" s="2017"/>
      <c r="D59" s="2017"/>
      <c r="E59" s="2017"/>
      <c r="F59" s="2017"/>
      <c r="G59" s="2017"/>
      <c r="H59" s="1510"/>
      <c r="I59" s="1510"/>
      <c r="J59" s="1510"/>
      <c r="K59" s="1512"/>
      <c r="L59" s="2017"/>
      <c r="M59" s="1511"/>
      <c r="N59" s="1612"/>
    </row>
    <row r="60" spans="1:18">
      <c r="H60" s="1510"/>
      <c r="I60" s="1510"/>
      <c r="J60" s="1510"/>
    </row>
    <row r="61" spans="1:18">
      <c r="H61" s="1510"/>
      <c r="I61" s="1510"/>
      <c r="J61" s="1510"/>
    </row>
    <row r="62" spans="1:18">
      <c r="H62" s="1510"/>
      <c r="I62" s="1510"/>
      <c r="J62" s="1510"/>
    </row>
    <row r="63" spans="1:18">
      <c r="H63" s="1510"/>
      <c r="I63" s="1510"/>
      <c r="J63" s="1510"/>
    </row>
    <row r="64" spans="1:18">
      <c r="H64" s="1510"/>
      <c r="I64" s="1510"/>
      <c r="J64" s="1510"/>
    </row>
    <row r="65" spans="8:10">
      <c r="H65" s="1510"/>
      <c r="I65" s="1510"/>
      <c r="J65" s="1510"/>
    </row>
    <row r="66" spans="8:10">
      <c r="I66" s="1446">
        <v>0</v>
      </c>
    </row>
  </sheetData>
  <mergeCells count="10">
    <mergeCell ref="A52:J52"/>
    <mergeCell ref="H8:J8"/>
    <mergeCell ref="A1:J1"/>
    <mergeCell ref="A2:J2"/>
    <mergeCell ref="A3:J3"/>
    <mergeCell ref="A51:J51"/>
    <mergeCell ref="L5:M5"/>
    <mergeCell ref="L6:M6"/>
    <mergeCell ref="H6:J6"/>
    <mergeCell ref="H5:J5"/>
  </mergeCells>
  <phoneticPr fontId="39" type="noConversion"/>
  <pageMargins left="0.75" right="0.25" top="0.5" bottom="0" header="0.25" footer="0"/>
  <pageSetup paperSize="9" scale="90" firstPageNumber="4" fitToHeight="0" orientation="portrait" useFirstPageNumber="1" r:id="rId1"/>
  <headerFooter>
    <oddHeader>&amp;C&amp;"Arial Black,Regular"&amp;11&amp;P</oddHeader>
  </headerFooter>
  <rowBreaks count="1" manualBreakCount="1">
    <brk id="57" max="6" man="1"/>
  </rowBreaks>
  <cellWatches>
    <cellWatch r="O48"/>
    <cellWatch r="N47"/>
    <cellWatch r="O47"/>
  </cellWatch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29"/>
  <sheetViews>
    <sheetView view="pageBreakPreview" topLeftCell="A105" zoomScaleNormal="100" zoomScaleSheetLayoutView="100" workbookViewId="0">
      <selection activeCell="C31" sqref="C31:L33"/>
    </sheetView>
  </sheetViews>
  <sheetFormatPr defaultColWidth="8.19921875" defaultRowHeight="15.6"/>
  <cols>
    <col min="1" max="1" width="3" style="383" customWidth="1"/>
    <col min="2" max="2" width="6.5" style="383" customWidth="1"/>
    <col min="3" max="3" width="3" style="383" customWidth="1"/>
    <col min="4" max="4" width="14.19921875" style="383" customWidth="1"/>
    <col min="5" max="5" width="9.59765625" style="383" customWidth="1"/>
    <col min="6" max="6" width="9.69921875" style="383" customWidth="1"/>
    <col min="7" max="7" width="11.09765625" style="383" customWidth="1"/>
    <col min="8" max="8" width="12.59765625" style="383" customWidth="1"/>
    <col min="9" max="9" width="1.19921875" style="383" customWidth="1"/>
    <col min="10" max="10" width="12.59765625" style="383" customWidth="1"/>
    <col min="11" max="11" width="1.19921875" style="383" customWidth="1"/>
    <col min="12" max="12" width="17.09765625" style="383" customWidth="1"/>
    <col min="13" max="13" width="14.69921875" style="383" hidden="1" customWidth="1"/>
    <col min="14" max="20" width="0" style="383" hidden="1" customWidth="1"/>
    <col min="21" max="16384" width="8.19921875" style="383"/>
  </cols>
  <sheetData>
    <row r="1" spans="1:13" ht="17.399999999999999">
      <c r="A1" s="2350" t="str">
        <f>'[124]UHF New V2'!A1:J1</f>
        <v>MCB PAKISTAN STOCK MARKET FUND</v>
      </c>
      <c r="B1" s="2350"/>
      <c r="C1" s="2350"/>
      <c r="D1" s="2350"/>
      <c r="E1" s="2350"/>
      <c r="F1" s="2350"/>
      <c r="G1" s="2350"/>
      <c r="H1" s="2350"/>
      <c r="I1" s="2350"/>
      <c r="J1" s="2350"/>
      <c r="K1" s="2350"/>
      <c r="L1" s="2350"/>
      <c r="M1" s="2083"/>
    </row>
    <row r="2" spans="1:13" ht="17.399999999999999">
      <c r="A2" s="2351" t="s">
        <v>2950</v>
      </c>
      <c r="B2" s="2351"/>
      <c r="C2" s="2351"/>
      <c r="D2" s="2351"/>
      <c r="E2" s="2351"/>
      <c r="F2" s="2351"/>
      <c r="G2" s="2351"/>
      <c r="H2" s="2351"/>
      <c r="I2" s="2351"/>
      <c r="J2" s="2351"/>
      <c r="K2" s="2351"/>
      <c r="L2" s="2351"/>
      <c r="M2" s="2083"/>
    </row>
    <row r="3" spans="1:13" ht="16.2">
      <c r="A3" s="2352" t="str">
        <f>IS!A3</f>
        <v>FOR THE QUARTER ENDED SEPTEMBER 30, 2021</v>
      </c>
      <c r="B3" s="2352"/>
      <c r="C3" s="2352"/>
      <c r="D3" s="2352"/>
      <c r="E3" s="2352"/>
      <c r="F3" s="2352"/>
      <c r="G3" s="2352"/>
      <c r="H3" s="2352"/>
      <c r="I3" s="2352"/>
      <c r="J3" s="2352"/>
      <c r="K3" s="2352"/>
      <c r="L3" s="2352"/>
      <c r="M3" s="2083"/>
    </row>
    <row r="4" spans="1:13" ht="10.199999999999999" customHeight="1">
      <c r="A4" s="2083"/>
      <c r="B4" s="2084"/>
      <c r="C4" s="2083"/>
      <c r="D4" s="2083"/>
      <c r="E4" s="2083"/>
      <c r="F4" s="2083"/>
      <c r="G4" s="2083"/>
      <c r="H4" s="2083"/>
      <c r="I4" s="2083"/>
      <c r="J4" s="2083"/>
      <c r="K4" s="2083"/>
      <c r="L4" s="2083"/>
      <c r="M4" s="2083"/>
    </row>
    <row r="5" spans="1:13" ht="10.199999999999999" customHeight="1">
      <c r="A5" s="2083"/>
      <c r="B5" s="2084"/>
      <c r="C5" s="2083"/>
      <c r="D5" s="2083"/>
      <c r="E5" s="2083"/>
      <c r="F5" s="2083"/>
      <c r="G5" s="2083"/>
      <c r="H5" s="2083"/>
      <c r="I5" s="2083"/>
      <c r="J5" s="2083"/>
      <c r="K5" s="2083"/>
      <c r="L5" s="2083"/>
      <c r="M5" s="2083"/>
    </row>
    <row r="6" spans="1:13" ht="15" customHeight="1">
      <c r="A6" s="2085" t="s">
        <v>2543</v>
      </c>
      <c r="B6" s="2086" t="s">
        <v>67</v>
      </c>
      <c r="C6" s="2083"/>
      <c r="D6" s="2086"/>
      <c r="E6" s="2083"/>
      <c r="F6" s="2083"/>
      <c r="G6" s="2083"/>
      <c r="H6" s="2083"/>
      <c r="I6" s="2083"/>
      <c r="J6" s="2083"/>
      <c r="K6" s="2083"/>
      <c r="L6" s="2083"/>
      <c r="M6" s="2083"/>
    </row>
    <row r="7" spans="1:13" ht="10.199999999999999" customHeight="1">
      <c r="A7" s="2083"/>
      <c r="B7" s="2084"/>
      <c r="C7" s="2083"/>
      <c r="D7" s="2083"/>
      <c r="E7" s="2083"/>
      <c r="F7" s="2083"/>
      <c r="G7" s="2083"/>
      <c r="H7" s="2083"/>
      <c r="I7" s="2083"/>
      <c r="J7" s="2083"/>
      <c r="K7" s="2083"/>
      <c r="L7" s="2083"/>
      <c r="M7" s="2083"/>
    </row>
    <row r="8" spans="1:13" ht="15" customHeight="1">
      <c r="A8" s="2083"/>
      <c r="B8" s="2085" t="s">
        <v>2951</v>
      </c>
      <c r="C8" s="2344" t="s">
        <v>2542</v>
      </c>
      <c r="D8" s="2344"/>
      <c r="E8" s="2344"/>
      <c r="F8" s="2344"/>
      <c r="G8" s="2344"/>
      <c r="H8" s="2344"/>
      <c r="I8" s="2344"/>
      <c r="J8" s="2344"/>
      <c r="K8" s="2344"/>
      <c r="L8" s="2344"/>
      <c r="M8" s="2087"/>
    </row>
    <row r="9" spans="1:13" ht="15" customHeight="1">
      <c r="A9" s="2083"/>
      <c r="B9" s="2084"/>
      <c r="C9" s="2344"/>
      <c r="D9" s="2344"/>
      <c r="E9" s="2344"/>
      <c r="F9" s="2344"/>
      <c r="G9" s="2344"/>
      <c r="H9" s="2344"/>
      <c r="I9" s="2344"/>
      <c r="J9" s="2344"/>
      <c r="K9" s="2344"/>
      <c r="L9" s="2344"/>
      <c r="M9" s="2087"/>
    </row>
    <row r="10" spans="1:13" ht="15" customHeight="1">
      <c r="A10" s="2083"/>
      <c r="B10" s="2084"/>
      <c r="C10" s="2344"/>
      <c r="D10" s="2344"/>
      <c r="E10" s="2344"/>
      <c r="F10" s="2344"/>
      <c r="G10" s="2344"/>
      <c r="H10" s="2344"/>
      <c r="I10" s="2344"/>
      <c r="J10" s="2344"/>
      <c r="K10" s="2344"/>
      <c r="L10" s="2344"/>
      <c r="M10" s="2087"/>
    </row>
    <row r="11" spans="1:13" ht="15" customHeight="1">
      <c r="A11" s="2083"/>
      <c r="B11" s="2084"/>
      <c r="C11" s="2344"/>
      <c r="D11" s="2344"/>
      <c r="E11" s="2344"/>
      <c r="F11" s="2344"/>
      <c r="G11" s="2344"/>
      <c r="H11" s="2344"/>
      <c r="I11" s="2344"/>
      <c r="J11" s="2344"/>
      <c r="K11" s="2344"/>
      <c r="L11" s="2344"/>
      <c r="M11" s="2087"/>
    </row>
    <row r="12" spans="1:13" ht="15" customHeight="1">
      <c r="A12" s="2083"/>
      <c r="B12" s="2084"/>
      <c r="C12" s="2344"/>
      <c r="D12" s="2344"/>
      <c r="E12" s="2344"/>
      <c r="F12" s="2344"/>
      <c r="G12" s="2344"/>
      <c r="H12" s="2344"/>
      <c r="I12" s="2344"/>
      <c r="J12" s="2344"/>
      <c r="K12" s="2344"/>
      <c r="L12" s="2344"/>
      <c r="M12" s="2087"/>
    </row>
    <row r="13" spans="1:13" ht="11.7" customHeight="1">
      <c r="A13" s="2083"/>
      <c r="B13" s="2084"/>
      <c r="C13" s="2344"/>
      <c r="D13" s="2344"/>
      <c r="E13" s="2344"/>
      <c r="F13" s="2344"/>
      <c r="G13" s="2344"/>
      <c r="H13" s="2344"/>
      <c r="I13" s="2344"/>
      <c r="J13" s="2344"/>
      <c r="K13" s="2344"/>
      <c r="L13" s="2344"/>
      <c r="M13" s="2087"/>
    </row>
    <row r="14" spans="1:13" ht="10.199999999999999" customHeight="1">
      <c r="A14" s="2083"/>
      <c r="B14" s="2084"/>
      <c r="C14" s="2182"/>
      <c r="D14" s="2182"/>
      <c r="E14" s="2182"/>
      <c r="F14" s="2182"/>
      <c r="G14" s="2182"/>
      <c r="H14" s="2182"/>
      <c r="I14" s="2182"/>
      <c r="J14" s="2182"/>
      <c r="K14" s="2182"/>
      <c r="L14" s="2182"/>
      <c r="M14" s="2087"/>
    </row>
    <row r="15" spans="1:13" ht="15" hidden="1" customHeight="1">
      <c r="A15" s="2083"/>
      <c r="B15" s="2085" t="s">
        <v>2952</v>
      </c>
      <c r="C15" s="2342" t="s">
        <v>2953</v>
      </c>
      <c r="D15" s="2342"/>
      <c r="E15" s="2342"/>
      <c r="F15" s="2342"/>
      <c r="G15" s="2342"/>
      <c r="H15" s="2342"/>
      <c r="I15" s="2342"/>
      <c r="J15" s="2342"/>
      <c r="K15" s="2342"/>
      <c r="L15" s="2342"/>
      <c r="M15" s="2088"/>
    </row>
    <row r="16" spans="1:13" ht="15" hidden="1" customHeight="1">
      <c r="A16" s="2083"/>
      <c r="B16" s="2084"/>
      <c r="C16" s="2342"/>
      <c r="D16" s="2342"/>
      <c r="E16" s="2342"/>
      <c r="F16" s="2342"/>
      <c r="G16" s="2342"/>
      <c r="H16" s="2342"/>
      <c r="I16" s="2342"/>
      <c r="J16" s="2342"/>
      <c r="K16" s="2342"/>
      <c r="L16" s="2342"/>
      <c r="M16" s="2088"/>
    </row>
    <row r="17" spans="1:13" ht="15" hidden="1" customHeight="1">
      <c r="A17" s="2083"/>
      <c r="B17" s="2084"/>
      <c r="C17" s="2342"/>
      <c r="D17" s="2342"/>
      <c r="E17" s="2342"/>
      <c r="F17" s="2342"/>
      <c r="G17" s="2342"/>
      <c r="H17" s="2342"/>
      <c r="I17" s="2342"/>
      <c r="J17" s="2342"/>
      <c r="K17" s="2342"/>
      <c r="L17" s="2342"/>
      <c r="M17" s="2088"/>
    </row>
    <row r="18" spans="1:13" ht="15" customHeight="1">
      <c r="A18" s="2089"/>
      <c r="B18" s="2090" t="s">
        <v>2952</v>
      </c>
      <c r="C18" s="2343" t="s">
        <v>3234</v>
      </c>
      <c r="D18" s="2344"/>
      <c r="E18" s="2344"/>
      <c r="F18" s="2344"/>
      <c r="G18" s="2344"/>
      <c r="H18" s="2344"/>
      <c r="I18" s="2344"/>
      <c r="J18" s="2344"/>
      <c r="K18" s="2344"/>
      <c r="L18" s="2344"/>
      <c r="M18" s="2091"/>
    </row>
    <row r="19" spans="1:13" ht="15" customHeight="1">
      <c r="A19" s="2089"/>
      <c r="B19" s="2090"/>
      <c r="C19" s="2344"/>
      <c r="D19" s="2344"/>
      <c r="E19" s="2344"/>
      <c r="F19" s="2344"/>
      <c r="G19" s="2344"/>
      <c r="H19" s="2344"/>
      <c r="I19" s="2344"/>
      <c r="J19" s="2344"/>
      <c r="K19" s="2344"/>
      <c r="L19" s="2344"/>
      <c r="M19" s="2091"/>
    </row>
    <row r="20" spans="1:13" ht="15" customHeight="1">
      <c r="A20" s="2089"/>
      <c r="B20" s="2092"/>
      <c r="C20" s="2344"/>
      <c r="D20" s="2344"/>
      <c r="E20" s="2344"/>
      <c r="F20" s="2344"/>
      <c r="G20" s="2344"/>
      <c r="H20" s="2344"/>
      <c r="I20" s="2344"/>
      <c r="J20" s="2344"/>
      <c r="K20" s="2344"/>
      <c r="L20" s="2344"/>
      <c r="M20" s="2091"/>
    </row>
    <row r="21" spans="1:13" ht="13.5" customHeight="1">
      <c r="A21" s="2089"/>
      <c r="B21" s="2092"/>
      <c r="C21" s="2344"/>
      <c r="D21" s="2344"/>
      <c r="E21" s="2344"/>
      <c r="F21" s="2344"/>
      <c r="G21" s="2344"/>
      <c r="H21" s="2344"/>
      <c r="I21" s="2344"/>
      <c r="J21" s="2344"/>
      <c r="K21" s="2344"/>
      <c r="L21" s="2344"/>
      <c r="M21" s="2091"/>
    </row>
    <row r="22" spans="1:13" ht="10.199999999999999" customHeight="1">
      <c r="A22" s="2089"/>
      <c r="B22" s="2092"/>
      <c r="C22" s="2091"/>
      <c r="D22" s="2091"/>
      <c r="E22" s="2091"/>
      <c r="F22" s="2091"/>
      <c r="G22" s="2091"/>
      <c r="H22" s="2091"/>
      <c r="I22" s="2091"/>
      <c r="J22" s="2091"/>
      <c r="K22" s="2091"/>
      <c r="L22" s="2091"/>
      <c r="M22" s="2091"/>
    </row>
    <row r="23" spans="1:13" ht="15" customHeight="1">
      <c r="A23" s="2089"/>
      <c r="B23" s="2090" t="s">
        <v>2954</v>
      </c>
      <c r="C23" s="2344" t="s">
        <v>1109</v>
      </c>
      <c r="D23" s="2344"/>
      <c r="E23" s="2344"/>
      <c r="F23" s="2344"/>
      <c r="G23" s="2344"/>
      <c r="H23" s="2344"/>
      <c r="I23" s="2344"/>
      <c r="J23" s="2344"/>
      <c r="K23" s="2344"/>
      <c r="L23" s="2344"/>
      <c r="M23" s="2091"/>
    </row>
    <row r="24" spans="1:13" ht="15" customHeight="1">
      <c r="A24" s="2089"/>
      <c r="B24" s="2090"/>
      <c r="C24" s="2344"/>
      <c r="D24" s="2344"/>
      <c r="E24" s="2344"/>
      <c r="F24" s="2344"/>
      <c r="G24" s="2344"/>
      <c r="H24" s="2344"/>
      <c r="I24" s="2344"/>
      <c r="J24" s="2344"/>
      <c r="K24" s="2344"/>
      <c r="L24" s="2344"/>
      <c r="M24" s="2091"/>
    </row>
    <row r="25" spans="1:13" ht="15" customHeight="1">
      <c r="A25" s="2089"/>
      <c r="B25" s="2090"/>
      <c r="C25" s="2344"/>
      <c r="D25" s="2344"/>
      <c r="E25" s="2344"/>
      <c r="F25" s="2344"/>
      <c r="G25" s="2344"/>
      <c r="H25" s="2344"/>
      <c r="I25" s="2344"/>
      <c r="J25" s="2344"/>
      <c r="K25" s="2344"/>
      <c r="L25" s="2344"/>
      <c r="M25" s="2091"/>
    </row>
    <row r="26" spans="1:13" ht="13.2" customHeight="1">
      <c r="A26" s="2089"/>
      <c r="B26" s="2090"/>
      <c r="C26" s="2344"/>
      <c r="D26" s="2344"/>
      <c r="E26" s="2344"/>
      <c r="F26" s="2344"/>
      <c r="G26" s="2344"/>
      <c r="H26" s="2344"/>
      <c r="I26" s="2344"/>
      <c r="J26" s="2344"/>
      <c r="K26" s="2344"/>
      <c r="L26" s="2344"/>
      <c r="M26" s="2091"/>
    </row>
    <row r="27" spans="1:13" ht="10.199999999999999" customHeight="1">
      <c r="A27" s="2089"/>
      <c r="B27" s="2092"/>
      <c r="C27" s="2091"/>
      <c r="D27" s="2091"/>
      <c r="E27" s="2091"/>
      <c r="F27" s="2091"/>
      <c r="G27" s="2091"/>
      <c r="H27" s="2091"/>
      <c r="I27" s="2091"/>
      <c r="J27" s="2091"/>
      <c r="K27" s="2091"/>
      <c r="L27" s="2091"/>
      <c r="M27" s="2091"/>
    </row>
    <row r="28" spans="1:13" ht="15" customHeight="1">
      <c r="A28" s="2089"/>
      <c r="B28" s="2090" t="s">
        <v>2955</v>
      </c>
      <c r="C28" s="2345" t="s">
        <v>3235</v>
      </c>
      <c r="D28" s="2344"/>
      <c r="E28" s="2344"/>
      <c r="F28" s="2344"/>
      <c r="G28" s="2344"/>
      <c r="H28" s="2344"/>
      <c r="I28" s="2344"/>
      <c r="J28" s="2344"/>
      <c r="K28" s="2344"/>
      <c r="L28" s="2344"/>
      <c r="M28" s="2093"/>
    </row>
    <row r="29" spans="1:13" ht="15" customHeight="1">
      <c r="A29" s="2089"/>
      <c r="B29" s="2090"/>
      <c r="C29" s="2344"/>
      <c r="D29" s="2344"/>
      <c r="E29" s="2344"/>
      <c r="F29" s="2344"/>
      <c r="G29" s="2344"/>
      <c r="H29" s="2344"/>
      <c r="I29" s="2344"/>
      <c r="J29" s="2344"/>
      <c r="K29" s="2344"/>
      <c r="L29" s="2344"/>
      <c r="M29" s="2093"/>
    </row>
    <row r="30" spans="1:13" ht="10.199999999999999" customHeight="1">
      <c r="A30" s="2089"/>
      <c r="B30" s="2092"/>
      <c r="C30" s="2093"/>
      <c r="D30" s="2093"/>
      <c r="E30" s="2093"/>
      <c r="F30" s="2093"/>
      <c r="G30" s="2093"/>
      <c r="H30" s="2093"/>
      <c r="I30" s="2093"/>
      <c r="J30" s="2093"/>
      <c r="K30" s="2093"/>
      <c r="L30" s="2093"/>
      <c r="M30" s="2093"/>
    </row>
    <row r="31" spans="1:13" ht="15" customHeight="1">
      <c r="A31" s="2089"/>
      <c r="B31" s="2090" t="s">
        <v>2956</v>
      </c>
      <c r="C31" s="2344" t="s">
        <v>2411</v>
      </c>
      <c r="D31" s="2344"/>
      <c r="E31" s="2344"/>
      <c r="F31" s="2344"/>
      <c r="G31" s="2344"/>
      <c r="H31" s="2344"/>
      <c r="I31" s="2344"/>
      <c r="J31" s="2344"/>
      <c r="K31" s="2344"/>
      <c r="L31" s="2344"/>
      <c r="M31" s="2091"/>
    </row>
    <row r="32" spans="1:13" ht="15" customHeight="1">
      <c r="A32" s="2089"/>
      <c r="B32" s="2090"/>
      <c r="C32" s="2344"/>
      <c r="D32" s="2344"/>
      <c r="E32" s="2344"/>
      <c r="F32" s="2344"/>
      <c r="G32" s="2344"/>
      <c r="H32" s="2344"/>
      <c r="I32" s="2344"/>
      <c r="J32" s="2344"/>
      <c r="K32" s="2344"/>
      <c r="L32" s="2344"/>
      <c r="M32" s="2091"/>
    </row>
    <row r="33" spans="1:13" ht="15" customHeight="1">
      <c r="A33" s="2089"/>
      <c r="B33" s="2090"/>
      <c r="C33" s="2344"/>
      <c r="D33" s="2344"/>
      <c r="E33" s="2344"/>
      <c r="F33" s="2344"/>
      <c r="G33" s="2344"/>
      <c r="H33" s="2344"/>
      <c r="I33" s="2344"/>
      <c r="J33" s="2344"/>
      <c r="K33" s="2344"/>
      <c r="L33" s="2344"/>
      <c r="M33" s="2091"/>
    </row>
    <row r="34" spans="1:13" ht="10.199999999999999" customHeight="1">
      <c r="A34" s="2089"/>
      <c r="B34" s="2092"/>
      <c r="C34" s="2093"/>
      <c r="D34" s="2093"/>
      <c r="E34" s="2093"/>
      <c r="F34" s="2093"/>
      <c r="G34" s="2093"/>
      <c r="H34" s="2093"/>
      <c r="I34" s="2093"/>
      <c r="J34" s="2093"/>
      <c r="K34" s="2093"/>
      <c r="L34" s="2093"/>
      <c r="M34" s="2093"/>
    </row>
    <row r="35" spans="1:13" ht="15" customHeight="1">
      <c r="A35" s="2094" t="str">
        <f>+A6+1&amp;"."</f>
        <v>2.</v>
      </c>
      <c r="B35" s="2095" t="s">
        <v>68</v>
      </c>
      <c r="C35" s="2083"/>
      <c r="D35" s="2095"/>
      <c r="E35" s="2095"/>
      <c r="F35" s="2095"/>
      <c r="G35" s="2095"/>
      <c r="H35" s="2096"/>
      <c r="I35" s="2096"/>
      <c r="J35" s="2096"/>
      <c r="K35" s="2097"/>
      <c r="L35" s="2096"/>
      <c r="M35" s="2098"/>
    </row>
    <row r="36" spans="1:13" ht="10.199999999999999" customHeight="1">
      <c r="A36" s="2083"/>
      <c r="B36" s="2084"/>
      <c r="C36" s="2083"/>
      <c r="D36" s="2083"/>
      <c r="E36" s="2083"/>
      <c r="F36" s="2083"/>
      <c r="G36" s="2083"/>
      <c r="H36" s="2083"/>
      <c r="I36" s="2083"/>
      <c r="J36" s="2083"/>
      <c r="K36" s="2083"/>
      <c r="L36" s="2083"/>
      <c r="M36" s="2083"/>
    </row>
    <row r="37" spans="1:13">
      <c r="A37" s="2083"/>
      <c r="B37" s="2188">
        <v>2.1</v>
      </c>
      <c r="C37" s="2099" t="s">
        <v>2957</v>
      </c>
      <c r="D37" s="2096"/>
      <c r="E37" s="2096"/>
      <c r="F37" s="2096"/>
      <c r="G37" s="2096"/>
      <c r="H37" s="2096"/>
      <c r="I37" s="2096"/>
      <c r="J37" s="2096"/>
      <c r="K37" s="2097"/>
      <c r="L37" s="2096"/>
      <c r="M37" s="2098"/>
    </row>
    <row r="38" spans="1:13" ht="10.199999999999999" customHeight="1">
      <c r="A38" s="2083"/>
      <c r="B38" s="2188"/>
      <c r="C38" s="2099"/>
      <c r="D38" s="2096"/>
      <c r="E38" s="2096"/>
      <c r="F38" s="2096"/>
      <c r="G38" s="2096"/>
      <c r="H38" s="2096"/>
      <c r="I38" s="2096"/>
      <c r="J38" s="2096"/>
      <c r="K38" s="2097"/>
      <c r="L38" s="2096"/>
      <c r="M38" s="2098"/>
    </row>
    <row r="39" spans="1:13">
      <c r="A39" s="2083"/>
      <c r="B39" s="2187" t="s">
        <v>2829</v>
      </c>
      <c r="C39" s="2349" t="s">
        <v>3164</v>
      </c>
      <c r="D39" s="2349"/>
      <c r="E39" s="2349"/>
      <c r="F39" s="2349"/>
      <c r="G39" s="2349"/>
      <c r="H39" s="2349"/>
      <c r="I39" s="2349"/>
      <c r="J39" s="2349"/>
      <c r="K39" s="2349"/>
      <c r="L39" s="2349"/>
      <c r="M39" s="2098"/>
    </row>
    <row r="40" spans="1:13" s="2104" customFormat="1" ht="13.2">
      <c r="B40" s="2106"/>
      <c r="C40" s="2349"/>
      <c r="D40" s="2349"/>
      <c r="E40" s="2349"/>
      <c r="F40" s="2349"/>
      <c r="G40" s="2349"/>
      <c r="H40" s="2349"/>
      <c r="I40" s="2349"/>
      <c r="J40" s="2349"/>
      <c r="K40" s="2349"/>
      <c r="L40" s="2349"/>
      <c r="M40" s="2108"/>
    </row>
    <row r="41" spans="1:13" ht="10.199999999999999" customHeight="1">
      <c r="A41" s="2083"/>
      <c r="B41" s="2084"/>
      <c r="C41" s="2083"/>
      <c r="D41" s="2083"/>
      <c r="E41" s="2083"/>
      <c r="F41" s="2083"/>
      <c r="G41" s="2083"/>
      <c r="H41" s="2083"/>
      <c r="I41" s="2083"/>
      <c r="J41" s="2083"/>
      <c r="K41" s="2083"/>
      <c r="L41" s="2083"/>
      <c r="M41" s="2083"/>
    </row>
    <row r="42" spans="1:13" s="2104" customFormat="1" ht="13.8">
      <c r="B42" s="2106"/>
      <c r="C42" s="2192" t="s">
        <v>127</v>
      </c>
      <c r="D42" s="2349" t="s">
        <v>3165</v>
      </c>
      <c r="E42" s="2349"/>
      <c r="F42" s="2349"/>
      <c r="G42" s="2349"/>
      <c r="H42" s="2349"/>
      <c r="I42" s="2349"/>
      <c r="J42" s="2349"/>
      <c r="K42" s="2349"/>
      <c r="L42" s="2349"/>
      <c r="M42" s="2108"/>
    </row>
    <row r="43" spans="1:13" s="2104" customFormat="1" ht="13.8">
      <c r="B43" s="2106"/>
      <c r="C43" s="2193"/>
      <c r="D43" s="2349"/>
      <c r="E43" s="2349"/>
      <c r="F43" s="2349"/>
      <c r="G43" s="2349"/>
      <c r="H43" s="2349"/>
      <c r="I43" s="2349"/>
      <c r="J43" s="2349"/>
      <c r="K43" s="2349"/>
      <c r="L43" s="2349"/>
      <c r="M43" s="2108"/>
    </row>
    <row r="44" spans="1:13" ht="10.199999999999999" customHeight="1">
      <c r="A44" s="2083"/>
      <c r="B44" s="2084"/>
      <c r="C44" s="2083"/>
      <c r="D44" s="2083"/>
      <c r="E44" s="2083"/>
      <c r="F44" s="2083"/>
      <c r="G44" s="2083"/>
      <c r="H44" s="2083"/>
      <c r="I44" s="2083"/>
      <c r="J44" s="2083"/>
      <c r="K44" s="2083"/>
      <c r="L44" s="2083"/>
      <c r="M44" s="2083"/>
    </row>
    <row r="45" spans="1:13" s="2104" customFormat="1" ht="13.8">
      <c r="B45" s="2106"/>
      <c r="C45" s="2192" t="s">
        <v>127</v>
      </c>
      <c r="D45" s="2349" t="s">
        <v>3166</v>
      </c>
      <c r="E45" s="2349"/>
      <c r="F45" s="2349"/>
      <c r="G45" s="2349"/>
      <c r="H45" s="2349"/>
      <c r="I45" s="2349"/>
      <c r="J45" s="2349"/>
      <c r="K45" s="2349"/>
      <c r="L45" s="2349"/>
      <c r="M45" s="2108"/>
    </row>
    <row r="46" spans="1:13" s="2104" customFormat="1" ht="15.75" customHeight="1">
      <c r="B46" s="2106"/>
      <c r="C46" s="2192"/>
      <c r="D46" s="2349"/>
      <c r="E46" s="2349"/>
      <c r="F46" s="2349"/>
      <c r="G46" s="2349"/>
      <c r="H46" s="2349"/>
      <c r="I46" s="2349"/>
      <c r="J46" s="2349"/>
      <c r="K46" s="2349"/>
      <c r="L46" s="2349"/>
      <c r="M46" s="2184"/>
    </row>
    <row r="47" spans="1:13" ht="10.199999999999999" customHeight="1">
      <c r="A47" s="2083"/>
      <c r="B47" s="2084"/>
      <c r="C47" s="2083"/>
      <c r="D47" s="2083"/>
      <c r="E47" s="2083"/>
      <c r="F47" s="2083"/>
      <c r="G47" s="2083"/>
      <c r="H47" s="2083"/>
      <c r="I47" s="2083"/>
      <c r="J47" s="2083"/>
      <c r="K47" s="2083"/>
      <c r="L47" s="2083"/>
      <c r="M47" s="2083"/>
    </row>
    <row r="48" spans="1:13" s="2104" customFormat="1" ht="12" customHeight="1">
      <c r="B48" s="2106"/>
      <c r="C48" s="2192" t="s">
        <v>127</v>
      </c>
      <c r="D48" s="2358" t="s">
        <v>3167</v>
      </c>
      <c r="E48" s="2358"/>
      <c r="F48" s="2358"/>
      <c r="G48" s="2358"/>
      <c r="H48" s="2358"/>
      <c r="I48" s="2358"/>
      <c r="J48" s="2358"/>
      <c r="K48" s="2358"/>
      <c r="L48" s="2358"/>
      <c r="M48" s="2108"/>
    </row>
    <row r="49" spans="1:24" s="2104" customFormat="1">
      <c r="B49" s="2106"/>
      <c r="C49" s="2192"/>
      <c r="D49" s="2358"/>
      <c r="E49" s="2358"/>
      <c r="F49" s="2358"/>
      <c r="G49" s="2358"/>
      <c r="H49" s="2358"/>
      <c r="I49" s="2358"/>
      <c r="J49" s="2358"/>
      <c r="K49" s="2358"/>
      <c r="L49" s="2358"/>
      <c r="M49" s="2184"/>
    </row>
    <row r="50" spans="1:24" s="2104" customFormat="1" ht="15" customHeight="1">
      <c r="B50" s="2186"/>
      <c r="C50" s="2191"/>
      <c r="D50" s="2358"/>
      <c r="E50" s="2358"/>
      <c r="F50" s="2358"/>
      <c r="G50" s="2358"/>
      <c r="H50" s="2358"/>
      <c r="I50" s="2358"/>
      <c r="J50" s="2358"/>
      <c r="K50" s="2358"/>
      <c r="L50" s="2358"/>
      <c r="M50" s="2184"/>
    </row>
    <row r="51" spans="1:24" ht="10.199999999999999" customHeight="1">
      <c r="A51" s="2083"/>
      <c r="B51" s="2084"/>
      <c r="C51" s="2083"/>
      <c r="D51" s="2083"/>
      <c r="E51" s="2083"/>
      <c r="F51" s="2083"/>
      <c r="G51" s="2083"/>
      <c r="H51" s="2083"/>
      <c r="I51" s="2083"/>
      <c r="J51" s="2083"/>
      <c r="K51" s="2083"/>
      <c r="L51" s="2083"/>
      <c r="M51" s="2083"/>
    </row>
    <row r="52" spans="1:24" s="2104" customFormat="1" ht="13.2" customHeight="1">
      <c r="B52" s="2186"/>
      <c r="C52" s="2359" t="s">
        <v>2776</v>
      </c>
      <c r="D52" s="2359"/>
      <c r="E52" s="2359"/>
      <c r="F52" s="2359"/>
      <c r="G52" s="2359"/>
      <c r="H52" s="2359"/>
      <c r="I52" s="2359"/>
      <c r="J52" s="2359"/>
      <c r="K52" s="2359"/>
      <c r="L52" s="2359"/>
      <c r="M52" s="2184"/>
    </row>
    <row r="53" spans="1:24" s="2104" customFormat="1" ht="13.2" customHeight="1">
      <c r="B53" s="2186"/>
      <c r="C53" s="2359"/>
      <c r="D53" s="2359"/>
      <c r="E53" s="2359"/>
      <c r="F53" s="2359"/>
      <c r="G53" s="2359"/>
      <c r="H53" s="2359"/>
      <c r="I53" s="2359"/>
      <c r="J53" s="2359"/>
      <c r="K53" s="2359"/>
      <c r="L53" s="2359"/>
      <c r="M53" s="2184"/>
    </row>
    <row r="54" spans="1:24" s="2104" customFormat="1" ht="13.2" customHeight="1">
      <c r="B54" s="2186"/>
      <c r="C54" s="2359"/>
      <c r="D54" s="2359"/>
      <c r="E54" s="2359"/>
      <c r="F54" s="2359"/>
      <c r="G54" s="2359"/>
      <c r="H54" s="2359"/>
      <c r="I54" s="2359"/>
      <c r="J54" s="2359"/>
      <c r="K54" s="2359"/>
      <c r="L54" s="2359"/>
      <c r="M54" s="2184"/>
    </row>
    <row r="55" spans="1:24" s="2104" customFormat="1" ht="13.2" customHeight="1">
      <c r="B55" s="2186"/>
      <c r="C55" s="2359"/>
      <c r="D55" s="2359"/>
      <c r="E55" s="2359"/>
      <c r="F55" s="2359"/>
      <c r="G55" s="2359"/>
      <c r="H55" s="2359"/>
      <c r="I55" s="2359"/>
      <c r="J55" s="2359"/>
      <c r="K55" s="2359"/>
      <c r="L55" s="2359"/>
      <c r="M55" s="2184"/>
    </row>
    <row r="56" spans="1:24" s="2104" customFormat="1" ht="21" customHeight="1">
      <c r="B56" s="2186"/>
      <c r="C56" s="2359"/>
      <c r="D56" s="2359"/>
      <c r="E56" s="2359"/>
      <c r="F56" s="2359"/>
      <c r="G56" s="2359"/>
      <c r="H56" s="2359"/>
      <c r="I56" s="2359"/>
      <c r="J56" s="2359"/>
      <c r="K56" s="2359"/>
      <c r="L56" s="2359"/>
      <c r="M56" s="2184"/>
    </row>
    <row r="57" spans="1:24" ht="10.199999999999999" customHeight="1">
      <c r="A57" s="2083"/>
      <c r="B57" s="2084"/>
      <c r="C57" s="2083"/>
      <c r="D57" s="2083"/>
      <c r="E57" s="2083"/>
      <c r="F57" s="2083"/>
      <c r="G57" s="2083"/>
      <c r="H57" s="2083"/>
      <c r="I57" s="2083"/>
      <c r="J57" s="2083"/>
      <c r="K57" s="2083"/>
      <c r="L57" s="2083"/>
      <c r="M57" s="2083"/>
    </row>
    <row r="58" spans="1:24" s="2104" customFormat="1" ht="13.2" customHeight="1">
      <c r="B58" s="2187" t="s">
        <v>2815</v>
      </c>
      <c r="C58" s="2348" t="s">
        <v>3228</v>
      </c>
      <c r="D58" s="2348"/>
      <c r="E58" s="2348"/>
      <c r="F58" s="2348"/>
      <c r="G58" s="2348"/>
      <c r="H58" s="2348"/>
      <c r="I58" s="2348"/>
      <c r="J58" s="2348"/>
      <c r="K58" s="2348"/>
      <c r="L58" s="2348"/>
      <c r="M58" s="2184"/>
    </row>
    <row r="59" spans="1:24" s="2104" customFormat="1" ht="13.2" customHeight="1">
      <c r="B59" s="2186"/>
      <c r="C59" s="2348"/>
      <c r="D59" s="2348"/>
      <c r="E59" s="2348"/>
      <c r="F59" s="2348"/>
      <c r="G59" s="2348"/>
      <c r="H59" s="2348"/>
      <c r="I59" s="2348"/>
      <c r="J59" s="2348"/>
      <c r="K59" s="2348"/>
      <c r="L59" s="2348"/>
      <c r="M59" s="2184"/>
    </row>
    <row r="60" spans="1:24" s="2104" customFormat="1" ht="18" customHeight="1">
      <c r="B60" s="2186"/>
      <c r="C60" s="2348"/>
      <c r="D60" s="2348"/>
      <c r="E60" s="2348"/>
      <c r="F60" s="2348"/>
      <c r="G60" s="2348"/>
      <c r="H60" s="2348"/>
      <c r="I60" s="2348"/>
      <c r="J60" s="2348"/>
      <c r="K60" s="2348"/>
      <c r="L60" s="2348"/>
      <c r="M60" s="2184"/>
    </row>
    <row r="61" spans="1:24" ht="10.199999999999999" customHeight="1">
      <c r="A61" s="2083"/>
      <c r="B61" s="2084"/>
      <c r="C61" s="2083"/>
      <c r="D61" s="2083"/>
      <c r="E61" s="2083"/>
      <c r="F61" s="2083"/>
      <c r="G61" s="2083"/>
      <c r="H61" s="2083"/>
      <c r="I61" s="2083"/>
      <c r="J61" s="2083"/>
      <c r="K61" s="2083"/>
      <c r="L61" s="2083"/>
      <c r="M61" s="2083"/>
    </row>
    <row r="62" spans="1:24" s="2104" customFormat="1" ht="12" customHeight="1">
      <c r="B62" s="2187" t="s">
        <v>2816</v>
      </c>
      <c r="C62" s="2348" t="s">
        <v>3229</v>
      </c>
      <c r="D62" s="2348"/>
      <c r="E62" s="2348"/>
      <c r="F62" s="2348"/>
      <c r="G62" s="2348"/>
      <c r="H62" s="2348"/>
      <c r="I62" s="2348"/>
      <c r="J62" s="2348"/>
      <c r="K62" s="2348"/>
      <c r="L62" s="2348"/>
      <c r="M62" s="2108"/>
    </row>
    <row r="63" spans="1:24" s="2104" customFormat="1" ht="15" customHeight="1">
      <c r="B63" s="2105"/>
      <c r="C63" s="2348"/>
      <c r="D63" s="2348"/>
      <c r="E63" s="2348"/>
      <c r="F63" s="2348"/>
      <c r="G63" s="2348"/>
      <c r="H63" s="2348"/>
      <c r="I63" s="2348"/>
      <c r="J63" s="2348"/>
      <c r="K63" s="2348"/>
      <c r="L63" s="2348"/>
      <c r="M63" s="2109"/>
    </row>
    <row r="64" spans="1:24" s="2104" customFormat="1" ht="15" customHeight="1">
      <c r="B64" s="2105"/>
      <c r="C64" s="2348"/>
      <c r="D64" s="2348"/>
      <c r="E64" s="2348"/>
      <c r="F64" s="2348"/>
      <c r="G64" s="2348"/>
      <c r="H64" s="2348"/>
      <c r="I64" s="2348"/>
      <c r="J64" s="2348"/>
      <c r="K64" s="2348"/>
      <c r="L64" s="2348"/>
      <c r="M64" s="2109"/>
      <c r="O64" s="2108"/>
      <c r="P64" s="2108"/>
      <c r="Q64" s="2108"/>
      <c r="R64" s="2108"/>
      <c r="S64" s="2108"/>
      <c r="T64" s="2108"/>
      <c r="U64" s="2108"/>
      <c r="V64" s="2108"/>
      <c r="W64" s="2108"/>
      <c r="X64" s="2108"/>
    </row>
    <row r="65" spans="1:24" s="2104" customFormat="1" ht="15" customHeight="1">
      <c r="B65" s="2105"/>
      <c r="C65" s="2348"/>
      <c r="D65" s="2348"/>
      <c r="E65" s="2348"/>
      <c r="F65" s="2348"/>
      <c r="G65" s="2348"/>
      <c r="H65" s="2348"/>
      <c r="I65" s="2348"/>
      <c r="J65" s="2348"/>
      <c r="K65" s="2348"/>
      <c r="L65" s="2348"/>
      <c r="M65" s="2109"/>
      <c r="O65" s="2108"/>
      <c r="P65" s="2108"/>
      <c r="Q65" s="2108"/>
      <c r="R65" s="2108"/>
      <c r="S65" s="2108"/>
      <c r="T65" s="2108"/>
      <c r="U65" s="2108"/>
      <c r="V65" s="2108"/>
      <c r="W65" s="2108"/>
      <c r="X65" s="2108"/>
    </row>
    <row r="66" spans="1:24" s="2104" customFormat="1" ht="29.25" customHeight="1">
      <c r="B66" s="2105"/>
      <c r="C66" s="2348"/>
      <c r="D66" s="2348"/>
      <c r="E66" s="2348"/>
      <c r="F66" s="2348"/>
      <c r="G66" s="2348"/>
      <c r="H66" s="2348"/>
      <c r="I66" s="2348"/>
      <c r="J66" s="2348"/>
      <c r="K66" s="2348"/>
      <c r="L66" s="2348"/>
      <c r="M66" s="2108"/>
      <c r="O66" s="2108"/>
      <c r="P66" s="2108"/>
      <c r="Q66" s="2108"/>
      <c r="R66" s="2108"/>
      <c r="S66" s="2108"/>
      <c r="T66" s="2108"/>
      <c r="U66" s="2108"/>
      <c r="V66" s="2108"/>
      <c r="W66" s="2108"/>
      <c r="X66" s="2108"/>
    </row>
    <row r="67" spans="1:24" s="2104" customFormat="1" ht="12" customHeight="1">
      <c r="B67" s="2105"/>
      <c r="C67" s="2348" t="s">
        <v>2629</v>
      </c>
      <c r="D67" s="2348"/>
      <c r="E67" s="2348"/>
      <c r="F67" s="2348"/>
      <c r="G67" s="2348"/>
      <c r="H67" s="2348"/>
      <c r="I67" s="2348"/>
      <c r="J67" s="2348"/>
      <c r="K67" s="2348"/>
      <c r="L67" s="2348"/>
      <c r="M67" s="2108"/>
      <c r="O67" s="2108"/>
      <c r="P67" s="2108"/>
      <c r="Q67" s="2108"/>
      <c r="R67" s="2108"/>
      <c r="S67" s="2108"/>
      <c r="T67" s="2108"/>
      <c r="U67" s="2108"/>
      <c r="V67" s="2108"/>
      <c r="W67" s="2108"/>
      <c r="X67" s="2108"/>
    </row>
    <row r="68" spans="1:24" s="2104" customFormat="1" ht="15.6" customHeight="1">
      <c r="B68" s="2105"/>
      <c r="C68" s="2348"/>
      <c r="D68" s="2348"/>
      <c r="E68" s="2348"/>
      <c r="F68" s="2348"/>
      <c r="G68" s="2348"/>
      <c r="H68" s="2348"/>
      <c r="I68" s="2348"/>
      <c r="J68" s="2348"/>
      <c r="K68" s="2348"/>
      <c r="L68" s="2348"/>
      <c r="M68" s="2108"/>
      <c r="O68" s="2108"/>
      <c r="P68" s="2108"/>
      <c r="Q68" s="2108"/>
      <c r="R68" s="2108"/>
      <c r="S68" s="2108"/>
      <c r="T68" s="2108"/>
      <c r="U68" s="2108"/>
      <c r="V68" s="2108"/>
      <c r="W68" s="2108"/>
      <c r="X68" s="2108"/>
    </row>
    <row r="69" spans="1:24" ht="15" customHeight="1">
      <c r="A69" s="2101"/>
      <c r="B69" s="2185"/>
      <c r="C69" s="2348"/>
      <c r="D69" s="2348"/>
      <c r="E69" s="2348"/>
      <c r="F69" s="2348"/>
      <c r="G69" s="2348"/>
      <c r="H69" s="2348"/>
      <c r="I69" s="2348"/>
      <c r="J69" s="2348"/>
      <c r="K69" s="2348"/>
      <c r="L69" s="2348"/>
      <c r="M69" s="2103"/>
    </row>
    <row r="70" spans="1:24" ht="10.199999999999999" customHeight="1">
      <c r="A70" s="2083"/>
      <c r="B70" s="2084"/>
      <c r="C70" s="2083"/>
      <c r="D70" s="2083"/>
      <c r="E70" s="2083"/>
      <c r="F70" s="2083"/>
      <c r="G70" s="2083"/>
      <c r="H70" s="2083"/>
      <c r="I70" s="2083"/>
      <c r="J70" s="2083"/>
      <c r="K70" s="2083"/>
      <c r="L70" s="2083"/>
      <c r="M70" s="2083"/>
    </row>
    <row r="71" spans="1:24" ht="15" customHeight="1">
      <c r="A71" s="2103"/>
      <c r="B71" s="2185"/>
      <c r="C71" s="2348" t="s">
        <v>3168</v>
      </c>
      <c r="D71" s="2348"/>
      <c r="E71" s="2348"/>
      <c r="F71" s="2348"/>
      <c r="G71" s="2348"/>
      <c r="H71" s="2348"/>
      <c r="I71" s="2348"/>
      <c r="J71" s="2348"/>
      <c r="K71" s="2348"/>
      <c r="L71" s="2348"/>
      <c r="M71" s="2100"/>
    </row>
    <row r="72" spans="1:24" ht="13.5" customHeight="1">
      <c r="A72" s="2103"/>
      <c r="B72" s="2185"/>
      <c r="C72" s="2348"/>
      <c r="D72" s="2348"/>
      <c r="E72" s="2348"/>
      <c r="F72" s="2348"/>
      <c r="G72" s="2348"/>
      <c r="H72" s="2348"/>
      <c r="I72" s="2348"/>
      <c r="J72" s="2348"/>
      <c r="K72" s="2348"/>
      <c r="L72" s="2348"/>
      <c r="M72" s="2100"/>
    </row>
    <row r="73" spans="1:24" ht="10.199999999999999" customHeight="1">
      <c r="A73" s="2083"/>
      <c r="B73" s="2084"/>
      <c r="C73" s="2083"/>
      <c r="D73" s="2083"/>
      <c r="E73" s="2083"/>
      <c r="F73" s="2083"/>
      <c r="G73" s="2083"/>
      <c r="H73" s="2083"/>
      <c r="I73" s="2083"/>
      <c r="J73" s="2083"/>
      <c r="K73" s="2083"/>
      <c r="L73" s="2083"/>
      <c r="M73" s="2083"/>
    </row>
    <row r="74" spans="1:24" ht="15" customHeight="1">
      <c r="A74" s="2103"/>
      <c r="B74" s="2189" t="s">
        <v>3170</v>
      </c>
      <c r="C74" s="2194" t="s">
        <v>2820</v>
      </c>
      <c r="D74" s="2195"/>
      <c r="E74" s="2195"/>
      <c r="F74" s="2195"/>
      <c r="G74" s="2116"/>
      <c r="H74" s="2195"/>
      <c r="I74" s="2195"/>
      <c r="J74" s="2196"/>
      <c r="K74" s="2117"/>
      <c r="L74" s="2117"/>
      <c r="M74" s="2110"/>
    </row>
    <row r="75" spans="1:24" ht="15" customHeight="1">
      <c r="A75" s="2103"/>
      <c r="B75" s="2185"/>
      <c r="C75" s="2347" t="s">
        <v>2821</v>
      </c>
      <c r="D75" s="2347"/>
      <c r="E75" s="2347"/>
      <c r="F75" s="2347"/>
      <c r="G75" s="2347"/>
      <c r="H75" s="2347"/>
      <c r="I75" s="2347"/>
      <c r="J75" s="2347"/>
      <c r="K75" s="2347"/>
      <c r="L75" s="2347"/>
      <c r="M75" s="2110"/>
    </row>
    <row r="76" spans="1:24" ht="15" customHeight="1">
      <c r="A76" s="2103"/>
      <c r="B76" s="2185"/>
      <c r="C76" s="2347"/>
      <c r="D76" s="2347"/>
      <c r="E76" s="2347"/>
      <c r="F76" s="2347"/>
      <c r="G76" s="2347"/>
      <c r="H76" s="2347"/>
      <c r="I76" s="2347"/>
      <c r="J76" s="2347"/>
      <c r="K76" s="2347"/>
      <c r="L76" s="2347"/>
      <c r="M76" s="2110"/>
    </row>
    <row r="77" spans="1:24" ht="10.199999999999999" customHeight="1">
      <c r="A77" s="2083"/>
      <c r="B77" s="2084"/>
      <c r="C77" s="2083"/>
      <c r="D77" s="2083"/>
      <c r="E77" s="2083"/>
      <c r="F77" s="2083"/>
      <c r="G77" s="2083"/>
      <c r="H77" s="2083"/>
      <c r="I77" s="2083"/>
      <c r="J77" s="2083"/>
      <c r="K77" s="2083"/>
      <c r="L77" s="2083"/>
      <c r="M77" s="2083"/>
    </row>
    <row r="78" spans="1:24">
      <c r="A78" s="2103"/>
      <c r="B78" s="2189" t="s">
        <v>3171</v>
      </c>
      <c r="C78" s="2194" t="s">
        <v>2822</v>
      </c>
      <c r="D78" s="2195"/>
      <c r="E78" s="2195"/>
      <c r="F78" s="2195"/>
      <c r="G78" s="2116"/>
      <c r="H78" s="2195"/>
      <c r="I78" s="2195"/>
      <c r="J78" s="2196"/>
      <c r="K78" s="2183"/>
      <c r="L78" s="2110"/>
      <c r="M78" s="2110"/>
    </row>
    <row r="79" spans="1:24">
      <c r="A79" s="2103"/>
      <c r="B79" s="2185"/>
      <c r="C79" s="2347" t="s">
        <v>2823</v>
      </c>
      <c r="D79" s="2347"/>
      <c r="E79" s="2347"/>
      <c r="F79" s="2347"/>
      <c r="G79" s="2347"/>
      <c r="H79" s="2347"/>
      <c r="I79" s="2347"/>
      <c r="J79" s="2347"/>
      <c r="K79" s="2347"/>
      <c r="L79" s="2347"/>
      <c r="M79" s="2110"/>
    </row>
    <row r="80" spans="1:24">
      <c r="A80" s="2103"/>
      <c r="B80" s="2185"/>
      <c r="C80" s="2347"/>
      <c r="D80" s="2347"/>
      <c r="E80" s="2347"/>
      <c r="F80" s="2347"/>
      <c r="G80" s="2347"/>
      <c r="H80" s="2347"/>
      <c r="I80" s="2347"/>
      <c r="J80" s="2347"/>
      <c r="K80" s="2347"/>
      <c r="L80" s="2347"/>
      <c r="M80" s="2099"/>
    </row>
    <row r="81" spans="1:13" ht="10.199999999999999" customHeight="1">
      <c r="A81" s="2083"/>
      <c r="B81" s="2084"/>
      <c r="C81" s="2083"/>
      <c r="D81" s="2083"/>
      <c r="E81" s="2083"/>
      <c r="F81" s="2083"/>
      <c r="G81" s="2083"/>
      <c r="H81" s="2083"/>
      <c r="I81" s="2083"/>
      <c r="J81" s="2083"/>
      <c r="K81" s="2083"/>
      <c r="L81" s="2083"/>
      <c r="M81" s="2083"/>
    </row>
    <row r="82" spans="1:13" ht="15.6" customHeight="1">
      <c r="A82" s="2190" t="s">
        <v>2824</v>
      </c>
      <c r="B82" s="2095" t="s">
        <v>2825</v>
      </c>
      <c r="C82" s="2107"/>
      <c r="D82" s="2197"/>
      <c r="E82" s="2197"/>
      <c r="F82" s="2197"/>
      <c r="G82" s="2197"/>
      <c r="H82" s="2197"/>
      <c r="I82" s="2197"/>
      <c r="J82" s="2197"/>
      <c r="K82" s="2114"/>
      <c r="L82" s="2107"/>
    </row>
    <row r="83" spans="1:13" ht="10.199999999999999" customHeight="1">
      <c r="A83" s="2083"/>
      <c r="B83" s="2084"/>
      <c r="C83" s="2083"/>
      <c r="D83" s="2083"/>
      <c r="E83" s="2083"/>
      <c r="F83" s="2083"/>
      <c r="G83" s="2083"/>
      <c r="H83" s="2083"/>
      <c r="I83" s="2083"/>
      <c r="J83" s="2083"/>
      <c r="K83" s="2083"/>
      <c r="L83" s="2083"/>
      <c r="M83" s="2083"/>
    </row>
    <row r="84" spans="1:13" ht="15.6" customHeight="1">
      <c r="A84" s="1592"/>
      <c r="B84" s="2189" t="s">
        <v>3172</v>
      </c>
      <c r="C84" s="2346" t="s">
        <v>3230</v>
      </c>
      <c r="D84" s="2346"/>
      <c r="E84" s="2346"/>
      <c r="F84" s="2346"/>
      <c r="G84" s="2346"/>
      <c r="H84" s="2346"/>
      <c r="I84" s="2346"/>
      <c r="J84" s="2346"/>
      <c r="K84" s="2346"/>
      <c r="L84" s="2346"/>
    </row>
    <row r="85" spans="1:13" ht="31.5" customHeight="1">
      <c r="A85" s="1592"/>
      <c r="B85" s="2185"/>
      <c r="C85" s="2346"/>
      <c r="D85" s="2346"/>
      <c r="E85" s="2346"/>
      <c r="F85" s="2346"/>
      <c r="G85" s="2346"/>
      <c r="H85" s="2346"/>
      <c r="I85" s="2346"/>
      <c r="J85" s="2346"/>
      <c r="K85" s="2346"/>
      <c r="L85" s="2346"/>
    </row>
    <row r="86" spans="1:13" ht="10.199999999999999" customHeight="1">
      <c r="A86" s="2083"/>
      <c r="B86" s="2084"/>
      <c r="C86" s="2083"/>
      <c r="D86" s="2083"/>
      <c r="E86" s="2083"/>
      <c r="F86" s="2083"/>
      <c r="G86" s="2083"/>
      <c r="H86" s="2083"/>
      <c r="I86" s="2083"/>
      <c r="J86" s="2083"/>
      <c r="K86" s="2083"/>
      <c r="L86" s="2083"/>
      <c r="M86" s="2083"/>
    </row>
    <row r="87" spans="1:13" ht="31.95" customHeight="1">
      <c r="A87" s="1592"/>
      <c r="B87" s="2189" t="s">
        <v>3173</v>
      </c>
      <c r="C87" s="2346" t="s">
        <v>3169</v>
      </c>
      <c r="D87" s="2346"/>
      <c r="E87" s="2346"/>
      <c r="F87" s="2346"/>
      <c r="G87" s="2346"/>
      <c r="H87" s="2346"/>
      <c r="I87" s="2346"/>
      <c r="J87" s="2346"/>
      <c r="K87" s="2346"/>
      <c r="L87" s="2346"/>
    </row>
    <row r="88" spans="1:13" ht="15.6" customHeight="1">
      <c r="A88" s="1592"/>
      <c r="B88" s="2185"/>
      <c r="C88" s="2346"/>
      <c r="D88" s="2346"/>
      <c r="E88" s="2346"/>
      <c r="F88" s="2346"/>
      <c r="G88" s="2346"/>
      <c r="H88" s="2346"/>
      <c r="I88" s="2346"/>
      <c r="J88" s="2346"/>
      <c r="K88" s="2346"/>
      <c r="L88" s="2346"/>
    </row>
    <row r="89" spans="1:13" ht="10.199999999999999" customHeight="1">
      <c r="A89" s="2083"/>
      <c r="B89" s="2084"/>
      <c r="C89" s="2083"/>
      <c r="D89" s="2083"/>
      <c r="E89" s="2083"/>
      <c r="F89" s="2083"/>
      <c r="G89" s="2083"/>
      <c r="H89" s="2083"/>
      <c r="I89" s="2083"/>
      <c r="J89" s="2083"/>
      <c r="K89" s="2083"/>
      <c r="L89" s="2083"/>
      <c r="M89" s="2083"/>
    </row>
    <row r="90" spans="1:13" ht="15.6" customHeight="1">
      <c r="A90" s="2189" t="s">
        <v>2546</v>
      </c>
      <c r="B90" s="2197" t="s">
        <v>2827</v>
      </c>
      <c r="D90" s="2197"/>
      <c r="E90" s="2197"/>
      <c r="F90" s="2197"/>
      <c r="G90" s="2197"/>
      <c r="H90" s="2197"/>
      <c r="I90" s="2197"/>
      <c r="J90" s="2197"/>
      <c r="K90" s="2198"/>
      <c r="L90" s="2107"/>
    </row>
    <row r="91" spans="1:13" ht="15.6" customHeight="1">
      <c r="A91" s="1592"/>
      <c r="B91" s="2185"/>
      <c r="C91" s="2346" t="s">
        <v>3233</v>
      </c>
      <c r="D91" s="2346"/>
      <c r="E91" s="2346"/>
      <c r="F91" s="2346"/>
      <c r="G91" s="2346"/>
      <c r="H91" s="2346"/>
      <c r="I91" s="2346"/>
      <c r="J91" s="2346"/>
      <c r="K91" s="2346"/>
      <c r="L91" s="2346"/>
    </row>
    <row r="92" spans="1:13" ht="15.6" customHeight="1">
      <c r="A92" s="1592"/>
      <c r="B92" s="2185"/>
      <c r="C92" s="2346"/>
      <c r="D92" s="2346"/>
      <c r="E92" s="2346"/>
      <c r="F92" s="2346"/>
      <c r="G92" s="2346"/>
      <c r="H92" s="2346"/>
      <c r="I92" s="2346"/>
      <c r="J92" s="2346"/>
      <c r="K92" s="2346"/>
      <c r="L92" s="2346"/>
    </row>
    <row r="93" spans="1:13">
      <c r="A93" s="1592"/>
      <c r="B93" s="2185"/>
      <c r="C93" s="2346"/>
      <c r="D93" s="2346"/>
      <c r="E93" s="2346"/>
      <c r="F93" s="2346"/>
      <c r="G93" s="2346"/>
      <c r="H93" s="2346"/>
      <c r="I93" s="2346"/>
      <c r="J93" s="2346"/>
      <c r="K93" s="2346"/>
      <c r="L93" s="2346"/>
    </row>
    <row r="94" spans="1:13">
      <c r="A94" s="1592"/>
      <c r="B94" s="2185"/>
      <c r="C94" s="2346"/>
      <c r="D94" s="2346"/>
      <c r="E94" s="2346"/>
      <c r="F94" s="2346"/>
      <c r="G94" s="2346"/>
      <c r="H94" s="2346"/>
      <c r="I94" s="2346"/>
      <c r="J94" s="2346"/>
      <c r="K94" s="2346"/>
      <c r="L94" s="2346"/>
    </row>
    <row r="95" spans="1:13">
      <c r="A95" s="1592"/>
      <c r="B95" s="2185"/>
      <c r="C95" s="2346"/>
      <c r="D95" s="2346"/>
      <c r="E95" s="2346"/>
      <c r="F95" s="2346"/>
      <c r="G95" s="2346"/>
      <c r="H95" s="2346"/>
      <c r="I95" s="2346"/>
      <c r="J95" s="2346"/>
      <c r="K95" s="2346"/>
      <c r="L95" s="2346"/>
    </row>
    <row r="96" spans="1:13" ht="10.199999999999999" customHeight="1">
      <c r="A96" s="1592"/>
      <c r="B96" s="2185"/>
      <c r="C96" s="2346"/>
      <c r="D96" s="2346"/>
      <c r="E96" s="2346"/>
      <c r="F96" s="2346"/>
      <c r="G96" s="2346"/>
      <c r="H96" s="2346"/>
      <c r="I96" s="2346"/>
      <c r="J96" s="2346"/>
      <c r="K96" s="2346"/>
      <c r="L96" s="2346"/>
    </row>
    <row r="97" spans="1:14" ht="10.199999999999999" customHeight="1">
      <c r="A97" s="2083"/>
      <c r="B97" s="2084"/>
      <c r="C97" s="2083"/>
      <c r="D97" s="2083"/>
      <c r="E97" s="2083"/>
      <c r="F97" s="2083"/>
      <c r="G97" s="2083"/>
      <c r="H97" s="2083"/>
      <c r="I97" s="2083"/>
      <c r="J97" s="2083"/>
      <c r="K97" s="2083"/>
      <c r="L97" s="2083"/>
      <c r="M97" s="2083"/>
    </row>
    <row r="98" spans="1:14" ht="15" customHeight="1">
      <c r="A98" s="2189" t="s">
        <v>2550</v>
      </c>
      <c r="B98" s="2199" t="s">
        <v>2828</v>
      </c>
      <c r="D98" s="2199"/>
      <c r="E98" s="2199"/>
      <c r="F98" s="2199"/>
      <c r="G98" s="2199"/>
      <c r="H98" s="2199"/>
      <c r="I98" s="2199"/>
      <c r="J98" s="2199"/>
      <c r="K98" s="2111"/>
      <c r="L98" s="2111"/>
    </row>
    <row r="99" spans="1:14" ht="10.199999999999999" customHeight="1">
      <c r="A99" s="2083"/>
      <c r="B99" s="2084"/>
      <c r="C99" s="2083"/>
      <c r="D99" s="2083"/>
      <c r="E99" s="2083"/>
      <c r="F99" s="2083"/>
      <c r="G99" s="2083"/>
      <c r="H99" s="2083"/>
      <c r="I99" s="2083"/>
      <c r="J99" s="2083"/>
      <c r="K99" s="2083"/>
      <c r="L99" s="2083"/>
      <c r="M99" s="2083"/>
    </row>
    <row r="100" spans="1:14" ht="10.199999999999999" customHeight="1">
      <c r="B100" s="2185"/>
      <c r="C100" s="2346" t="s">
        <v>3231</v>
      </c>
      <c r="D100" s="2346"/>
      <c r="E100" s="2346"/>
      <c r="F100" s="2346"/>
      <c r="G100" s="2346"/>
      <c r="H100" s="2346"/>
      <c r="I100" s="2346"/>
      <c r="J100" s="2346"/>
      <c r="K100" s="2346"/>
      <c r="L100" s="2346"/>
    </row>
    <row r="101" spans="1:14" ht="18.75" customHeight="1">
      <c r="B101" s="2185"/>
      <c r="C101" s="2346"/>
      <c r="D101" s="2346"/>
      <c r="E101" s="2346"/>
      <c r="F101" s="2346"/>
      <c r="G101" s="2346"/>
      <c r="H101" s="2346"/>
      <c r="I101" s="2346"/>
      <c r="J101" s="2346"/>
      <c r="K101" s="2346"/>
      <c r="L101" s="2346"/>
    </row>
    <row r="102" spans="1:14" ht="10.199999999999999" customHeight="1">
      <c r="A102" s="2083"/>
      <c r="B102" s="2084"/>
      <c r="C102" s="2083"/>
      <c r="D102" s="2083"/>
      <c r="E102" s="2083"/>
      <c r="F102" s="2083"/>
      <c r="G102" s="2083"/>
      <c r="H102" s="2083"/>
      <c r="I102" s="2083"/>
      <c r="J102" s="2083"/>
      <c r="K102" s="2083"/>
      <c r="L102" s="2083"/>
      <c r="M102" s="2083"/>
    </row>
    <row r="103" spans="1:14" ht="15" customHeight="1">
      <c r="A103" s="2096"/>
      <c r="B103" s="2118"/>
      <c r="C103" s="2118"/>
      <c r="D103" s="2118"/>
      <c r="E103" s="2118"/>
      <c r="F103" s="2118"/>
      <c r="G103" s="2118"/>
      <c r="H103" s="2118"/>
      <c r="I103" s="2118"/>
      <c r="J103" s="2200" t="s">
        <v>631</v>
      </c>
      <c r="K103" s="2201"/>
      <c r="L103" s="2202" t="s">
        <v>630</v>
      </c>
      <c r="M103" s="2096"/>
    </row>
    <row r="104" spans="1:14" s="2126" customFormat="1" ht="15" customHeight="1">
      <c r="A104" s="2119"/>
      <c r="B104" s="2120"/>
      <c r="C104" s="2121"/>
      <c r="D104" s="2122"/>
      <c r="E104" s="2122"/>
      <c r="F104" s="2122"/>
      <c r="G104" s="2122"/>
      <c r="H104" s="2122"/>
      <c r="I104" s="2122"/>
      <c r="J104" s="2123" t="s">
        <v>2958</v>
      </c>
      <c r="K104" s="2124"/>
      <c r="L104" s="2123" t="s">
        <v>2496</v>
      </c>
      <c r="M104" s="2125"/>
    </row>
    <row r="105" spans="1:14" s="2126" customFormat="1" ht="15" customHeight="1">
      <c r="A105" s="2119"/>
      <c r="B105" s="2120"/>
      <c r="C105" s="2121"/>
      <c r="D105" s="2127"/>
      <c r="E105" s="2122"/>
      <c r="F105" s="2122"/>
      <c r="G105" s="2122"/>
      <c r="H105" s="2122"/>
      <c r="I105" s="2122"/>
      <c r="J105" s="2128">
        <v>2021</v>
      </c>
      <c r="K105" s="2129"/>
      <c r="L105" s="2128">
        <v>2021</v>
      </c>
      <c r="M105" s="2130"/>
    </row>
    <row r="106" spans="1:14" s="2126" customFormat="1" ht="15" customHeight="1">
      <c r="A106" s="2119"/>
      <c r="B106" s="2120"/>
      <c r="C106" s="2119"/>
      <c r="D106" s="2119"/>
      <c r="E106" s="2119"/>
      <c r="F106" s="2119"/>
      <c r="G106" s="2119"/>
      <c r="H106" s="2131" t="s">
        <v>51</v>
      </c>
      <c r="I106" s="2131"/>
      <c r="J106" s="2360" t="s">
        <v>2583</v>
      </c>
      <c r="K106" s="2360"/>
      <c r="L106" s="2360"/>
      <c r="M106" s="2125"/>
    </row>
    <row r="107" spans="1:14" s="2126" customFormat="1" ht="15" customHeight="1">
      <c r="A107" s="2132" t="s">
        <v>2573</v>
      </c>
      <c r="B107" s="2133" t="s">
        <v>36</v>
      </c>
      <c r="C107" s="2119"/>
      <c r="D107" s="2119"/>
      <c r="E107" s="2119"/>
      <c r="F107" s="2119"/>
      <c r="G107" s="2119"/>
      <c r="H107" s="2119"/>
      <c r="I107" s="2119"/>
      <c r="J107" s="2119"/>
      <c r="K107" s="2119"/>
      <c r="L107" s="2119"/>
      <c r="M107" s="2125"/>
    </row>
    <row r="108" spans="1:14" ht="15" customHeight="1">
      <c r="A108" s="2134"/>
      <c r="B108" s="2135"/>
      <c r="C108" s="2083"/>
      <c r="D108" s="2083"/>
      <c r="E108" s="2083"/>
      <c r="F108" s="2083"/>
      <c r="G108" s="2083"/>
      <c r="H108" s="2083"/>
      <c r="I108" s="2083"/>
      <c r="J108" s="2083"/>
      <c r="K108" s="2083"/>
      <c r="L108" s="2083"/>
      <c r="M108" s="2115"/>
      <c r="N108" s="383">
        <f>63.12+12.629</f>
        <v>75.748999999999995</v>
      </c>
    </row>
    <row r="109" spans="1:14" ht="15" customHeight="1">
      <c r="A109" s="2134"/>
      <c r="B109" s="2134" t="s">
        <v>2548</v>
      </c>
      <c r="C109" s="2083"/>
      <c r="D109" s="2083"/>
      <c r="E109" s="2083"/>
      <c r="F109" s="2083"/>
      <c r="G109" s="2083"/>
      <c r="H109" s="2136">
        <v>6.1</v>
      </c>
      <c r="I109" s="2136"/>
      <c r="J109" s="1757">
        <f>'TB-31 Dec'!G8</f>
        <v>19255</v>
      </c>
      <c r="K109" s="1624"/>
      <c r="L109" s="1690">
        <v>21217</v>
      </c>
      <c r="M109" s="1592"/>
    </row>
    <row r="110" spans="1:14" ht="15" customHeight="1">
      <c r="A110" s="2083"/>
      <c r="B110" s="2137" t="s">
        <v>2549</v>
      </c>
      <c r="C110" s="2083"/>
      <c r="D110" s="2083"/>
      <c r="E110" s="2083"/>
      <c r="F110" s="2083"/>
      <c r="G110" s="2083"/>
      <c r="H110" s="2136">
        <v>6.2</v>
      </c>
      <c r="I110" s="2136"/>
      <c r="J110" s="1757">
        <f>'TB-31 Dec'!G7</f>
        <v>666859</v>
      </c>
      <c r="K110" s="1624"/>
      <c r="L110" s="1690">
        <v>244115</v>
      </c>
      <c r="M110" s="2138">
        <f>J110*1000*0.01</f>
        <v>6668590</v>
      </c>
    </row>
    <row r="111" spans="1:14" ht="15" customHeight="1" thickBot="1">
      <c r="A111" s="2083"/>
      <c r="B111" s="2084"/>
      <c r="C111" s="2083"/>
      <c r="D111" s="2083"/>
      <c r="E111" s="2083"/>
      <c r="F111" s="2083"/>
      <c r="G111" s="2083"/>
      <c r="H111" s="2083"/>
      <c r="I111" s="2083"/>
      <c r="J111" s="2139">
        <f>SUM(J109:J110)</f>
        <v>686114</v>
      </c>
      <c r="K111" s="1624"/>
      <c r="L111" s="2140">
        <f>SUM(L109:L110)</f>
        <v>265332</v>
      </c>
      <c r="M111" s="1592"/>
    </row>
    <row r="112" spans="1:14" ht="10.199999999999999" customHeight="1" thickTop="1">
      <c r="C112" s="2112"/>
      <c r="D112" s="2113"/>
      <c r="E112" s="2113"/>
      <c r="F112" s="2113"/>
      <c r="G112" s="2113"/>
      <c r="H112" s="2113"/>
      <c r="I112" s="2113"/>
      <c r="J112" s="2113"/>
      <c r="K112" s="2113"/>
    </row>
    <row r="113" spans="1:15" ht="30" customHeight="1">
      <c r="A113" s="2083"/>
      <c r="B113" s="2084">
        <f>H109</f>
        <v>6.1</v>
      </c>
      <c r="C113" s="2353" t="s">
        <v>3242</v>
      </c>
      <c r="D113" s="2353"/>
      <c r="E113" s="2353"/>
      <c r="F113" s="2353"/>
      <c r="G113" s="2353"/>
      <c r="H113" s="2353"/>
      <c r="I113" s="2353"/>
      <c r="J113" s="2353"/>
      <c r="K113" s="2353"/>
      <c r="L113" s="2353"/>
      <c r="M113" s="2102"/>
      <c r="O113" s="383">
        <v>12.609</v>
      </c>
    </row>
    <row r="114" spans="1:15" ht="10.199999999999999" customHeight="1" thickBot="1">
      <c r="C114" s="2112"/>
      <c r="D114" s="2113"/>
      <c r="E114" s="2113"/>
      <c r="F114" s="2113"/>
      <c r="G114" s="2113"/>
      <c r="H114" s="2113"/>
      <c r="I114" s="2113"/>
      <c r="J114" s="2113"/>
      <c r="K114" s="2113"/>
    </row>
    <row r="115" spans="1:15" ht="15" customHeight="1">
      <c r="A115" s="2083"/>
      <c r="B115" s="2135">
        <f>H110</f>
        <v>6.2</v>
      </c>
      <c r="C115" s="2357" t="s">
        <v>3304</v>
      </c>
      <c r="D115" s="2357"/>
      <c r="E115" s="2357"/>
      <c r="F115" s="2357"/>
      <c r="G115" s="2357"/>
      <c r="H115" s="2357"/>
      <c r="I115" s="2357"/>
      <c r="J115" s="2357"/>
      <c r="K115" s="2357"/>
      <c r="L115" s="2357"/>
      <c r="M115" s="2354"/>
      <c r="O115" s="383">
        <f>SUM(O113:O114)</f>
        <v>12.609</v>
      </c>
    </row>
    <row r="116" spans="1:15" ht="15" customHeight="1">
      <c r="A116" s="2083"/>
      <c r="B116" s="2135"/>
      <c r="C116" s="2357"/>
      <c r="D116" s="2357"/>
      <c r="E116" s="2357"/>
      <c r="F116" s="2357"/>
      <c r="G116" s="2357"/>
      <c r="H116" s="2357"/>
      <c r="I116" s="2357"/>
      <c r="J116" s="2357"/>
      <c r="K116" s="2357"/>
      <c r="L116" s="2357"/>
      <c r="M116" s="2355"/>
    </row>
    <row r="117" spans="1:15" ht="15" customHeight="1">
      <c r="A117" s="2083"/>
      <c r="B117" s="2135"/>
      <c r="C117" s="2357"/>
      <c r="D117" s="2357"/>
      <c r="E117" s="2357"/>
      <c r="F117" s="2357"/>
      <c r="G117" s="2357"/>
      <c r="H117" s="2357"/>
      <c r="I117" s="2357"/>
      <c r="J117" s="2357"/>
      <c r="K117" s="2357"/>
      <c r="L117" s="2357"/>
      <c r="M117" s="2355"/>
    </row>
    <row r="118" spans="1:15" ht="15" customHeight="1" thickBot="1">
      <c r="A118" s="2083"/>
      <c r="B118" s="2135"/>
      <c r="C118" s="2357"/>
      <c r="D118" s="2357"/>
      <c r="E118" s="2357"/>
      <c r="F118" s="2357"/>
      <c r="G118" s="2357"/>
      <c r="H118" s="2357"/>
      <c r="I118" s="2357"/>
      <c r="J118" s="2357"/>
      <c r="K118" s="2357"/>
      <c r="L118" s="2357"/>
      <c r="M118" s="2356"/>
    </row>
    <row r="119" spans="1:15" ht="10.199999999999999" customHeight="1">
      <c r="A119" s="2083"/>
      <c r="B119" s="2084"/>
      <c r="C119" s="2083"/>
      <c r="D119" s="2083"/>
      <c r="E119" s="2083"/>
      <c r="F119" s="2083"/>
      <c r="G119" s="2083"/>
      <c r="H119" s="2083"/>
      <c r="I119" s="2083"/>
      <c r="J119" s="2083"/>
      <c r="K119" s="2083"/>
      <c r="L119" s="2083"/>
      <c r="M119" s="2083"/>
    </row>
    <row r="120" spans="1:15" ht="15" customHeight="1">
      <c r="A120" s="2141">
        <f>A107+1</f>
        <v>7</v>
      </c>
      <c r="B120" s="2142" t="s">
        <v>234</v>
      </c>
      <c r="C120" s="2083"/>
      <c r="D120" s="2083"/>
      <c r="E120" s="2083"/>
      <c r="F120" s="2083"/>
      <c r="G120" s="2083"/>
      <c r="H120" s="2083"/>
      <c r="I120" s="2083"/>
      <c r="J120" s="2083"/>
      <c r="K120" s="2083"/>
      <c r="L120" s="2083"/>
      <c r="M120" s="2102"/>
    </row>
    <row r="121" spans="1:15" ht="10.199999999999999" customHeight="1">
      <c r="C121" s="2112"/>
      <c r="D121" s="2113"/>
      <c r="E121" s="2113"/>
      <c r="F121" s="2113"/>
      <c r="G121" s="2113"/>
      <c r="H121" s="2113"/>
      <c r="I121" s="2113"/>
      <c r="J121" s="2113"/>
      <c r="K121" s="2113"/>
    </row>
    <row r="122" spans="1:15" ht="15" customHeight="1">
      <c r="A122" s="2083"/>
      <c r="B122" s="1660" t="s">
        <v>311</v>
      </c>
      <c r="C122" s="2083"/>
      <c r="D122" s="2083"/>
      <c r="E122" s="2083"/>
      <c r="F122" s="2083"/>
      <c r="G122" s="2083"/>
      <c r="H122" s="2083"/>
      <c r="I122" s="2083"/>
      <c r="J122" s="2083"/>
      <c r="K122" s="2083"/>
      <c r="L122" s="2083"/>
      <c r="M122" s="2087"/>
    </row>
    <row r="123" spans="1:15" ht="15" customHeight="1">
      <c r="A123" s="2083"/>
      <c r="B123" s="1826" t="s">
        <v>307</v>
      </c>
      <c r="C123" s="2083"/>
      <c r="D123" s="2083"/>
      <c r="E123" s="2083"/>
      <c r="F123" s="2083"/>
      <c r="G123" s="2083"/>
      <c r="H123" s="1683">
        <v>7.1</v>
      </c>
      <c r="I123" s="1683"/>
      <c r="J123" s="1827">
        <f>'5-5.1.1'!I155</f>
        <v>11260226.018000003</v>
      </c>
      <c r="K123" s="1446"/>
      <c r="L123" s="1668">
        <v>11903844</v>
      </c>
      <c r="M123" s="2083"/>
    </row>
    <row r="124" spans="1:15" ht="15" customHeight="1">
      <c r="A124" s="2083"/>
      <c r="B124" s="1826" t="s">
        <v>2630</v>
      </c>
      <c r="C124" s="2083"/>
      <c r="D124" s="2083"/>
      <c r="E124" s="2083"/>
      <c r="F124" s="2083"/>
      <c r="G124" s="2083"/>
      <c r="H124" s="1683">
        <v>7.2</v>
      </c>
      <c r="I124" s="1683"/>
      <c r="J124" s="1827">
        <f>'5.2'!J62</f>
        <v>0</v>
      </c>
      <c r="K124" s="1446"/>
      <c r="L124" s="2143">
        <v>0</v>
      </c>
      <c r="M124" s="2087"/>
    </row>
    <row r="125" spans="1:15" ht="15" customHeight="1" thickBot="1">
      <c r="A125" s="2083"/>
      <c r="B125" s="1695"/>
      <c r="C125" s="2083"/>
      <c r="D125" s="2083"/>
      <c r="E125" s="2083"/>
      <c r="F125" s="2083"/>
      <c r="G125" s="2083"/>
      <c r="H125" s="1683"/>
      <c r="I125" s="1683"/>
      <c r="J125" s="2139">
        <f>J123+J124</f>
        <v>11260226.018000003</v>
      </c>
      <c r="K125" s="1446"/>
      <c r="L125" s="2140">
        <f>L123+L124</f>
        <v>11903844</v>
      </c>
      <c r="M125" s="2087"/>
    </row>
    <row r="126" spans="1:15" ht="12.6" hidden="1" customHeight="1" thickTop="1">
      <c r="A126" s="2083"/>
      <c r="B126" s="1660" t="s">
        <v>72</v>
      </c>
      <c r="C126" s="2083"/>
      <c r="D126" s="2083"/>
      <c r="E126" s="2083"/>
      <c r="F126" s="2083"/>
      <c r="G126" s="2083"/>
      <c r="H126" s="1683"/>
      <c r="I126" s="1683"/>
      <c r="J126" s="1827"/>
      <c r="K126" s="1446"/>
      <c r="L126" s="1668"/>
      <c r="M126" s="2087"/>
    </row>
    <row r="127" spans="1:15" ht="6.6" hidden="1" customHeight="1" thickTop="1">
      <c r="A127" s="2083"/>
      <c r="B127" s="1826" t="s">
        <v>307</v>
      </c>
      <c r="C127" s="2083"/>
      <c r="D127" s="2083"/>
      <c r="E127" s="2083"/>
      <c r="F127" s="2083"/>
      <c r="G127" s="2083"/>
      <c r="H127" s="1683">
        <v>6.3</v>
      </c>
      <c r="I127" s="1683"/>
      <c r="J127" s="1827">
        <f>'[124]6.2-6.3'!G82</f>
        <v>0</v>
      </c>
      <c r="K127" s="1446"/>
      <c r="L127" s="1668">
        <v>1309693</v>
      </c>
      <c r="M127" s="2087"/>
    </row>
    <row r="128" spans="1:15" ht="6" hidden="1" customHeight="1" thickTop="1" thickBot="1">
      <c r="A128" s="2083"/>
      <c r="B128" s="2084"/>
      <c r="C128" s="2083"/>
      <c r="D128" s="2083"/>
      <c r="E128" s="2083"/>
      <c r="F128" s="2083"/>
      <c r="G128" s="2083"/>
      <c r="H128" s="1692"/>
      <c r="I128" s="1692"/>
      <c r="J128" s="2139">
        <f>J127+J125</f>
        <v>11260226.018000003</v>
      </c>
      <c r="K128" s="1446"/>
      <c r="L128" s="2140">
        <f>L127+L125</f>
        <v>13213537</v>
      </c>
      <c r="M128" s="2087"/>
    </row>
    <row r="129" ht="16.2" thickTop="1"/>
  </sheetData>
  <mergeCells count="29">
    <mergeCell ref="C113:L113"/>
    <mergeCell ref="M115:M118"/>
    <mergeCell ref="C115:L118"/>
    <mergeCell ref="D45:L46"/>
    <mergeCell ref="D48:L50"/>
    <mergeCell ref="C52:L56"/>
    <mergeCell ref="C58:L60"/>
    <mergeCell ref="J106:L106"/>
    <mergeCell ref="A1:L1"/>
    <mergeCell ref="A2:L2"/>
    <mergeCell ref="A3:L3"/>
    <mergeCell ref="C8:L13"/>
    <mergeCell ref="C15:L16"/>
    <mergeCell ref="C17:L17"/>
    <mergeCell ref="C18:L21"/>
    <mergeCell ref="C23:L26"/>
    <mergeCell ref="C28:L29"/>
    <mergeCell ref="C100:L101"/>
    <mergeCell ref="C79:L80"/>
    <mergeCell ref="C84:L85"/>
    <mergeCell ref="C87:L88"/>
    <mergeCell ref="C91:L96"/>
    <mergeCell ref="C62:L66"/>
    <mergeCell ref="C39:L40"/>
    <mergeCell ref="D42:L43"/>
    <mergeCell ref="C67:L69"/>
    <mergeCell ref="C75:L76"/>
    <mergeCell ref="C71:L72"/>
    <mergeCell ref="C31:L33"/>
  </mergeCells>
  <pageMargins left="0.75" right="0.25" top="0.75" bottom="0" header="0.25" footer="0"/>
  <pageSetup paperSize="9" scale="85" firstPageNumber="6" fitToHeight="6" orientation="portrait" useFirstPageNumber="1" r:id="rId1"/>
  <headerFooter differentFirst="1">
    <oddHeader>&amp;C&amp;"Arial Black,Regular"&amp;11&amp;P&amp;R&amp;"Arial Black,Regular"&amp;10MCB PAKISTAN STOCK MARKET FUND</oddHeader>
    <firstHeader>&amp;C&amp;"Arial Black,Bold"&amp;11&amp;P</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43"/>
  <sheetViews>
    <sheetView view="pageBreakPreview" topLeftCell="A599" zoomScaleSheetLayoutView="100" workbookViewId="0">
      <selection activeCell="L603" sqref="L603"/>
    </sheetView>
  </sheetViews>
  <sheetFormatPr defaultColWidth="9" defaultRowHeight="13.8"/>
  <cols>
    <col min="1" max="1" width="3.69921875" style="1592" customWidth="1"/>
    <col min="2" max="2" width="5.09765625" style="1592" customWidth="1"/>
    <col min="3" max="3" width="11.5" style="1592" customWidth="1"/>
    <col min="4" max="5" width="9" style="1592"/>
    <col min="6" max="6" width="7.69921875" style="1592" customWidth="1"/>
    <col min="7" max="7" width="7" style="1592" customWidth="1"/>
    <col min="8" max="8" width="11.19921875" style="1592" bestFit="1" customWidth="1"/>
    <col min="9" max="9" width="11.19921875" style="1592" customWidth="1"/>
    <col min="10" max="10" width="12.69921875" style="1592" customWidth="1"/>
    <col min="11" max="11" width="1" style="1592" customWidth="1"/>
    <col min="12" max="12" width="14.19921875" style="1592" customWidth="1"/>
    <col min="13" max="13" width="10.5" style="1592" bestFit="1" customWidth="1"/>
    <col min="14" max="16384" width="9" style="1592"/>
  </cols>
  <sheetData>
    <row r="1" spans="1:12" ht="18.75" customHeight="1">
      <c r="A1" s="2352" t="str">
        <f>BS!$A$1</f>
        <v>MCB PAKISTAN STOCK MARKET FUND</v>
      </c>
      <c r="B1" s="2352"/>
      <c r="C1" s="2352"/>
      <c r="D1" s="2352"/>
      <c r="E1" s="2352"/>
      <c r="F1" s="2352"/>
      <c r="G1" s="2352"/>
      <c r="H1" s="2352"/>
      <c r="I1" s="2352"/>
      <c r="J1" s="2352"/>
      <c r="K1" s="2352"/>
      <c r="L1" s="2352"/>
    </row>
    <row r="2" spans="1:12" ht="18.75" customHeight="1">
      <c r="A2" s="2352" t="s">
        <v>627</v>
      </c>
      <c r="B2" s="2352"/>
      <c r="C2" s="2352"/>
      <c r="D2" s="2352"/>
      <c r="E2" s="2352"/>
      <c r="F2" s="2352"/>
      <c r="G2" s="2352"/>
      <c r="H2" s="2352"/>
      <c r="I2" s="2352"/>
      <c r="J2" s="2352"/>
      <c r="K2" s="2352"/>
      <c r="L2" s="2352"/>
    </row>
    <row r="3" spans="1:12" ht="18.75" customHeight="1">
      <c r="A3" s="2352" t="str">
        <f>IS!A3</f>
        <v>FOR THE QUARTER ENDED SEPTEMBER 30, 2021</v>
      </c>
      <c r="B3" s="2352"/>
      <c r="C3" s="2352"/>
      <c r="D3" s="2352"/>
      <c r="E3" s="2352"/>
      <c r="F3" s="2352"/>
      <c r="G3" s="2352"/>
      <c r="H3" s="2352"/>
      <c r="I3" s="2352"/>
      <c r="J3" s="2352"/>
      <c r="K3" s="2352"/>
      <c r="L3" s="2352"/>
    </row>
    <row r="4" spans="1:12">
      <c r="B4" s="1658"/>
      <c r="C4" s="1658"/>
      <c r="D4" s="1658"/>
      <c r="E4" s="1659"/>
      <c r="F4" s="1659"/>
      <c r="G4" s="1659"/>
      <c r="H4" s="1659"/>
      <c r="I4" s="1659"/>
      <c r="J4" s="1659"/>
      <c r="K4" s="1659"/>
      <c r="L4" s="1659"/>
    </row>
    <row r="5" spans="1:12">
      <c r="A5" s="1660" t="s">
        <v>2543</v>
      </c>
      <c r="B5" s="1658" t="s">
        <v>67</v>
      </c>
      <c r="D5" s="1658"/>
      <c r="E5" s="1659"/>
      <c r="F5" s="1659"/>
      <c r="G5" s="1659"/>
      <c r="H5" s="1659"/>
      <c r="I5" s="1659"/>
      <c r="J5" s="1659"/>
      <c r="K5" s="1659"/>
      <c r="L5" s="1659"/>
    </row>
    <row r="6" spans="1:12">
      <c r="B6" s="1661"/>
      <c r="C6" s="1659"/>
      <c r="D6" s="1659"/>
      <c r="E6" s="1659"/>
      <c r="F6" s="1659"/>
      <c r="G6" s="1659"/>
      <c r="H6" s="1659"/>
      <c r="I6" s="1659"/>
      <c r="J6" s="1659"/>
      <c r="K6" s="1659"/>
      <c r="L6" s="1659"/>
    </row>
    <row r="7" spans="1:12">
      <c r="B7" s="1662">
        <v>1.1000000000000001</v>
      </c>
      <c r="C7" s="2367" t="s">
        <v>2542</v>
      </c>
      <c r="D7" s="2367"/>
      <c r="E7" s="2367"/>
      <c r="F7" s="2367"/>
      <c r="G7" s="2367"/>
      <c r="H7" s="2367"/>
      <c r="I7" s="2367"/>
      <c r="J7" s="2367"/>
      <c r="K7" s="2367"/>
      <c r="L7" s="2367"/>
    </row>
    <row r="8" spans="1:12">
      <c r="B8" s="1663"/>
      <c r="C8" s="2367"/>
      <c r="D8" s="2367"/>
      <c r="E8" s="2367"/>
      <c r="F8" s="2367"/>
      <c r="G8" s="2367"/>
      <c r="H8" s="2367"/>
      <c r="I8" s="2367"/>
      <c r="J8" s="2367"/>
      <c r="K8" s="2367"/>
      <c r="L8" s="2367"/>
    </row>
    <row r="9" spans="1:12">
      <c r="B9" s="1663"/>
      <c r="C9" s="2367"/>
      <c r="D9" s="2367"/>
      <c r="E9" s="2367"/>
      <c r="F9" s="2367"/>
      <c r="G9" s="2367"/>
      <c r="H9" s="2367"/>
      <c r="I9" s="2367"/>
      <c r="J9" s="2367"/>
      <c r="K9" s="2367"/>
      <c r="L9" s="2367"/>
    </row>
    <row r="10" spans="1:12">
      <c r="B10" s="1663"/>
      <c r="C10" s="2367"/>
      <c r="D10" s="2367"/>
      <c r="E10" s="2367"/>
      <c r="F10" s="2367"/>
      <c r="G10" s="2367"/>
      <c r="H10" s="2367"/>
      <c r="I10" s="2367"/>
      <c r="J10" s="2367"/>
      <c r="K10" s="2367"/>
      <c r="L10" s="2367"/>
    </row>
    <row r="11" spans="1:12">
      <c r="B11" s="1663"/>
      <c r="C11" s="2367"/>
      <c r="D11" s="2367"/>
      <c r="E11" s="2367"/>
      <c r="F11" s="2367"/>
      <c r="G11" s="2367"/>
      <c r="H11" s="2367"/>
      <c r="I11" s="2367"/>
      <c r="J11" s="2367"/>
      <c r="K11" s="2367"/>
      <c r="L11" s="2367"/>
    </row>
    <row r="12" spans="1:12">
      <c r="B12" s="1663"/>
      <c r="C12" s="2367"/>
      <c r="D12" s="2367"/>
      <c r="E12" s="2367"/>
      <c r="F12" s="2367"/>
      <c r="G12" s="2367"/>
      <c r="H12" s="2367"/>
      <c r="I12" s="2367"/>
      <c r="J12" s="2367"/>
      <c r="K12" s="2367"/>
      <c r="L12" s="2367"/>
    </row>
    <row r="13" spans="1:12">
      <c r="B13" s="1663"/>
      <c r="C13" s="1664"/>
      <c r="D13" s="1664"/>
      <c r="E13" s="1664"/>
      <c r="F13" s="1664"/>
      <c r="G13" s="1664"/>
      <c r="H13" s="1664"/>
      <c r="I13" s="1664"/>
      <c r="J13" s="1664"/>
      <c r="K13" s="1665"/>
      <c r="L13" s="1665"/>
    </row>
    <row r="14" spans="1:12">
      <c r="B14" s="1662">
        <v>1.2</v>
      </c>
      <c r="C14" s="2367" t="s">
        <v>1021</v>
      </c>
      <c r="D14" s="2367"/>
      <c r="E14" s="2367"/>
      <c r="F14" s="2367"/>
      <c r="G14" s="2367"/>
      <c r="H14" s="2367"/>
      <c r="I14" s="2367"/>
      <c r="J14" s="2367"/>
      <c r="K14" s="2367"/>
      <c r="L14" s="2367"/>
    </row>
    <row r="15" spans="1:12">
      <c r="B15" s="1663"/>
      <c r="C15" s="2367"/>
      <c r="D15" s="2367"/>
      <c r="E15" s="2367"/>
      <c r="F15" s="2367"/>
      <c r="G15" s="2367"/>
      <c r="H15" s="2367"/>
      <c r="I15" s="2367"/>
      <c r="J15" s="2367"/>
      <c r="K15" s="2367"/>
      <c r="L15" s="2367"/>
    </row>
    <row r="16" spans="1:12">
      <c r="B16" s="1663"/>
      <c r="C16" s="2367"/>
      <c r="D16" s="2367"/>
      <c r="E16" s="2367"/>
      <c r="F16" s="2367"/>
      <c r="G16" s="2367"/>
      <c r="H16" s="2367"/>
      <c r="I16" s="2367"/>
      <c r="J16" s="2367"/>
      <c r="K16" s="2367"/>
      <c r="L16" s="2367"/>
    </row>
    <row r="17" spans="1:12">
      <c r="B17" s="1663"/>
      <c r="C17" s="2367"/>
      <c r="D17" s="2367"/>
      <c r="E17" s="2367"/>
      <c r="F17" s="2367"/>
      <c r="G17" s="2367"/>
      <c r="H17" s="2367"/>
      <c r="I17" s="2367"/>
      <c r="J17" s="2367"/>
      <c r="K17" s="2367"/>
      <c r="L17" s="2367"/>
    </row>
    <row r="18" spans="1:12">
      <c r="B18" s="1663"/>
      <c r="C18" s="1666"/>
      <c r="D18" s="1666"/>
      <c r="E18" s="1667"/>
      <c r="F18" s="1667"/>
      <c r="G18" s="1667"/>
      <c r="H18" s="1667"/>
      <c r="I18" s="1667"/>
      <c r="J18" s="1667"/>
      <c r="K18" s="1668"/>
      <c r="L18" s="1668"/>
    </row>
    <row r="19" spans="1:12">
      <c r="B19" s="1662">
        <v>1.3</v>
      </c>
      <c r="C19" s="2361" t="s">
        <v>1109</v>
      </c>
      <c r="D19" s="2361"/>
      <c r="E19" s="2361"/>
      <c r="F19" s="2361"/>
      <c r="G19" s="2361"/>
      <c r="H19" s="2361"/>
      <c r="I19" s="2361"/>
      <c r="J19" s="2361"/>
      <c r="K19" s="2361"/>
      <c r="L19" s="2361"/>
    </row>
    <row r="20" spans="1:12">
      <c r="B20" s="1663"/>
      <c r="C20" s="2361"/>
      <c r="D20" s="2361"/>
      <c r="E20" s="2361"/>
      <c r="F20" s="2361"/>
      <c r="G20" s="2361"/>
      <c r="H20" s="2361"/>
      <c r="I20" s="2361"/>
      <c r="J20" s="2361"/>
      <c r="K20" s="2361"/>
      <c r="L20" s="2361"/>
    </row>
    <row r="21" spans="1:12">
      <c r="B21" s="1663"/>
      <c r="C21" s="2361"/>
      <c r="D21" s="2361"/>
      <c r="E21" s="2361"/>
      <c r="F21" s="2361"/>
      <c r="G21" s="2361"/>
      <c r="H21" s="2361"/>
      <c r="I21" s="2361"/>
      <c r="J21" s="2361"/>
      <c r="K21" s="2361"/>
      <c r="L21" s="2361"/>
    </row>
    <row r="22" spans="1:12">
      <c r="B22" s="1663"/>
      <c r="C22" s="2361"/>
      <c r="D22" s="2361"/>
      <c r="E22" s="2361"/>
      <c r="F22" s="2361"/>
      <c r="G22" s="2361"/>
      <c r="H22" s="2361"/>
      <c r="I22" s="2361"/>
      <c r="J22" s="2361"/>
      <c r="K22" s="2361"/>
      <c r="L22" s="2361"/>
    </row>
    <row r="23" spans="1:12">
      <c r="B23" s="1663"/>
      <c r="C23" s="1669"/>
      <c r="D23" s="1669"/>
      <c r="E23" s="1669"/>
      <c r="F23" s="1669"/>
      <c r="G23" s="1669"/>
      <c r="H23" s="1669"/>
      <c r="I23" s="1669"/>
      <c r="J23" s="1669"/>
      <c r="K23" s="1669"/>
      <c r="L23" s="1669"/>
    </row>
    <row r="24" spans="1:12">
      <c r="B24" s="1662">
        <v>1.4</v>
      </c>
      <c r="C24" s="2361" t="s">
        <v>2809</v>
      </c>
      <c r="D24" s="2361"/>
      <c r="E24" s="2361"/>
      <c r="F24" s="2361"/>
      <c r="G24" s="2361"/>
      <c r="H24" s="2361"/>
      <c r="I24" s="2361"/>
      <c r="J24" s="2361"/>
      <c r="K24" s="2361"/>
      <c r="L24" s="2361"/>
    </row>
    <row r="25" spans="1:12" ht="11.25" customHeight="1">
      <c r="B25" s="1663"/>
      <c r="C25" s="2361"/>
      <c r="D25" s="2361"/>
      <c r="E25" s="2361"/>
      <c r="F25" s="2361"/>
      <c r="G25" s="2361"/>
      <c r="H25" s="2361"/>
      <c r="I25" s="2361"/>
      <c r="J25" s="2361"/>
      <c r="K25" s="2361"/>
      <c r="L25" s="2361"/>
    </row>
    <row r="26" spans="1:12" ht="11.25" customHeight="1">
      <c r="B26" s="1663"/>
      <c r="C26" s="2070"/>
      <c r="D26" s="2070"/>
      <c r="E26" s="2070"/>
      <c r="F26" s="2070"/>
      <c r="G26" s="2070"/>
      <c r="H26" s="2070"/>
      <c r="I26" s="2070"/>
      <c r="J26" s="2070"/>
      <c r="K26" s="2070"/>
      <c r="L26" s="2070"/>
    </row>
    <row r="27" spans="1:12">
      <c r="B27" s="1662">
        <v>1.5</v>
      </c>
      <c r="C27" s="2361" t="s">
        <v>2411</v>
      </c>
      <c r="D27" s="2361"/>
      <c r="E27" s="2361"/>
      <c r="F27" s="2361"/>
      <c r="G27" s="2361"/>
      <c r="H27" s="2361"/>
      <c r="I27" s="2361"/>
      <c r="J27" s="2361"/>
      <c r="K27" s="2361"/>
      <c r="L27" s="2361"/>
    </row>
    <row r="28" spans="1:12">
      <c r="B28" s="1662"/>
      <c r="C28" s="2361"/>
      <c r="D28" s="2361"/>
      <c r="E28" s="2361"/>
      <c r="F28" s="2361"/>
      <c r="G28" s="2361"/>
      <c r="H28" s="2361"/>
      <c r="I28" s="2361"/>
      <c r="J28" s="2361"/>
      <c r="K28" s="2361"/>
      <c r="L28" s="2361"/>
    </row>
    <row r="29" spans="1:12" s="2022" customFormat="1">
      <c r="B29" s="1663"/>
      <c r="C29" s="2361"/>
      <c r="D29" s="2361"/>
      <c r="E29" s="2361"/>
      <c r="F29" s="2361"/>
      <c r="G29" s="2361"/>
      <c r="H29" s="2361"/>
      <c r="I29" s="2361"/>
      <c r="J29" s="2361"/>
      <c r="K29" s="2361"/>
      <c r="L29" s="2361"/>
    </row>
    <row r="30" spans="1:12" s="2022" customFormat="1">
      <c r="B30" s="1663"/>
      <c r="C30" s="1670"/>
      <c r="D30" s="1670"/>
      <c r="E30" s="1670"/>
      <c r="F30" s="1670"/>
      <c r="G30" s="1670"/>
      <c r="H30" s="1670"/>
      <c r="I30" s="1670"/>
      <c r="J30" s="1670"/>
      <c r="K30" s="1670"/>
      <c r="L30" s="1670"/>
    </row>
    <row r="31" spans="1:12" s="2022" customFormat="1">
      <c r="A31" s="1660" t="s">
        <v>2544</v>
      </c>
      <c r="B31" s="1671" t="s">
        <v>68</v>
      </c>
      <c r="D31" s="1671"/>
      <c r="E31" s="1672"/>
      <c r="F31" s="1672"/>
      <c r="G31" s="1672"/>
      <c r="H31" s="1672"/>
      <c r="I31" s="1672"/>
      <c r="J31" s="1672"/>
      <c r="K31" s="1659"/>
      <c r="L31" s="1659"/>
    </row>
    <row r="32" spans="1:12">
      <c r="B32" s="1661"/>
      <c r="C32" s="1659"/>
      <c r="D32" s="1659"/>
      <c r="E32" s="1672"/>
      <c r="F32" s="1672"/>
      <c r="G32" s="1672"/>
      <c r="H32" s="1672"/>
      <c r="I32" s="1672"/>
      <c r="J32" s="1672"/>
      <c r="K32" s="1659"/>
      <c r="L32" s="1659"/>
    </row>
    <row r="33" spans="2:12" ht="15" customHeight="1">
      <c r="B33" s="1661">
        <v>2.1</v>
      </c>
      <c r="C33" s="2046" t="s">
        <v>2810</v>
      </c>
      <c r="D33" s="1667"/>
      <c r="E33" s="1667"/>
      <c r="F33" s="1667"/>
      <c r="G33" s="1667"/>
      <c r="H33" s="1667"/>
      <c r="I33" s="1667"/>
      <c r="J33" s="1667"/>
      <c r="K33" s="1667"/>
      <c r="L33" s="1667"/>
    </row>
    <row r="34" spans="2:12">
      <c r="B34" s="1661"/>
      <c r="C34" s="1667"/>
      <c r="D34" s="1667"/>
      <c r="E34" s="1667"/>
      <c r="F34" s="1667"/>
      <c r="G34" s="1667"/>
      <c r="H34" s="1667"/>
      <c r="I34" s="1667"/>
      <c r="J34" s="1667"/>
      <c r="K34" s="1667"/>
      <c r="L34" s="1667"/>
    </row>
    <row r="35" spans="2:12" ht="5.25" customHeight="1">
      <c r="B35" s="1661"/>
      <c r="C35" s="1667"/>
      <c r="D35" s="1667"/>
      <c r="E35" s="1667"/>
      <c r="F35" s="1667"/>
      <c r="G35" s="1667"/>
      <c r="H35" s="1667"/>
      <c r="I35" s="1667"/>
      <c r="J35" s="1667"/>
      <c r="K35" s="1667"/>
      <c r="L35" s="1667"/>
    </row>
    <row r="36" spans="2:12" ht="12" customHeight="1">
      <c r="B36" s="1995" t="s">
        <v>2829</v>
      </c>
      <c r="C36" s="2363" t="s">
        <v>2811</v>
      </c>
      <c r="D36" s="2363"/>
      <c r="E36" s="2363"/>
      <c r="F36" s="2363"/>
      <c r="G36" s="2363"/>
      <c r="H36" s="2363"/>
      <c r="I36" s="2363"/>
      <c r="J36" s="2363"/>
      <c r="K36" s="2363"/>
      <c r="L36" s="2363"/>
    </row>
    <row r="37" spans="2:12">
      <c r="B37" s="1661"/>
      <c r="C37" s="2363"/>
      <c r="D37" s="2363"/>
      <c r="E37" s="2363"/>
      <c r="F37" s="2363"/>
      <c r="G37" s="2363"/>
      <c r="H37" s="2363"/>
      <c r="I37" s="2363"/>
      <c r="J37" s="2363"/>
      <c r="K37" s="2363"/>
      <c r="L37" s="2363"/>
    </row>
    <row r="38" spans="2:12" ht="10.5" customHeight="1">
      <c r="B38" s="1661"/>
      <c r="C38" s="2363"/>
      <c r="D38" s="2363"/>
      <c r="E38" s="2363"/>
      <c r="F38" s="2363"/>
      <c r="G38" s="2363"/>
      <c r="H38" s="2363"/>
      <c r="I38" s="2363"/>
      <c r="J38" s="2363"/>
      <c r="K38" s="2363"/>
      <c r="L38" s="2363"/>
    </row>
    <row r="39" spans="2:12" ht="22.5" customHeight="1">
      <c r="B39" s="2047" t="s">
        <v>127</v>
      </c>
      <c r="C39" s="2363" t="s">
        <v>2812</v>
      </c>
      <c r="D39" s="2363"/>
      <c r="E39" s="2363"/>
      <c r="F39" s="2363"/>
      <c r="G39" s="2363"/>
      <c r="H39" s="2363"/>
      <c r="I39" s="2363"/>
      <c r="J39" s="2363"/>
      <c r="K39" s="2363"/>
      <c r="L39" s="2363"/>
    </row>
    <row r="40" spans="2:12" s="2022" customFormat="1">
      <c r="B40" s="1661"/>
      <c r="C40" s="2363"/>
      <c r="D40" s="2363"/>
      <c r="E40" s="2363"/>
      <c r="F40" s="2363"/>
      <c r="G40" s="2363"/>
      <c r="H40" s="2363"/>
      <c r="I40" s="2363"/>
      <c r="J40" s="2363"/>
      <c r="K40" s="2363"/>
      <c r="L40" s="2363"/>
    </row>
    <row r="41" spans="2:12" s="2022" customFormat="1">
      <c r="B41" s="2047" t="s">
        <v>127</v>
      </c>
      <c r="C41" s="2364" t="s">
        <v>2813</v>
      </c>
      <c r="D41" s="2364"/>
      <c r="E41" s="2364"/>
      <c r="F41" s="2364"/>
      <c r="G41" s="2364"/>
      <c r="H41" s="2364"/>
      <c r="I41" s="2364"/>
      <c r="J41" s="2364"/>
      <c r="K41" s="2364"/>
      <c r="L41" s="2364"/>
    </row>
    <row r="42" spans="2:12" s="2022" customFormat="1">
      <c r="B42" s="1661"/>
      <c r="C42" s="2364"/>
      <c r="D42" s="2364"/>
      <c r="E42" s="2364"/>
      <c r="F42" s="2364"/>
      <c r="G42" s="2364"/>
      <c r="H42" s="2364"/>
      <c r="I42" s="2364"/>
      <c r="J42" s="2364"/>
      <c r="K42" s="2364"/>
      <c r="L42" s="2364"/>
    </row>
    <row r="43" spans="2:12" s="2022" customFormat="1">
      <c r="B43" s="1661"/>
      <c r="C43" s="2023"/>
      <c r="D43" s="1441"/>
      <c r="E43" s="1441"/>
      <c r="F43" s="1441"/>
      <c r="G43" s="1441"/>
      <c r="H43" s="1441"/>
      <c r="I43" s="1441"/>
      <c r="J43" s="1441"/>
      <c r="K43" s="1441"/>
      <c r="L43" s="1659"/>
    </row>
    <row r="44" spans="2:12" s="2022" customFormat="1">
      <c r="B44" s="2047" t="s">
        <v>127</v>
      </c>
      <c r="C44" s="2364" t="s">
        <v>2814</v>
      </c>
      <c r="D44" s="2364"/>
      <c r="E44" s="2364"/>
      <c r="F44" s="2364"/>
      <c r="G44" s="2364"/>
      <c r="H44" s="2364"/>
      <c r="I44" s="2364"/>
      <c r="J44" s="2364"/>
      <c r="K44" s="2364"/>
      <c r="L44" s="2364"/>
    </row>
    <row r="45" spans="2:12" s="2022" customFormat="1">
      <c r="B45" s="1661"/>
      <c r="C45" s="2364"/>
      <c r="D45" s="2364"/>
      <c r="E45" s="2364"/>
      <c r="F45" s="2364"/>
      <c r="G45" s="2364"/>
      <c r="H45" s="2364"/>
      <c r="I45" s="2364"/>
      <c r="J45" s="2364"/>
      <c r="K45" s="2364"/>
      <c r="L45" s="2364"/>
    </row>
    <row r="46" spans="2:12" s="2022" customFormat="1">
      <c r="B46" s="1661"/>
      <c r="C46" s="2023"/>
      <c r="D46" s="1441"/>
      <c r="E46" s="1441"/>
      <c r="F46" s="1441"/>
      <c r="G46" s="1441"/>
      <c r="H46" s="1441"/>
      <c r="I46" s="1441"/>
      <c r="J46" s="1441"/>
      <c r="K46" s="1441"/>
      <c r="L46" s="1659"/>
    </row>
    <row r="47" spans="2:12" s="2022" customFormat="1">
      <c r="B47" s="1661"/>
      <c r="C47" s="2363" t="s">
        <v>2776</v>
      </c>
      <c r="D47" s="2363"/>
      <c r="E47" s="2363"/>
      <c r="F47" s="2363"/>
      <c r="G47" s="2363"/>
      <c r="H47" s="2363"/>
      <c r="I47" s="2363"/>
      <c r="J47" s="2363"/>
      <c r="K47" s="2363"/>
      <c r="L47" s="2363"/>
    </row>
    <row r="48" spans="2:12" s="2022" customFormat="1">
      <c r="B48" s="1661"/>
      <c r="C48" s="2363"/>
      <c r="D48" s="2363"/>
      <c r="E48" s="2363"/>
      <c r="F48" s="2363"/>
      <c r="G48" s="2363"/>
      <c r="H48" s="2363"/>
      <c r="I48" s="2363"/>
      <c r="J48" s="2363"/>
      <c r="K48" s="2363"/>
      <c r="L48" s="2363"/>
    </row>
    <row r="49" spans="2:14" s="2022" customFormat="1">
      <c r="B49" s="1661"/>
      <c r="C49" s="2363"/>
      <c r="D49" s="2363"/>
      <c r="E49" s="2363"/>
      <c r="F49" s="2363"/>
      <c r="G49" s="2363"/>
      <c r="H49" s="2363"/>
      <c r="I49" s="2363"/>
      <c r="J49" s="2363"/>
      <c r="K49" s="2363"/>
      <c r="L49" s="2363"/>
    </row>
    <row r="50" spans="2:14" s="2022" customFormat="1">
      <c r="B50" s="1661"/>
      <c r="C50" s="2363"/>
      <c r="D50" s="2363"/>
      <c r="E50" s="2363"/>
      <c r="F50" s="2363"/>
      <c r="G50" s="2363"/>
      <c r="H50" s="2363"/>
      <c r="I50" s="2363"/>
      <c r="J50" s="2363"/>
      <c r="K50" s="2363"/>
      <c r="L50" s="2363"/>
    </row>
    <row r="51" spans="2:14" s="2022" customFormat="1">
      <c r="B51" s="1661"/>
      <c r="C51" s="2363"/>
      <c r="D51" s="2363"/>
      <c r="E51" s="2363"/>
      <c r="F51" s="2363"/>
      <c r="G51" s="2363"/>
      <c r="H51" s="2363"/>
      <c r="I51" s="2363"/>
      <c r="J51" s="2363"/>
      <c r="K51" s="2363"/>
      <c r="L51" s="2363"/>
    </row>
    <row r="52" spans="2:14" s="2022" customFormat="1">
      <c r="B52" s="1661"/>
      <c r="C52" s="1673"/>
      <c r="D52" s="1673"/>
      <c r="E52" s="1673"/>
      <c r="F52" s="1673"/>
      <c r="G52" s="1673"/>
      <c r="H52" s="1673"/>
      <c r="I52" s="1673"/>
      <c r="J52" s="1673"/>
      <c r="K52" s="1673"/>
      <c r="L52" s="1673"/>
      <c r="M52" s="1674"/>
      <c r="N52" s="1674"/>
    </row>
    <row r="53" spans="2:14" s="2022" customFormat="1" ht="14.7" customHeight="1">
      <c r="B53" s="1661" t="s">
        <v>2815</v>
      </c>
      <c r="C53" s="2365" t="s">
        <v>2910</v>
      </c>
      <c r="D53" s="2365"/>
      <c r="E53" s="2365"/>
      <c r="F53" s="2365"/>
      <c r="G53" s="2365"/>
      <c r="H53" s="2365"/>
      <c r="I53" s="2365"/>
      <c r="J53" s="2365"/>
      <c r="K53" s="2365"/>
      <c r="L53" s="2365"/>
      <c r="M53" s="1674"/>
      <c r="N53" s="1674"/>
    </row>
    <row r="54" spans="2:14" s="2022" customFormat="1" ht="16.5" customHeight="1">
      <c r="B54" s="1661"/>
      <c r="C54" s="2365"/>
      <c r="D54" s="2365"/>
      <c r="E54" s="2365"/>
      <c r="F54" s="2365"/>
      <c r="G54" s="2365"/>
      <c r="H54" s="2365"/>
      <c r="I54" s="2365"/>
      <c r="J54" s="2365"/>
      <c r="K54" s="2365"/>
      <c r="L54" s="2365"/>
      <c r="M54" s="1674"/>
      <c r="N54" s="1674"/>
    </row>
    <row r="55" spans="2:14" s="2022" customFormat="1">
      <c r="B55" s="1661"/>
      <c r="C55" s="2365"/>
      <c r="D55" s="2365"/>
      <c r="E55" s="2365"/>
      <c r="F55" s="2365"/>
      <c r="G55" s="2365"/>
      <c r="H55" s="2365"/>
      <c r="I55" s="2365"/>
      <c r="J55" s="2365"/>
      <c r="K55" s="2365"/>
      <c r="L55" s="2365"/>
    </row>
    <row r="56" spans="2:14" s="2022" customFormat="1">
      <c r="B56" s="1661"/>
      <c r="C56" s="2040"/>
      <c r="D56" s="2040"/>
      <c r="E56" s="2040"/>
      <c r="F56" s="2040"/>
      <c r="G56" s="2040"/>
      <c r="H56" s="2040"/>
      <c r="I56" s="2040"/>
      <c r="J56" s="2040"/>
      <c r="K56" s="2040"/>
      <c r="L56" s="2040"/>
    </row>
    <row r="57" spans="2:14" s="2022" customFormat="1" ht="15" customHeight="1">
      <c r="B57" s="1661" t="s">
        <v>2816</v>
      </c>
      <c r="C57" s="2365" t="s">
        <v>2911</v>
      </c>
      <c r="D57" s="2365"/>
      <c r="E57" s="2365"/>
      <c r="F57" s="2365"/>
      <c r="G57" s="2365"/>
      <c r="H57" s="2365"/>
      <c r="I57" s="2365"/>
      <c r="J57" s="2365"/>
      <c r="K57" s="2365"/>
      <c r="L57" s="2365"/>
    </row>
    <row r="58" spans="2:14" s="2022" customFormat="1" ht="15" customHeight="1">
      <c r="B58" s="1661"/>
      <c r="C58" s="2365"/>
      <c r="D58" s="2365"/>
      <c r="E58" s="2365"/>
      <c r="F58" s="2365"/>
      <c r="G58" s="2365"/>
      <c r="H58" s="2365"/>
      <c r="I58" s="2365"/>
      <c r="J58" s="2365"/>
      <c r="K58" s="2365"/>
      <c r="L58" s="2365"/>
    </row>
    <row r="59" spans="2:14" s="2022" customFormat="1" ht="15" customHeight="1">
      <c r="B59" s="1661"/>
      <c r="C59" s="2365"/>
      <c r="D59" s="2365"/>
      <c r="E59" s="2365"/>
      <c r="F59" s="2365"/>
      <c r="G59" s="2365"/>
      <c r="H59" s="2365"/>
      <c r="I59" s="2365"/>
      <c r="J59" s="2365"/>
      <c r="K59" s="2365"/>
      <c r="L59" s="2365"/>
    </row>
    <row r="60" spans="2:14" s="2022" customFormat="1" ht="15" customHeight="1">
      <c r="B60" s="1661"/>
      <c r="C60" s="2365"/>
      <c r="D60" s="2365"/>
      <c r="E60" s="2365"/>
      <c r="F60" s="2365"/>
      <c r="G60" s="2365"/>
      <c r="H60" s="2365"/>
      <c r="I60" s="2365"/>
      <c r="J60" s="2365"/>
      <c r="K60" s="2365"/>
      <c r="L60" s="2365"/>
    </row>
    <row r="61" spans="2:14" s="2022" customFormat="1" ht="15" customHeight="1">
      <c r="B61" s="1661"/>
      <c r="C61" s="2365"/>
      <c r="D61" s="2365"/>
      <c r="E61" s="2365"/>
      <c r="F61" s="2365"/>
      <c r="G61" s="2365"/>
      <c r="H61" s="2365"/>
      <c r="I61" s="2365"/>
      <c r="J61" s="2365"/>
      <c r="K61" s="2365"/>
      <c r="L61" s="2365"/>
    </row>
    <row r="62" spans="2:14" s="2022" customFormat="1">
      <c r="B62" s="1661"/>
      <c r="C62" s="2365"/>
      <c r="D62" s="2365"/>
      <c r="E62" s="2365"/>
      <c r="F62" s="2365"/>
      <c r="G62" s="2365"/>
      <c r="H62" s="2365"/>
      <c r="I62" s="2365"/>
      <c r="J62" s="2365"/>
      <c r="K62" s="2365"/>
      <c r="L62" s="2365"/>
    </row>
    <row r="63" spans="2:14" s="2022" customFormat="1">
      <c r="B63" s="1661"/>
      <c r="C63" s="2071"/>
      <c r="D63" s="2071"/>
      <c r="E63" s="2071"/>
      <c r="F63" s="2071"/>
      <c r="G63" s="2071"/>
      <c r="H63" s="2071"/>
      <c r="I63" s="2071"/>
      <c r="J63" s="2071"/>
      <c r="K63" s="2071"/>
      <c r="L63" s="2071"/>
    </row>
    <row r="64" spans="2:14">
      <c r="B64" s="1661" t="s">
        <v>2817</v>
      </c>
      <c r="C64" s="2363" t="s">
        <v>2629</v>
      </c>
      <c r="D64" s="2363"/>
      <c r="E64" s="2363"/>
      <c r="F64" s="2363"/>
      <c r="G64" s="2363"/>
      <c r="H64" s="2363"/>
      <c r="I64" s="2363"/>
      <c r="J64" s="2363"/>
      <c r="K64" s="2363"/>
      <c r="L64" s="2363"/>
    </row>
    <row r="65" spans="1:13">
      <c r="B65" s="1661"/>
      <c r="C65" s="2363"/>
      <c r="D65" s="2363"/>
      <c r="E65" s="2363"/>
      <c r="F65" s="2363"/>
      <c r="G65" s="2363"/>
      <c r="H65" s="2363"/>
      <c r="I65" s="2363"/>
      <c r="J65" s="2363"/>
      <c r="K65" s="2363"/>
      <c r="L65" s="2363"/>
    </row>
    <row r="66" spans="1:13">
      <c r="B66" s="1661"/>
      <c r="C66" s="2363"/>
      <c r="D66" s="2363"/>
      <c r="E66" s="2363"/>
      <c r="F66" s="2363"/>
      <c r="G66" s="2363"/>
      <c r="H66" s="2363"/>
      <c r="I66" s="2363"/>
      <c r="J66" s="2363"/>
      <c r="K66" s="2363"/>
      <c r="L66" s="2363"/>
    </row>
    <row r="67" spans="1:13">
      <c r="B67" s="1661"/>
      <c r="C67" s="1624"/>
      <c r="D67" s="1624"/>
      <c r="E67" s="1624"/>
      <c r="F67" s="1624"/>
      <c r="G67" s="1624"/>
      <c r="H67" s="1624"/>
      <c r="I67" s="1624"/>
      <c r="J67" s="1624"/>
      <c r="K67" s="1624"/>
      <c r="L67" s="1624"/>
    </row>
    <row r="68" spans="1:13">
      <c r="A68" s="1592" t="s">
        <v>2497</v>
      </c>
      <c r="B68" s="1661" t="s">
        <v>2818</v>
      </c>
      <c r="C68" s="2363" t="s">
        <v>2819</v>
      </c>
      <c r="D68" s="2363"/>
      <c r="E68" s="2363"/>
      <c r="F68" s="2363"/>
      <c r="G68" s="2363"/>
      <c r="H68" s="2363"/>
      <c r="I68" s="2363"/>
      <c r="J68" s="2363"/>
      <c r="K68" s="2363"/>
      <c r="L68" s="2363"/>
    </row>
    <row r="69" spans="1:13">
      <c r="B69" s="1661"/>
      <c r="C69" s="2363"/>
      <c r="D69" s="2363"/>
      <c r="E69" s="2363"/>
      <c r="F69" s="2363"/>
      <c r="G69" s="2363"/>
      <c r="H69" s="2363"/>
      <c r="I69" s="2363"/>
      <c r="J69" s="2363"/>
      <c r="K69" s="2363"/>
      <c r="L69" s="2363"/>
    </row>
    <row r="70" spans="1:13">
      <c r="B70" s="1661"/>
      <c r="C70" s="2366"/>
      <c r="D70" s="2366"/>
      <c r="E70" s="2366"/>
      <c r="F70" s="2366"/>
      <c r="G70" s="2366"/>
      <c r="H70" s="2366"/>
      <c r="I70" s="2366"/>
      <c r="J70" s="2366"/>
      <c r="K70" s="2366"/>
      <c r="L70" s="2366"/>
    </row>
    <row r="71" spans="1:13">
      <c r="B71" s="1661">
        <v>2.2000000000000002</v>
      </c>
      <c r="C71" s="2046" t="s">
        <v>2820</v>
      </c>
      <c r="D71" s="2037"/>
      <c r="E71" s="2037"/>
      <c r="F71" s="2037"/>
      <c r="G71" s="2037"/>
      <c r="H71" s="2037"/>
      <c r="I71" s="2037"/>
      <c r="J71" s="2037"/>
      <c r="K71" s="2037"/>
      <c r="L71" s="2037"/>
    </row>
    <row r="72" spans="1:13">
      <c r="B72" s="1661"/>
      <c r="C72" s="2046"/>
      <c r="D72" s="2037"/>
      <c r="E72" s="2037"/>
      <c r="F72" s="2037"/>
      <c r="G72" s="2037"/>
      <c r="H72" s="2037"/>
      <c r="I72" s="2037"/>
      <c r="J72" s="2037"/>
      <c r="K72" s="2037"/>
      <c r="L72" s="2037"/>
    </row>
    <row r="73" spans="1:13">
      <c r="B73" s="1661"/>
      <c r="C73" s="2361" t="s">
        <v>2821</v>
      </c>
      <c r="D73" s="2361"/>
      <c r="E73" s="2361"/>
      <c r="F73" s="2361"/>
      <c r="G73" s="2361"/>
      <c r="H73" s="2361"/>
      <c r="I73" s="2361"/>
      <c r="J73" s="2361"/>
      <c r="K73" s="2361"/>
      <c r="L73" s="2361"/>
    </row>
    <row r="74" spans="1:13">
      <c r="B74" s="1661"/>
      <c r="C74" s="2361"/>
      <c r="D74" s="2361"/>
      <c r="E74" s="2361"/>
      <c r="F74" s="2361"/>
      <c r="G74" s="2361"/>
      <c r="H74" s="2361"/>
      <c r="I74" s="2361"/>
      <c r="J74" s="2361"/>
      <c r="K74" s="2361"/>
      <c r="L74" s="2361"/>
    </row>
    <row r="75" spans="1:13">
      <c r="B75" s="1661"/>
      <c r="C75" s="1676"/>
      <c r="D75" s="1676"/>
      <c r="E75" s="1676"/>
      <c r="F75" s="1676"/>
      <c r="G75" s="1676"/>
      <c r="H75" s="1676"/>
      <c r="I75" s="1676"/>
      <c r="J75" s="1676"/>
      <c r="K75" s="1676"/>
      <c r="L75" s="1676"/>
    </row>
    <row r="76" spans="1:13">
      <c r="B76" s="1661">
        <v>2.2999999999999998</v>
      </c>
      <c r="C76" s="2046" t="s">
        <v>2822</v>
      </c>
      <c r="D76" s="1676"/>
      <c r="E76" s="1676"/>
      <c r="F76" s="1676"/>
      <c r="G76" s="1676"/>
      <c r="H76" s="1676"/>
      <c r="I76" s="1676"/>
      <c r="J76" s="1676"/>
      <c r="K76" s="1676"/>
      <c r="L76" s="1676"/>
    </row>
    <row r="77" spans="1:13">
      <c r="B77" s="1661"/>
      <c r="C77" s="1676"/>
      <c r="D77" s="1676"/>
      <c r="E77" s="1676"/>
      <c r="F77" s="1676"/>
      <c r="G77" s="1676"/>
      <c r="H77" s="1676"/>
      <c r="I77" s="1676"/>
      <c r="J77" s="1676"/>
      <c r="K77" s="1676"/>
      <c r="L77" s="1676"/>
    </row>
    <row r="78" spans="1:13" ht="13.95" customHeight="1">
      <c r="C78" s="2363" t="s">
        <v>2823</v>
      </c>
      <c r="D78" s="2363"/>
      <c r="E78" s="2363"/>
      <c r="F78" s="2363"/>
      <c r="G78" s="2363"/>
      <c r="H78" s="2363"/>
      <c r="I78" s="2363"/>
      <c r="J78" s="2363"/>
      <c r="K78" s="2363"/>
      <c r="L78" s="2363"/>
      <c r="M78" s="1978"/>
    </row>
    <row r="79" spans="1:13" ht="25.5" customHeight="1">
      <c r="C79" s="2363"/>
      <c r="D79" s="2363"/>
      <c r="E79" s="2363"/>
      <c r="F79" s="2363"/>
      <c r="G79" s="2363"/>
      <c r="H79" s="2363"/>
      <c r="I79" s="2363"/>
      <c r="J79" s="2363"/>
      <c r="K79" s="2363"/>
      <c r="L79" s="2363"/>
      <c r="M79" s="1978"/>
    </row>
    <row r="80" spans="1:13">
      <c r="A80" s="1660" t="s">
        <v>2824</v>
      </c>
      <c r="B80" s="2049" t="s">
        <v>2825</v>
      </c>
      <c r="D80" s="2048"/>
      <c r="E80" s="2048"/>
      <c r="F80" s="2048"/>
      <c r="G80" s="2048"/>
      <c r="H80" s="2048"/>
      <c r="I80" s="2048"/>
      <c r="J80" s="2048"/>
      <c r="K80" s="2048"/>
      <c r="L80" s="2048"/>
    </row>
    <row r="81" spans="1:12">
      <c r="B81" s="1661"/>
      <c r="C81" s="2048"/>
      <c r="D81" s="2048"/>
      <c r="E81" s="2048"/>
      <c r="F81" s="2048"/>
      <c r="G81" s="2048"/>
      <c r="H81" s="2048"/>
      <c r="I81" s="2048"/>
      <c r="J81" s="2048"/>
      <c r="K81" s="2048"/>
      <c r="L81" s="2048"/>
    </row>
    <row r="82" spans="1:12">
      <c r="B82" s="1661">
        <v>3.1</v>
      </c>
      <c r="C82" s="2362" t="s">
        <v>2935</v>
      </c>
      <c r="D82" s="2362"/>
      <c r="E82" s="2362"/>
      <c r="F82" s="2362"/>
      <c r="G82" s="2362"/>
      <c r="H82" s="2362"/>
      <c r="I82" s="2362"/>
      <c r="J82" s="2362"/>
      <c r="K82" s="2362"/>
      <c r="L82" s="2362"/>
    </row>
    <row r="83" spans="1:12">
      <c r="B83" s="1661"/>
      <c r="C83" s="2362"/>
      <c r="D83" s="2362"/>
      <c r="E83" s="2362"/>
      <c r="F83" s="2362"/>
      <c r="G83" s="2362"/>
      <c r="H83" s="2362"/>
      <c r="I83" s="2362"/>
      <c r="J83" s="2362"/>
      <c r="K83" s="2362"/>
      <c r="L83" s="2362"/>
    </row>
    <row r="84" spans="1:12">
      <c r="B84" s="1661"/>
      <c r="C84" s="2362"/>
      <c r="D84" s="2362"/>
      <c r="E84" s="2362"/>
      <c r="F84" s="2362"/>
      <c r="G84" s="2362"/>
      <c r="H84" s="2362"/>
      <c r="I84" s="2362"/>
      <c r="J84" s="2362"/>
      <c r="K84" s="2362"/>
      <c r="L84" s="2362"/>
    </row>
    <row r="85" spans="1:12">
      <c r="B85" s="1661"/>
      <c r="C85" s="2048"/>
      <c r="D85" s="2048"/>
      <c r="E85" s="2048"/>
      <c r="F85" s="2048"/>
      <c r="G85" s="2048"/>
      <c r="H85" s="2048"/>
      <c r="I85" s="2048"/>
      <c r="J85" s="2048"/>
      <c r="K85" s="2048"/>
      <c r="L85" s="2048"/>
    </row>
    <row r="86" spans="1:12" ht="15" customHeight="1">
      <c r="B86" s="1661">
        <v>3.2</v>
      </c>
      <c r="C86" s="2362" t="s">
        <v>2826</v>
      </c>
      <c r="D86" s="2362"/>
      <c r="E86" s="2362"/>
      <c r="F86" s="2362"/>
      <c r="G86" s="2362"/>
      <c r="H86" s="2362"/>
      <c r="I86" s="2362"/>
      <c r="J86" s="2362"/>
      <c r="K86" s="2362"/>
      <c r="L86" s="2362"/>
    </row>
    <row r="87" spans="1:12">
      <c r="B87" s="1661"/>
      <c r="C87" s="2362"/>
      <c r="D87" s="2362"/>
      <c r="E87" s="2362"/>
      <c r="F87" s="2362"/>
      <c r="G87" s="2362"/>
      <c r="H87" s="2362"/>
      <c r="I87" s="2362"/>
      <c r="J87" s="2362"/>
      <c r="K87" s="2362"/>
      <c r="L87" s="2362"/>
    </row>
    <row r="88" spans="1:12">
      <c r="B88" s="1661"/>
      <c r="C88" s="2362"/>
      <c r="D88" s="2362"/>
      <c r="E88" s="2362"/>
      <c r="F88" s="2362"/>
      <c r="G88" s="2362"/>
      <c r="H88" s="2362"/>
      <c r="I88" s="2362"/>
      <c r="J88" s="2362"/>
      <c r="K88" s="2362"/>
      <c r="L88" s="2362"/>
    </row>
    <row r="89" spans="1:12">
      <c r="B89" s="1661"/>
      <c r="C89" s="2369"/>
      <c r="D89" s="2369"/>
      <c r="E89" s="2369"/>
      <c r="F89" s="2369"/>
      <c r="G89" s="2369"/>
      <c r="H89" s="2369"/>
      <c r="I89" s="2369"/>
      <c r="J89" s="2369"/>
      <c r="K89" s="2369"/>
      <c r="L89" s="2369"/>
    </row>
    <row r="90" spans="1:12" ht="14.4">
      <c r="A90" s="1660" t="s">
        <v>2546</v>
      </c>
      <c r="B90" s="2049" t="s">
        <v>2827</v>
      </c>
      <c r="D90" s="2050"/>
      <c r="E90" s="2050"/>
      <c r="F90" s="2050"/>
      <c r="G90" s="2050"/>
      <c r="H90" s="2050"/>
      <c r="I90" s="2050"/>
      <c r="J90" s="2050"/>
      <c r="K90" s="2050"/>
      <c r="L90" s="2050"/>
    </row>
    <row r="91" spans="1:12">
      <c r="B91" s="1661"/>
      <c r="C91" s="1679"/>
      <c r="D91" s="1679"/>
      <c r="E91" s="1679"/>
      <c r="F91" s="1679"/>
      <c r="G91" s="1679"/>
      <c r="H91" s="1679"/>
      <c r="I91" s="1679"/>
      <c r="J91" s="1679"/>
      <c r="K91" s="1679"/>
      <c r="L91" s="1679"/>
    </row>
    <row r="92" spans="1:12" ht="15" customHeight="1">
      <c r="B92" s="1661"/>
      <c r="C92" s="2370" t="s">
        <v>2936</v>
      </c>
      <c r="D92" s="2370"/>
      <c r="E92" s="2370"/>
      <c r="F92" s="2370"/>
      <c r="G92" s="2370"/>
      <c r="H92" s="2370"/>
      <c r="I92" s="2370"/>
      <c r="J92" s="2370"/>
      <c r="K92" s="2370"/>
      <c r="L92" s="2370"/>
    </row>
    <row r="93" spans="1:12">
      <c r="B93" s="1661"/>
      <c r="C93" s="2370"/>
      <c r="D93" s="2370"/>
      <c r="E93" s="2370"/>
      <c r="F93" s="2370"/>
      <c r="G93" s="2370"/>
      <c r="H93" s="2370"/>
      <c r="I93" s="2370"/>
      <c r="J93" s="2370"/>
      <c r="K93" s="2370"/>
      <c r="L93" s="2370"/>
    </row>
    <row r="94" spans="1:12">
      <c r="B94" s="1661"/>
      <c r="C94" s="2370"/>
      <c r="D94" s="2370"/>
      <c r="E94" s="2370"/>
      <c r="F94" s="2370"/>
      <c r="G94" s="2370"/>
      <c r="H94" s="2370"/>
      <c r="I94" s="2370"/>
      <c r="J94" s="2370"/>
      <c r="K94" s="2370"/>
      <c r="L94" s="2370"/>
    </row>
    <row r="95" spans="1:12">
      <c r="B95" s="1661"/>
      <c r="C95" s="2370"/>
      <c r="D95" s="2370"/>
      <c r="E95" s="2370"/>
      <c r="F95" s="2370"/>
      <c r="G95" s="2370"/>
      <c r="H95" s="2370"/>
      <c r="I95" s="2370"/>
      <c r="J95" s="2370"/>
      <c r="K95" s="2370"/>
      <c r="L95" s="2370"/>
    </row>
    <row r="96" spans="1:12">
      <c r="B96" s="1661"/>
      <c r="C96" s="2370"/>
      <c r="D96" s="2370"/>
      <c r="E96" s="2370"/>
      <c r="F96" s="2370"/>
      <c r="G96" s="2370"/>
      <c r="H96" s="2370"/>
      <c r="I96" s="2370"/>
      <c r="J96" s="2370"/>
      <c r="K96" s="2370"/>
      <c r="L96" s="2370"/>
    </row>
    <row r="97" spans="1:12">
      <c r="B97" s="1661"/>
      <c r="C97" s="2370"/>
      <c r="D97" s="2370"/>
      <c r="E97" s="2370"/>
      <c r="F97" s="2370"/>
      <c r="G97" s="2370"/>
      <c r="H97" s="2370"/>
      <c r="I97" s="2370"/>
      <c r="J97" s="2370"/>
      <c r="K97" s="2370"/>
      <c r="L97" s="2370"/>
    </row>
    <row r="98" spans="1:12">
      <c r="B98" s="1661"/>
      <c r="C98" s="1679"/>
      <c r="D98" s="1679"/>
      <c r="E98" s="1679"/>
      <c r="F98" s="1679"/>
      <c r="G98" s="1679"/>
      <c r="H98" s="1679"/>
      <c r="I98" s="1679"/>
      <c r="J98" s="1679"/>
      <c r="K98" s="1679"/>
      <c r="L98" s="1679"/>
    </row>
    <row r="99" spans="1:12">
      <c r="A99" s="1660" t="s">
        <v>2550</v>
      </c>
      <c r="B99" s="2049" t="s">
        <v>2828</v>
      </c>
      <c r="D99" s="1682"/>
      <c r="E99" s="1682"/>
      <c r="F99" s="1682"/>
      <c r="G99" s="1682"/>
      <c r="H99" s="1682"/>
      <c r="I99" s="1682"/>
      <c r="J99" s="1682"/>
      <c r="K99" s="1682"/>
      <c r="L99" s="1682"/>
    </row>
    <row r="100" spans="1:12">
      <c r="B100" s="1442"/>
      <c r="C100" s="1680"/>
      <c r="D100" s="1762"/>
      <c r="E100" s="1762"/>
      <c r="F100" s="1762"/>
      <c r="G100" s="1762"/>
      <c r="H100" s="1762"/>
      <c r="I100" s="1762"/>
      <c r="J100" s="1762"/>
      <c r="K100" s="1762"/>
      <c r="L100" s="1762"/>
    </row>
    <row r="101" spans="1:12">
      <c r="B101" s="1661"/>
      <c r="C101" s="2373" t="s">
        <v>2937</v>
      </c>
      <c r="D101" s="2373"/>
      <c r="E101" s="2373"/>
      <c r="F101" s="2373"/>
      <c r="G101" s="2373"/>
      <c r="H101" s="2373"/>
      <c r="I101" s="2373"/>
      <c r="J101" s="2373"/>
      <c r="K101" s="2373"/>
      <c r="L101" s="2373"/>
    </row>
    <row r="102" spans="1:12">
      <c r="B102" s="1661"/>
      <c r="C102" s="2373"/>
      <c r="D102" s="2373"/>
      <c r="E102" s="2373"/>
      <c r="F102" s="2373"/>
      <c r="G102" s="2373"/>
      <c r="H102" s="2373"/>
      <c r="I102" s="2373"/>
      <c r="J102" s="2373"/>
      <c r="K102" s="2373"/>
      <c r="L102" s="2373"/>
    </row>
    <row r="103" spans="1:12">
      <c r="B103" s="1661"/>
      <c r="C103" s="2081"/>
      <c r="D103" s="2081"/>
      <c r="E103" s="2081"/>
      <c r="F103" s="2081"/>
      <c r="G103" s="2081"/>
      <c r="H103" s="2081"/>
      <c r="I103" s="2081"/>
      <c r="J103" s="2081"/>
      <c r="K103" s="2081"/>
      <c r="L103" s="2081"/>
    </row>
    <row r="104" spans="1:12">
      <c r="B104" s="1661"/>
      <c r="C104" s="2081"/>
      <c r="D104" s="2081"/>
      <c r="E104" s="2081"/>
      <c r="F104" s="2081"/>
      <c r="G104" s="2081"/>
      <c r="H104" s="2081"/>
      <c r="I104" s="2081"/>
      <c r="J104" s="2081"/>
      <c r="K104" s="2081"/>
      <c r="L104" s="2081"/>
    </row>
    <row r="105" spans="1:12">
      <c r="B105" s="1661"/>
      <c r="C105" s="2081"/>
      <c r="D105" s="2081"/>
      <c r="E105" s="2081"/>
      <c r="F105" s="2081"/>
      <c r="G105" s="2081"/>
      <c r="H105" s="2081"/>
      <c r="I105" s="2081"/>
      <c r="J105" s="2081"/>
      <c r="K105" s="2081"/>
      <c r="L105" s="2081"/>
    </row>
    <row r="106" spans="1:12">
      <c r="B106" s="1661"/>
      <c r="C106" s="2081"/>
      <c r="D106" s="2081"/>
      <c r="E106" s="2081"/>
      <c r="F106" s="2081"/>
      <c r="G106" s="2081"/>
      <c r="H106" s="2081"/>
      <c r="I106" s="2081"/>
      <c r="J106" s="2081"/>
      <c r="K106" s="2081"/>
      <c r="L106" s="2081"/>
    </row>
    <row r="107" spans="1:12">
      <c r="B107" s="1661"/>
      <c r="C107" s="2081"/>
      <c r="D107" s="2081"/>
      <c r="E107" s="2081"/>
      <c r="F107" s="2081"/>
      <c r="G107" s="2081"/>
      <c r="H107" s="2081"/>
      <c r="I107" s="2081"/>
      <c r="J107" s="2081"/>
      <c r="K107" s="2081"/>
      <c r="L107" s="2081"/>
    </row>
    <row r="108" spans="1:12">
      <c r="B108" s="1661"/>
      <c r="C108" s="2081"/>
      <c r="D108" s="2081"/>
      <c r="E108" s="2081"/>
      <c r="F108" s="2081"/>
      <c r="G108" s="2081"/>
      <c r="H108" s="2081"/>
      <c r="I108" s="2081"/>
      <c r="J108" s="2081"/>
      <c r="K108" s="2081"/>
      <c r="L108" s="2081"/>
    </row>
    <row r="109" spans="1:12">
      <c r="B109" s="1661"/>
      <c r="C109" s="2081"/>
      <c r="D109" s="2081"/>
      <c r="E109" s="2081"/>
      <c r="F109" s="2081"/>
      <c r="G109" s="2081"/>
      <c r="H109" s="2081"/>
      <c r="I109" s="2081"/>
      <c r="J109" s="2081"/>
      <c r="K109" s="2081"/>
      <c r="L109" s="2081"/>
    </row>
    <row r="110" spans="1:12">
      <c r="B110" s="1661"/>
      <c r="C110" s="2081"/>
      <c r="D110" s="2081"/>
      <c r="E110" s="2081"/>
      <c r="F110" s="2081"/>
      <c r="G110" s="2081"/>
      <c r="H110" s="2081"/>
      <c r="I110" s="2081"/>
      <c r="J110" s="2081"/>
      <c r="K110" s="2081"/>
      <c r="L110" s="2081"/>
    </row>
    <row r="111" spans="1:12">
      <c r="B111" s="1661"/>
      <c r="C111" s="2081"/>
      <c r="D111" s="2081"/>
      <c r="E111" s="2081"/>
      <c r="F111" s="2081"/>
      <c r="G111" s="2081"/>
      <c r="H111" s="2081"/>
      <c r="I111" s="2081"/>
      <c r="J111" s="2081"/>
      <c r="K111" s="2081"/>
      <c r="L111" s="2081"/>
    </row>
    <row r="112" spans="1:12">
      <c r="B112" s="1661"/>
      <c r="C112" s="2081"/>
      <c r="D112" s="2081"/>
      <c r="E112" s="2081"/>
      <c r="F112" s="2081"/>
      <c r="G112" s="2081"/>
      <c r="H112" s="2081"/>
      <c r="I112" s="2081"/>
      <c r="J112" s="2081"/>
      <c r="K112" s="2081"/>
      <c r="L112" s="2081"/>
    </row>
    <row r="113" spans="2:12">
      <c r="B113" s="1661"/>
      <c r="C113" s="2081"/>
      <c r="D113" s="2081"/>
      <c r="E113" s="2081"/>
      <c r="F113" s="2081"/>
      <c r="G113" s="2081"/>
      <c r="H113" s="2081"/>
      <c r="I113" s="2081"/>
      <c r="J113" s="2081"/>
      <c r="K113" s="2081"/>
      <c r="L113" s="2081"/>
    </row>
    <row r="114" spans="2:12">
      <c r="B114" s="1661"/>
      <c r="C114" s="2081"/>
      <c r="D114" s="2081"/>
      <c r="E114" s="2081"/>
      <c r="F114" s="2081"/>
      <c r="G114" s="2081"/>
      <c r="H114" s="2081"/>
      <c r="I114" s="2081"/>
      <c r="J114" s="2081"/>
      <c r="K114" s="2081"/>
      <c r="L114" s="2081"/>
    </row>
    <row r="115" spans="2:12">
      <c r="B115" s="1661"/>
      <c r="C115" s="2081"/>
      <c r="D115" s="2081"/>
      <c r="E115" s="2081"/>
      <c r="F115" s="2081"/>
      <c r="G115" s="2081"/>
      <c r="H115" s="2081"/>
      <c r="I115" s="2081"/>
      <c r="J115" s="2081"/>
      <c r="K115" s="2081"/>
      <c r="L115" s="2081"/>
    </row>
    <row r="116" spans="2:12">
      <c r="B116" s="1661"/>
      <c r="C116" s="2081"/>
      <c r="D116" s="2081"/>
      <c r="E116" s="2081"/>
      <c r="F116" s="2081"/>
      <c r="G116" s="2081"/>
      <c r="H116" s="2081"/>
      <c r="I116" s="2081"/>
      <c r="J116" s="2081"/>
      <c r="K116" s="2081"/>
      <c r="L116" s="2081"/>
    </row>
    <row r="117" spans="2:12">
      <c r="B117" s="1661"/>
      <c r="C117" s="2081"/>
      <c r="D117" s="2081"/>
      <c r="E117" s="2081"/>
      <c r="F117" s="2081"/>
      <c r="G117" s="2081"/>
      <c r="H117" s="2081"/>
      <c r="I117" s="2081"/>
      <c r="J117" s="2081"/>
      <c r="K117" s="2081"/>
      <c r="L117" s="2081"/>
    </row>
    <row r="118" spans="2:12">
      <c r="B118" s="1661"/>
      <c r="C118" s="2081"/>
      <c r="D118" s="2081"/>
      <c r="E118" s="2081"/>
      <c r="F118" s="2081"/>
      <c r="G118" s="2081"/>
      <c r="H118" s="2081"/>
      <c r="I118" s="2081"/>
      <c r="J118" s="2081"/>
      <c r="K118" s="2081"/>
      <c r="L118" s="2081"/>
    </row>
    <row r="119" spans="2:12">
      <c r="B119" s="1661"/>
      <c r="C119" s="2081"/>
      <c r="D119" s="2081"/>
      <c r="E119" s="2081"/>
      <c r="F119" s="2081"/>
      <c r="G119" s="2081"/>
      <c r="H119" s="2081"/>
      <c r="I119" s="2081"/>
      <c r="J119" s="2081"/>
      <c r="K119" s="2081"/>
      <c r="L119" s="2081"/>
    </row>
    <row r="120" spans="2:12">
      <c r="B120" s="1661"/>
      <c r="C120" s="2081"/>
      <c r="D120" s="2081"/>
      <c r="E120" s="2081"/>
      <c r="F120" s="2081"/>
      <c r="G120" s="2081"/>
      <c r="H120" s="2081"/>
      <c r="I120" s="2081"/>
      <c r="J120" s="2081"/>
      <c r="K120" s="2081"/>
      <c r="L120" s="2081"/>
    </row>
    <row r="121" spans="2:12">
      <c r="B121" s="1661"/>
      <c r="C121" s="2081"/>
      <c r="D121" s="2081"/>
      <c r="E121" s="2081"/>
      <c r="F121" s="2081"/>
      <c r="G121" s="2081"/>
      <c r="H121" s="2081"/>
      <c r="I121" s="2081"/>
      <c r="J121" s="2081"/>
      <c r="K121" s="2081"/>
      <c r="L121" s="2081"/>
    </row>
    <row r="122" spans="2:12">
      <c r="B122" s="1661"/>
      <c r="C122" s="2081"/>
      <c r="D122" s="2081"/>
      <c r="E122" s="2081"/>
      <c r="F122" s="2081"/>
      <c r="G122" s="2081"/>
      <c r="H122" s="2081"/>
      <c r="I122" s="2081"/>
      <c r="J122" s="2081"/>
      <c r="K122" s="2081"/>
      <c r="L122" s="2081"/>
    </row>
    <row r="123" spans="2:12">
      <c r="B123" s="1661"/>
      <c r="C123" s="2081"/>
      <c r="D123" s="2081"/>
      <c r="E123" s="2081"/>
      <c r="F123" s="2081"/>
      <c r="G123" s="2081"/>
      <c r="H123" s="2081"/>
      <c r="I123" s="2081"/>
      <c r="J123" s="2081"/>
      <c r="K123" s="2081"/>
      <c r="L123" s="2081"/>
    </row>
    <row r="124" spans="2:12">
      <c r="B124" s="1661"/>
      <c r="C124" s="2081"/>
      <c r="D124" s="2081"/>
      <c r="E124" s="2081"/>
      <c r="F124" s="2081"/>
      <c r="G124" s="2081"/>
      <c r="H124" s="2081"/>
      <c r="I124" s="2081"/>
      <c r="J124" s="2081"/>
      <c r="K124" s="2081"/>
      <c r="L124" s="2081"/>
    </row>
    <row r="125" spans="2:12">
      <c r="B125" s="1661"/>
      <c r="C125" s="2081"/>
      <c r="D125" s="2081"/>
      <c r="E125" s="2081"/>
      <c r="F125" s="2081"/>
      <c r="G125" s="2081"/>
      <c r="H125" s="2081"/>
      <c r="I125" s="2081"/>
      <c r="J125" s="2081"/>
      <c r="K125" s="2081"/>
      <c r="L125" s="2081"/>
    </row>
    <row r="126" spans="2:12">
      <c r="B126" s="1661"/>
      <c r="C126" s="2081"/>
      <c r="D126" s="2081"/>
      <c r="E126" s="2081"/>
      <c r="F126" s="2081"/>
      <c r="G126" s="2081"/>
      <c r="H126" s="2081"/>
      <c r="I126" s="2081"/>
      <c r="J126" s="2081"/>
      <c r="K126" s="2081"/>
      <c r="L126" s="2081"/>
    </row>
    <row r="127" spans="2:12">
      <c r="B127" s="1661"/>
      <c r="C127" s="2081"/>
      <c r="D127" s="2081"/>
      <c r="E127" s="2081"/>
      <c r="F127" s="2081"/>
      <c r="G127" s="2081"/>
      <c r="H127" s="2081"/>
      <c r="I127" s="2081"/>
      <c r="J127" s="2081"/>
      <c r="K127" s="2081"/>
      <c r="L127" s="2081"/>
    </row>
    <row r="128" spans="2:12">
      <c r="B128" s="1661"/>
      <c r="C128" s="2081"/>
      <c r="D128" s="2081"/>
      <c r="E128" s="2081"/>
      <c r="F128" s="2081"/>
      <c r="G128" s="2081"/>
      <c r="H128" s="2081"/>
      <c r="I128" s="2081"/>
      <c r="J128" s="2081"/>
      <c r="K128" s="2081"/>
      <c r="L128" s="2081"/>
    </row>
    <row r="129" spans="2:12">
      <c r="B129" s="1661"/>
      <c r="C129" s="2081"/>
      <c r="D129" s="2081"/>
      <c r="E129" s="2081"/>
      <c r="F129" s="2081"/>
      <c r="G129" s="2081"/>
      <c r="H129" s="2081"/>
      <c r="I129" s="2081"/>
      <c r="J129" s="2081"/>
      <c r="K129" s="2081"/>
      <c r="L129" s="2081"/>
    </row>
    <row r="130" spans="2:12">
      <c r="B130" s="1661"/>
      <c r="C130" s="2081"/>
      <c r="D130" s="2081"/>
      <c r="E130" s="2081"/>
      <c r="F130" s="2081"/>
      <c r="G130" s="2081"/>
      <c r="H130" s="2081"/>
      <c r="I130" s="2081"/>
      <c r="J130" s="2081"/>
      <c r="K130" s="2081"/>
      <c r="L130" s="2081"/>
    </row>
    <row r="131" spans="2:12">
      <c r="B131" s="1661"/>
      <c r="C131" s="2081"/>
      <c r="D131" s="2081"/>
      <c r="E131" s="2081"/>
      <c r="F131" s="2081"/>
      <c r="G131" s="2081"/>
      <c r="H131" s="2081"/>
      <c r="I131" s="2081"/>
      <c r="J131" s="2081"/>
      <c r="K131" s="2081"/>
      <c r="L131" s="2081"/>
    </row>
    <row r="132" spans="2:12">
      <c r="B132" s="1661"/>
      <c r="C132" s="2081"/>
      <c r="D132" s="2081"/>
      <c r="E132" s="2081"/>
      <c r="F132" s="2081"/>
      <c r="G132" s="2081"/>
      <c r="H132" s="2081"/>
      <c r="I132" s="2081"/>
      <c r="J132" s="2081"/>
      <c r="K132" s="2081"/>
      <c r="L132" s="2081"/>
    </row>
    <row r="133" spans="2:12">
      <c r="B133" s="1661"/>
      <c r="C133" s="2081"/>
      <c r="D133" s="2081"/>
      <c r="E133" s="2081"/>
      <c r="F133" s="2081"/>
      <c r="G133" s="2081"/>
      <c r="H133" s="2081"/>
      <c r="I133" s="2081"/>
      <c r="J133" s="2081"/>
      <c r="K133" s="2081"/>
      <c r="L133" s="2081"/>
    </row>
    <row r="134" spans="2:12">
      <c r="B134" s="1661"/>
      <c r="C134" s="2081"/>
      <c r="D134" s="2081"/>
      <c r="E134" s="2081"/>
      <c r="F134" s="2081"/>
      <c r="G134" s="2081"/>
      <c r="H134" s="2081"/>
      <c r="I134" s="2081"/>
      <c r="J134" s="2081"/>
      <c r="K134" s="2081"/>
      <c r="L134" s="2081"/>
    </row>
    <row r="135" spans="2:12">
      <c r="B135" s="1661"/>
      <c r="C135" s="2081"/>
      <c r="D135" s="2081"/>
      <c r="E135" s="2081"/>
      <c r="F135" s="2081"/>
      <c r="G135" s="2081"/>
      <c r="H135" s="2081"/>
      <c r="I135" s="2081"/>
      <c r="J135" s="2081"/>
      <c r="K135" s="2081"/>
      <c r="L135" s="2081"/>
    </row>
    <row r="136" spans="2:12">
      <c r="B136" s="1661"/>
      <c r="C136" s="2081"/>
      <c r="D136" s="2081"/>
      <c r="E136" s="2081"/>
      <c r="F136" s="2081"/>
      <c r="G136" s="2081"/>
      <c r="H136" s="2081"/>
      <c r="I136" s="2081"/>
      <c r="J136" s="2081"/>
      <c r="K136" s="2081"/>
      <c r="L136" s="2081"/>
    </row>
    <row r="137" spans="2:12">
      <c r="B137" s="1661"/>
      <c r="C137" s="2081"/>
      <c r="D137" s="2081"/>
      <c r="E137" s="2081"/>
      <c r="F137" s="2081"/>
      <c r="G137" s="2081"/>
      <c r="H137" s="2081"/>
      <c r="I137" s="2081"/>
      <c r="J137" s="2081"/>
      <c r="K137" s="2081"/>
      <c r="L137" s="2081"/>
    </row>
    <row r="138" spans="2:12">
      <c r="B138" s="1661"/>
      <c r="C138" s="2081"/>
      <c r="D138" s="2081"/>
      <c r="E138" s="2081"/>
      <c r="F138" s="2081"/>
      <c r="G138" s="2081"/>
      <c r="H138" s="2081"/>
      <c r="I138" s="2081"/>
      <c r="J138" s="2081"/>
      <c r="K138" s="2081"/>
      <c r="L138" s="2081"/>
    </row>
    <row r="139" spans="2:12">
      <c r="B139" s="1661"/>
      <c r="C139" s="2081"/>
      <c r="D139" s="2081"/>
      <c r="E139" s="2081"/>
      <c r="F139" s="2081"/>
      <c r="G139" s="2081"/>
      <c r="H139" s="2081"/>
      <c r="I139" s="2081"/>
      <c r="J139" s="2081"/>
      <c r="K139" s="2081"/>
      <c r="L139" s="2081"/>
    </row>
    <row r="140" spans="2:12">
      <c r="B140" s="1661"/>
      <c r="C140" s="2081"/>
      <c r="D140" s="2081"/>
      <c r="E140" s="2081"/>
      <c r="F140" s="2081"/>
      <c r="G140" s="2081"/>
      <c r="H140" s="2081"/>
      <c r="I140" s="2081"/>
      <c r="J140" s="2081"/>
      <c r="K140" s="2081"/>
      <c r="L140" s="2081"/>
    </row>
    <row r="141" spans="2:12">
      <c r="B141" s="1661"/>
      <c r="C141" s="2081"/>
      <c r="D141" s="2081"/>
      <c r="E141" s="2081"/>
      <c r="F141" s="2081"/>
      <c r="G141" s="2081"/>
      <c r="H141" s="2081"/>
      <c r="I141" s="2081"/>
      <c r="J141" s="2081"/>
      <c r="K141" s="2081"/>
      <c r="L141" s="2081"/>
    </row>
    <row r="142" spans="2:12">
      <c r="B142" s="1661"/>
      <c r="C142" s="2081"/>
      <c r="D142" s="2081"/>
      <c r="E142" s="2081"/>
      <c r="F142" s="2081"/>
      <c r="G142" s="2081"/>
      <c r="H142" s="2081"/>
      <c r="I142" s="2081"/>
      <c r="J142" s="2081"/>
      <c r="K142" s="2081"/>
      <c r="L142" s="2081"/>
    </row>
    <row r="143" spans="2:12">
      <c r="B143" s="1661"/>
      <c r="C143" s="2081"/>
      <c r="D143" s="2081"/>
      <c r="E143" s="2081"/>
      <c r="F143" s="2081"/>
      <c r="G143" s="2081"/>
      <c r="H143" s="2081"/>
      <c r="I143" s="2081"/>
      <c r="J143" s="2081"/>
      <c r="K143" s="2081"/>
      <c r="L143" s="2081"/>
    </row>
    <row r="144" spans="2:12">
      <c r="B144" s="1661"/>
      <c r="C144" s="2081"/>
      <c r="D144" s="2081"/>
      <c r="E144" s="2081"/>
      <c r="F144" s="2081"/>
      <c r="G144" s="2081"/>
      <c r="H144" s="2081"/>
      <c r="I144" s="2081"/>
      <c r="J144" s="2081"/>
      <c r="K144" s="2081"/>
      <c r="L144" s="2081"/>
    </row>
    <row r="145" spans="2:12">
      <c r="B145" s="1661"/>
      <c r="C145" s="2081"/>
      <c r="D145" s="2081"/>
      <c r="E145" s="2081"/>
      <c r="F145" s="2081"/>
      <c r="G145" s="2081"/>
      <c r="H145" s="2081"/>
      <c r="I145" s="2081"/>
      <c r="J145" s="2081"/>
      <c r="K145" s="2081"/>
      <c r="L145" s="2081"/>
    </row>
    <row r="146" spans="2:12">
      <c r="B146" s="1661"/>
      <c r="C146" s="2081"/>
      <c r="D146" s="2081"/>
      <c r="E146" s="2081"/>
      <c r="F146" s="2081"/>
      <c r="G146" s="2081"/>
      <c r="H146" s="2081"/>
      <c r="I146" s="2081"/>
      <c r="J146" s="2081"/>
      <c r="K146" s="2081"/>
      <c r="L146" s="2081"/>
    </row>
    <row r="147" spans="2:12">
      <c r="B147" s="1661"/>
      <c r="C147" s="2081"/>
      <c r="D147" s="2081"/>
      <c r="E147" s="2081"/>
      <c r="F147" s="2081"/>
      <c r="G147" s="2081"/>
      <c r="H147" s="2081"/>
      <c r="I147" s="2081"/>
      <c r="J147" s="2081"/>
      <c r="K147" s="2081"/>
      <c r="L147" s="2081"/>
    </row>
    <row r="148" spans="2:12">
      <c r="B148" s="1661"/>
      <c r="C148" s="2081"/>
      <c r="D148" s="2081"/>
      <c r="E148" s="2081"/>
      <c r="F148" s="2081"/>
      <c r="G148" s="2081"/>
      <c r="H148" s="2081"/>
      <c r="I148" s="2081"/>
      <c r="J148" s="2081"/>
      <c r="K148" s="2081"/>
      <c r="L148" s="2081"/>
    </row>
    <row r="149" spans="2:12">
      <c r="B149" s="1661"/>
      <c r="C149" s="2081"/>
      <c r="D149" s="2081"/>
      <c r="E149" s="2081"/>
      <c r="F149" s="2081"/>
      <c r="G149" s="2081"/>
      <c r="H149" s="2081"/>
      <c r="I149" s="2081"/>
      <c r="J149" s="2081"/>
      <c r="K149" s="2081"/>
      <c r="L149" s="2081"/>
    </row>
    <row r="150" spans="2:12">
      <c r="B150" s="1661"/>
      <c r="C150" s="2081"/>
      <c r="D150" s="2081"/>
      <c r="E150" s="2081"/>
      <c r="F150" s="2081"/>
      <c r="G150" s="2081"/>
      <c r="H150" s="2081"/>
      <c r="I150" s="2081"/>
      <c r="J150" s="2081"/>
      <c r="K150" s="2081"/>
      <c r="L150" s="2081"/>
    </row>
    <row r="151" spans="2:12">
      <c r="B151" s="1661"/>
      <c r="C151" s="2081"/>
      <c r="D151" s="2081"/>
      <c r="E151" s="2081"/>
      <c r="F151" s="2081"/>
      <c r="G151" s="2081"/>
      <c r="H151" s="2081"/>
      <c r="I151" s="2081"/>
      <c r="J151" s="2081"/>
      <c r="K151" s="2081"/>
      <c r="L151" s="2081"/>
    </row>
    <row r="152" spans="2:12">
      <c r="B152" s="1661"/>
      <c r="C152" s="2081"/>
      <c r="D152" s="2081"/>
      <c r="E152" s="2081"/>
      <c r="F152" s="2081"/>
      <c r="G152" s="2081"/>
      <c r="H152" s="2081"/>
      <c r="I152" s="2081"/>
      <c r="J152" s="2081"/>
      <c r="K152" s="2081"/>
      <c r="L152" s="2081"/>
    </row>
    <row r="153" spans="2:12">
      <c r="B153" s="1661"/>
      <c r="C153" s="2081"/>
      <c r="D153" s="2081"/>
      <c r="E153" s="2081"/>
      <c r="F153" s="2081"/>
      <c r="G153" s="2081"/>
      <c r="H153" s="2081"/>
      <c r="I153" s="2081"/>
      <c r="J153" s="2081"/>
      <c r="K153" s="2081"/>
      <c r="L153" s="2081"/>
    </row>
    <row r="154" spans="2:12">
      <c r="B154" s="1661"/>
      <c r="C154" s="2081"/>
      <c r="D154" s="2081"/>
      <c r="E154" s="2081"/>
      <c r="F154" s="2081"/>
      <c r="G154" s="2081"/>
      <c r="H154" s="2081"/>
      <c r="I154" s="2081"/>
      <c r="J154" s="2081"/>
      <c r="K154" s="2081"/>
      <c r="L154" s="2081"/>
    </row>
    <row r="155" spans="2:12">
      <c r="B155" s="1661"/>
      <c r="C155" s="2081"/>
      <c r="D155" s="2081"/>
      <c r="E155" s="2081"/>
      <c r="F155" s="2081"/>
      <c r="G155" s="2081"/>
      <c r="H155" s="2081"/>
      <c r="I155" s="2081"/>
      <c r="J155" s="2081"/>
      <c r="K155" s="2081"/>
      <c r="L155" s="2081"/>
    </row>
    <row r="156" spans="2:12">
      <c r="B156" s="1661"/>
      <c r="C156" s="2081"/>
      <c r="D156" s="2081"/>
      <c r="E156" s="2081"/>
      <c r="F156" s="2081"/>
      <c r="G156" s="2081"/>
      <c r="H156" s="2081"/>
      <c r="I156" s="2081"/>
      <c r="J156" s="2081"/>
      <c r="K156" s="2081"/>
      <c r="L156" s="2081"/>
    </row>
    <row r="157" spans="2:12">
      <c r="B157" s="1661"/>
      <c r="C157" s="2081"/>
      <c r="D157" s="2081"/>
      <c r="E157" s="2081"/>
      <c r="F157" s="2081"/>
      <c r="G157" s="2081"/>
      <c r="H157" s="2081"/>
      <c r="I157" s="2081"/>
      <c r="J157" s="2081"/>
      <c r="K157" s="2081"/>
      <c r="L157" s="2081"/>
    </row>
    <row r="158" spans="2:12">
      <c r="B158" s="1661"/>
      <c r="C158" s="2081"/>
      <c r="D158" s="2081"/>
      <c r="E158" s="2081"/>
      <c r="F158" s="2081"/>
      <c r="G158" s="2081"/>
      <c r="H158" s="2081"/>
      <c r="I158" s="2081"/>
      <c r="J158" s="2081"/>
      <c r="K158" s="2081"/>
      <c r="L158" s="2081"/>
    </row>
    <row r="159" spans="2:12">
      <c r="B159" s="1661"/>
      <c r="C159" s="2081"/>
      <c r="D159" s="2081"/>
      <c r="E159" s="2081"/>
      <c r="F159" s="2081"/>
      <c r="G159" s="2081"/>
      <c r="H159" s="2081"/>
      <c r="I159" s="2081"/>
      <c r="J159" s="2081"/>
      <c r="K159" s="2081"/>
      <c r="L159" s="2081"/>
    </row>
    <row r="160" spans="2:12">
      <c r="B160" s="1661"/>
      <c r="C160" s="2081"/>
      <c r="D160" s="2081"/>
      <c r="E160" s="2081"/>
      <c r="F160" s="2081"/>
      <c r="G160" s="2081"/>
      <c r="H160" s="2081"/>
      <c r="I160" s="2081"/>
      <c r="J160" s="2081"/>
      <c r="K160" s="2081"/>
      <c r="L160" s="2081"/>
    </row>
    <row r="161" spans="2:12">
      <c r="B161" s="1661"/>
      <c r="C161" s="2081"/>
      <c r="D161" s="2081"/>
      <c r="E161" s="2081"/>
      <c r="F161" s="2081"/>
      <c r="G161" s="2081"/>
      <c r="H161" s="2081"/>
      <c r="I161" s="2081"/>
      <c r="J161" s="2081"/>
      <c r="K161" s="2081"/>
      <c r="L161" s="2081"/>
    </row>
    <row r="162" spans="2:12">
      <c r="B162" s="1661"/>
      <c r="C162" s="2081"/>
      <c r="D162" s="2081"/>
      <c r="E162" s="2081"/>
      <c r="F162" s="2081"/>
      <c r="G162" s="2081"/>
      <c r="H162" s="2081"/>
      <c r="I162" s="2081"/>
      <c r="J162" s="2081"/>
      <c r="K162" s="2081"/>
      <c r="L162" s="2081"/>
    </row>
    <row r="163" spans="2:12">
      <c r="B163" s="1661"/>
      <c r="C163" s="2081"/>
      <c r="D163" s="2081"/>
      <c r="E163" s="2081"/>
      <c r="F163" s="2081"/>
      <c r="G163" s="2081"/>
      <c r="H163" s="2081"/>
      <c r="I163" s="2081"/>
      <c r="J163" s="2081"/>
      <c r="K163" s="2081"/>
      <c r="L163" s="2081"/>
    </row>
    <row r="164" spans="2:12">
      <c r="B164" s="1661"/>
      <c r="C164" s="2081"/>
      <c r="D164" s="2081"/>
      <c r="E164" s="2081"/>
      <c r="F164" s="2081"/>
      <c r="G164" s="2081"/>
      <c r="H164" s="2081"/>
      <c r="I164" s="2081"/>
      <c r="J164" s="2081"/>
      <c r="K164" s="2081"/>
      <c r="L164" s="2081"/>
    </row>
    <row r="165" spans="2:12">
      <c r="B165" s="1661"/>
      <c r="C165" s="2081"/>
      <c r="D165" s="2081"/>
      <c r="E165" s="2081"/>
      <c r="F165" s="2081"/>
      <c r="G165" s="2081"/>
      <c r="H165" s="2081"/>
      <c r="I165" s="2081"/>
      <c r="J165" s="2081"/>
      <c r="K165" s="2081"/>
      <c r="L165" s="2081"/>
    </row>
    <row r="166" spans="2:12">
      <c r="B166" s="1661"/>
      <c r="C166" s="2081"/>
      <c r="D166" s="2081"/>
      <c r="E166" s="2081"/>
      <c r="F166" s="2081"/>
      <c r="G166" s="2081"/>
      <c r="H166" s="2081"/>
      <c r="I166" s="2081"/>
      <c r="J166" s="2081"/>
      <c r="K166" s="2081"/>
      <c r="L166" s="2081"/>
    </row>
    <row r="167" spans="2:12">
      <c r="B167" s="1661"/>
      <c r="C167" s="2081"/>
      <c r="D167" s="2081"/>
      <c r="E167" s="2081"/>
      <c r="F167" s="2081"/>
      <c r="G167" s="2081"/>
      <c r="H167" s="2081"/>
      <c r="I167" s="2081"/>
      <c r="J167" s="2081"/>
      <c r="K167" s="2081"/>
      <c r="L167" s="2081"/>
    </row>
    <row r="168" spans="2:12">
      <c r="B168" s="1661"/>
      <c r="C168" s="2081"/>
      <c r="D168" s="2081"/>
      <c r="E168" s="2081"/>
      <c r="F168" s="2081"/>
      <c r="G168" s="2081"/>
      <c r="H168" s="2081"/>
      <c r="I168" s="2081"/>
      <c r="J168" s="2081"/>
      <c r="K168" s="2081"/>
      <c r="L168" s="2081"/>
    </row>
    <row r="169" spans="2:12">
      <c r="B169" s="1661"/>
      <c r="C169" s="2081"/>
      <c r="D169" s="2081"/>
      <c r="E169" s="2081"/>
      <c r="F169" s="2081"/>
      <c r="G169" s="2081"/>
      <c r="H169" s="2081"/>
      <c r="I169" s="2081"/>
      <c r="J169" s="2081"/>
      <c r="K169" s="2081"/>
      <c r="L169" s="2081"/>
    </row>
    <row r="170" spans="2:12">
      <c r="B170" s="1661"/>
      <c r="C170" s="2081"/>
      <c r="D170" s="2081"/>
      <c r="E170" s="2081"/>
      <c r="F170" s="2081"/>
      <c r="G170" s="2081"/>
      <c r="H170" s="2081"/>
      <c r="I170" s="2081"/>
      <c r="J170" s="2081"/>
      <c r="K170" s="2081"/>
      <c r="L170" s="2081"/>
    </row>
    <row r="171" spans="2:12">
      <c r="B171" s="1661"/>
      <c r="C171" s="2081"/>
      <c r="D171" s="2081"/>
      <c r="E171" s="2081"/>
      <c r="F171" s="2081"/>
      <c r="G171" s="2081"/>
      <c r="H171" s="2081"/>
      <c r="I171" s="2081"/>
      <c r="J171" s="2081"/>
      <c r="K171" s="2081"/>
      <c r="L171" s="2081"/>
    </row>
    <row r="172" spans="2:12">
      <c r="B172" s="1661"/>
      <c r="C172" s="2081"/>
      <c r="D172" s="2081"/>
      <c r="E172" s="2081"/>
      <c r="F172" s="2081"/>
      <c r="G172" s="2081"/>
      <c r="H172" s="2081"/>
      <c r="I172" s="2081"/>
      <c r="J172" s="2081"/>
      <c r="K172" s="2081"/>
      <c r="L172" s="2081"/>
    </row>
    <row r="173" spans="2:12">
      <c r="B173" s="1661"/>
      <c r="C173" s="2081"/>
      <c r="D173" s="2081"/>
      <c r="E173" s="2081"/>
      <c r="F173" s="2081"/>
      <c r="G173" s="2081"/>
      <c r="H173" s="2081"/>
      <c r="I173" s="2081"/>
      <c r="J173" s="2081"/>
      <c r="K173" s="2081"/>
      <c r="L173" s="2081"/>
    </row>
    <row r="174" spans="2:12">
      <c r="B174" s="1661"/>
      <c r="C174" s="2081"/>
      <c r="D174" s="2081"/>
      <c r="E174" s="2081"/>
      <c r="F174" s="2081"/>
      <c r="G174" s="2081"/>
      <c r="H174" s="2081"/>
      <c r="I174" s="2081"/>
      <c r="J174" s="2081"/>
      <c r="K174" s="2081"/>
      <c r="L174" s="2081"/>
    </row>
    <row r="175" spans="2:12">
      <c r="B175" s="1661"/>
      <c r="C175" s="2081"/>
      <c r="D175" s="2081"/>
      <c r="E175" s="2081"/>
      <c r="F175" s="2081"/>
      <c r="G175" s="2081"/>
      <c r="H175" s="2081"/>
      <c r="I175" s="2081"/>
      <c r="J175" s="2081"/>
      <c r="K175" s="2081"/>
      <c r="L175" s="2081"/>
    </row>
    <row r="176" spans="2:12">
      <c r="B176" s="1661"/>
      <c r="C176" s="2081"/>
      <c r="D176" s="2081"/>
      <c r="E176" s="2081"/>
      <c r="F176" s="2081"/>
      <c r="G176" s="2081"/>
      <c r="H176" s="2081"/>
      <c r="I176" s="2081"/>
      <c r="J176" s="2081"/>
      <c r="K176" s="2081"/>
      <c r="L176" s="2081"/>
    </row>
    <row r="177" spans="2:12">
      <c r="B177" s="1661"/>
      <c r="C177" s="2081"/>
      <c r="D177" s="2081"/>
      <c r="E177" s="2081"/>
      <c r="F177" s="2081"/>
      <c r="G177" s="2081"/>
      <c r="H177" s="2081"/>
      <c r="I177" s="2081"/>
      <c r="J177" s="2081"/>
      <c r="K177" s="2081"/>
      <c r="L177" s="2081"/>
    </row>
    <row r="178" spans="2:12">
      <c r="B178" s="1661"/>
      <c r="C178" s="2081"/>
      <c r="D178" s="2081"/>
      <c r="E178" s="2081"/>
      <c r="F178" s="2081"/>
      <c r="G178" s="2081"/>
      <c r="H178" s="2081"/>
      <c r="I178" s="2081"/>
      <c r="J178" s="2081"/>
      <c r="K178" s="2081"/>
      <c r="L178" s="2081"/>
    </row>
    <row r="179" spans="2:12">
      <c r="B179" s="1661"/>
      <c r="C179" s="2081"/>
      <c r="D179" s="2081"/>
      <c r="E179" s="2081"/>
      <c r="F179" s="2081"/>
      <c r="G179" s="2081"/>
      <c r="H179" s="2081"/>
      <c r="I179" s="2081"/>
      <c r="J179" s="2081"/>
      <c r="K179" s="2081"/>
      <c r="L179" s="2081"/>
    </row>
    <row r="180" spans="2:12">
      <c r="B180" s="1661"/>
      <c r="C180" s="2081"/>
      <c r="D180" s="2081"/>
      <c r="E180" s="2081"/>
      <c r="F180" s="2081"/>
      <c r="G180" s="2081"/>
      <c r="H180" s="2081"/>
      <c r="I180" s="2081"/>
      <c r="J180" s="2081"/>
      <c r="K180" s="2081"/>
      <c r="L180" s="2081"/>
    </row>
    <row r="181" spans="2:12">
      <c r="B181" s="1661"/>
      <c r="C181" s="2081"/>
      <c r="D181" s="2081"/>
      <c r="E181" s="2081"/>
      <c r="F181" s="2081"/>
      <c r="G181" s="2081"/>
      <c r="H181" s="2081"/>
      <c r="I181" s="2081"/>
      <c r="J181" s="2081"/>
      <c r="K181" s="2081"/>
      <c r="L181" s="2081"/>
    </row>
    <row r="182" spans="2:12">
      <c r="B182" s="1661"/>
      <c r="C182" s="2081"/>
      <c r="D182" s="2081"/>
      <c r="E182" s="2081"/>
      <c r="F182" s="2081"/>
      <c r="G182" s="2081"/>
      <c r="H182" s="2081"/>
      <c r="I182" s="2081"/>
      <c r="J182" s="2081"/>
      <c r="K182" s="2081"/>
      <c r="L182" s="2081"/>
    </row>
    <row r="183" spans="2:12">
      <c r="B183" s="1661"/>
      <c r="C183" s="2081"/>
      <c r="D183" s="2081"/>
      <c r="E183" s="2081"/>
      <c r="F183" s="2081"/>
      <c r="G183" s="2081"/>
      <c r="H183" s="2081"/>
      <c r="I183" s="2081"/>
      <c r="J183" s="2081"/>
      <c r="K183" s="2081"/>
      <c r="L183" s="2081"/>
    </row>
    <row r="184" spans="2:12">
      <c r="B184" s="1661"/>
      <c r="C184" s="2081"/>
      <c r="D184" s="2081"/>
      <c r="E184" s="2081"/>
      <c r="F184" s="2081"/>
      <c r="G184" s="2081"/>
      <c r="H184" s="2081"/>
      <c r="I184" s="2081"/>
      <c r="J184" s="2081"/>
      <c r="K184" s="2081"/>
      <c r="L184" s="2081"/>
    </row>
    <row r="185" spans="2:12">
      <c r="B185" s="1661"/>
      <c r="C185" s="2081"/>
      <c r="D185" s="2081"/>
      <c r="E185" s="2081"/>
      <c r="F185" s="2081"/>
      <c r="G185" s="2081"/>
      <c r="H185" s="2081"/>
      <c r="I185" s="2081"/>
      <c r="J185" s="2081"/>
      <c r="K185" s="2081"/>
      <c r="L185" s="2081"/>
    </row>
    <row r="186" spans="2:12">
      <c r="B186" s="1661"/>
      <c r="C186" s="2081"/>
      <c r="D186" s="2081"/>
      <c r="E186" s="2081"/>
      <c r="F186" s="2081"/>
      <c r="G186" s="2081"/>
      <c r="H186" s="2081"/>
      <c r="I186" s="2081"/>
      <c r="J186" s="2081"/>
      <c r="K186" s="2081"/>
      <c r="L186" s="2081"/>
    </row>
    <row r="187" spans="2:12">
      <c r="B187" s="1661"/>
      <c r="C187" s="2081"/>
      <c r="D187" s="2081"/>
      <c r="E187" s="2081"/>
      <c r="F187" s="2081"/>
      <c r="G187" s="2081"/>
      <c r="H187" s="2081"/>
      <c r="I187" s="2081"/>
      <c r="J187" s="2081"/>
      <c r="K187" s="2081"/>
      <c r="L187" s="2081"/>
    </row>
    <row r="188" spans="2:12">
      <c r="B188" s="1661"/>
      <c r="C188" s="2081"/>
      <c r="D188" s="2081"/>
      <c r="E188" s="2081"/>
      <c r="F188" s="2081"/>
      <c r="G188" s="2081"/>
      <c r="H188" s="2081"/>
      <c r="I188" s="2081"/>
      <c r="J188" s="2081"/>
      <c r="K188" s="2081"/>
      <c r="L188" s="2081"/>
    </row>
    <row r="189" spans="2:12">
      <c r="B189" s="1661"/>
      <c r="C189" s="2081"/>
      <c r="D189" s="2081"/>
      <c r="E189" s="2081"/>
      <c r="F189" s="2081"/>
      <c r="G189" s="2081"/>
      <c r="H189" s="2081"/>
      <c r="I189" s="2081"/>
      <c r="J189" s="2081"/>
      <c r="K189" s="2081"/>
      <c r="L189" s="2081"/>
    </row>
    <row r="190" spans="2:12">
      <c r="B190" s="1661"/>
      <c r="C190" s="2081"/>
      <c r="D190" s="2081"/>
      <c r="E190" s="2081"/>
      <c r="F190" s="2081"/>
      <c r="G190" s="2081"/>
      <c r="H190" s="2081"/>
      <c r="I190" s="2081"/>
      <c r="J190" s="2081"/>
      <c r="K190" s="2081"/>
      <c r="L190" s="2081"/>
    </row>
    <row r="191" spans="2:12">
      <c r="B191" s="1661"/>
      <c r="C191" s="2081"/>
      <c r="D191" s="2081"/>
      <c r="E191" s="2081"/>
      <c r="F191" s="2081"/>
      <c r="G191" s="2081"/>
      <c r="H191" s="2081"/>
      <c r="I191" s="2081"/>
      <c r="J191" s="2081"/>
      <c r="K191" s="2081"/>
      <c r="L191" s="2081"/>
    </row>
    <row r="192" spans="2:12">
      <c r="B192" s="1661"/>
      <c r="C192" s="2081"/>
      <c r="D192" s="2081"/>
      <c r="E192" s="2081"/>
      <c r="F192" s="2081"/>
      <c r="G192" s="2081"/>
      <c r="H192" s="2081"/>
      <c r="I192" s="2081"/>
      <c r="J192" s="2081"/>
      <c r="K192" s="2081"/>
      <c r="L192" s="2081"/>
    </row>
    <row r="193" spans="2:12">
      <c r="B193" s="1661"/>
      <c r="C193" s="2081"/>
      <c r="D193" s="2081"/>
      <c r="E193" s="2081"/>
      <c r="F193" s="2081"/>
      <c r="G193" s="2081"/>
      <c r="H193" s="2081"/>
      <c r="I193" s="2081"/>
      <c r="J193" s="2081"/>
      <c r="K193" s="2081"/>
      <c r="L193" s="2081"/>
    </row>
    <row r="194" spans="2:12">
      <c r="B194" s="1661"/>
      <c r="C194" s="2081"/>
      <c r="D194" s="2081"/>
      <c r="E194" s="2081"/>
      <c r="F194" s="2081"/>
      <c r="G194" s="2081"/>
      <c r="H194" s="2081"/>
      <c r="I194" s="2081"/>
      <c r="J194" s="2081"/>
      <c r="K194" s="2081"/>
      <c r="L194" s="2081"/>
    </row>
    <row r="195" spans="2:12">
      <c r="B195" s="1661"/>
      <c r="C195" s="2081"/>
      <c r="D195" s="2081"/>
      <c r="E195" s="2081"/>
      <c r="F195" s="2081"/>
      <c r="G195" s="2081"/>
      <c r="H195" s="2081"/>
      <c r="I195" s="2081"/>
      <c r="J195" s="2081"/>
      <c r="K195" s="2081"/>
      <c r="L195" s="2081"/>
    </row>
    <row r="196" spans="2:12">
      <c r="B196" s="1661"/>
      <c r="C196" s="2081"/>
      <c r="D196" s="2081"/>
      <c r="E196" s="2081"/>
      <c r="F196" s="2081"/>
      <c r="G196" s="2081"/>
      <c r="H196" s="2081"/>
      <c r="I196" s="2081"/>
      <c r="J196" s="2081"/>
      <c r="K196" s="2081"/>
      <c r="L196" s="2081"/>
    </row>
    <row r="197" spans="2:12">
      <c r="B197" s="1661"/>
      <c r="C197" s="2081"/>
      <c r="D197" s="2081"/>
      <c r="E197" s="2081"/>
      <c r="F197" s="2081"/>
      <c r="G197" s="2081"/>
      <c r="H197" s="2081"/>
      <c r="I197" s="2081"/>
      <c r="J197" s="2081"/>
      <c r="K197" s="2081"/>
      <c r="L197" s="2081"/>
    </row>
    <row r="198" spans="2:12">
      <c r="B198" s="1661"/>
      <c r="C198" s="2081"/>
      <c r="D198" s="2081"/>
      <c r="E198" s="2081"/>
      <c r="F198" s="2081"/>
      <c r="G198" s="2081"/>
      <c r="H198" s="2081"/>
      <c r="I198" s="2081"/>
      <c r="J198" s="2081"/>
      <c r="K198" s="2081"/>
      <c r="L198" s="2081"/>
    </row>
    <row r="199" spans="2:12">
      <c r="B199" s="1661"/>
      <c r="C199" s="2081"/>
      <c r="D199" s="2081"/>
      <c r="E199" s="2081"/>
      <c r="F199" s="2081"/>
      <c r="G199" s="2081"/>
      <c r="H199" s="2081"/>
      <c r="I199" s="2081"/>
      <c r="J199" s="2081"/>
      <c r="K199" s="2081"/>
      <c r="L199" s="2081"/>
    </row>
    <row r="200" spans="2:12">
      <c r="B200" s="1661"/>
      <c r="C200" s="2081"/>
      <c r="D200" s="2081"/>
      <c r="E200" s="2081"/>
      <c r="F200" s="2081"/>
      <c r="G200" s="2081"/>
      <c r="H200" s="2081"/>
      <c r="I200" s="2081"/>
      <c r="J200" s="2081"/>
      <c r="K200" s="2081"/>
      <c r="L200" s="2081"/>
    </row>
    <row r="201" spans="2:12">
      <c r="B201" s="1661"/>
      <c r="C201" s="2081"/>
      <c r="D201" s="2081"/>
      <c r="E201" s="2081"/>
      <c r="F201" s="2081"/>
      <c r="G201" s="2081"/>
      <c r="H201" s="2081"/>
      <c r="I201" s="2081"/>
      <c r="J201" s="2081"/>
      <c r="K201" s="2081"/>
      <c r="L201" s="2081"/>
    </row>
    <row r="202" spans="2:12">
      <c r="B202" s="1661"/>
      <c r="C202" s="2081"/>
      <c r="D202" s="2081"/>
      <c r="E202" s="2081"/>
      <c r="F202" s="2081"/>
      <c r="G202" s="2081"/>
      <c r="H202" s="2081"/>
      <c r="I202" s="2081"/>
      <c r="J202" s="2081"/>
      <c r="K202" s="2081"/>
      <c r="L202" s="2081"/>
    </row>
    <row r="203" spans="2:12">
      <c r="B203" s="1661"/>
      <c r="C203" s="2081"/>
      <c r="D203" s="2081"/>
      <c r="E203" s="2081"/>
      <c r="F203" s="2081"/>
      <c r="G203" s="2081"/>
      <c r="H203" s="2081"/>
      <c r="I203" s="2081"/>
      <c r="J203" s="2081"/>
      <c r="K203" s="2081"/>
      <c r="L203" s="2081"/>
    </row>
    <row r="204" spans="2:12">
      <c r="B204" s="1661"/>
      <c r="C204" s="2081"/>
      <c r="D204" s="2081"/>
      <c r="E204" s="2081"/>
      <c r="F204" s="2081"/>
      <c r="G204" s="2081"/>
      <c r="H204" s="2081"/>
      <c r="I204" s="2081"/>
      <c r="J204" s="2081"/>
      <c r="K204" s="2081"/>
      <c r="L204" s="2081"/>
    </row>
    <row r="205" spans="2:12">
      <c r="B205" s="1661"/>
      <c r="C205" s="2081"/>
      <c r="D205" s="2081"/>
      <c r="E205" s="2081"/>
      <c r="F205" s="2081"/>
      <c r="G205" s="2081"/>
      <c r="H205" s="2081"/>
      <c r="I205" s="2081"/>
      <c r="J205" s="2081"/>
      <c r="K205" s="2081"/>
      <c r="L205" s="2081"/>
    </row>
    <row r="206" spans="2:12">
      <c r="B206" s="1661"/>
      <c r="C206" s="2081"/>
      <c r="D206" s="2081"/>
      <c r="E206" s="2081"/>
      <c r="F206" s="2081"/>
      <c r="G206" s="2081"/>
      <c r="H206" s="2081"/>
      <c r="I206" s="2081"/>
      <c r="J206" s="2081"/>
      <c r="K206" s="2081"/>
      <c r="L206" s="2081"/>
    </row>
    <row r="207" spans="2:12">
      <c r="B207" s="1661"/>
      <c r="C207" s="2081"/>
      <c r="D207" s="2081"/>
      <c r="E207" s="2081"/>
      <c r="F207" s="2081"/>
      <c r="G207" s="2081"/>
      <c r="H207" s="2081"/>
      <c r="I207" s="2081"/>
      <c r="J207" s="2081"/>
      <c r="K207" s="2081"/>
      <c r="L207" s="2081"/>
    </row>
    <row r="208" spans="2:12">
      <c r="B208" s="1661"/>
      <c r="C208" s="2081"/>
      <c r="D208" s="2081"/>
      <c r="E208" s="2081"/>
      <c r="F208" s="2081"/>
      <c r="G208" s="2081"/>
      <c r="H208" s="2081"/>
      <c r="I208" s="2081"/>
      <c r="J208" s="2081"/>
      <c r="K208" s="2081"/>
      <c r="L208" s="2081"/>
    </row>
    <row r="209" spans="2:12">
      <c r="B209" s="1661"/>
      <c r="C209" s="2081"/>
      <c r="D209" s="2081"/>
      <c r="E209" s="2081"/>
      <c r="F209" s="2081"/>
      <c r="G209" s="2081"/>
      <c r="H209" s="2081"/>
      <c r="I209" s="2081"/>
      <c r="J209" s="2081"/>
      <c r="K209" s="2081"/>
      <c r="L209" s="2081"/>
    </row>
    <row r="210" spans="2:12">
      <c r="B210" s="1661"/>
      <c r="C210" s="2081"/>
      <c r="D210" s="2081"/>
      <c r="E210" s="2081"/>
      <c r="F210" s="2081"/>
      <c r="G210" s="2081"/>
      <c r="H210" s="2081"/>
      <c r="I210" s="2081"/>
      <c r="J210" s="2081"/>
      <c r="K210" s="2081"/>
      <c r="L210" s="2081"/>
    </row>
    <row r="211" spans="2:12">
      <c r="B211" s="1661"/>
      <c r="C211" s="2081"/>
      <c r="D211" s="2081"/>
      <c r="E211" s="2081"/>
      <c r="F211" s="2081"/>
      <c r="G211" s="2081"/>
      <c r="H211" s="2081"/>
      <c r="I211" s="2081"/>
      <c r="J211" s="2081"/>
      <c r="K211" s="2081"/>
      <c r="L211" s="2081"/>
    </row>
    <row r="212" spans="2:12">
      <c r="B212" s="1661"/>
      <c r="C212" s="2081"/>
      <c r="D212" s="2081"/>
      <c r="E212" s="2081"/>
      <c r="F212" s="2081"/>
      <c r="G212" s="2081"/>
      <c r="H212" s="2081"/>
      <c r="I212" s="2081"/>
      <c r="J212" s="2081"/>
      <c r="K212" s="2081"/>
      <c r="L212" s="2081"/>
    </row>
    <row r="213" spans="2:12">
      <c r="B213" s="1661"/>
      <c r="C213" s="2081"/>
      <c r="D213" s="2081"/>
      <c r="E213" s="2081"/>
      <c r="F213" s="2081"/>
      <c r="G213" s="2081"/>
      <c r="H213" s="2081"/>
      <c r="I213" s="2081"/>
      <c r="J213" s="2081"/>
      <c r="K213" s="2081"/>
      <c r="L213" s="2081"/>
    </row>
    <row r="214" spans="2:12">
      <c r="B214" s="1661"/>
      <c r="C214" s="2081"/>
      <c r="D214" s="2081"/>
      <c r="E214" s="2081"/>
      <c r="F214" s="2081"/>
      <c r="G214" s="2081"/>
      <c r="H214" s="2081"/>
      <c r="I214" s="2081"/>
      <c r="J214" s="2081"/>
      <c r="K214" s="2081"/>
      <c r="L214" s="2081"/>
    </row>
    <row r="215" spans="2:12">
      <c r="B215" s="1661"/>
      <c r="C215" s="2081"/>
      <c r="D215" s="2081"/>
      <c r="E215" s="2081"/>
      <c r="F215" s="2081"/>
      <c r="G215" s="2081"/>
      <c r="H215" s="2081"/>
      <c r="I215" s="2081"/>
      <c r="J215" s="2081"/>
      <c r="K215" s="2081"/>
      <c r="L215" s="2081"/>
    </row>
    <row r="216" spans="2:12">
      <c r="B216" s="1661"/>
      <c r="C216" s="2081"/>
      <c r="D216" s="2081"/>
      <c r="E216" s="2081"/>
      <c r="F216" s="2081"/>
      <c r="G216" s="2081"/>
      <c r="H216" s="2081"/>
      <c r="I216" s="2081"/>
      <c r="J216" s="2081"/>
      <c r="K216" s="2081"/>
      <c r="L216" s="2081"/>
    </row>
    <row r="217" spans="2:12">
      <c r="B217" s="1661"/>
      <c r="C217" s="2081"/>
      <c r="D217" s="2081"/>
      <c r="E217" s="2081"/>
      <c r="F217" s="2081"/>
      <c r="G217" s="2081"/>
      <c r="H217" s="2081"/>
      <c r="I217" s="2081"/>
      <c r="J217" s="2081"/>
      <c r="K217" s="2081"/>
      <c r="L217" s="2081"/>
    </row>
    <row r="218" spans="2:12">
      <c r="B218" s="1661"/>
      <c r="C218" s="2081"/>
      <c r="D218" s="2081"/>
      <c r="E218" s="2081"/>
      <c r="F218" s="2081"/>
      <c r="G218" s="2081"/>
      <c r="H218" s="2081"/>
      <c r="I218" s="2081"/>
      <c r="J218" s="2081"/>
      <c r="K218" s="2081"/>
      <c r="L218" s="2081"/>
    </row>
    <row r="219" spans="2:12">
      <c r="B219" s="1661"/>
      <c r="C219" s="2081"/>
      <c r="D219" s="2081"/>
      <c r="E219" s="2081"/>
      <c r="F219" s="2081"/>
      <c r="G219" s="2081"/>
      <c r="H219" s="2081"/>
      <c r="I219" s="2081"/>
      <c r="J219" s="2081"/>
      <c r="K219" s="2081"/>
      <c r="L219" s="2081"/>
    </row>
    <row r="220" spans="2:12">
      <c r="B220" s="1661"/>
      <c r="C220" s="2081"/>
      <c r="D220" s="2081"/>
      <c r="E220" s="2081"/>
      <c r="F220" s="2081"/>
      <c r="G220" s="2081"/>
      <c r="H220" s="2081"/>
      <c r="I220" s="2081"/>
      <c r="J220" s="2081"/>
      <c r="K220" s="2081"/>
      <c r="L220" s="2081"/>
    </row>
    <row r="221" spans="2:12">
      <c r="B221" s="1661"/>
      <c r="C221" s="2081"/>
      <c r="D221" s="2081"/>
      <c r="E221" s="2081"/>
      <c r="F221" s="2081"/>
      <c r="G221" s="2081"/>
      <c r="H221" s="2081"/>
      <c r="I221" s="2081"/>
      <c r="J221" s="2081"/>
      <c r="K221" s="2081"/>
      <c r="L221" s="2081"/>
    </row>
    <row r="222" spans="2:12">
      <c r="B222" s="1661"/>
      <c r="C222" s="2081"/>
      <c r="D222" s="2081"/>
      <c r="E222" s="2081"/>
      <c r="F222" s="2081"/>
      <c r="G222" s="2081"/>
      <c r="H222" s="2081"/>
      <c r="I222" s="2081"/>
      <c r="J222" s="2081"/>
      <c r="K222" s="2081"/>
      <c r="L222" s="2081"/>
    </row>
    <row r="223" spans="2:12">
      <c r="B223" s="1661"/>
      <c r="C223" s="2081"/>
      <c r="D223" s="2081"/>
      <c r="E223" s="2081"/>
      <c r="F223" s="2081"/>
      <c r="G223" s="2081"/>
      <c r="H223" s="2081"/>
      <c r="I223" s="2081"/>
      <c r="J223" s="2081"/>
      <c r="K223" s="2081"/>
      <c r="L223" s="2081"/>
    </row>
    <row r="224" spans="2:12">
      <c r="B224" s="1661"/>
      <c r="C224" s="2081"/>
      <c r="D224" s="2081"/>
      <c r="E224" s="2081"/>
      <c r="F224" s="2081"/>
      <c r="G224" s="2081"/>
      <c r="H224" s="2081"/>
      <c r="I224" s="2081"/>
      <c r="J224" s="2081"/>
      <c r="K224" s="2081"/>
      <c r="L224" s="2081"/>
    </row>
    <row r="225" spans="2:12">
      <c r="B225" s="1661"/>
      <c r="C225" s="2081"/>
      <c r="D225" s="2081"/>
      <c r="E225" s="2081"/>
      <c r="F225" s="2081"/>
      <c r="G225" s="2081"/>
      <c r="H225" s="2081"/>
      <c r="I225" s="2081"/>
      <c r="J225" s="2081"/>
      <c r="K225" s="2081"/>
      <c r="L225" s="2081"/>
    </row>
    <row r="226" spans="2:12">
      <c r="B226" s="1661"/>
      <c r="C226" s="2081"/>
      <c r="D226" s="2081"/>
      <c r="E226" s="2081"/>
      <c r="F226" s="2081"/>
      <c r="G226" s="2081"/>
      <c r="H226" s="2081"/>
      <c r="I226" s="2081"/>
      <c r="J226" s="2081"/>
      <c r="K226" s="2081"/>
      <c r="L226" s="2081"/>
    </row>
    <row r="227" spans="2:12">
      <c r="B227" s="1661"/>
      <c r="C227" s="2081"/>
      <c r="D227" s="2081"/>
      <c r="E227" s="2081"/>
      <c r="F227" s="2081"/>
      <c r="G227" s="2081"/>
      <c r="H227" s="2081"/>
      <c r="I227" s="2081"/>
      <c r="J227" s="2081"/>
      <c r="K227" s="2081"/>
      <c r="L227" s="2081"/>
    </row>
    <row r="228" spans="2:12">
      <c r="B228" s="1661"/>
      <c r="C228" s="2081"/>
      <c r="D228" s="2081"/>
      <c r="E228" s="2081"/>
      <c r="F228" s="2081"/>
      <c r="G228" s="2081"/>
      <c r="H228" s="2081"/>
      <c r="I228" s="2081"/>
      <c r="J228" s="2081"/>
      <c r="K228" s="2081"/>
      <c r="L228" s="2081"/>
    </row>
    <row r="229" spans="2:12">
      <c r="B229" s="1661"/>
      <c r="C229" s="2081"/>
      <c r="D229" s="2081"/>
      <c r="E229" s="2081"/>
      <c r="F229" s="2081"/>
      <c r="G229" s="2081"/>
      <c r="H229" s="2081"/>
      <c r="I229" s="2081"/>
      <c r="J229" s="2081"/>
      <c r="K229" s="2081"/>
      <c r="L229" s="2081"/>
    </row>
    <row r="230" spans="2:12">
      <c r="B230" s="1661"/>
      <c r="C230" s="2081"/>
      <c r="D230" s="2081"/>
      <c r="E230" s="2081"/>
      <c r="F230" s="2081"/>
      <c r="G230" s="2081"/>
      <c r="H230" s="2081"/>
      <c r="I230" s="2081"/>
      <c r="J230" s="2081"/>
      <c r="K230" s="2081"/>
      <c r="L230" s="2081"/>
    </row>
    <row r="231" spans="2:12">
      <c r="B231" s="1661"/>
      <c r="C231" s="2081"/>
      <c r="D231" s="2081"/>
      <c r="E231" s="2081"/>
      <c r="F231" s="2081"/>
      <c r="G231" s="2081"/>
      <c r="H231" s="2081"/>
      <c r="I231" s="2081"/>
      <c r="J231" s="2081"/>
      <c r="K231" s="2081"/>
      <c r="L231" s="2081"/>
    </row>
    <row r="232" spans="2:12">
      <c r="B232" s="1661"/>
      <c r="C232" s="2081"/>
      <c r="D232" s="2081"/>
      <c r="E232" s="2081"/>
      <c r="F232" s="2081"/>
      <c r="G232" s="2081"/>
      <c r="H232" s="2081"/>
      <c r="I232" s="2081"/>
      <c r="J232" s="2081"/>
      <c r="K232" s="2081"/>
      <c r="L232" s="2081"/>
    </row>
    <row r="233" spans="2:12">
      <c r="B233" s="1661"/>
      <c r="C233" s="2081"/>
      <c r="D233" s="2081"/>
      <c r="E233" s="2081"/>
      <c r="F233" s="2081"/>
      <c r="G233" s="2081"/>
      <c r="H233" s="2081"/>
      <c r="I233" s="2081"/>
      <c r="J233" s="2081"/>
      <c r="K233" s="2081"/>
      <c r="L233" s="2081"/>
    </row>
    <row r="234" spans="2:12">
      <c r="B234" s="1661"/>
      <c r="C234" s="2081"/>
      <c r="D234" s="2081"/>
      <c r="E234" s="2081"/>
      <c r="F234" s="2081"/>
      <c r="G234" s="2081"/>
      <c r="H234" s="2081"/>
      <c r="I234" s="2081"/>
      <c r="J234" s="2081"/>
      <c r="K234" s="2081"/>
      <c r="L234" s="2081"/>
    </row>
    <row r="235" spans="2:12">
      <c r="B235" s="1661"/>
      <c r="C235" s="2081"/>
      <c r="D235" s="2081"/>
      <c r="E235" s="2081"/>
      <c r="F235" s="2081"/>
      <c r="G235" s="2081"/>
      <c r="H235" s="2081"/>
      <c r="I235" s="2081"/>
      <c r="J235" s="2081"/>
      <c r="K235" s="2081"/>
      <c r="L235" s="2081"/>
    </row>
    <row r="236" spans="2:12">
      <c r="B236" s="1661"/>
      <c r="C236" s="2081"/>
      <c r="D236" s="2081"/>
      <c r="E236" s="2081"/>
      <c r="F236" s="2081"/>
      <c r="G236" s="2081"/>
      <c r="H236" s="2081"/>
      <c r="I236" s="2081"/>
      <c r="J236" s="2081"/>
      <c r="K236" s="2081"/>
      <c r="L236" s="2081"/>
    </row>
    <row r="237" spans="2:12">
      <c r="B237" s="1661"/>
      <c r="C237" s="2081"/>
      <c r="D237" s="2081"/>
      <c r="E237" s="2081"/>
      <c r="F237" s="2081"/>
      <c r="G237" s="2081"/>
      <c r="H237" s="2081"/>
      <c r="I237" s="2081"/>
      <c r="J237" s="2081"/>
      <c r="K237" s="2081"/>
      <c r="L237" s="2081"/>
    </row>
    <row r="238" spans="2:12">
      <c r="B238" s="1661"/>
      <c r="C238" s="2081"/>
      <c r="D238" s="2081"/>
      <c r="E238" s="2081"/>
      <c r="F238" s="2081"/>
      <c r="G238" s="2081"/>
      <c r="H238" s="2081"/>
      <c r="I238" s="2081"/>
      <c r="J238" s="2081"/>
      <c r="K238" s="2081"/>
      <c r="L238" s="2081"/>
    </row>
    <row r="239" spans="2:12">
      <c r="B239" s="1661"/>
      <c r="C239" s="2081"/>
      <c r="D239" s="2081"/>
      <c r="E239" s="2081"/>
      <c r="F239" s="2081"/>
      <c r="G239" s="2081"/>
      <c r="H239" s="2081"/>
      <c r="I239" s="2081"/>
      <c r="J239" s="2081"/>
      <c r="K239" s="2081"/>
      <c r="L239" s="2081"/>
    </row>
    <row r="240" spans="2:12">
      <c r="B240" s="1661"/>
      <c r="C240" s="2081"/>
      <c r="D240" s="2081"/>
      <c r="E240" s="2081"/>
      <c r="F240" s="2081"/>
      <c r="G240" s="2081"/>
      <c r="H240" s="2081"/>
      <c r="I240" s="2081"/>
      <c r="J240" s="2081"/>
      <c r="K240" s="2081"/>
      <c r="L240" s="2081"/>
    </row>
    <row r="241" spans="2:12">
      <c r="B241" s="1661"/>
      <c r="C241" s="2081"/>
      <c r="D241" s="2081"/>
      <c r="E241" s="2081"/>
      <c r="F241" s="2081"/>
      <c r="G241" s="2081"/>
      <c r="H241" s="2081"/>
      <c r="I241" s="2081"/>
      <c r="J241" s="2081"/>
      <c r="K241" s="2081"/>
      <c r="L241" s="2081"/>
    </row>
    <row r="242" spans="2:12">
      <c r="B242" s="1661"/>
      <c r="C242" s="2081"/>
      <c r="D242" s="2081"/>
      <c r="E242" s="2081"/>
      <c r="F242" s="2081"/>
      <c r="G242" s="2081"/>
      <c r="H242" s="2081"/>
      <c r="I242" s="2081"/>
      <c r="J242" s="2081"/>
      <c r="K242" s="2081"/>
      <c r="L242" s="2081"/>
    </row>
    <row r="243" spans="2:12">
      <c r="B243" s="1661"/>
      <c r="C243" s="2081"/>
      <c r="D243" s="2081"/>
      <c r="E243" s="2081"/>
      <c r="F243" s="2081"/>
      <c r="G243" s="2081"/>
      <c r="H243" s="2081"/>
      <c r="I243" s="2081"/>
      <c r="J243" s="2081"/>
      <c r="K243" s="2081"/>
      <c r="L243" s="2081"/>
    </row>
    <row r="244" spans="2:12">
      <c r="B244" s="1661"/>
      <c r="C244" s="2081"/>
      <c r="D244" s="2081"/>
      <c r="E244" s="2081"/>
      <c r="F244" s="2081"/>
      <c r="G244" s="2081"/>
      <c r="H244" s="2081"/>
      <c r="I244" s="2081"/>
      <c r="J244" s="2081"/>
      <c r="K244" s="2081"/>
      <c r="L244" s="2081"/>
    </row>
    <row r="245" spans="2:12">
      <c r="B245" s="1661"/>
      <c r="C245" s="2081"/>
      <c r="D245" s="2081"/>
      <c r="E245" s="2081"/>
      <c r="F245" s="2081"/>
      <c r="G245" s="2081"/>
      <c r="H245" s="2081"/>
      <c r="I245" s="2081"/>
      <c r="J245" s="2081"/>
      <c r="K245" s="2081"/>
      <c r="L245" s="2081"/>
    </row>
    <row r="246" spans="2:12">
      <c r="B246" s="1661"/>
      <c r="C246" s="2081"/>
      <c r="D246" s="2081"/>
      <c r="E246" s="2081"/>
      <c r="F246" s="2081"/>
      <c r="G246" s="2081"/>
      <c r="H246" s="2081"/>
      <c r="I246" s="2081"/>
      <c r="J246" s="2081"/>
      <c r="K246" s="2081"/>
      <c r="L246" s="2081"/>
    </row>
    <row r="247" spans="2:12">
      <c r="B247" s="1661"/>
      <c r="C247" s="2081"/>
      <c r="D247" s="2081"/>
      <c r="E247" s="2081"/>
      <c r="F247" s="2081"/>
      <c r="G247" s="2081"/>
      <c r="H247" s="2081"/>
      <c r="I247" s="2081"/>
      <c r="J247" s="2081"/>
      <c r="K247" s="2081"/>
      <c r="L247" s="2081"/>
    </row>
    <row r="248" spans="2:12">
      <c r="B248" s="1661"/>
      <c r="C248" s="2081"/>
      <c r="D248" s="2081"/>
      <c r="E248" s="2081"/>
      <c r="F248" s="2081"/>
      <c r="G248" s="2081"/>
      <c r="H248" s="2081"/>
      <c r="I248" s="2081"/>
      <c r="J248" s="2081"/>
      <c r="K248" s="2081"/>
      <c r="L248" s="2081"/>
    </row>
    <row r="249" spans="2:12">
      <c r="B249" s="1661"/>
      <c r="C249" s="2081"/>
      <c r="D249" s="2081"/>
      <c r="E249" s="2081"/>
      <c r="F249" s="2081"/>
      <c r="G249" s="2081"/>
      <c r="H249" s="2081"/>
      <c r="I249" s="2081"/>
      <c r="J249" s="2081"/>
      <c r="K249" s="2081"/>
      <c r="L249" s="2081"/>
    </row>
    <row r="250" spans="2:12">
      <c r="B250" s="1661"/>
      <c r="C250" s="2081"/>
      <c r="D250" s="2081"/>
      <c r="E250" s="2081"/>
      <c r="F250" s="2081"/>
      <c r="G250" s="2081"/>
      <c r="H250" s="2081"/>
      <c r="I250" s="2081"/>
      <c r="J250" s="2081"/>
      <c r="K250" s="2081"/>
      <c r="L250" s="2081"/>
    </row>
    <row r="251" spans="2:12">
      <c r="B251" s="1661"/>
      <c r="C251" s="2081"/>
      <c r="D251" s="2081"/>
      <c r="E251" s="2081"/>
      <c r="F251" s="2081"/>
      <c r="G251" s="2081"/>
      <c r="H251" s="2081"/>
      <c r="I251" s="2081"/>
      <c r="J251" s="2081"/>
      <c r="K251" s="2081"/>
      <c r="L251" s="2081"/>
    </row>
    <row r="252" spans="2:12">
      <c r="B252" s="1661"/>
      <c r="C252" s="2081"/>
      <c r="D252" s="2081"/>
      <c r="E252" s="2081"/>
      <c r="F252" s="2081"/>
      <c r="G252" s="2081"/>
      <c r="H252" s="2081"/>
      <c r="I252" s="2081"/>
      <c r="J252" s="2081"/>
      <c r="K252" s="2081"/>
      <c r="L252" s="2081"/>
    </row>
    <row r="253" spans="2:12">
      <c r="B253" s="1661"/>
      <c r="C253" s="2081"/>
      <c r="D253" s="2081"/>
      <c r="E253" s="2081"/>
      <c r="F253" s="2081"/>
      <c r="G253" s="2081"/>
      <c r="H253" s="2081"/>
      <c r="I253" s="2081"/>
      <c r="J253" s="2081"/>
      <c r="K253" s="2081"/>
      <c r="L253" s="2081"/>
    </row>
    <row r="254" spans="2:12">
      <c r="B254" s="1661"/>
      <c r="C254" s="2081"/>
      <c r="D254" s="2081"/>
      <c r="E254" s="2081"/>
      <c r="F254" s="2081"/>
      <c r="G254" s="2081"/>
      <c r="H254" s="2081"/>
      <c r="I254" s="2081"/>
      <c r="J254" s="2081"/>
      <c r="K254" s="2081"/>
      <c r="L254" s="2081"/>
    </row>
    <row r="255" spans="2:12">
      <c r="B255" s="1661"/>
      <c r="C255" s="2081"/>
      <c r="D255" s="2081"/>
      <c r="E255" s="2081"/>
      <c r="F255" s="2081"/>
      <c r="G255" s="2081"/>
      <c r="H255" s="2081"/>
      <c r="I255" s="2081"/>
      <c r="J255" s="2081"/>
      <c r="K255" s="2081"/>
      <c r="L255" s="2081"/>
    </row>
    <row r="256" spans="2:12">
      <c r="B256" s="1661"/>
      <c r="C256" s="2081"/>
      <c r="D256" s="2081"/>
      <c r="E256" s="2081"/>
      <c r="F256" s="2081"/>
      <c r="G256" s="2081"/>
      <c r="H256" s="2081"/>
      <c r="I256" s="2081"/>
      <c r="J256" s="2081"/>
      <c r="K256" s="2081"/>
      <c r="L256" s="2081"/>
    </row>
    <row r="257" spans="2:12">
      <c r="B257" s="1661"/>
      <c r="C257" s="2081"/>
      <c r="D257" s="2081"/>
      <c r="E257" s="2081"/>
      <c r="F257" s="2081"/>
      <c r="G257" s="2081"/>
      <c r="H257" s="2081"/>
      <c r="I257" s="2081"/>
      <c r="J257" s="2081"/>
      <c r="K257" s="2081"/>
      <c r="L257" s="2081"/>
    </row>
    <row r="258" spans="2:12">
      <c r="B258" s="1661"/>
      <c r="C258" s="2081"/>
      <c r="D258" s="2081"/>
      <c r="E258" s="2081"/>
      <c r="F258" s="2081"/>
      <c r="G258" s="2081"/>
      <c r="H258" s="2081"/>
      <c r="I258" s="2081"/>
      <c r="J258" s="2081"/>
      <c r="K258" s="2081"/>
      <c r="L258" s="2081"/>
    </row>
    <row r="259" spans="2:12">
      <c r="B259" s="1661"/>
      <c r="C259" s="2081"/>
      <c r="D259" s="2081"/>
      <c r="E259" s="2081"/>
      <c r="F259" s="2081"/>
      <c r="G259" s="2081"/>
      <c r="H259" s="2081"/>
      <c r="I259" s="2081"/>
      <c r="J259" s="2081"/>
      <c r="K259" s="2081"/>
      <c r="L259" s="2081"/>
    </row>
    <row r="260" spans="2:12">
      <c r="B260" s="1661"/>
      <c r="C260" s="2081"/>
      <c r="D260" s="2081"/>
      <c r="E260" s="2081"/>
      <c r="F260" s="2081"/>
      <c r="G260" s="2081"/>
      <c r="H260" s="2081"/>
      <c r="I260" s="2081"/>
      <c r="J260" s="2081"/>
      <c r="K260" s="2081"/>
      <c r="L260" s="2081"/>
    </row>
    <row r="261" spans="2:12">
      <c r="B261" s="1661"/>
      <c r="C261" s="2081"/>
      <c r="D261" s="2081"/>
      <c r="E261" s="2081"/>
      <c r="F261" s="2081"/>
      <c r="G261" s="2081"/>
      <c r="H261" s="2081"/>
      <c r="I261" s="2081"/>
      <c r="J261" s="2081"/>
      <c r="K261" s="2081"/>
      <c r="L261" s="2081"/>
    </row>
    <row r="262" spans="2:12">
      <c r="B262" s="1661"/>
      <c r="C262" s="2081"/>
      <c r="D262" s="2081"/>
      <c r="E262" s="2081"/>
      <c r="F262" s="2081"/>
      <c r="G262" s="2081"/>
      <c r="H262" s="2081"/>
      <c r="I262" s="2081"/>
      <c r="J262" s="2081"/>
      <c r="K262" s="2081"/>
      <c r="L262" s="2081"/>
    </row>
    <row r="263" spans="2:12">
      <c r="B263" s="1661"/>
      <c r="C263" s="2081"/>
      <c r="D263" s="2081"/>
      <c r="E263" s="2081"/>
      <c r="F263" s="2081"/>
      <c r="G263" s="2081"/>
      <c r="H263" s="2081"/>
      <c r="I263" s="2081"/>
      <c r="J263" s="2081"/>
      <c r="K263" s="2081"/>
      <c r="L263" s="2081"/>
    </row>
    <row r="264" spans="2:12">
      <c r="B264" s="1661"/>
      <c r="C264" s="2081"/>
      <c r="D264" s="2081"/>
      <c r="E264" s="2081"/>
      <c r="F264" s="2081"/>
      <c r="G264" s="2081"/>
      <c r="H264" s="2081"/>
      <c r="I264" s="2081"/>
      <c r="J264" s="2081"/>
      <c r="K264" s="2081"/>
      <c r="L264" s="2081"/>
    </row>
    <row r="265" spans="2:12">
      <c r="B265" s="1661"/>
      <c r="C265" s="2081"/>
      <c r="D265" s="2081"/>
      <c r="E265" s="2081"/>
      <c r="F265" s="2081"/>
      <c r="G265" s="2081"/>
      <c r="H265" s="2081"/>
      <c r="I265" s="2081"/>
      <c r="J265" s="2081"/>
      <c r="K265" s="2081"/>
      <c r="L265" s="2081"/>
    </row>
    <row r="266" spans="2:12">
      <c r="B266" s="1661"/>
      <c r="C266" s="2081"/>
      <c r="D266" s="2081"/>
      <c r="E266" s="2081"/>
      <c r="F266" s="2081"/>
      <c r="G266" s="2081"/>
      <c r="H266" s="2081"/>
      <c r="I266" s="2081"/>
      <c r="J266" s="2081"/>
      <c r="K266" s="2081"/>
      <c r="L266" s="2081"/>
    </row>
    <row r="267" spans="2:12">
      <c r="B267" s="1661"/>
      <c r="C267" s="2081"/>
      <c r="D267" s="2081"/>
      <c r="E267" s="2081"/>
      <c r="F267" s="2081"/>
      <c r="G267" s="2081"/>
      <c r="H267" s="2081"/>
      <c r="I267" s="2081"/>
      <c r="J267" s="2081"/>
      <c r="K267" s="2081"/>
      <c r="L267" s="2081"/>
    </row>
    <row r="268" spans="2:12">
      <c r="B268" s="1661"/>
      <c r="C268" s="2081"/>
      <c r="D268" s="2081"/>
      <c r="E268" s="2081"/>
      <c r="F268" s="2081"/>
      <c r="G268" s="2081"/>
      <c r="H268" s="2081"/>
      <c r="I268" s="2081"/>
      <c r="J268" s="2081"/>
      <c r="K268" s="2081"/>
      <c r="L268" s="2081"/>
    </row>
    <row r="269" spans="2:12">
      <c r="B269" s="1661"/>
      <c r="C269" s="2081"/>
      <c r="D269" s="2081"/>
      <c r="E269" s="2081"/>
      <c r="F269" s="2081"/>
      <c r="G269" s="2081"/>
      <c r="H269" s="2081"/>
      <c r="I269" s="2081"/>
      <c r="J269" s="2081"/>
      <c r="K269" s="2081"/>
      <c r="L269" s="2081"/>
    </row>
    <row r="270" spans="2:12">
      <c r="B270" s="1661"/>
      <c r="C270" s="2081"/>
      <c r="D270" s="2081"/>
      <c r="E270" s="2081"/>
      <c r="F270" s="2081"/>
      <c r="G270" s="2081"/>
      <c r="H270" s="2081"/>
      <c r="I270" s="2081"/>
      <c r="J270" s="2081"/>
      <c r="K270" s="2081"/>
      <c r="L270" s="2081"/>
    </row>
    <row r="271" spans="2:12">
      <c r="B271" s="1661"/>
      <c r="C271" s="2081"/>
      <c r="D271" s="2081"/>
      <c r="E271" s="2081"/>
      <c r="F271" s="2081"/>
      <c r="G271" s="2081"/>
      <c r="H271" s="2081"/>
      <c r="I271" s="2081"/>
      <c r="J271" s="2081"/>
      <c r="K271" s="2081"/>
      <c r="L271" s="2081"/>
    </row>
    <row r="272" spans="2:12">
      <c r="B272" s="1661"/>
      <c r="C272" s="2081"/>
      <c r="D272" s="2081"/>
      <c r="E272" s="2081"/>
      <c r="F272" s="2081"/>
      <c r="G272" s="2081"/>
      <c r="H272" s="2081"/>
      <c r="I272" s="2081"/>
      <c r="J272" s="2081"/>
      <c r="K272" s="2081"/>
      <c r="L272" s="2081"/>
    </row>
    <row r="273" spans="2:12">
      <c r="B273" s="1661"/>
      <c r="C273" s="2081"/>
      <c r="D273" s="2081"/>
      <c r="E273" s="2081"/>
      <c r="F273" s="2081"/>
      <c r="G273" s="2081"/>
      <c r="H273" s="2081"/>
      <c r="I273" s="2081"/>
      <c r="J273" s="2081"/>
      <c r="K273" s="2081"/>
      <c r="L273" s="2081"/>
    </row>
    <row r="274" spans="2:12">
      <c r="B274" s="1661"/>
      <c r="C274" s="2081"/>
      <c r="D274" s="2081"/>
      <c r="E274" s="2081"/>
      <c r="F274" s="2081"/>
      <c r="G274" s="2081"/>
      <c r="H274" s="2081"/>
      <c r="I274" s="2081"/>
      <c r="J274" s="2081"/>
      <c r="K274" s="2081"/>
      <c r="L274" s="2081"/>
    </row>
    <row r="275" spans="2:12">
      <c r="B275" s="1661"/>
      <c r="C275" s="2081"/>
      <c r="D275" s="2081"/>
      <c r="E275" s="2081"/>
      <c r="F275" s="2081"/>
      <c r="G275" s="2081"/>
      <c r="H275" s="2081"/>
      <c r="I275" s="2081"/>
      <c r="J275" s="2081"/>
      <c r="K275" s="2081"/>
      <c r="L275" s="2081"/>
    </row>
    <row r="276" spans="2:12">
      <c r="B276" s="1661"/>
      <c r="C276" s="2081"/>
      <c r="D276" s="2081"/>
      <c r="E276" s="2081"/>
      <c r="F276" s="2081"/>
      <c r="G276" s="2081"/>
      <c r="H276" s="2081"/>
      <c r="I276" s="2081"/>
      <c r="J276" s="2081"/>
      <c r="K276" s="2081"/>
      <c r="L276" s="2081"/>
    </row>
    <row r="277" spans="2:12">
      <c r="B277" s="1661"/>
      <c r="C277" s="2081"/>
      <c r="D277" s="2081"/>
      <c r="E277" s="2081"/>
      <c r="F277" s="2081"/>
      <c r="G277" s="2081"/>
      <c r="H277" s="2081"/>
      <c r="I277" s="2081"/>
      <c r="J277" s="2081"/>
      <c r="K277" s="2081"/>
      <c r="L277" s="2081"/>
    </row>
    <row r="278" spans="2:12">
      <c r="B278" s="1661"/>
      <c r="C278" s="2081"/>
      <c r="D278" s="2081"/>
      <c r="E278" s="2081"/>
      <c r="F278" s="2081"/>
      <c r="G278" s="2081"/>
      <c r="H278" s="2081"/>
      <c r="I278" s="2081"/>
      <c r="J278" s="2081"/>
      <c r="K278" s="2081"/>
      <c r="L278" s="2081"/>
    </row>
    <row r="279" spans="2:12">
      <c r="B279" s="1661"/>
      <c r="C279" s="2081"/>
      <c r="D279" s="2081"/>
      <c r="E279" s="2081"/>
      <c r="F279" s="2081"/>
      <c r="G279" s="2081"/>
      <c r="H279" s="2081"/>
      <c r="I279" s="2081"/>
      <c r="J279" s="2081"/>
      <c r="K279" s="2081"/>
      <c r="L279" s="2081"/>
    </row>
    <row r="280" spans="2:12">
      <c r="B280" s="1661"/>
      <c r="C280" s="2081"/>
      <c r="D280" s="2081"/>
      <c r="E280" s="2081"/>
      <c r="F280" s="2081"/>
      <c r="G280" s="2081"/>
      <c r="H280" s="2081"/>
      <c r="I280" s="2081"/>
      <c r="J280" s="2081"/>
      <c r="K280" s="2081"/>
      <c r="L280" s="2081"/>
    </row>
    <row r="281" spans="2:12">
      <c r="B281" s="1661"/>
      <c r="C281" s="2081"/>
      <c r="D281" s="2081"/>
      <c r="E281" s="2081"/>
      <c r="F281" s="2081"/>
      <c r="G281" s="2081"/>
      <c r="H281" s="2081"/>
      <c r="I281" s="2081"/>
      <c r="J281" s="2081"/>
      <c r="K281" s="2081"/>
      <c r="L281" s="2081"/>
    </row>
    <row r="282" spans="2:12">
      <c r="B282" s="1661"/>
      <c r="C282" s="2081"/>
      <c r="D282" s="2081"/>
      <c r="E282" s="2081"/>
      <c r="F282" s="2081"/>
      <c r="G282" s="2081"/>
      <c r="H282" s="2081"/>
      <c r="I282" s="2081"/>
      <c r="J282" s="2081"/>
      <c r="K282" s="2081"/>
      <c r="L282" s="2081"/>
    </row>
    <row r="283" spans="2:12">
      <c r="B283" s="1661"/>
      <c r="C283" s="2081"/>
      <c r="D283" s="2081"/>
      <c r="E283" s="2081"/>
      <c r="F283" s="2081"/>
      <c r="G283" s="2081"/>
      <c r="H283" s="2081"/>
      <c r="I283" s="2081"/>
      <c r="J283" s="2081"/>
      <c r="K283" s="2081"/>
      <c r="L283" s="2081"/>
    </row>
    <row r="284" spans="2:12">
      <c r="B284" s="1661"/>
      <c r="C284" s="2081"/>
      <c r="D284" s="2081"/>
      <c r="E284" s="2081"/>
      <c r="F284" s="2081"/>
      <c r="G284" s="2081"/>
      <c r="H284" s="2081"/>
      <c r="I284" s="2081"/>
      <c r="J284" s="2081"/>
      <c r="K284" s="2081"/>
      <c r="L284" s="2081"/>
    </row>
    <row r="285" spans="2:12">
      <c r="B285" s="1661"/>
      <c r="C285" s="2081"/>
      <c r="D285" s="2081"/>
      <c r="E285" s="2081"/>
      <c r="F285" s="2081"/>
      <c r="G285" s="2081"/>
      <c r="H285" s="2081"/>
      <c r="I285" s="2081"/>
      <c r="J285" s="2081"/>
      <c r="K285" s="2081"/>
      <c r="L285" s="2081"/>
    </row>
    <row r="286" spans="2:12">
      <c r="B286" s="1661"/>
      <c r="C286" s="2081"/>
      <c r="D286" s="2081"/>
      <c r="E286" s="2081"/>
      <c r="F286" s="2081"/>
      <c r="G286" s="2081"/>
      <c r="H286" s="2081"/>
      <c r="I286" s="2081"/>
      <c r="J286" s="2081"/>
      <c r="K286" s="2081"/>
      <c r="L286" s="2081"/>
    </row>
    <row r="287" spans="2:12">
      <c r="B287" s="1661"/>
      <c r="C287" s="2081"/>
      <c r="D287" s="2081"/>
      <c r="E287" s="2081"/>
      <c r="F287" s="2081"/>
      <c r="G287" s="2081"/>
      <c r="H287" s="2081"/>
      <c r="I287" s="2081"/>
      <c r="J287" s="2081"/>
      <c r="K287" s="2081"/>
      <c r="L287" s="2081"/>
    </row>
    <row r="288" spans="2:12">
      <c r="B288" s="1661"/>
      <c r="C288" s="2081"/>
      <c r="D288" s="2081"/>
      <c r="E288" s="2081"/>
      <c r="F288" s="2081"/>
      <c r="G288" s="2081"/>
      <c r="H288" s="2081"/>
      <c r="I288" s="2081"/>
      <c r="J288" s="2081"/>
      <c r="K288" s="2081"/>
      <c r="L288" s="2081"/>
    </row>
    <row r="289" spans="2:12">
      <c r="B289" s="1661"/>
      <c r="C289" s="2081"/>
      <c r="D289" s="2081"/>
      <c r="E289" s="2081"/>
      <c r="F289" s="2081"/>
      <c r="G289" s="2081"/>
      <c r="H289" s="2081"/>
      <c r="I289" s="2081"/>
      <c r="J289" s="2081"/>
      <c r="K289" s="2081"/>
      <c r="L289" s="2081"/>
    </row>
    <row r="290" spans="2:12">
      <c r="B290" s="1661"/>
      <c r="C290" s="2081"/>
      <c r="D290" s="2081"/>
      <c r="E290" s="2081"/>
      <c r="F290" s="2081"/>
      <c r="G290" s="2081"/>
      <c r="H290" s="2081"/>
      <c r="I290" s="2081"/>
      <c r="J290" s="2081"/>
      <c r="K290" s="2081"/>
      <c r="L290" s="2081"/>
    </row>
    <row r="291" spans="2:12">
      <c r="B291" s="1661"/>
      <c r="C291" s="2081"/>
      <c r="D291" s="2081"/>
      <c r="E291" s="2081"/>
      <c r="F291" s="2081"/>
      <c r="G291" s="2081"/>
      <c r="H291" s="2081"/>
      <c r="I291" s="2081"/>
      <c r="J291" s="2081"/>
      <c r="K291" s="2081"/>
      <c r="L291" s="2081"/>
    </row>
    <row r="292" spans="2:12">
      <c r="B292" s="1661"/>
      <c r="C292" s="2081"/>
      <c r="D292" s="2081"/>
      <c r="E292" s="2081"/>
      <c r="F292" s="2081"/>
      <c r="G292" s="2081"/>
      <c r="H292" s="2081"/>
      <c r="I292" s="2081"/>
      <c r="J292" s="2081"/>
      <c r="K292" s="2081"/>
      <c r="L292" s="2081"/>
    </row>
    <row r="293" spans="2:12">
      <c r="B293" s="1661"/>
      <c r="C293" s="2081"/>
      <c r="D293" s="2081"/>
      <c r="E293" s="2081"/>
      <c r="F293" s="2081"/>
      <c r="G293" s="2081"/>
      <c r="H293" s="2081"/>
      <c r="I293" s="2081"/>
      <c r="J293" s="2081"/>
      <c r="K293" s="2081"/>
      <c r="L293" s="2081"/>
    </row>
    <row r="294" spans="2:12">
      <c r="B294" s="1661"/>
      <c r="C294" s="2081"/>
      <c r="D294" s="2081"/>
      <c r="E294" s="2081"/>
      <c r="F294" s="2081"/>
      <c r="G294" s="2081"/>
      <c r="H294" s="2081"/>
      <c r="I294" s="2081"/>
      <c r="J294" s="2081"/>
      <c r="K294" s="2081"/>
      <c r="L294" s="2081"/>
    </row>
    <row r="295" spans="2:12">
      <c r="B295" s="1661"/>
      <c r="C295" s="2081"/>
      <c r="D295" s="2081"/>
      <c r="E295" s="2081"/>
      <c r="F295" s="2081"/>
      <c r="G295" s="2081"/>
      <c r="H295" s="2081"/>
      <c r="I295" s="2081"/>
      <c r="J295" s="2081"/>
      <c r="K295" s="2081"/>
      <c r="L295" s="2081"/>
    </row>
    <row r="296" spans="2:12">
      <c r="B296" s="1661"/>
      <c r="C296" s="2081"/>
      <c r="D296" s="2081"/>
      <c r="E296" s="2081"/>
      <c r="F296" s="2081"/>
      <c r="G296" s="2081"/>
      <c r="H296" s="2081"/>
      <c r="I296" s="2081"/>
      <c r="J296" s="2081"/>
      <c r="K296" s="2081"/>
      <c r="L296" s="2081"/>
    </row>
    <row r="297" spans="2:12">
      <c r="B297" s="1661"/>
      <c r="C297" s="2081"/>
      <c r="D297" s="2081"/>
      <c r="E297" s="2081"/>
      <c r="F297" s="2081"/>
      <c r="G297" s="2081"/>
      <c r="H297" s="2081"/>
      <c r="I297" s="2081"/>
      <c r="J297" s="2081"/>
      <c r="K297" s="2081"/>
      <c r="L297" s="2081"/>
    </row>
    <row r="298" spans="2:12">
      <c r="B298" s="1661"/>
      <c r="C298" s="2081"/>
      <c r="D298" s="2081"/>
      <c r="E298" s="2081"/>
      <c r="F298" s="2081"/>
      <c r="G298" s="2081"/>
      <c r="H298" s="2081"/>
      <c r="I298" s="2081"/>
      <c r="J298" s="2081"/>
      <c r="K298" s="2081"/>
      <c r="L298" s="2081"/>
    </row>
    <row r="299" spans="2:12">
      <c r="B299" s="1661"/>
      <c r="C299" s="2081"/>
      <c r="D299" s="2081"/>
      <c r="E299" s="2081"/>
      <c r="F299" s="2081"/>
      <c r="G299" s="2081"/>
      <c r="H299" s="2081"/>
      <c r="I299" s="2081"/>
      <c r="J299" s="2081"/>
      <c r="K299" s="2081"/>
      <c r="L299" s="2081"/>
    </row>
    <row r="300" spans="2:12">
      <c r="B300" s="1661"/>
      <c r="C300" s="2081"/>
      <c r="D300" s="2081"/>
      <c r="E300" s="2081"/>
      <c r="F300" s="2081"/>
      <c r="G300" s="2081"/>
      <c r="H300" s="2081"/>
      <c r="I300" s="2081"/>
      <c r="J300" s="2081"/>
      <c r="K300" s="2081"/>
      <c r="L300" s="2081"/>
    </row>
    <row r="301" spans="2:12">
      <c r="B301" s="1661"/>
      <c r="C301" s="2081"/>
      <c r="D301" s="2081"/>
      <c r="E301" s="2081"/>
      <c r="F301" s="2081"/>
      <c r="G301" s="2081"/>
      <c r="H301" s="2081"/>
      <c r="I301" s="2081"/>
      <c r="J301" s="2081"/>
      <c r="K301" s="2081"/>
      <c r="L301" s="2081"/>
    </row>
    <row r="302" spans="2:12">
      <c r="B302" s="1661"/>
      <c r="C302" s="2081"/>
      <c r="D302" s="2081"/>
      <c r="E302" s="2081"/>
      <c r="F302" s="2081"/>
      <c r="G302" s="2081"/>
      <c r="H302" s="2081"/>
      <c r="I302" s="2081"/>
      <c r="J302" s="2081"/>
      <c r="K302" s="2081"/>
      <c r="L302" s="2081"/>
    </row>
    <row r="303" spans="2:12">
      <c r="B303" s="1661"/>
      <c r="C303" s="2081"/>
      <c r="D303" s="2081"/>
      <c r="E303" s="2081"/>
      <c r="F303" s="2081"/>
      <c r="G303" s="2081"/>
      <c r="H303" s="2081"/>
      <c r="I303" s="2081"/>
      <c r="J303" s="2081"/>
      <c r="K303" s="2081"/>
      <c r="L303" s="2081"/>
    </row>
    <row r="304" spans="2:12">
      <c r="B304" s="1661"/>
      <c r="C304" s="2081"/>
      <c r="D304" s="2081"/>
      <c r="E304" s="2081"/>
      <c r="F304" s="2081"/>
      <c r="G304" s="2081"/>
      <c r="H304" s="2081"/>
      <c r="I304" s="2081"/>
      <c r="J304" s="2081"/>
      <c r="K304" s="2081"/>
      <c r="L304" s="2081"/>
    </row>
    <row r="305" spans="2:12">
      <c r="B305" s="1661"/>
      <c r="C305" s="2081"/>
      <c r="D305" s="2081"/>
      <c r="E305" s="2081"/>
      <c r="F305" s="2081"/>
      <c r="G305" s="2081"/>
      <c r="H305" s="2081"/>
      <c r="I305" s="2081"/>
      <c r="J305" s="2081"/>
      <c r="K305" s="2081"/>
      <c r="L305" s="2081"/>
    </row>
    <row r="306" spans="2:12">
      <c r="B306" s="1661"/>
      <c r="C306" s="2081"/>
      <c r="D306" s="2081"/>
      <c r="E306" s="2081"/>
      <c r="F306" s="2081"/>
      <c r="G306" s="2081"/>
      <c r="H306" s="2081"/>
      <c r="I306" s="2081"/>
      <c r="J306" s="2081"/>
      <c r="K306" s="2081"/>
      <c r="L306" s="2081"/>
    </row>
    <row r="307" spans="2:12">
      <c r="B307" s="1661"/>
      <c r="C307" s="2081"/>
      <c r="D307" s="2081"/>
      <c r="E307" s="2081"/>
      <c r="F307" s="2081"/>
      <c r="G307" s="2081"/>
      <c r="H307" s="2081"/>
      <c r="I307" s="2081"/>
      <c r="J307" s="2081"/>
      <c r="K307" s="2081"/>
      <c r="L307" s="2081"/>
    </row>
    <row r="308" spans="2:12">
      <c r="B308" s="1661"/>
      <c r="C308" s="2081"/>
      <c r="D308" s="2081"/>
      <c r="E308" s="2081"/>
      <c r="F308" s="2081"/>
      <c r="G308" s="2081"/>
      <c r="H308" s="2081"/>
      <c r="I308" s="2081"/>
      <c r="J308" s="2081"/>
      <c r="K308" s="2081"/>
      <c r="L308" s="2081"/>
    </row>
    <row r="309" spans="2:12">
      <c r="B309" s="1661"/>
      <c r="C309" s="2081"/>
      <c r="D309" s="2081"/>
      <c r="E309" s="2081"/>
      <c r="F309" s="2081"/>
      <c r="G309" s="2081"/>
      <c r="H309" s="2081"/>
      <c r="I309" s="2081"/>
      <c r="J309" s="2081"/>
      <c r="K309" s="2081"/>
      <c r="L309" s="2081"/>
    </row>
    <row r="310" spans="2:12">
      <c r="B310" s="1661"/>
      <c r="C310" s="2081"/>
      <c r="D310" s="2081"/>
      <c r="E310" s="2081"/>
      <c r="F310" s="2081"/>
      <c r="G310" s="2081"/>
      <c r="H310" s="2081"/>
      <c r="I310" s="2081"/>
      <c r="J310" s="2081"/>
      <c r="K310" s="2081"/>
      <c r="L310" s="2081"/>
    </row>
    <row r="311" spans="2:12">
      <c r="B311" s="1661"/>
      <c r="C311" s="2081"/>
      <c r="D311" s="2081"/>
      <c r="E311" s="2081"/>
      <c r="F311" s="2081"/>
      <c r="G311" s="2081"/>
      <c r="H311" s="2081"/>
      <c r="I311" s="2081"/>
      <c r="J311" s="2081"/>
      <c r="K311" s="2081"/>
      <c r="L311" s="2081"/>
    </row>
    <row r="312" spans="2:12">
      <c r="B312" s="1661"/>
      <c r="C312" s="2081"/>
      <c r="D312" s="2081"/>
      <c r="E312" s="2081"/>
      <c r="F312" s="2081"/>
      <c r="G312" s="2081"/>
      <c r="H312" s="2081"/>
      <c r="I312" s="2081"/>
      <c r="J312" s="2081"/>
      <c r="K312" s="2081"/>
      <c r="L312" s="2081"/>
    </row>
    <row r="313" spans="2:12">
      <c r="B313" s="1661"/>
      <c r="C313" s="2081"/>
      <c r="D313" s="2081"/>
      <c r="E313" s="2081"/>
      <c r="F313" s="2081"/>
      <c r="G313" s="2081"/>
      <c r="H313" s="2081"/>
      <c r="I313" s="2081"/>
      <c r="J313" s="2081"/>
      <c r="K313" s="2081"/>
      <c r="L313" s="2081"/>
    </row>
    <row r="314" spans="2:12">
      <c r="B314" s="1661"/>
      <c r="C314" s="2081"/>
      <c r="D314" s="2081"/>
      <c r="E314" s="2081"/>
      <c r="F314" s="2081"/>
      <c r="G314" s="2081"/>
      <c r="H314" s="2081"/>
      <c r="I314" s="2081"/>
      <c r="J314" s="2081"/>
      <c r="K314" s="2081"/>
      <c r="L314" s="2081"/>
    </row>
    <row r="315" spans="2:12">
      <c r="B315" s="1661"/>
      <c r="C315" s="2081"/>
      <c r="D315" s="2081"/>
      <c r="E315" s="2081"/>
      <c r="F315" s="2081"/>
      <c r="G315" s="2081"/>
      <c r="H315" s="2081"/>
      <c r="I315" s="2081"/>
      <c r="J315" s="2081"/>
      <c r="K315" s="2081"/>
      <c r="L315" s="2081"/>
    </row>
    <row r="316" spans="2:12">
      <c r="B316" s="1661"/>
      <c r="C316" s="2081"/>
      <c r="D316" s="2081"/>
      <c r="E316" s="2081"/>
      <c r="F316" s="2081"/>
      <c r="G316" s="2081"/>
      <c r="H316" s="2081"/>
      <c r="I316" s="2081"/>
      <c r="J316" s="2081"/>
      <c r="K316" s="2081"/>
      <c r="L316" s="2081"/>
    </row>
    <row r="317" spans="2:12">
      <c r="B317" s="1661"/>
      <c r="C317" s="2081"/>
      <c r="D317" s="2081"/>
      <c r="E317" s="2081"/>
      <c r="F317" s="2081"/>
      <c r="G317" s="2081"/>
      <c r="H317" s="2081"/>
      <c r="I317" s="2081"/>
      <c r="J317" s="2081"/>
      <c r="K317" s="2081"/>
      <c r="L317" s="2081"/>
    </row>
    <row r="318" spans="2:12">
      <c r="B318" s="1661"/>
      <c r="C318" s="2081"/>
      <c r="D318" s="2081"/>
      <c r="E318" s="2081"/>
      <c r="F318" s="2081"/>
      <c r="G318" s="2081"/>
      <c r="H318" s="2081"/>
      <c r="I318" s="2081"/>
      <c r="J318" s="2081"/>
      <c r="K318" s="2081"/>
      <c r="L318" s="2081"/>
    </row>
    <row r="319" spans="2:12">
      <c r="B319" s="1661"/>
      <c r="C319" s="2081"/>
      <c r="D319" s="2081"/>
      <c r="E319" s="2081"/>
      <c r="F319" s="2081"/>
      <c r="G319" s="2081"/>
      <c r="H319" s="2081"/>
      <c r="I319" s="2081"/>
      <c r="J319" s="2081"/>
      <c r="K319" s="2081"/>
      <c r="L319" s="2081"/>
    </row>
    <row r="320" spans="2:12">
      <c r="B320" s="1661"/>
      <c r="C320" s="2081"/>
      <c r="D320" s="2081"/>
      <c r="E320" s="2081"/>
      <c r="F320" s="2081"/>
      <c r="G320" s="2081"/>
      <c r="H320" s="2081"/>
      <c r="I320" s="2081"/>
      <c r="J320" s="2081"/>
      <c r="K320" s="2081"/>
      <c r="L320" s="2081"/>
    </row>
    <row r="321" spans="2:12">
      <c r="B321" s="1661"/>
      <c r="C321" s="2081"/>
      <c r="D321" s="2081"/>
      <c r="E321" s="2081"/>
      <c r="F321" s="2081"/>
      <c r="G321" s="2081"/>
      <c r="H321" s="2081"/>
      <c r="I321" s="2081"/>
      <c r="J321" s="2081"/>
      <c r="K321" s="2081"/>
      <c r="L321" s="2081"/>
    </row>
    <row r="322" spans="2:12">
      <c r="B322" s="1661"/>
      <c r="C322" s="2081"/>
      <c r="D322" s="2081"/>
      <c r="E322" s="2081"/>
      <c r="F322" s="2081"/>
      <c r="G322" s="2081"/>
      <c r="H322" s="2081"/>
      <c r="I322" s="2081"/>
      <c r="J322" s="2081"/>
      <c r="K322" s="2081"/>
      <c r="L322" s="2081"/>
    </row>
    <row r="323" spans="2:12">
      <c r="B323" s="1661"/>
      <c r="C323" s="2081"/>
      <c r="D323" s="2081"/>
      <c r="E323" s="2081"/>
      <c r="F323" s="2081"/>
      <c r="G323" s="2081"/>
      <c r="H323" s="2081"/>
      <c r="I323" s="2081"/>
      <c r="J323" s="2081"/>
      <c r="K323" s="2081"/>
      <c r="L323" s="2081"/>
    </row>
    <row r="324" spans="2:12">
      <c r="B324" s="1661"/>
      <c r="C324" s="2081"/>
      <c r="D324" s="2081"/>
      <c r="E324" s="2081"/>
      <c r="F324" s="2081"/>
      <c r="G324" s="2081"/>
      <c r="H324" s="2081"/>
      <c r="I324" s="2081"/>
      <c r="J324" s="2081"/>
      <c r="K324" s="2081"/>
      <c r="L324" s="2081"/>
    </row>
    <row r="325" spans="2:12">
      <c r="B325" s="1661"/>
      <c r="C325" s="2081"/>
      <c r="D325" s="2081"/>
      <c r="E325" s="2081"/>
      <c r="F325" s="2081"/>
      <c r="G325" s="2081"/>
      <c r="H325" s="2081"/>
      <c r="I325" s="2081"/>
      <c r="J325" s="2081"/>
      <c r="K325" s="2081"/>
      <c r="L325" s="2081"/>
    </row>
    <row r="326" spans="2:12">
      <c r="B326" s="1661"/>
      <c r="C326" s="2081"/>
      <c r="D326" s="2081"/>
      <c r="E326" s="2081"/>
      <c r="F326" s="2081"/>
      <c r="G326" s="2081"/>
      <c r="H326" s="2081"/>
      <c r="I326" s="2081"/>
      <c r="J326" s="2081"/>
      <c r="K326" s="2081"/>
      <c r="L326" s="2081"/>
    </row>
    <row r="327" spans="2:12">
      <c r="B327" s="1661"/>
      <c r="C327" s="2081"/>
      <c r="D327" s="2081"/>
      <c r="E327" s="2081"/>
      <c r="F327" s="2081"/>
      <c r="G327" s="2081"/>
      <c r="H327" s="2081"/>
      <c r="I327" s="2081"/>
      <c r="J327" s="2081"/>
      <c r="K327" s="2081"/>
      <c r="L327" s="2081"/>
    </row>
    <row r="328" spans="2:12">
      <c r="B328" s="1661"/>
      <c r="C328" s="2081"/>
      <c r="D328" s="2081"/>
      <c r="E328" s="2081"/>
      <c r="F328" s="2081"/>
      <c r="G328" s="2081"/>
      <c r="H328" s="2081"/>
      <c r="I328" s="2081"/>
      <c r="J328" s="2081"/>
      <c r="K328" s="2081"/>
      <c r="L328" s="2081"/>
    </row>
    <row r="329" spans="2:12">
      <c r="B329" s="1661"/>
      <c r="C329" s="2081"/>
      <c r="D329" s="2081"/>
      <c r="E329" s="2081"/>
      <c r="F329" s="2081"/>
      <c r="G329" s="2081"/>
      <c r="H329" s="2081"/>
      <c r="I329" s="2081"/>
      <c r="J329" s="2081"/>
      <c r="K329" s="2081"/>
      <c r="L329" s="2081"/>
    </row>
    <row r="330" spans="2:12">
      <c r="B330" s="1661"/>
      <c r="C330" s="2081"/>
      <c r="D330" s="2081"/>
      <c r="E330" s="2081"/>
      <c r="F330" s="2081"/>
      <c r="G330" s="2081"/>
      <c r="H330" s="2081"/>
      <c r="I330" s="2081"/>
      <c r="J330" s="2081"/>
      <c r="K330" s="2081"/>
      <c r="L330" s="2081"/>
    </row>
    <row r="331" spans="2:12">
      <c r="B331" s="1661"/>
      <c r="C331" s="2081"/>
      <c r="D331" s="2081"/>
      <c r="E331" s="2081"/>
      <c r="F331" s="2081"/>
      <c r="G331" s="2081"/>
      <c r="H331" s="2081"/>
      <c r="I331" s="2081"/>
      <c r="J331" s="2081"/>
      <c r="K331" s="2081"/>
      <c r="L331" s="2081"/>
    </row>
    <row r="332" spans="2:12">
      <c r="B332" s="1661"/>
      <c r="C332" s="2081"/>
      <c r="D332" s="2081"/>
      <c r="E332" s="2081"/>
      <c r="F332" s="2081"/>
      <c r="G332" s="2081"/>
      <c r="H332" s="2081"/>
      <c r="I332" s="2081"/>
      <c r="J332" s="2081"/>
      <c r="K332" s="2081"/>
      <c r="L332" s="2081"/>
    </row>
    <row r="333" spans="2:12">
      <c r="B333" s="1661"/>
      <c r="C333" s="2081"/>
      <c r="D333" s="2081"/>
      <c r="E333" s="2081"/>
      <c r="F333" s="2081"/>
      <c r="G333" s="2081"/>
      <c r="H333" s="2081"/>
      <c r="I333" s="2081"/>
      <c r="J333" s="2081"/>
      <c r="K333" s="2081"/>
      <c r="L333" s="2081"/>
    </row>
    <row r="334" spans="2:12">
      <c r="B334" s="1661"/>
      <c r="C334" s="2081"/>
      <c r="D334" s="2081"/>
      <c r="E334" s="2081"/>
      <c r="F334" s="2081"/>
      <c r="G334" s="2081"/>
      <c r="H334" s="2081"/>
      <c r="I334" s="2081"/>
      <c r="J334" s="2081"/>
      <c r="K334" s="2081"/>
      <c r="L334" s="2081"/>
    </row>
    <row r="335" spans="2:12">
      <c r="B335" s="1661"/>
      <c r="C335" s="2081"/>
      <c r="D335" s="2081"/>
      <c r="E335" s="2081"/>
      <c r="F335" s="2081"/>
      <c r="G335" s="2081"/>
      <c r="H335" s="2081"/>
      <c r="I335" s="2081"/>
      <c r="J335" s="2081"/>
      <c r="K335" s="2081"/>
      <c r="L335" s="2081"/>
    </row>
    <row r="336" spans="2:12">
      <c r="B336" s="1661"/>
      <c r="C336" s="2081"/>
      <c r="D336" s="2081"/>
      <c r="E336" s="2081"/>
      <c r="F336" s="2081"/>
      <c r="G336" s="2081"/>
      <c r="H336" s="2081"/>
      <c r="I336" s="2081"/>
      <c r="J336" s="2081"/>
      <c r="K336" s="2081"/>
      <c r="L336" s="2081"/>
    </row>
    <row r="337" spans="2:12">
      <c r="B337" s="1661"/>
      <c r="C337" s="2081"/>
      <c r="D337" s="2081"/>
      <c r="E337" s="2081"/>
      <c r="F337" s="2081"/>
      <c r="G337" s="2081"/>
      <c r="H337" s="2081"/>
      <c r="I337" s="2081"/>
      <c r="J337" s="2081"/>
      <c r="K337" s="2081"/>
      <c r="L337" s="2081"/>
    </row>
    <row r="338" spans="2:12">
      <c r="B338" s="1661"/>
      <c r="C338" s="2081"/>
      <c r="D338" s="2081"/>
      <c r="E338" s="2081"/>
      <c r="F338" s="2081"/>
      <c r="G338" s="2081"/>
      <c r="H338" s="2081"/>
      <c r="I338" s="2081"/>
      <c r="J338" s="2081"/>
      <c r="K338" s="2081"/>
      <c r="L338" s="2081"/>
    </row>
    <row r="339" spans="2:12">
      <c r="B339" s="1661"/>
      <c r="C339" s="2081"/>
      <c r="D339" s="2081"/>
      <c r="E339" s="2081"/>
      <c r="F339" s="2081"/>
      <c r="G339" s="2081"/>
      <c r="H339" s="2081"/>
      <c r="I339" s="2081"/>
      <c r="J339" s="2081"/>
      <c r="K339" s="2081"/>
      <c r="L339" s="2081"/>
    </row>
    <row r="340" spans="2:12">
      <c r="B340" s="1661"/>
      <c r="C340" s="2081"/>
      <c r="D340" s="2081"/>
      <c r="E340" s="2081"/>
      <c r="F340" s="2081"/>
      <c r="G340" s="2081"/>
      <c r="H340" s="2081"/>
      <c r="I340" s="2081"/>
      <c r="J340" s="2081"/>
      <c r="K340" s="2081"/>
      <c r="L340" s="2081"/>
    </row>
    <row r="341" spans="2:12">
      <c r="B341" s="1661"/>
      <c r="C341" s="2081"/>
      <c r="D341" s="2081"/>
      <c r="E341" s="2081"/>
      <c r="F341" s="2081"/>
      <c r="G341" s="2081"/>
      <c r="H341" s="2081"/>
      <c r="I341" s="2081"/>
      <c r="J341" s="2081"/>
      <c r="K341" s="2081"/>
      <c r="L341" s="2081"/>
    </row>
    <row r="342" spans="2:12">
      <c r="B342" s="1661"/>
      <c r="C342" s="2081"/>
      <c r="D342" s="2081"/>
      <c r="E342" s="2081"/>
      <c r="F342" s="2081"/>
      <c r="G342" s="2081"/>
      <c r="H342" s="2081"/>
      <c r="I342" s="2081"/>
      <c r="J342" s="2081"/>
      <c r="K342" s="2081"/>
      <c r="L342" s="2081"/>
    </row>
    <row r="343" spans="2:12">
      <c r="B343" s="1661"/>
      <c r="C343" s="2081"/>
      <c r="D343" s="2081"/>
      <c r="E343" s="2081"/>
      <c r="F343" s="2081"/>
      <c r="G343" s="2081"/>
      <c r="H343" s="2081"/>
      <c r="I343" s="2081"/>
      <c r="J343" s="2081"/>
      <c r="K343" s="2081"/>
      <c r="L343" s="2081"/>
    </row>
    <row r="344" spans="2:12">
      <c r="B344" s="1661"/>
      <c r="C344" s="2081"/>
      <c r="D344" s="2081"/>
      <c r="E344" s="2081"/>
      <c r="F344" s="2081"/>
      <c r="G344" s="2081"/>
      <c r="H344" s="2081"/>
      <c r="I344" s="2081"/>
      <c r="J344" s="2081"/>
      <c r="K344" s="2081"/>
      <c r="L344" s="2081"/>
    </row>
    <row r="345" spans="2:12">
      <c r="B345" s="1661"/>
      <c r="C345" s="2081"/>
      <c r="D345" s="2081"/>
      <c r="E345" s="2081"/>
      <c r="F345" s="2081"/>
      <c r="G345" s="2081"/>
      <c r="H345" s="2081"/>
      <c r="I345" s="2081"/>
      <c r="J345" s="2081"/>
      <c r="K345" s="2081"/>
      <c r="L345" s="2081"/>
    </row>
    <row r="346" spans="2:12">
      <c r="B346" s="1661"/>
      <c r="C346" s="2081"/>
      <c r="D346" s="2081"/>
      <c r="E346" s="2081"/>
      <c r="F346" s="2081"/>
      <c r="G346" s="2081"/>
      <c r="H346" s="2081"/>
      <c r="I346" s="2081"/>
      <c r="J346" s="2081"/>
      <c r="K346" s="2081"/>
      <c r="L346" s="2081"/>
    </row>
    <row r="347" spans="2:12">
      <c r="B347" s="1661"/>
      <c r="C347" s="2081"/>
      <c r="D347" s="2081"/>
      <c r="E347" s="2081"/>
      <c r="F347" s="2081"/>
      <c r="G347" s="2081"/>
      <c r="H347" s="2081"/>
      <c r="I347" s="2081"/>
      <c r="J347" s="2081"/>
      <c r="K347" s="2081"/>
      <c r="L347" s="2081"/>
    </row>
    <row r="348" spans="2:12">
      <c r="B348" s="1661"/>
      <c r="C348" s="2081"/>
      <c r="D348" s="2081"/>
      <c r="E348" s="2081"/>
      <c r="F348" s="2081"/>
      <c r="G348" s="2081"/>
      <c r="H348" s="2081"/>
      <c r="I348" s="2081"/>
      <c r="J348" s="2081"/>
      <c r="K348" s="2081"/>
      <c r="L348" s="2081"/>
    </row>
    <row r="349" spans="2:12">
      <c r="B349" s="1661"/>
      <c r="C349" s="2081"/>
      <c r="D349" s="2081"/>
      <c r="E349" s="2081"/>
      <c r="F349" s="2081"/>
      <c r="G349" s="2081"/>
      <c r="H349" s="2081"/>
      <c r="I349" s="2081"/>
      <c r="J349" s="2081"/>
      <c r="K349" s="2081"/>
      <c r="L349" s="2081"/>
    </row>
    <row r="350" spans="2:12">
      <c r="B350" s="1661"/>
      <c r="C350" s="2081"/>
      <c r="D350" s="2081"/>
      <c r="E350" s="2081"/>
      <c r="F350" s="2081"/>
      <c r="G350" s="2081"/>
      <c r="H350" s="2081"/>
      <c r="I350" s="2081"/>
      <c r="J350" s="2081"/>
      <c r="K350" s="2081"/>
      <c r="L350" s="2081"/>
    </row>
    <row r="351" spans="2:12">
      <c r="B351" s="1661"/>
      <c r="C351" s="2081"/>
      <c r="D351" s="2081"/>
      <c r="E351" s="2081"/>
      <c r="F351" s="2081"/>
      <c r="G351" s="2081"/>
      <c r="H351" s="2081"/>
      <c r="I351" s="2081"/>
      <c r="J351" s="2081"/>
      <c r="K351" s="2081"/>
      <c r="L351" s="2081"/>
    </row>
    <row r="352" spans="2:12">
      <c r="B352" s="1661"/>
      <c r="C352" s="2081"/>
      <c r="D352" s="2081"/>
      <c r="E352" s="2081"/>
      <c r="F352" s="2081"/>
      <c r="G352" s="2081"/>
      <c r="H352" s="2081"/>
      <c r="I352" s="2081"/>
      <c r="J352" s="2081"/>
      <c r="K352" s="2081"/>
      <c r="L352" s="2081"/>
    </row>
    <row r="353" spans="2:12">
      <c r="B353" s="1661"/>
      <c r="C353" s="2081"/>
      <c r="D353" s="2081"/>
      <c r="E353" s="2081"/>
      <c r="F353" s="2081"/>
      <c r="G353" s="2081"/>
      <c r="H353" s="2081"/>
      <c r="I353" s="2081"/>
      <c r="J353" s="2081"/>
      <c r="K353" s="2081"/>
      <c r="L353" s="2081"/>
    </row>
    <row r="354" spans="2:12">
      <c r="B354" s="1661"/>
      <c r="C354" s="2081"/>
      <c r="D354" s="2081"/>
      <c r="E354" s="2081"/>
      <c r="F354" s="2081"/>
      <c r="G354" s="2081"/>
      <c r="H354" s="2081"/>
      <c r="I354" s="2081"/>
      <c r="J354" s="2081"/>
      <c r="K354" s="2081"/>
      <c r="L354" s="2081"/>
    </row>
    <row r="355" spans="2:12">
      <c r="B355" s="1661"/>
      <c r="C355" s="2081"/>
      <c r="D355" s="2081"/>
      <c r="E355" s="2081"/>
      <c r="F355" s="2081"/>
      <c r="G355" s="2081"/>
      <c r="H355" s="2081"/>
      <c r="I355" s="2081"/>
      <c r="J355" s="2081"/>
      <c r="K355" s="2081"/>
      <c r="L355" s="2081"/>
    </row>
    <row r="356" spans="2:12">
      <c r="B356" s="1661"/>
      <c r="C356" s="2081"/>
      <c r="D356" s="2081"/>
      <c r="E356" s="2081"/>
      <c r="F356" s="2081"/>
      <c r="G356" s="2081"/>
      <c r="H356" s="2081"/>
      <c r="I356" s="2081"/>
      <c r="J356" s="2081"/>
      <c r="K356" s="2081"/>
      <c r="L356" s="2081"/>
    </row>
    <row r="357" spans="2:12">
      <c r="B357" s="1661"/>
      <c r="C357" s="2081"/>
      <c r="D357" s="2081"/>
      <c r="E357" s="2081"/>
      <c r="F357" s="2081"/>
      <c r="G357" s="2081"/>
      <c r="H357" s="2081"/>
      <c r="I357" s="2081"/>
      <c r="J357" s="2081"/>
      <c r="K357" s="2081"/>
      <c r="L357" s="2081"/>
    </row>
    <row r="358" spans="2:12">
      <c r="B358" s="1661"/>
      <c r="C358" s="2081"/>
      <c r="D358" s="2081"/>
      <c r="E358" s="2081"/>
      <c r="F358" s="2081"/>
      <c r="G358" s="2081"/>
      <c r="H358" s="2081"/>
      <c r="I358" s="2081"/>
      <c r="J358" s="2081"/>
      <c r="K358" s="2081"/>
      <c r="L358" s="2081"/>
    </row>
    <row r="359" spans="2:12">
      <c r="B359" s="1661"/>
      <c r="C359" s="2081"/>
      <c r="D359" s="2081"/>
      <c r="E359" s="2081"/>
      <c r="F359" s="2081"/>
      <c r="G359" s="2081"/>
      <c r="H359" s="2081"/>
      <c r="I359" s="2081"/>
      <c r="J359" s="2081"/>
      <c r="K359" s="2081"/>
      <c r="L359" s="2081"/>
    </row>
    <row r="360" spans="2:12">
      <c r="B360" s="1661"/>
      <c r="C360" s="2081"/>
      <c r="D360" s="2081"/>
      <c r="E360" s="2081"/>
      <c r="F360" s="2081"/>
      <c r="G360" s="2081"/>
      <c r="H360" s="2081"/>
      <c r="I360" s="2081"/>
      <c r="J360" s="2081"/>
      <c r="K360" s="2081"/>
      <c r="L360" s="2081"/>
    </row>
    <row r="361" spans="2:12">
      <c r="B361" s="1661"/>
      <c r="C361" s="2081"/>
      <c r="D361" s="2081"/>
      <c r="E361" s="2081"/>
      <c r="F361" s="2081"/>
      <c r="G361" s="2081"/>
      <c r="H361" s="2081"/>
      <c r="I361" s="2081"/>
      <c r="J361" s="2081"/>
      <c r="K361" s="2081"/>
      <c r="L361" s="2081"/>
    </row>
    <row r="362" spans="2:12">
      <c r="B362" s="1661"/>
      <c r="C362" s="2081"/>
      <c r="D362" s="2081"/>
      <c r="E362" s="2081"/>
      <c r="F362" s="2081"/>
      <c r="G362" s="2081"/>
      <c r="H362" s="2081"/>
      <c r="I362" s="2081"/>
      <c r="J362" s="2081"/>
      <c r="K362" s="2081"/>
      <c r="L362" s="2081"/>
    </row>
    <row r="363" spans="2:12">
      <c r="B363" s="1661"/>
      <c r="C363" s="2081"/>
      <c r="D363" s="2081"/>
      <c r="E363" s="2081"/>
      <c r="F363" s="2081"/>
      <c r="G363" s="2081"/>
      <c r="H363" s="2081"/>
      <c r="I363" s="2081"/>
      <c r="J363" s="2081"/>
      <c r="K363" s="2081"/>
      <c r="L363" s="2081"/>
    </row>
    <row r="364" spans="2:12">
      <c r="B364" s="1661"/>
      <c r="C364" s="2081"/>
      <c r="D364" s="2081"/>
      <c r="E364" s="2081"/>
      <c r="F364" s="2081"/>
      <c r="G364" s="2081"/>
      <c r="H364" s="2081"/>
      <c r="I364" s="2081"/>
      <c r="J364" s="2081"/>
      <c r="K364" s="2081"/>
      <c r="L364" s="2081"/>
    </row>
    <row r="365" spans="2:12">
      <c r="B365" s="1661"/>
      <c r="C365" s="2081"/>
      <c r="D365" s="2081"/>
      <c r="E365" s="2081"/>
      <c r="F365" s="2081"/>
      <c r="G365" s="2081"/>
      <c r="H365" s="2081"/>
      <c r="I365" s="2081"/>
      <c r="J365" s="2081"/>
      <c r="K365" s="2081"/>
      <c r="L365" s="2081"/>
    </row>
    <row r="366" spans="2:12">
      <c r="B366" s="1661"/>
      <c r="C366" s="2081"/>
      <c r="D366" s="2081"/>
      <c r="E366" s="2081"/>
      <c r="F366" s="2081"/>
      <c r="G366" s="2081"/>
      <c r="H366" s="2081"/>
      <c r="I366" s="2081"/>
      <c r="J366" s="2081"/>
      <c r="K366" s="2081"/>
      <c r="L366" s="2081"/>
    </row>
    <row r="367" spans="2:12">
      <c r="B367" s="1661"/>
      <c r="C367" s="2081"/>
      <c r="D367" s="2081"/>
      <c r="E367" s="2081"/>
      <c r="F367" s="2081"/>
      <c r="G367" s="2081"/>
      <c r="H367" s="2081"/>
      <c r="I367" s="2081"/>
      <c r="J367" s="2081"/>
      <c r="K367" s="2081"/>
      <c r="L367" s="2081"/>
    </row>
    <row r="368" spans="2:12">
      <c r="B368" s="1661"/>
      <c r="C368" s="2081"/>
      <c r="D368" s="2081"/>
      <c r="E368" s="2081"/>
      <c r="F368" s="2081"/>
      <c r="G368" s="2081"/>
      <c r="H368" s="2081"/>
      <c r="I368" s="2081"/>
      <c r="J368" s="2081"/>
      <c r="K368" s="2081"/>
      <c r="L368" s="2081"/>
    </row>
    <row r="369" spans="2:12">
      <c r="B369" s="1661"/>
      <c r="C369" s="2081"/>
      <c r="D369" s="2081"/>
      <c r="E369" s="2081"/>
      <c r="F369" s="2081"/>
      <c r="G369" s="2081"/>
      <c r="H369" s="2081"/>
      <c r="I369" s="2081"/>
      <c r="J369" s="2081"/>
      <c r="K369" s="2081"/>
      <c r="L369" s="2081"/>
    </row>
    <row r="370" spans="2:12">
      <c r="B370" s="1661"/>
      <c r="C370" s="2081"/>
      <c r="D370" s="2081"/>
      <c r="E370" s="2081"/>
      <c r="F370" s="2081"/>
      <c r="G370" s="2081"/>
      <c r="H370" s="2081"/>
      <c r="I370" s="2081"/>
      <c r="J370" s="2081"/>
      <c r="K370" s="2081"/>
      <c r="L370" s="2081"/>
    </row>
    <row r="371" spans="2:12">
      <c r="B371" s="1661"/>
      <c r="C371" s="2081"/>
      <c r="D371" s="2081"/>
      <c r="E371" s="2081"/>
      <c r="F371" s="2081"/>
      <c r="G371" s="2081"/>
      <c r="H371" s="2081"/>
      <c r="I371" s="2081"/>
      <c r="J371" s="2081"/>
      <c r="K371" s="2081"/>
      <c r="L371" s="2081"/>
    </row>
    <row r="372" spans="2:12">
      <c r="B372" s="1661"/>
      <c r="C372" s="2081"/>
      <c r="D372" s="2081"/>
      <c r="E372" s="2081"/>
      <c r="F372" s="2081"/>
      <c r="G372" s="2081"/>
      <c r="H372" s="2081"/>
      <c r="I372" s="2081"/>
      <c r="J372" s="2081"/>
      <c r="K372" s="2081"/>
      <c r="L372" s="2081"/>
    </row>
    <row r="373" spans="2:12">
      <c r="B373" s="1661"/>
      <c r="C373" s="2081"/>
      <c r="D373" s="2081"/>
      <c r="E373" s="2081"/>
      <c r="F373" s="2081"/>
      <c r="G373" s="2081"/>
      <c r="H373" s="2081"/>
      <c r="I373" s="2081"/>
      <c r="J373" s="2081"/>
      <c r="K373" s="2081"/>
      <c r="L373" s="2081"/>
    </row>
    <row r="374" spans="2:12">
      <c r="B374" s="1661"/>
      <c r="C374" s="2081"/>
      <c r="D374" s="2081"/>
      <c r="E374" s="2081"/>
      <c r="F374" s="2081"/>
      <c r="G374" s="2081"/>
      <c r="H374" s="2081"/>
      <c r="I374" s="2081"/>
      <c r="J374" s="2081"/>
      <c r="K374" s="2081"/>
      <c r="L374" s="2081"/>
    </row>
    <row r="375" spans="2:12">
      <c r="B375" s="1661"/>
      <c r="C375" s="2081"/>
      <c r="D375" s="2081"/>
      <c r="E375" s="2081"/>
      <c r="F375" s="2081"/>
      <c r="G375" s="2081"/>
      <c r="H375" s="2081"/>
      <c r="I375" s="2081"/>
      <c r="J375" s="2081"/>
      <c r="K375" s="2081"/>
      <c r="L375" s="2081"/>
    </row>
    <row r="376" spans="2:12">
      <c r="B376" s="1661"/>
      <c r="C376" s="2081"/>
      <c r="D376" s="2081"/>
      <c r="E376" s="2081"/>
      <c r="F376" s="2081"/>
      <c r="G376" s="2081"/>
      <c r="H376" s="2081"/>
      <c r="I376" s="2081"/>
      <c r="J376" s="2081"/>
      <c r="K376" s="2081"/>
      <c r="L376" s="2081"/>
    </row>
    <row r="377" spans="2:12">
      <c r="B377" s="1661"/>
      <c r="C377" s="2081"/>
      <c r="D377" s="2081"/>
      <c r="E377" s="2081"/>
      <c r="F377" s="2081"/>
      <c r="G377" s="2081"/>
      <c r="H377" s="2081"/>
      <c r="I377" s="2081"/>
      <c r="J377" s="2081"/>
      <c r="K377" s="2081"/>
      <c r="L377" s="2081"/>
    </row>
    <row r="378" spans="2:12">
      <c r="B378" s="1661"/>
      <c r="C378" s="2081"/>
      <c r="D378" s="2081"/>
      <c r="E378" s="2081"/>
      <c r="F378" s="2081"/>
      <c r="G378" s="2081"/>
      <c r="H378" s="2081"/>
      <c r="I378" s="2081"/>
      <c r="J378" s="2081"/>
      <c r="K378" s="2081"/>
      <c r="L378" s="2081"/>
    </row>
    <row r="379" spans="2:12">
      <c r="B379" s="1661"/>
      <c r="C379" s="2081"/>
      <c r="D379" s="2081"/>
      <c r="E379" s="2081"/>
      <c r="F379" s="2081"/>
      <c r="G379" s="2081"/>
      <c r="H379" s="2081"/>
      <c r="I379" s="2081"/>
      <c r="J379" s="2081"/>
      <c r="K379" s="2081"/>
      <c r="L379" s="2081"/>
    </row>
    <row r="380" spans="2:12">
      <c r="B380" s="1661"/>
      <c r="C380" s="2081"/>
      <c r="D380" s="2081"/>
      <c r="E380" s="2081"/>
      <c r="F380" s="2081"/>
      <c r="G380" s="2081"/>
      <c r="H380" s="2081"/>
      <c r="I380" s="2081"/>
      <c r="J380" s="2081"/>
      <c r="K380" s="2081"/>
      <c r="L380" s="2081"/>
    </row>
    <row r="381" spans="2:12">
      <c r="B381" s="1661"/>
      <c r="C381" s="2081"/>
      <c r="D381" s="2081"/>
      <c r="E381" s="2081"/>
      <c r="F381" s="2081"/>
      <c r="G381" s="2081"/>
      <c r="H381" s="2081"/>
      <c r="I381" s="2081"/>
      <c r="J381" s="2081"/>
      <c r="K381" s="2081"/>
      <c r="L381" s="2081"/>
    </row>
    <row r="382" spans="2:12">
      <c r="B382" s="1661"/>
      <c r="C382" s="2081"/>
      <c r="D382" s="2081"/>
      <c r="E382" s="2081"/>
      <c r="F382" s="2081"/>
      <c r="G382" s="2081"/>
      <c r="H382" s="2081"/>
      <c r="I382" s="2081"/>
      <c r="J382" s="2081"/>
      <c r="K382" s="2081"/>
      <c r="L382" s="2081"/>
    </row>
    <row r="383" spans="2:12">
      <c r="B383" s="1661"/>
      <c r="C383" s="2081"/>
      <c r="D383" s="2081"/>
      <c r="E383" s="2081"/>
      <c r="F383" s="2081"/>
      <c r="G383" s="2081"/>
      <c r="H383" s="2081"/>
      <c r="I383" s="2081"/>
      <c r="J383" s="2081"/>
      <c r="K383" s="2081"/>
      <c r="L383" s="2081"/>
    </row>
    <row r="384" spans="2:12">
      <c r="B384" s="1661"/>
      <c r="C384" s="2081"/>
      <c r="D384" s="2081"/>
      <c r="E384" s="2081"/>
      <c r="F384" s="2081"/>
      <c r="G384" s="2081"/>
      <c r="H384" s="2081"/>
      <c r="I384" s="2081"/>
      <c r="J384" s="2081"/>
      <c r="K384" s="2081"/>
      <c r="L384" s="2081"/>
    </row>
    <row r="385" spans="2:12">
      <c r="B385" s="1661"/>
      <c r="C385" s="2081"/>
      <c r="D385" s="2081"/>
      <c r="E385" s="2081"/>
      <c r="F385" s="2081"/>
      <c r="G385" s="2081"/>
      <c r="H385" s="2081"/>
      <c r="I385" s="2081"/>
      <c r="J385" s="2081"/>
      <c r="K385" s="2081"/>
      <c r="L385" s="2081"/>
    </row>
    <row r="386" spans="2:12">
      <c r="B386" s="1661"/>
      <c r="C386" s="2081"/>
      <c r="D386" s="2081"/>
      <c r="E386" s="2081"/>
      <c r="F386" s="2081"/>
      <c r="G386" s="2081"/>
      <c r="H386" s="2081"/>
      <c r="I386" s="2081"/>
      <c r="J386" s="2081"/>
      <c r="K386" s="2081"/>
      <c r="L386" s="2081"/>
    </row>
    <row r="387" spans="2:12">
      <c r="B387" s="1661"/>
      <c r="C387" s="2081"/>
      <c r="D387" s="2081"/>
      <c r="E387" s="2081"/>
      <c r="F387" s="2081"/>
      <c r="G387" s="2081"/>
      <c r="H387" s="2081"/>
      <c r="I387" s="2081"/>
      <c r="J387" s="2081"/>
      <c r="K387" s="2081"/>
      <c r="L387" s="2081"/>
    </row>
    <row r="388" spans="2:12">
      <c r="B388" s="1661"/>
      <c r="C388" s="2081"/>
      <c r="D388" s="2081"/>
      <c r="E388" s="2081"/>
      <c r="F388" s="2081"/>
      <c r="G388" s="2081"/>
      <c r="H388" s="2081"/>
      <c r="I388" s="2081"/>
      <c r="J388" s="2081"/>
      <c r="K388" s="2081"/>
      <c r="L388" s="2081"/>
    </row>
    <row r="389" spans="2:12">
      <c r="B389" s="1661"/>
      <c r="C389" s="2081"/>
      <c r="D389" s="2081"/>
      <c r="E389" s="2081"/>
      <c r="F389" s="2081"/>
      <c r="G389" s="2081"/>
      <c r="H389" s="2081"/>
      <c r="I389" s="2081"/>
      <c r="J389" s="2081"/>
      <c r="K389" s="2081"/>
      <c r="L389" s="2081"/>
    </row>
    <row r="390" spans="2:12">
      <c r="B390" s="1661"/>
      <c r="C390" s="2081"/>
      <c r="D390" s="2081"/>
      <c r="E390" s="2081"/>
      <c r="F390" s="2081"/>
      <c r="G390" s="2081"/>
      <c r="H390" s="2081"/>
      <c r="I390" s="2081"/>
      <c r="J390" s="2081"/>
      <c r="K390" s="2081"/>
      <c r="L390" s="2081"/>
    </row>
    <row r="391" spans="2:12">
      <c r="B391" s="1661"/>
      <c r="C391" s="2081"/>
      <c r="D391" s="2081"/>
      <c r="E391" s="2081"/>
      <c r="F391" s="2081"/>
      <c r="G391" s="2081"/>
      <c r="H391" s="2081"/>
      <c r="I391" s="2081"/>
      <c r="J391" s="2081"/>
      <c r="K391" s="2081"/>
      <c r="L391" s="2081"/>
    </row>
    <row r="392" spans="2:12">
      <c r="B392" s="1661"/>
      <c r="C392" s="2081"/>
      <c r="D392" s="2081"/>
      <c r="E392" s="2081"/>
      <c r="F392" s="2081"/>
      <c r="G392" s="2081"/>
      <c r="H392" s="2081"/>
      <c r="I392" s="2081"/>
      <c r="J392" s="2081"/>
      <c r="K392" s="2081"/>
      <c r="L392" s="2081"/>
    </row>
    <row r="393" spans="2:12">
      <c r="B393" s="1661"/>
      <c r="C393" s="2081"/>
      <c r="D393" s="2081"/>
      <c r="E393" s="2081"/>
      <c r="F393" s="2081"/>
      <c r="G393" s="2081"/>
      <c r="H393" s="2081"/>
      <c r="I393" s="2081"/>
      <c r="J393" s="2081"/>
      <c r="K393" s="2081"/>
      <c r="L393" s="2081"/>
    </row>
    <row r="394" spans="2:12">
      <c r="B394" s="1661"/>
      <c r="C394" s="2081"/>
      <c r="D394" s="2081"/>
      <c r="E394" s="2081"/>
      <c r="F394" s="2081"/>
      <c r="G394" s="2081"/>
      <c r="H394" s="2081"/>
      <c r="I394" s="2081"/>
      <c r="J394" s="2081"/>
      <c r="K394" s="2081"/>
      <c r="L394" s="2081"/>
    </row>
    <row r="395" spans="2:12">
      <c r="B395" s="1661"/>
      <c r="C395" s="2081"/>
      <c r="D395" s="2081"/>
      <c r="E395" s="2081"/>
      <c r="F395" s="2081"/>
      <c r="G395" s="2081"/>
      <c r="H395" s="2081"/>
      <c r="I395" s="2081"/>
      <c r="J395" s="2081"/>
      <c r="K395" s="2081"/>
      <c r="L395" s="2081"/>
    </row>
    <row r="396" spans="2:12">
      <c r="B396" s="1661"/>
      <c r="C396" s="2081"/>
      <c r="D396" s="2081"/>
      <c r="E396" s="2081"/>
      <c r="F396" s="2081"/>
      <c r="G396" s="2081"/>
      <c r="H396" s="2081"/>
      <c r="I396" s="2081"/>
      <c r="J396" s="2081"/>
      <c r="K396" s="2081"/>
      <c r="L396" s="2081"/>
    </row>
    <row r="397" spans="2:12">
      <c r="B397" s="1661"/>
      <c r="C397" s="2081"/>
      <c r="D397" s="2081"/>
      <c r="E397" s="2081"/>
      <c r="F397" s="2081"/>
      <c r="G397" s="2081"/>
      <c r="H397" s="2081"/>
      <c r="I397" s="2081"/>
      <c r="J397" s="2081"/>
      <c r="K397" s="2081"/>
      <c r="L397" s="2081"/>
    </row>
    <row r="398" spans="2:12">
      <c r="B398" s="1661"/>
      <c r="C398" s="2081"/>
      <c r="D398" s="2081"/>
      <c r="E398" s="2081"/>
      <c r="F398" s="2081"/>
      <c r="G398" s="2081"/>
      <c r="H398" s="2081"/>
      <c r="I398" s="2081"/>
      <c r="J398" s="2081"/>
      <c r="K398" s="2081"/>
      <c r="L398" s="2081"/>
    </row>
    <row r="399" spans="2:12">
      <c r="B399" s="1661"/>
      <c r="C399" s="2081"/>
      <c r="D399" s="2081"/>
      <c r="E399" s="2081"/>
      <c r="F399" s="2081"/>
      <c r="G399" s="2081"/>
      <c r="H399" s="2081"/>
      <c r="I399" s="2081"/>
      <c r="J399" s="2081"/>
      <c r="K399" s="2081"/>
      <c r="L399" s="2081"/>
    </row>
    <row r="400" spans="2:12">
      <c r="B400" s="1661"/>
      <c r="C400" s="2081"/>
      <c r="D400" s="2081"/>
      <c r="E400" s="2081"/>
      <c r="F400" s="2081"/>
      <c r="G400" s="2081"/>
      <c r="H400" s="2081"/>
      <c r="I400" s="2081"/>
      <c r="J400" s="2081"/>
      <c r="K400" s="2081"/>
      <c r="L400" s="2081"/>
    </row>
    <row r="401" spans="2:12">
      <c r="B401" s="1661"/>
      <c r="C401" s="2081"/>
      <c r="D401" s="2081"/>
      <c r="E401" s="2081"/>
      <c r="F401" s="2081"/>
      <c r="G401" s="2081"/>
      <c r="H401" s="2081"/>
      <c r="I401" s="2081"/>
      <c r="J401" s="2081"/>
      <c r="K401" s="2081"/>
      <c r="L401" s="2081"/>
    </row>
    <row r="402" spans="2:12">
      <c r="B402" s="1661"/>
      <c r="C402" s="2081"/>
      <c r="D402" s="2081"/>
      <c r="E402" s="2081"/>
      <c r="F402" s="2081"/>
      <c r="G402" s="2081"/>
      <c r="H402" s="2081"/>
      <c r="I402" s="2081"/>
      <c r="J402" s="2081"/>
      <c r="K402" s="2081"/>
      <c r="L402" s="2081"/>
    </row>
    <row r="403" spans="2:12">
      <c r="B403" s="1661"/>
      <c r="C403" s="2081"/>
      <c r="D403" s="2081"/>
      <c r="E403" s="2081"/>
      <c r="F403" s="2081"/>
      <c r="G403" s="2081"/>
      <c r="H403" s="2081"/>
      <c r="I403" s="2081"/>
      <c r="J403" s="2081"/>
      <c r="K403" s="2081"/>
      <c r="L403" s="2081"/>
    </row>
    <row r="404" spans="2:12">
      <c r="B404" s="1661"/>
      <c r="C404" s="2081"/>
      <c r="D404" s="2081"/>
      <c r="E404" s="2081"/>
      <c r="F404" s="2081"/>
      <c r="G404" s="2081"/>
      <c r="H404" s="2081"/>
      <c r="I404" s="2081"/>
      <c r="J404" s="2081"/>
      <c r="K404" s="2081"/>
      <c r="L404" s="2081"/>
    </row>
    <row r="405" spans="2:12">
      <c r="B405" s="1661"/>
      <c r="C405" s="2081"/>
      <c r="D405" s="2081"/>
      <c r="E405" s="2081"/>
      <c r="F405" s="2081"/>
      <c r="G405" s="2081"/>
      <c r="H405" s="2081"/>
      <c r="I405" s="2081"/>
      <c r="J405" s="2081"/>
      <c r="K405" s="2081"/>
      <c r="L405" s="2081"/>
    </row>
    <row r="406" spans="2:12">
      <c r="B406" s="1661"/>
      <c r="C406" s="2081"/>
      <c r="D406" s="2081"/>
      <c r="E406" s="2081"/>
      <c r="F406" s="2081"/>
      <c r="G406" s="2081"/>
      <c r="H406" s="2081"/>
      <c r="I406" s="2081"/>
      <c r="J406" s="2081"/>
      <c r="K406" s="2081"/>
      <c r="L406" s="2081"/>
    </row>
    <row r="407" spans="2:12">
      <c r="B407" s="1661"/>
      <c r="C407" s="2081"/>
      <c r="D407" s="2081"/>
      <c r="E407" s="2081"/>
      <c r="F407" s="2081"/>
      <c r="G407" s="2081"/>
      <c r="H407" s="2081"/>
      <c r="I407" s="2081"/>
      <c r="J407" s="2081"/>
      <c r="K407" s="2081"/>
      <c r="L407" s="2081"/>
    </row>
    <row r="408" spans="2:12">
      <c r="B408" s="1661"/>
      <c r="C408" s="2081"/>
      <c r="D408" s="2081"/>
      <c r="E408" s="2081"/>
      <c r="F408" s="2081"/>
      <c r="G408" s="2081"/>
      <c r="H408" s="2081"/>
      <c r="I408" s="2081"/>
      <c r="J408" s="2081"/>
      <c r="K408" s="2081"/>
      <c r="L408" s="2081"/>
    </row>
    <row r="409" spans="2:12">
      <c r="B409" s="1661"/>
      <c r="C409" s="2081"/>
      <c r="D409" s="2081"/>
      <c r="E409" s="2081"/>
      <c r="F409" s="2081"/>
      <c r="G409" s="2081"/>
      <c r="H409" s="2081"/>
      <c r="I409" s="2081"/>
      <c r="J409" s="2081"/>
      <c r="K409" s="2081"/>
      <c r="L409" s="2081"/>
    </row>
    <row r="410" spans="2:12">
      <c r="B410" s="1661"/>
      <c r="C410" s="2081"/>
      <c r="D410" s="2081"/>
      <c r="E410" s="2081"/>
      <c r="F410" s="2081"/>
      <c r="G410" s="2081"/>
      <c r="H410" s="2081"/>
      <c r="I410" s="2081"/>
      <c r="J410" s="2081"/>
      <c r="K410" s="2081"/>
      <c r="L410" s="2081"/>
    </row>
    <row r="411" spans="2:12">
      <c r="B411" s="1661"/>
      <c r="C411" s="2081"/>
      <c r="D411" s="2081"/>
      <c r="E411" s="2081"/>
      <c r="F411" s="2081"/>
      <c r="G411" s="2081"/>
      <c r="H411" s="2081"/>
      <c r="I411" s="2081"/>
      <c r="J411" s="2081"/>
      <c r="K411" s="2081"/>
      <c r="L411" s="2081"/>
    </row>
    <row r="412" spans="2:12">
      <c r="B412" s="1661"/>
      <c r="C412" s="2081"/>
      <c r="D412" s="2081"/>
      <c r="E412" s="2081"/>
      <c r="F412" s="2081"/>
      <c r="G412" s="2081"/>
      <c r="H412" s="2081"/>
      <c r="I412" s="2081"/>
      <c r="J412" s="2081"/>
      <c r="K412" s="2081"/>
      <c r="L412" s="2081"/>
    </row>
    <row r="413" spans="2:12">
      <c r="B413" s="1661"/>
      <c r="C413" s="2081"/>
      <c r="D413" s="2081"/>
      <c r="E413" s="2081"/>
      <c r="F413" s="2081"/>
      <c r="G413" s="2081"/>
      <c r="H413" s="2081"/>
      <c r="I413" s="2081"/>
      <c r="J413" s="2081"/>
      <c r="K413" s="2081"/>
      <c r="L413" s="2081"/>
    </row>
    <row r="414" spans="2:12">
      <c r="B414" s="1661"/>
      <c r="C414" s="2081"/>
      <c r="D414" s="2081"/>
      <c r="E414" s="2081"/>
      <c r="F414" s="2081"/>
      <c r="G414" s="2081"/>
      <c r="H414" s="2081"/>
      <c r="I414" s="2081"/>
      <c r="J414" s="2081"/>
      <c r="K414" s="2081"/>
      <c r="L414" s="2081"/>
    </row>
    <row r="415" spans="2:12">
      <c r="B415" s="1661"/>
      <c r="C415" s="2081"/>
      <c r="D415" s="2081"/>
      <c r="E415" s="2081"/>
      <c r="F415" s="2081"/>
      <c r="G415" s="2081"/>
      <c r="H415" s="2081"/>
      <c r="I415" s="2081"/>
      <c r="J415" s="2081"/>
      <c r="K415" s="2081"/>
      <c r="L415" s="2081"/>
    </row>
    <row r="416" spans="2:12">
      <c r="B416" s="1661"/>
      <c r="C416" s="2081"/>
      <c r="D416" s="2081"/>
      <c r="E416" s="2081"/>
      <c r="F416" s="2081"/>
      <c r="G416" s="2081"/>
      <c r="H416" s="2081"/>
      <c r="I416" s="2081"/>
      <c r="J416" s="2081"/>
      <c r="K416" s="2081"/>
      <c r="L416" s="2081"/>
    </row>
    <row r="417" spans="2:12">
      <c r="B417" s="1661"/>
      <c r="C417" s="2081"/>
      <c r="D417" s="2081"/>
      <c r="E417" s="2081"/>
      <c r="F417" s="2081"/>
      <c r="G417" s="2081"/>
      <c r="H417" s="2081"/>
      <c r="I417" s="2081"/>
      <c r="J417" s="2081"/>
      <c r="K417" s="2081"/>
      <c r="L417" s="2081"/>
    </row>
    <row r="418" spans="2:12">
      <c r="B418" s="1661"/>
      <c r="C418" s="2081"/>
      <c r="D418" s="2081"/>
      <c r="E418" s="2081"/>
      <c r="F418" s="2081"/>
      <c r="G418" s="2081"/>
      <c r="H418" s="2081"/>
      <c r="I418" s="2081"/>
      <c r="J418" s="2081"/>
      <c r="K418" s="2081"/>
      <c r="L418" s="2081"/>
    </row>
    <row r="419" spans="2:12">
      <c r="B419" s="1661"/>
      <c r="C419" s="2081"/>
      <c r="D419" s="2081"/>
      <c r="E419" s="2081"/>
      <c r="F419" s="2081"/>
      <c r="G419" s="2081"/>
      <c r="H419" s="2081"/>
      <c r="I419" s="2081"/>
      <c r="J419" s="2081"/>
      <c r="K419" s="2081"/>
      <c r="L419" s="2081"/>
    </row>
    <row r="420" spans="2:12">
      <c r="B420" s="1661"/>
      <c r="C420" s="2081"/>
      <c r="D420" s="2081"/>
      <c r="E420" s="2081"/>
      <c r="F420" s="2081"/>
      <c r="G420" s="2081"/>
      <c r="H420" s="2081"/>
      <c r="I420" s="2081"/>
      <c r="J420" s="2081"/>
      <c r="K420" s="2081"/>
      <c r="L420" s="2081"/>
    </row>
    <row r="421" spans="2:12">
      <c r="B421" s="1661"/>
      <c r="C421" s="2081"/>
      <c r="D421" s="2081"/>
      <c r="E421" s="2081"/>
      <c r="F421" s="2081"/>
      <c r="G421" s="2081"/>
      <c r="H421" s="2081"/>
      <c r="I421" s="2081"/>
      <c r="J421" s="2081"/>
      <c r="K421" s="2081"/>
      <c r="L421" s="2081"/>
    </row>
    <row r="422" spans="2:12">
      <c r="B422" s="1661"/>
      <c r="C422" s="2081"/>
      <c r="D422" s="2081"/>
      <c r="E422" s="2081"/>
      <c r="F422" s="2081"/>
      <c r="G422" s="2081"/>
      <c r="H422" s="2081"/>
      <c r="I422" s="2081"/>
      <c r="J422" s="2081"/>
      <c r="K422" s="2081"/>
      <c r="L422" s="2081"/>
    </row>
    <row r="423" spans="2:12">
      <c r="B423" s="1661"/>
      <c r="C423" s="2081"/>
      <c r="D423" s="2081"/>
      <c r="E423" s="2081"/>
      <c r="F423" s="2081"/>
      <c r="G423" s="2081"/>
      <c r="H423" s="2081"/>
      <c r="I423" s="2081"/>
      <c r="J423" s="2081"/>
      <c r="K423" s="2081"/>
      <c r="L423" s="2081"/>
    </row>
    <row r="424" spans="2:12">
      <c r="B424" s="1661"/>
      <c r="C424" s="2081"/>
      <c r="D424" s="2081"/>
      <c r="E424" s="2081"/>
      <c r="F424" s="2081"/>
      <c r="G424" s="2081"/>
      <c r="H424" s="2081"/>
      <c r="I424" s="2081"/>
      <c r="J424" s="2081"/>
      <c r="K424" s="2081"/>
      <c r="L424" s="2081"/>
    </row>
    <row r="425" spans="2:12">
      <c r="B425" s="1661"/>
      <c r="C425" s="2081"/>
      <c r="D425" s="2081"/>
      <c r="E425" s="2081"/>
      <c r="F425" s="2081"/>
      <c r="G425" s="2081"/>
      <c r="H425" s="2081"/>
      <c r="I425" s="2081"/>
      <c r="J425" s="2081"/>
      <c r="K425" s="2081"/>
      <c r="L425" s="2081"/>
    </row>
    <row r="426" spans="2:12">
      <c r="B426" s="1661"/>
      <c r="C426" s="2081"/>
      <c r="D426" s="2081"/>
      <c r="E426" s="2081"/>
      <c r="F426" s="2081"/>
      <c r="G426" s="2081"/>
      <c r="H426" s="2081"/>
      <c r="I426" s="2081"/>
      <c r="J426" s="2081"/>
      <c r="K426" s="2081"/>
      <c r="L426" s="2081"/>
    </row>
    <row r="427" spans="2:12">
      <c r="B427" s="1661"/>
      <c r="C427" s="2081"/>
      <c r="D427" s="2081"/>
      <c r="E427" s="2081"/>
      <c r="F427" s="2081"/>
      <c r="G427" s="2081"/>
      <c r="H427" s="2081"/>
      <c r="I427" s="2081"/>
      <c r="J427" s="2081"/>
      <c r="K427" s="2081"/>
      <c r="L427" s="2081"/>
    </row>
    <row r="428" spans="2:12">
      <c r="B428" s="1661"/>
      <c r="C428" s="2081"/>
      <c r="D428" s="2081"/>
      <c r="E428" s="2081"/>
      <c r="F428" s="2081"/>
      <c r="G428" s="2081"/>
      <c r="H428" s="2081"/>
      <c r="I428" s="2081"/>
      <c r="J428" s="2081"/>
      <c r="K428" s="2081"/>
      <c r="L428" s="2081"/>
    </row>
    <row r="429" spans="2:12">
      <c r="B429" s="1661"/>
      <c r="C429" s="2081"/>
      <c r="D429" s="2081"/>
      <c r="E429" s="2081"/>
      <c r="F429" s="2081"/>
      <c r="G429" s="2081"/>
      <c r="H429" s="2081"/>
      <c r="I429" s="2081"/>
      <c r="J429" s="2081"/>
      <c r="K429" s="2081"/>
      <c r="L429" s="2081"/>
    </row>
    <row r="430" spans="2:12">
      <c r="B430" s="1661"/>
      <c r="C430" s="2081"/>
      <c r="D430" s="2081"/>
      <c r="E430" s="2081"/>
      <c r="F430" s="2081"/>
      <c r="G430" s="2081"/>
      <c r="H430" s="2081"/>
      <c r="I430" s="2081"/>
      <c r="J430" s="2081"/>
      <c r="K430" s="2081"/>
      <c r="L430" s="2081"/>
    </row>
    <row r="431" spans="2:12">
      <c r="B431" s="1661"/>
      <c r="C431" s="2081"/>
      <c r="D431" s="2081"/>
      <c r="E431" s="2081"/>
      <c r="F431" s="2081"/>
      <c r="G431" s="2081"/>
      <c r="H431" s="2081"/>
      <c r="I431" s="2081"/>
      <c r="J431" s="2081"/>
      <c r="K431" s="2081"/>
      <c r="L431" s="2081"/>
    </row>
    <row r="432" spans="2:12">
      <c r="B432" s="1661"/>
      <c r="C432" s="2081"/>
      <c r="D432" s="2081"/>
      <c r="E432" s="2081"/>
      <c r="F432" s="2081"/>
      <c r="G432" s="2081"/>
      <c r="H432" s="2081"/>
      <c r="I432" s="2081"/>
      <c r="J432" s="2081"/>
      <c r="K432" s="2081"/>
      <c r="L432" s="2081"/>
    </row>
    <row r="433" spans="2:12">
      <c r="B433" s="1661"/>
      <c r="C433" s="2081"/>
      <c r="D433" s="2081"/>
      <c r="E433" s="2081"/>
      <c r="F433" s="2081"/>
      <c r="G433" s="2081"/>
      <c r="H433" s="2081"/>
      <c r="I433" s="2081"/>
      <c r="J433" s="2081"/>
      <c r="K433" s="2081"/>
      <c r="L433" s="2081"/>
    </row>
    <row r="434" spans="2:12">
      <c r="B434" s="1661"/>
      <c r="C434" s="2081"/>
      <c r="D434" s="2081"/>
      <c r="E434" s="2081"/>
      <c r="F434" s="2081"/>
      <c r="G434" s="2081"/>
      <c r="H434" s="2081"/>
      <c r="I434" s="2081"/>
      <c r="J434" s="2081"/>
      <c r="K434" s="2081"/>
      <c r="L434" s="2081"/>
    </row>
    <row r="435" spans="2:12">
      <c r="B435" s="1661"/>
      <c r="C435" s="2081"/>
      <c r="D435" s="2081"/>
      <c r="E435" s="2081"/>
      <c r="F435" s="2081"/>
      <c r="G435" s="2081"/>
      <c r="H435" s="2081"/>
      <c r="I435" s="2081"/>
      <c r="J435" s="2081"/>
      <c r="K435" s="2081"/>
      <c r="L435" s="2081"/>
    </row>
    <row r="436" spans="2:12">
      <c r="B436" s="1661"/>
      <c r="C436" s="2081"/>
      <c r="D436" s="2081"/>
      <c r="E436" s="2081"/>
      <c r="F436" s="2081"/>
      <c r="G436" s="2081"/>
      <c r="H436" s="2081"/>
      <c r="I436" s="2081"/>
      <c r="J436" s="2081"/>
      <c r="K436" s="2081"/>
      <c r="L436" s="2081"/>
    </row>
    <row r="437" spans="2:12">
      <c r="B437" s="1661"/>
      <c r="C437" s="2081"/>
      <c r="D437" s="2081"/>
      <c r="E437" s="2081"/>
      <c r="F437" s="2081"/>
      <c r="G437" s="2081"/>
      <c r="H437" s="2081"/>
      <c r="I437" s="2081"/>
      <c r="J437" s="2081"/>
      <c r="K437" s="2081"/>
      <c r="L437" s="2081"/>
    </row>
    <row r="438" spans="2:12">
      <c r="B438" s="1661"/>
      <c r="C438" s="2081"/>
      <c r="D438" s="2081"/>
      <c r="E438" s="2081"/>
      <c r="F438" s="2081"/>
      <c r="G438" s="2081"/>
      <c r="H438" s="2081"/>
      <c r="I438" s="2081"/>
      <c r="J438" s="2081"/>
      <c r="K438" s="2081"/>
      <c r="L438" s="2081"/>
    </row>
    <row r="439" spans="2:12">
      <c r="B439" s="1661"/>
      <c r="C439" s="2081"/>
      <c r="D439" s="2081"/>
      <c r="E439" s="2081"/>
      <c r="F439" s="2081"/>
      <c r="G439" s="2081"/>
      <c r="H439" s="2081"/>
      <c r="I439" s="2081"/>
      <c r="J439" s="2081"/>
      <c r="K439" s="2081"/>
      <c r="L439" s="2081"/>
    </row>
    <row r="440" spans="2:12">
      <c r="B440" s="1661"/>
      <c r="C440" s="2081"/>
      <c r="D440" s="2081"/>
      <c r="E440" s="2081"/>
      <c r="F440" s="2081"/>
      <c r="G440" s="2081"/>
      <c r="H440" s="2081"/>
      <c r="I440" s="2081"/>
      <c r="J440" s="2081"/>
      <c r="K440" s="2081"/>
      <c r="L440" s="2081"/>
    </row>
    <row r="441" spans="2:12">
      <c r="B441" s="1661"/>
      <c r="C441" s="2081"/>
      <c r="D441" s="2081"/>
      <c r="E441" s="2081"/>
      <c r="F441" s="2081"/>
      <c r="G441" s="2081"/>
      <c r="H441" s="2081"/>
      <c r="I441" s="2081"/>
      <c r="J441" s="2081"/>
      <c r="K441" s="2081"/>
      <c r="L441" s="2081"/>
    </row>
    <row r="442" spans="2:12">
      <c r="B442" s="1661"/>
      <c r="C442" s="2081"/>
      <c r="D442" s="2081"/>
      <c r="E442" s="2081"/>
      <c r="F442" s="2081"/>
      <c r="G442" s="2081"/>
      <c r="H442" s="2081"/>
      <c r="I442" s="2081"/>
      <c r="J442" s="2081"/>
      <c r="K442" s="2081"/>
      <c r="L442" s="2081"/>
    </row>
    <row r="443" spans="2:12">
      <c r="B443" s="1661"/>
      <c r="C443" s="2081"/>
      <c r="D443" s="2081"/>
      <c r="E443" s="2081"/>
      <c r="F443" s="2081"/>
      <c r="G443" s="2081"/>
      <c r="H443" s="2081"/>
      <c r="I443" s="2081"/>
      <c r="J443" s="2081"/>
      <c r="K443" s="2081"/>
      <c r="L443" s="2081"/>
    </row>
    <row r="444" spans="2:12">
      <c r="B444" s="1661"/>
      <c r="C444" s="2081"/>
      <c r="D444" s="2081"/>
      <c r="E444" s="2081"/>
      <c r="F444" s="2081"/>
      <c r="G444" s="2081"/>
      <c r="H444" s="2081"/>
      <c r="I444" s="2081"/>
      <c r="J444" s="2081"/>
      <c r="K444" s="2081"/>
      <c r="L444" s="2081"/>
    </row>
    <row r="445" spans="2:12">
      <c r="B445" s="1661"/>
      <c r="C445" s="2081"/>
      <c r="D445" s="2081"/>
      <c r="E445" s="2081"/>
      <c r="F445" s="2081"/>
      <c r="G445" s="2081"/>
      <c r="H445" s="2081"/>
      <c r="I445" s="2081"/>
      <c r="J445" s="2081"/>
      <c r="K445" s="2081"/>
      <c r="L445" s="2081"/>
    </row>
    <row r="446" spans="2:12">
      <c r="B446" s="1661"/>
      <c r="C446" s="2081"/>
      <c r="D446" s="2081"/>
      <c r="E446" s="2081"/>
      <c r="F446" s="2081"/>
      <c r="G446" s="2081"/>
      <c r="H446" s="2081"/>
      <c r="I446" s="2081"/>
      <c r="J446" s="2081"/>
      <c r="K446" s="2081"/>
      <c r="L446" s="2081"/>
    </row>
    <row r="447" spans="2:12">
      <c r="B447" s="1661"/>
      <c r="C447" s="2081"/>
      <c r="D447" s="2081"/>
      <c r="E447" s="2081"/>
      <c r="F447" s="2081"/>
      <c r="G447" s="2081"/>
      <c r="H447" s="2081"/>
      <c r="I447" s="2081"/>
      <c r="J447" s="2081"/>
      <c r="K447" s="2081"/>
      <c r="L447" s="2081"/>
    </row>
    <row r="448" spans="2:12">
      <c r="B448" s="1661"/>
      <c r="C448" s="2081"/>
      <c r="D448" s="2081"/>
      <c r="E448" s="2081"/>
      <c r="F448" s="2081"/>
      <c r="G448" s="2081"/>
      <c r="H448" s="2081"/>
      <c r="I448" s="2081"/>
      <c r="J448" s="2081"/>
      <c r="K448" s="2081"/>
      <c r="L448" s="2081"/>
    </row>
    <row r="449" spans="2:12">
      <c r="B449" s="1661"/>
      <c r="C449" s="2081"/>
      <c r="D449" s="2081"/>
      <c r="E449" s="2081"/>
      <c r="F449" s="2081"/>
      <c r="G449" s="2081"/>
      <c r="H449" s="2081"/>
      <c r="I449" s="2081"/>
      <c r="J449" s="2081"/>
      <c r="K449" s="2081"/>
      <c r="L449" s="2081"/>
    </row>
    <row r="450" spans="2:12">
      <c r="B450" s="1661"/>
      <c r="C450" s="2081"/>
      <c r="D450" s="2081"/>
      <c r="E450" s="2081"/>
      <c r="F450" s="2081"/>
      <c r="G450" s="2081"/>
      <c r="H450" s="2081"/>
      <c r="I450" s="2081"/>
      <c r="J450" s="2081"/>
      <c r="K450" s="2081"/>
      <c r="L450" s="2081"/>
    </row>
    <row r="451" spans="2:12">
      <c r="B451" s="1661"/>
      <c r="C451" s="2081"/>
      <c r="D451" s="2081"/>
      <c r="E451" s="2081"/>
      <c r="F451" s="2081"/>
      <c r="G451" s="2081"/>
      <c r="H451" s="2081"/>
      <c r="I451" s="2081"/>
      <c r="J451" s="2081"/>
      <c r="K451" s="2081"/>
      <c r="L451" s="2081"/>
    </row>
    <row r="452" spans="2:12">
      <c r="B452" s="1661"/>
      <c r="C452" s="2081"/>
      <c r="D452" s="2081"/>
      <c r="E452" s="2081"/>
      <c r="F452" s="2081"/>
      <c r="G452" s="2081"/>
      <c r="H452" s="2081"/>
      <c r="I452" s="2081"/>
      <c r="J452" s="2081"/>
      <c r="K452" s="2081"/>
      <c r="L452" s="2081"/>
    </row>
    <row r="453" spans="2:12">
      <c r="B453" s="1661"/>
      <c r="C453" s="2081"/>
      <c r="D453" s="2081"/>
      <c r="E453" s="2081"/>
      <c r="F453" s="2081"/>
      <c r="G453" s="2081"/>
      <c r="H453" s="2081"/>
      <c r="I453" s="2081"/>
      <c r="J453" s="2081"/>
      <c r="K453" s="2081"/>
      <c r="L453" s="2081"/>
    </row>
    <row r="454" spans="2:12">
      <c r="B454" s="1661"/>
      <c r="C454" s="2081"/>
      <c r="D454" s="2081"/>
      <c r="E454" s="2081"/>
      <c r="F454" s="2081"/>
      <c r="G454" s="2081"/>
      <c r="H454" s="2081"/>
      <c r="I454" s="2081"/>
      <c r="J454" s="2081"/>
      <c r="K454" s="2081"/>
      <c r="L454" s="2081"/>
    </row>
    <row r="455" spans="2:12">
      <c r="B455" s="1661"/>
      <c r="C455" s="2081"/>
      <c r="D455" s="2081"/>
      <c r="E455" s="2081"/>
      <c r="F455" s="2081"/>
      <c r="G455" s="2081"/>
      <c r="H455" s="2081"/>
      <c r="I455" s="2081"/>
      <c r="J455" s="2081"/>
      <c r="K455" s="2081"/>
      <c r="L455" s="2081"/>
    </row>
    <row r="456" spans="2:12">
      <c r="B456" s="1661"/>
      <c r="C456" s="2081"/>
      <c r="D456" s="2081"/>
      <c r="E456" s="2081"/>
      <c r="F456" s="2081"/>
      <c r="G456" s="2081"/>
      <c r="H456" s="2081"/>
      <c r="I456" s="2081"/>
      <c r="J456" s="2081"/>
      <c r="K456" s="2081"/>
      <c r="L456" s="2081"/>
    </row>
    <row r="457" spans="2:12">
      <c r="B457" s="1661"/>
      <c r="C457" s="2081"/>
      <c r="D457" s="2081"/>
      <c r="E457" s="2081"/>
      <c r="F457" s="2081"/>
      <c r="G457" s="2081"/>
      <c r="H457" s="2081"/>
      <c r="I457" s="2081"/>
      <c r="J457" s="2081"/>
      <c r="K457" s="2081"/>
      <c r="L457" s="2081"/>
    </row>
    <row r="458" spans="2:12">
      <c r="B458" s="1661"/>
      <c r="C458" s="2081"/>
      <c r="D458" s="2081"/>
      <c r="E458" s="2081"/>
      <c r="F458" s="2081"/>
      <c r="G458" s="2081"/>
      <c r="H458" s="2081"/>
      <c r="I458" s="2081"/>
      <c r="J458" s="2081"/>
      <c r="K458" s="2081"/>
      <c r="L458" s="2081"/>
    </row>
    <row r="459" spans="2:12">
      <c r="B459" s="1661"/>
      <c r="C459" s="2081"/>
      <c r="D459" s="2081"/>
      <c r="E459" s="2081"/>
      <c r="F459" s="2081"/>
      <c r="G459" s="2081"/>
      <c r="H459" s="2081"/>
      <c r="I459" s="2081"/>
      <c r="J459" s="2081"/>
      <c r="K459" s="2081"/>
      <c r="L459" s="2081"/>
    </row>
    <row r="460" spans="2:12">
      <c r="B460" s="1661"/>
      <c r="C460" s="2081"/>
      <c r="D460" s="2081"/>
      <c r="E460" s="2081"/>
      <c r="F460" s="2081"/>
      <c r="G460" s="2081"/>
      <c r="H460" s="2081"/>
      <c r="I460" s="2081"/>
      <c r="J460" s="2081"/>
      <c r="K460" s="2081"/>
      <c r="L460" s="2081"/>
    </row>
    <row r="461" spans="2:12">
      <c r="B461" s="1661"/>
      <c r="C461" s="2081"/>
      <c r="D461" s="2081"/>
      <c r="E461" s="2081"/>
      <c r="F461" s="2081"/>
      <c r="G461" s="2081"/>
      <c r="H461" s="2081"/>
      <c r="I461" s="2081"/>
      <c r="J461" s="2081"/>
      <c r="K461" s="2081"/>
      <c r="L461" s="2081"/>
    </row>
    <row r="462" spans="2:12">
      <c r="B462" s="1661"/>
      <c r="C462" s="2081"/>
      <c r="D462" s="2081"/>
      <c r="E462" s="2081"/>
      <c r="F462" s="2081"/>
      <c r="G462" s="2081"/>
      <c r="H462" s="2081"/>
      <c r="I462" s="2081"/>
      <c r="J462" s="2081"/>
      <c r="K462" s="2081"/>
      <c r="L462" s="2081"/>
    </row>
    <row r="463" spans="2:12">
      <c r="B463" s="1661"/>
      <c r="C463" s="2081"/>
      <c r="D463" s="2081"/>
      <c r="E463" s="2081"/>
      <c r="F463" s="2081"/>
      <c r="G463" s="2081"/>
      <c r="H463" s="2081"/>
      <c r="I463" s="2081"/>
      <c r="J463" s="2081"/>
      <c r="K463" s="2081"/>
      <c r="L463" s="2081"/>
    </row>
    <row r="464" spans="2:12">
      <c r="B464" s="1661"/>
      <c r="C464" s="2081"/>
      <c r="D464" s="2081"/>
      <c r="E464" s="2081"/>
      <c r="F464" s="2081"/>
      <c r="G464" s="2081"/>
      <c r="H464" s="2081"/>
      <c r="I464" s="2081"/>
      <c r="J464" s="2081"/>
      <c r="K464" s="2081"/>
      <c r="L464" s="2081"/>
    </row>
    <row r="465" spans="2:12">
      <c r="B465" s="1661"/>
      <c r="C465" s="2081"/>
      <c r="D465" s="2081"/>
      <c r="E465" s="2081"/>
      <c r="F465" s="2081"/>
      <c r="G465" s="2081"/>
      <c r="H465" s="2081"/>
      <c r="I465" s="2081"/>
      <c r="J465" s="2081"/>
      <c r="K465" s="2081"/>
      <c r="L465" s="2081"/>
    </row>
    <row r="466" spans="2:12">
      <c r="B466" s="1661"/>
      <c r="C466" s="2081"/>
      <c r="D466" s="2081"/>
      <c r="E466" s="2081"/>
      <c r="F466" s="2081"/>
      <c r="G466" s="2081"/>
      <c r="H466" s="2081"/>
      <c r="I466" s="2081"/>
      <c r="J466" s="2081"/>
      <c r="K466" s="2081"/>
      <c r="L466" s="2081"/>
    </row>
    <row r="467" spans="2:12">
      <c r="B467" s="1661"/>
      <c r="C467" s="2081"/>
      <c r="D467" s="2081"/>
      <c r="E467" s="2081"/>
      <c r="F467" s="2081"/>
      <c r="G467" s="2081"/>
      <c r="H467" s="2081"/>
      <c r="I467" s="2081"/>
      <c r="J467" s="2081"/>
      <c r="K467" s="2081"/>
      <c r="L467" s="2081"/>
    </row>
    <row r="468" spans="2:12">
      <c r="B468" s="1661"/>
      <c r="C468" s="2081"/>
      <c r="D468" s="2081"/>
      <c r="E468" s="2081"/>
      <c r="F468" s="2081"/>
      <c r="G468" s="2081"/>
      <c r="H468" s="2081"/>
      <c r="I468" s="2081"/>
      <c r="J468" s="2081"/>
      <c r="K468" s="2081"/>
      <c r="L468" s="2081"/>
    </row>
    <row r="469" spans="2:12">
      <c r="B469" s="1661"/>
      <c r="C469" s="2081"/>
      <c r="D469" s="2081"/>
      <c r="E469" s="2081"/>
      <c r="F469" s="2081"/>
      <c r="G469" s="2081"/>
      <c r="H469" s="2081"/>
      <c r="I469" s="2081"/>
      <c r="J469" s="2081"/>
      <c r="K469" s="2081"/>
      <c r="L469" s="2081"/>
    </row>
    <row r="470" spans="2:12">
      <c r="B470" s="1661"/>
      <c r="C470" s="2081"/>
      <c r="D470" s="2081"/>
      <c r="E470" s="2081"/>
      <c r="F470" s="2081"/>
      <c r="G470" s="2081"/>
      <c r="H470" s="2081"/>
      <c r="I470" s="2081"/>
      <c r="J470" s="2081"/>
      <c r="K470" s="2081"/>
      <c r="L470" s="2081"/>
    </row>
    <row r="471" spans="2:12">
      <c r="B471" s="1661"/>
      <c r="C471" s="2081"/>
      <c r="D471" s="2081"/>
      <c r="E471" s="2081"/>
      <c r="F471" s="2081"/>
      <c r="G471" s="2081"/>
      <c r="H471" s="2081"/>
      <c r="I471" s="2081"/>
      <c r="J471" s="2081"/>
      <c r="K471" s="2081"/>
      <c r="L471" s="2081"/>
    </row>
    <row r="472" spans="2:12">
      <c r="B472" s="1661"/>
      <c r="C472" s="2081"/>
      <c r="D472" s="2081"/>
      <c r="E472" s="2081"/>
      <c r="F472" s="2081"/>
      <c r="G472" s="2081"/>
      <c r="H472" s="2081"/>
      <c r="I472" s="2081"/>
      <c r="J472" s="2081"/>
      <c r="K472" s="2081"/>
      <c r="L472" s="2081"/>
    </row>
    <row r="473" spans="2:12">
      <c r="B473" s="1661"/>
      <c r="C473" s="2081"/>
      <c r="D473" s="2081"/>
      <c r="E473" s="2081"/>
      <c r="F473" s="2081"/>
      <c r="G473" s="2081"/>
      <c r="H473" s="2081"/>
      <c r="I473" s="2081"/>
      <c r="J473" s="2081"/>
      <c r="K473" s="2081"/>
      <c r="L473" s="2081"/>
    </row>
    <row r="474" spans="2:12">
      <c r="B474" s="1661"/>
      <c r="C474" s="2081"/>
      <c r="D474" s="2081"/>
      <c r="E474" s="2081"/>
      <c r="F474" s="2081"/>
      <c r="G474" s="2081"/>
      <c r="H474" s="2081"/>
      <c r="I474" s="2081"/>
      <c r="J474" s="2081"/>
      <c r="K474" s="2081"/>
      <c r="L474" s="2081"/>
    </row>
    <row r="475" spans="2:12">
      <c r="B475" s="1661"/>
      <c r="C475" s="2081"/>
      <c r="D475" s="2081"/>
      <c r="E475" s="2081"/>
      <c r="F475" s="2081"/>
      <c r="G475" s="2081"/>
      <c r="H475" s="2081"/>
      <c r="I475" s="2081"/>
      <c r="J475" s="2081"/>
      <c r="K475" s="2081"/>
      <c r="L475" s="2081"/>
    </row>
    <row r="476" spans="2:12">
      <c r="B476" s="1661"/>
      <c r="C476" s="2081"/>
      <c r="D476" s="2081"/>
      <c r="E476" s="2081"/>
      <c r="F476" s="2081"/>
      <c r="G476" s="2081"/>
      <c r="H476" s="2081"/>
      <c r="I476" s="2081"/>
      <c r="J476" s="2081"/>
      <c r="K476" s="2081"/>
      <c r="L476" s="2081"/>
    </row>
    <row r="477" spans="2:12">
      <c r="B477" s="1661"/>
      <c r="C477" s="2081"/>
      <c r="D477" s="2081"/>
      <c r="E477" s="2081"/>
      <c r="F477" s="2081"/>
      <c r="G477" s="2081"/>
      <c r="H477" s="2081"/>
      <c r="I477" s="2081"/>
      <c r="J477" s="2081"/>
      <c r="K477" s="2081"/>
      <c r="L477" s="2081"/>
    </row>
    <row r="478" spans="2:12">
      <c r="B478" s="1661"/>
      <c r="C478" s="2081"/>
      <c r="D478" s="2081"/>
      <c r="E478" s="2081"/>
      <c r="F478" s="2081"/>
      <c r="G478" s="2081"/>
      <c r="H478" s="2081"/>
      <c r="I478" s="2081"/>
      <c r="J478" s="2081"/>
      <c r="K478" s="2081"/>
      <c r="L478" s="2081"/>
    </row>
    <row r="479" spans="2:12">
      <c r="B479" s="1661"/>
      <c r="C479" s="2081"/>
      <c r="D479" s="2081"/>
      <c r="E479" s="2081"/>
      <c r="F479" s="2081"/>
      <c r="G479" s="2081"/>
      <c r="H479" s="2081"/>
      <c r="I479" s="2081"/>
      <c r="J479" s="2081"/>
      <c r="K479" s="2081"/>
      <c r="L479" s="2081"/>
    </row>
    <row r="480" spans="2:12">
      <c r="B480" s="1661"/>
      <c r="C480" s="2081"/>
      <c r="D480" s="2081"/>
      <c r="E480" s="2081"/>
      <c r="F480" s="2081"/>
      <c r="G480" s="2081"/>
      <c r="H480" s="2081"/>
      <c r="I480" s="2081"/>
      <c r="J480" s="2081"/>
      <c r="K480" s="2081"/>
      <c r="L480" s="2081"/>
    </row>
    <row r="481" spans="2:12">
      <c r="B481" s="1661"/>
      <c r="C481" s="2081"/>
      <c r="D481" s="2081"/>
      <c r="E481" s="2081"/>
      <c r="F481" s="2081"/>
      <c r="G481" s="2081"/>
      <c r="H481" s="2081"/>
      <c r="I481" s="2081"/>
      <c r="J481" s="2081"/>
      <c r="K481" s="2081"/>
      <c r="L481" s="2081"/>
    </row>
    <row r="482" spans="2:12">
      <c r="B482" s="1661"/>
      <c r="C482" s="2081"/>
      <c r="D482" s="2081"/>
      <c r="E482" s="2081"/>
      <c r="F482" s="2081"/>
      <c r="G482" s="2081"/>
      <c r="H482" s="2081"/>
      <c r="I482" s="2081"/>
      <c r="J482" s="2081"/>
      <c r="K482" s="2081"/>
      <c r="L482" s="2081"/>
    </row>
    <row r="483" spans="2:12">
      <c r="B483" s="1661"/>
      <c r="C483" s="2081"/>
      <c r="D483" s="2081"/>
      <c r="E483" s="2081"/>
      <c r="F483" s="2081"/>
      <c r="G483" s="2081"/>
      <c r="H483" s="2081"/>
      <c r="I483" s="2081"/>
      <c r="J483" s="2081"/>
      <c r="K483" s="2081"/>
      <c r="L483" s="2081"/>
    </row>
    <row r="484" spans="2:12">
      <c r="B484" s="1661"/>
      <c r="C484" s="2081"/>
      <c r="D484" s="2081"/>
      <c r="E484" s="2081"/>
      <c r="F484" s="2081"/>
      <c r="G484" s="2081"/>
      <c r="H484" s="2081"/>
      <c r="I484" s="2081"/>
      <c r="J484" s="2081"/>
      <c r="K484" s="2081"/>
      <c r="L484" s="2081"/>
    </row>
    <row r="485" spans="2:12">
      <c r="B485" s="1661"/>
      <c r="C485" s="2081"/>
      <c r="D485" s="2081"/>
      <c r="E485" s="2081"/>
      <c r="F485" s="2081"/>
      <c r="G485" s="2081"/>
      <c r="H485" s="2081"/>
      <c r="I485" s="2081"/>
      <c r="J485" s="2081"/>
      <c r="K485" s="2081"/>
      <c r="L485" s="2081"/>
    </row>
    <row r="486" spans="2:12">
      <c r="B486" s="1661"/>
      <c r="C486" s="2081"/>
      <c r="D486" s="2081"/>
      <c r="E486" s="2081"/>
      <c r="F486" s="2081"/>
      <c r="G486" s="2081"/>
      <c r="H486" s="2081"/>
      <c r="I486" s="2081"/>
      <c r="J486" s="2081"/>
      <c r="K486" s="2081"/>
      <c r="L486" s="2081"/>
    </row>
    <row r="487" spans="2:12">
      <c r="B487" s="1661"/>
      <c r="C487" s="2081"/>
      <c r="D487" s="2081"/>
      <c r="E487" s="2081"/>
      <c r="F487" s="2081"/>
      <c r="G487" s="2081"/>
      <c r="H487" s="2081"/>
      <c r="I487" s="2081"/>
      <c r="J487" s="2081"/>
      <c r="K487" s="2081"/>
      <c r="L487" s="2081"/>
    </row>
    <row r="488" spans="2:12">
      <c r="B488" s="1661"/>
      <c r="C488" s="2081"/>
      <c r="D488" s="2081"/>
      <c r="E488" s="2081"/>
      <c r="F488" s="2081"/>
      <c r="G488" s="2081"/>
      <c r="H488" s="2081"/>
      <c r="I488" s="2081"/>
      <c r="J488" s="2081"/>
      <c r="K488" s="2081"/>
      <c r="L488" s="2081"/>
    </row>
    <row r="489" spans="2:12">
      <c r="B489" s="1661"/>
      <c r="C489" s="2081"/>
      <c r="D489" s="2081"/>
      <c r="E489" s="2081"/>
      <c r="F489" s="2081"/>
      <c r="G489" s="2081"/>
      <c r="H489" s="2081"/>
      <c r="I489" s="2081"/>
      <c r="J489" s="2081"/>
      <c r="K489" s="2081"/>
      <c r="L489" s="2081"/>
    </row>
    <row r="490" spans="2:12">
      <c r="B490" s="1661"/>
      <c r="C490" s="2081"/>
      <c r="D490" s="2081"/>
      <c r="E490" s="2081"/>
      <c r="F490" s="2081"/>
      <c r="G490" s="2081"/>
      <c r="H490" s="2081"/>
      <c r="I490" s="2081"/>
      <c r="J490" s="2081"/>
      <c r="K490" s="2081"/>
      <c r="L490" s="2081"/>
    </row>
    <row r="491" spans="2:12">
      <c r="B491" s="1661"/>
      <c r="C491" s="2081"/>
      <c r="D491" s="2081"/>
      <c r="E491" s="2081"/>
      <c r="F491" s="2081"/>
      <c r="G491" s="2081"/>
      <c r="H491" s="2081"/>
      <c r="I491" s="2081"/>
      <c r="J491" s="2081"/>
      <c r="K491" s="2081"/>
      <c r="L491" s="2081"/>
    </row>
    <row r="492" spans="2:12">
      <c r="B492" s="1661"/>
      <c r="C492" s="2081"/>
      <c r="D492" s="2081"/>
      <c r="E492" s="2081"/>
      <c r="F492" s="2081"/>
      <c r="G492" s="2081"/>
      <c r="H492" s="2081"/>
      <c r="I492" s="2081"/>
      <c r="J492" s="2081"/>
      <c r="K492" s="2081"/>
      <c r="L492" s="2081"/>
    </row>
    <row r="493" spans="2:12">
      <c r="B493" s="1661"/>
      <c r="C493" s="2081"/>
      <c r="D493" s="2081"/>
      <c r="E493" s="2081"/>
      <c r="F493" s="2081"/>
      <c r="G493" s="2081"/>
      <c r="H493" s="2081"/>
      <c r="I493" s="2081"/>
      <c r="J493" s="2081"/>
      <c r="K493" s="2081"/>
      <c r="L493" s="2081"/>
    </row>
    <row r="494" spans="2:12">
      <c r="B494" s="1661"/>
      <c r="C494" s="2081"/>
      <c r="D494" s="2081"/>
      <c r="E494" s="2081"/>
      <c r="F494" s="2081"/>
      <c r="G494" s="2081"/>
      <c r="H494" s="2081"/>
      <c r="I494" s="2081"/>
      <c r="J494" s="2081"/>
      <c r="K494" s="2081"/>
      <c r="L494" s="2081"/>
    </row>
    <row r="495" spans="2:12">
      <c r="B495" s="1661"/>
      <c r="C495" s="2081"/>
      <c r="D495" s="2081"/>
      <c r="E495" s="2081"/>
      <c r="F495" s="2081"/>
      <c r="G495" s="2081"/>
      <c r="H495" s="2081"/>
      <c r="I495" s="2081"/>
      <c r="J495" s="2081"/>
      <c r="K495" s="2081"/>
      <c r="L495" s="2081"/>
    </row>
    <row r="496" spans="2:12">
      <c r="B496" s="1661"/>
      <c r="C496" s="2081"/>
      <c r="D496" s="2081"/>
      <c r="E496" s="2081"/>
      <c r="F496" s="2081"/>
      <c r="G496" s="2081"/>
      <c r="H496" s="2081"/>
      <c r="I496" s="2081"/>
      <c r="J496" s="2081"/>
      <c r="K496" s="2081"/>
      <c r="L496" s="2081"/>
    </row>
    <row r="497" spans="2:12">
      <c r="B497" s="1661"/>
      <c r="C497" s="2081"/>
      <c r="D497" s="2081"/>
      <c r="E497" s="2081"/>
      <c r="F497" s="2081"/>
      <c r="G497" s="2081"/>
      <c r="H497" s="2081"/>
      <c r="I497" s="2081"/>
      <c r="J497" s="2081"/>
      <c r="K497" s="2081"/>
      <c r="L497" s="2081"/>
    </row>
    <row r="498" spans="2:12">
      <c r="B498" s="1661"/>
      <c r="C498" s="2081"/>
      <c r="D498" s="2081"/>
      <c r="E498" s="2081"/>
      <c r="F498" s="2081"/>
      <c r="G498" s="2081"/>
      <c r="H498" s="2081"/>
      <c r="I498" s="2081"/>
      <c r="J498" s="2081"/>
      <c r="K498" s="2081"/>
      <c r="L498" s="2081"/>
    </row>
    <row r="499" spans="2:12">
      <c r="B499" s="1661"/>
      <c r="C499" s="2081"/>
      <c r="D499" s="2081"/>
      <c r="E499" s="2081"/>
      <c r="F499" s="2081"/>
      <c r="G499" s="2081"/>
      <c r="H499" s="2081"/>
      <c r="I499" s="2081"/>
      <c r="J499" s="2081"/>
      <c r="K499" s="2081"/>
      <c r="L499" s="2081"/>
    </row>
    <row r="500" spans="2:12">
      <c r="B500" s="1661"/>
      <c r="C500" s="2081"/>
      <c r="D500" s="2081"/>
      <c r="E500" s="2081"/>
      <c r="F500" s="2081"/>
      <c r="G500" s="2081"/>
      <c r="H500" s="2081"/>
      <c r="I500" s="2081"/>
      <c r="J500" s="2081"/>
      <c r="K500" s="2081"/>
      <c r="L500" s="2081"/>
    </row>
    <row r="501" spans="2:12">
      <c r="B501" s="1661"/>
      <c r="C501" s="2081"/>
      <c r="D501" s="2081"/>
      <c r="E501" s="2081"/>
      <c r="F501" s="2081"/>
      <c r="G501" s="2081"/>
      <c r="H501" s="2081"/>
      <c r="I501" s="2081"/>
      <c r="J501" s="2081"/>
      <c r="K501" s="2081"/>
      <c r="L501" s="2081"/>
    </row>
    <row r="502" spans="2:12">
      <c r="B502" s="1661"/>
      <c r="C502" s="2081"/>
      <c r="D502" s="2081"/>
      <c r="E502" s="2081"/>
      <c r="F502" s="2081"/>
      <c r="G502" s="2081"/>
      <c r="H502" s="2081"/>
      <c r="I502" s="2081"/>
      <c r="J502" s="2081"/>
      <c r="K502" s="2081"/>
      <c r="L502" s="2081"/>
    </row>
    <row r="503" spans="2:12">
      <c r="B503" s="1661"/>
      <c r="C503" s="2081"/>
      <c r="D503" s="2081"/>
      <c r="E503" s="2081"/>
      <c r="F503" s="2081"/>
      <c r="G503" s="2081"/>
      <c r="H503" s="2081"/>
      <c r="I503" s="2081"/>
      <c r="J503" s="2081"/>
      <c r="K503" s="2081"/>
      <c r="L503" s="2081"/>
    </row>
    <row r="504" spans="2:12">
      <c r="B504" s="1661"/>
      <c r="C504" s="2081"/>
      <c r="D504" s="2081"/>
      <c r="E504" s="2081"/>
      <c r="F504" s="2081"/>
      <c r="G504" s="2081"/>
      <c r="H504" s="2081"/>
      <c r="I504" s="2081"/>
      <c r="J504" s="2081"/>
      <c r="K504" s="2081"/>
      <c r="L504" s="2081"/>
    </row>
    <row r="505" spans="2:12">
      <c r="B505" s="1661"/>
      <c r="C505" s="2081"/>
      <c r="D505" s="2081"/>
      <c r="E505" s="2081"/>
      <c r="F505" s="2081"/>
      <c r="G505" s="2081"/>
      <c r="H505" s="2081"/>
      <c r="I505" s="2081"/>
      <c r="J505" s="2081"/>
      <c r="K505" s="2081"/>
      <c r="L505" s="2081"/>
    </row>
    <row r="506" spans="2:12">
      <c r="B506" s="1661"/>
      <c r="C506" s="2081"/>
      <c r="D506" s="2081"/>
      <c r="E506" s="2081"/>
      <c r="F506" s="2081"/>
      <c r="G506" s="2081"/>
      <c r="H506" s="2081"/>
      <c r="I506" s="2081"/>
      <c r="J506" s="2081"/>
      <c r="K506" s="2081"/>
      <c r="L506" s="2081"/>
    </row>
    <row r="507" spans="2:12">
      <c r="B507" s="1661"/>
      <c r="C507" s="2081"/>
      <c r="D507" s="2081"/>
      <c r="E507" s="2081"/>
      <c r="F507" s="2081"/>
      <c r="G507" s="2081"/>
      <c r="H507" s="2081"/>
      <c r="I507" s="2081"/>
      <c r="J507" s="2081"/>
      <c r="K507" s="2081"/>
      <c r="L507" s="2081"/>
    </row>
    <row r="508" spans="2:12">
      <c r="B508" s="1661"/>
      <c r="C508" s="2081"/>
      <c r="D508" s="2081"/>
      <c r="E508" s="2081"/>
      <c r="F508" s="2081"/>
      <c r="G508" s="2081"/>
      <c r="H508" s="2081"/>
      <c r="I508" s="2081"/>
      <c r="J508" s="2081"/>
      <c r="K508" s="2081"/>
      <c r="L508" s="2081"/>
    </row>
    <row r="509" spans="2:12">
      <c r="B509" s="1661"/>
      <c r="C509" s="2081"/>
      <c r="D509" s="2081"/>
      <c r="E509" s="2081"/>
      <c r="F509" s="2081"/>
      <c r="G509" s="2081"/>
      <c r="H509" s="2081"/>
      <c r="I509" s="2081"/>
      <c r="J509" s="2081"/>
      <c r="K509" s="2081"/>
      <c r="L509" s="2081"/>
    </row>
    <row r="510" spans="2:12">
      <c r="B510" s="1661"/>
      <c r="C510" s="2081"/>
      <c r="D510" s="2081"/>
      <c r="E510" s="2081"/>
      <c r="F510" s="2081"/>
      <c r="G510" s="2081"/>
      <c r="H510" s="2081"/>
      <c r="I510" s="2081"/>
      <c r="J510" s="2081"/>
      <c r="K510" s="2081"/>
      <c r="L510" s="2081"/>
    </row>
    <row r="511" spans="2:12">
      <c r="B511" s="1661"/>
      <c r="C511" s="2081"/>
      <c r="D511" s="2081"/>
      <c r="E511" s="2081"/>
      <c r="F511" s="2081"/>
      <c r="G511" s="2081"/>
      <c r="H511" s="2081"/>
      <c r="I511" s="2081"/>
      <c r="J511" s="2081"/>
      <c r="K511" s="2081"/>
      <c r="L511" s="2081"/>
    </row>
    <row r="512" spans="2:12">
      <c r="B512" s="1661"/>
      <c r="C512" s="2081"/>
      <c r="D512" s="2081"/>
      <c r="E512" s="2081"/>
      <c r="F512" s="2081"/>
      <c r="G512" s="2081"/>
      <c r="H512" s="2081"/>
      <c r="I512" s="2081"/>
      <c r="J512" s="2081"/>
      <c r="K512" s="2081"/>
      <c r="L512" s="2081"/>
    </row>
    <row r="513" spans="2:12">
      <c r="B513" s="1661"/>
      <c r="C513" s="2081"/>
      <c r="D513" s="2081"/>
      <c r="E513" s="2081"/>
      <c r="F513" s="2081"/>
      <c r="G513" s="2081"/>
      <c r="H513" s="2081"/>
      <c r="I513" s="2081"/>
      <c r="J513" s="2081"/>
      <c r="K513" s="2081"/>
      <c r="L513" s="2081"/>
    </row>
    <row r="514" spans="2:12">
      <c r="B514" s="1661"/>
      <c r="C514" s="2081"/>
      <c r="D514" s="2081"/>
      <c r="E514" s="2081"/>
      <c r="F514" s="2081"/>
      <c r="G514" s="2081"/>
      <c r="H514" s="2081"/>
      <c r="I514" s="2081"/>
      <c r="J514" s="2081"/>
      <c r="K514" s="2081"/>
      <c r="L514" s="2081"/>
    </row>
    <row r="515" spans="2:12">
      <c r="B515" s="1661"/>
      <c r="C515" s="2081"/>
      <c r="D515" s="2081"/>
      <c r="E515" s="2081"/>
      <c r="F515" s="2081"/>
      <c r="G515" s="2081"/>
      <c r="H515" s="2081"/>
      <c r="I515" s="2081"/>
      <c r="J515" s="2081"/>
      <c r="K515" s="2081"/>
      <c r="L515" s="2081"/>
    </row>
    <row r="516" spans="2:12">
      <c r="B516" s="1661"/>
      <c r="C516" s="2081"/>
      <c r="D516" s="2081"/>
      <c r="E516" s="2081"/>
      <c r="F516" s="2081"/>
      <c r="G516" s="2081"/>
      <c r="H516" s="2081"/>
      <c r="I516" s="2081"/>
      <c r="J516" s="2081"/>
      <c r="K516" s="2081"/>
      <c r="L516" s="2081"/>
    </row>
    <row r="517" spans="2:12">
      <c r="B517" s="1661"/>
      <c r="C517" s="2081"/>
      <c r="D517" s="2081"/>
      <c r="E517" s="2081"/>
      <c r="F517" s="2081"/>
      <c r="G517" s="2081"/>
      <c r="H517" s="2081"/>
      <c r="I517" s="2081"/>
      <c r="J517" s="2081"/>
      <c r="K517" s="2081"/>
      <c r="L517" s="2081"/>
    </row>
    <row r="518" spans="2:12">
      <c r="B518" s="1661"/>
      <c r="C518" s="2081"/>
      <c r="D518" s="2081"/>
      <c r="E518" s="2081"/>
      <c r="F518" s="2081"/>
      <c r="G518" s="2081"/>
      <c r="H518" s="2081"/>
      <c r="I518" s="2081"/>
      <c r="J518" s="2081"/>
      <c r="K518" s="2081"/>
      <c r="L518" s="2081"/>
    </row>
    <row r="519" spans="2:12">
      <c r="B519" s="1661"/>
      <c r="C519" s="2081"/>
      <c r="D519" s="2081"/>
      <c r="E519" s="2081"/>
      <c r="F519" s="2081"/>
      <c r="G519" s="2081"/>
      <c r="H519" s="2081"/>
      <c r="I519" s="2081"/>
      <c r="J519" s="2081"/>
      <c r="K519" s="2081"/>
      <c r="L519" s="2081"/>
    </row>
    <row r="520" spans="2:12">
      <c r="B520" s="1661"/>
      <c r="C520" s="2081"/>
      <c r="D520" s="2081"/>
      <c r="E520" s="2081"/>
      <c r="F520" s="2081"/>
      <c r="G520" s="2081"/>
      <c r="H520" s="2081"/>
      <c r="I520" s="2081"/>
      <c r="J520" s="2081"/>
      <c r="K520" s="2081"/>
      <c r="L520" s="2081"/>
    </row>
    <row r="521" spans="2:12">
      <c r="B521" s="1661"/>
      <c r="C521" s="2081"/>
      <c r="D521" s="2081"/>
      <c r="E521" s="2081"/>
      <c r="F521" s="2081"/>
      <c r="G521" s="2081"/>
      <c r="H521" s="2081"/>
      <c r="I521" s="2081"/>
      <c r="J521" s="2081"/>
      <c r="K521" s="2081"/>
      <c r="L521" s="2081"/>
    </row>
    <row r="522" spans="2:12">
      <c r="B522" s="1661"/>
      <c r="C522" s="2081"/>
      <c r="D522" s="2081"/>
      <c r="E522" s="2081"/>
      <c r="F522" s="2081"/>
      <c r="G522" s="2081"/>
      <c r="H522" s="2081"/>
      <c r="I522" s="2081"/>
      <c r="J522" s="2081"/>
      <c r="K522" s="2081"/>
      <c r="L522" s="2081"/>
    </row>
    <row r="523" spans="2:12">
      <c r="B523" s="1661"/>
      <c r="C523" s="2081"/>
      <c r="D523" s="2081"/>
      <c r="E523" s="2081"/>
      <c r="F523" s="2081"/>
      <c r="G523" s="2081"/>
      <c r="H523" s="2081"/>
      <c r="I523" s="2081"/>
      <c r="J523" s="2081"/>
      <c r="K523" s="2081"/>
      <c r="L523" s="2081"/>
    </row>
    <row r="524" spans="2:12">
      <c r="B524" s="1661"/>
      <c r="C524" s="2081"/>
      <c r="D524" s="2081"/>
      <c r="E524" s="2081"/>
      <c r="F524" s="2081"/>
      <c r="G524" s="2081"/>
      <c r="H524" s="2081"/>
      <c r="I524" s="2081"/>
      <c r="J524" s="2081"/>
      <c r="K524" s="2081"/>
      <c r="L524" s="2081"/>
    </row>
    <row r="525" spans="2:12">
      <c r="B525" s="1661"/>
      <c r="C525" s="2081"/>
      <c r="D525" s="2081"/>
      <c r="E525" s="2081"/>
      <c r="F525" s="2081"/>
      <c r="G525" s="2081"/>
      <c r="H525" s="2081"/>
      <c r="I525" s="2081"/>
      <c r="J525" s="2081"/>
      <c r="K525" s="2081"/>
      <c r="L525" s="2081"/>
    </row>
    <row r="526" spans="2:12">
      <c r="B526" s="1661"/>
      <c r="C526" s="2081"/>
      <c r="D526" s="2081"/>
      <c r="E526" s="2081"/>
      <c r="F526" s="2081"/>
      <c r="G526" s="2081"/>
      <c r="H526" s="2081"/>
      <c r="I526" s="2081"/>
      <c r="J526" s="2081"/>
      <c r="K526" s="2081"/>
      <c r="L526" s="2081"/>
    </row>
    <row r="527" spans="2:12">
      <c r="B527" s="1661"/>
      <c r="C527" s="2081"/>
      <c r="D527" s="2081"/>
      <c r="E527" s="2081"/>
      <c r="F527" s="2081"/>
      <c r="G527" s="2081"/>
      <c r="H527" s="2081"/>
      <c r="I527" s="2081"/>
      <c r="J527" s="2081"/>
      <c r="K527" s="2081"/>
      <c r="L527" s="2081"/>
    </row>
    <row r="528" spans="2:12">
      <c r="B528" s="1661"/>
      <c r="C528" s="2081"/>
      <c r="D528" s="2081"/>
      <c r="E528" s="2081"/>
      <c r="F528" s="2081"/>
      <c r="G528" s="2081"/>
      <c r="H528" s="2081"/>
      <c r="I528" s="2081"/>
      <c r="J528" s="2081"/>
      <c r="K528" s="2081"/>
      <c r="L528" s="2081"/>
    </row>
    <row r="529" spans="2:12">
      <c r="B529" s="1661"/>
      <c r="C529" s="2081"/>
      <c r="D529" s="2081"/>
      <c r="E529" s="2081"/>
      <c r="F529" s="2081"/>
      <c r="G529" s="2081"/>
      <c r="H529" s="2081"/>
      <c r="I529" s="2081"/>
      <c r="J529" s="2081"/>
      <c r="K529" s="2081"/>
      <c r="L529" s="2081"/>
    </row>
    <row r="530" spans="2:12">
      <c r="B530" s="1661"/>
      <c r="C530" s="2081"/>
      <c r="D530" s="2081"/>
      <c r="E530" s="2081"/>
      <c r="F530" s="2081"/>
      <c r="G530" s="2081"/>
      <c r="H530" s="2081"/>
      <c r="I530" s="2081"/>
      <c r="J530" s="2081"/>
      <c r="K530" s="2081"/>
      <c r="L530" s="2081"/>
    </row>
    <row r="531" spans="2:12">
      <c r="B531" s="1661"/>
      <c r="C531" s="2081"/>
      <c r="D531" s="2081"/>
      <c r="E531" s="2081"/>
      <c r="F531" s="2081"/>
      <c r="G531" s="2081"/>
      <c r="H531" s="2081"/>
      <c r="I531" s="2081"/>
      <c r="J531" s="2081"/>
      <c r="K531" s="2081"/>
      <c r="L531" s="2081"/>
    </row>
    <row r="532" spans="2:12">
      <c r="B532" s="1661"/>
      <c r="C532" s="2081"/>
      <c r="D532" s="2081"/>
      <c r="E532" s="2081"/>
      <c r="F532" s="2081"/>
      <c r="G532" s="2081"/>
      <c r="H532" s="2081"/>
      <c r="I532" s="2081"/>
      <c r="J532" s="2081"/>
      <c r="K532" s="2081"/>
      <c r="L532" s="2081"/>
    </row>
    <row r="533" spans="2:12">
      <c r="B533" s="1661"/>
      <c r="C533" s="2081"/>
      <c r="D533" s="2081"/>
      <c r="E533" s="2081"/>
      <c r="F533" s="2081"/>
      <c r="G533" s="2081"/>
      <c r="H533" s="2081"/>
      <c r="I533" s="2081"/>
      <c r="J533" s="2081"/>
      <c r="K533" s="2081"/>
      <c r="L533" s="2081"/>
    </row>
    <row r="534" spans="2:12">
      <c r="B534" s="1661"/>
      <c r="C534" s="2081"/>
      <c r="D534" s="2081"/>
      <c r="E534" s="2081"/>
      <c r="F534" s="2081"/>
      <c r="G534" s="2081"/>
      <c r="H534" s="2081"/>
      <c r="I534" s="2081"/>
      <c r="J534" s="2081"/>
      <c r="K534" s="2081"/>
      <c r="L534" s="2081"/>
    </row>
    <row r="535" spans="2:12">
      <c r="B535" s="1661"/>
      <c r="C535" s="2081"/>
      <c r="D535" s="2081"/>
      <c r="E535" s="2081"/>
      <c r="F535" s="2081"/>
      <c r="G535" s="2081"/>
      <c r="H535" s="2081"/>
      <c r="I535" s="2081"/>
      <c r="J535" s="2081"/>
      <c r="K535" s="2081"/>
      <c r="L535" s="2081"/>
    </row>
    <row r="536" spans="2:12">
      <c r="B536" s="1661"/>
      <c r="C536" s="2081"/>
      <c r="D536" s="2081"/>
      <c r="E536" s="2081"/>
      <c r="F536" s="2081"/>
      <c r="G536" s="2081"/>
      <c r="H536" s="2081"/>
      <c r="I536" s="2081"/>
      <c r="J536" s="2081"/>
      <c r="K536" s="2081"/>
      <c r="L536" s="2081"/>
    </row>
    <row r="537" spans="2:12">
      <c r="B537" s="1661"/>
      <c r="C537" s="2081"/>
      <c r="D537" s="2081"/>
      <c r="E537" s="2081"/>
      <c r="F537" s="2081"/>
      <c r="G537" s="2081"/>
      <c r="H537" s="2081"/>
      <c r="I537" s="2081"/>
      <c r="J537" s="2081"/>
      <c r="K537" s="2081"/>
      <c r="L537" s="2081"/>
    </row>
    <row r="538" spans="2:12">
      <c r="B538" s="1661"/>
      <c r="C538" s="2081"/>
      <c r="D538" s="2081"/>
      <c r="E538" s="2081"/>
      <c r="F538" s="2081"/>
      <c r="G538" s="2081"/>
      <c r="H538" s="2081"/>
      <c r="I538" s="2081"/>
      <c r="J538" s="2081"/>
      <c r="K538" s="2081"/>
      <c r="L538" s="2081"/>
    </row>
    <row r="539" spans="2:12">
      <c r="B539" s="1661"/>
      <c r="C539" s="2081"/>
      <c r="D539" s="2081"/>
      <c r="E539" s="2081"/>
      <c r="F539" s="2081"/>
      <c r="G539" s="2081"/>
      <c r="H539" s="2081"/>
      <c r="I539" s="2081"/>
      <c r="J539" s="2081"/>
      <c r="K539" s="2081"/>
      <c r="L539" s="2081"/>
    </row>
    <row r="540" spans="2:12">
      <c r="B540" s="1661"/>
      <c r="C540" s="2081"/>
      <c r="D540" s="2081"/>
      <c r="E540" s="2081"/>
      <c r="F540" s="2081"/>
      <c r="G540" s="2081"/>
      <c r="H540" s="2081"/>
      <c r="I540" s="2081"/>
      <c r="J540" s="2081"/>
      <c r="K540" s="2081"/>
      <c r="L540" s="2081"/>
    </row>
    <row r="541" spans="2:12">
      <c r="B541" s="1661"/>
      <c r="C541" s="2081"/>
      <c r="D541" s="2081"/>
      <c r="E541" s="2081"/>
      <c r="F541" s="2081"/>
      <c r="G541" s="2081"/>
      <c r="H541" s="2081"/>
      <c r="I541" s="2081"/>
      <c r="J541" s="2081"/>
      <c r="K541" s="2081"/>
      <c r="L541" s="2081"/>
    </row>
    <row r="542" spans="2:12">
      <c r="B542" s="1661"/>
      <c r="C542" s="2081"/>
      <c r="D542" s="2081"/>
      <c r="E542" s="2081"/>
      <c r="F542" s="2081"/>
      <c r="G542" s="2081"/>
      <c r="H542" s="2081"/>
      <c r="I542" s="2081"/>
      <c r="J542" s="2081"/>
      <c r="K542" s="2081"/>
      <c r="L542" s="2081"/>
    </row>
    <row r="543" spans="2:12">
      <c r="B543" s="1661"/>
      <c r="C543" s="2081"/>
      <c r="D543" s="2081"/>
      <c r="E543" s="2081"/>
      <c r="F543" s="2081"/>
      <c r="G543" s="2081"/>
      <c r="H543" s="2081"/>
      <c r="I543" s="2081"/>
      <c r="J543" s="2081"/>
      <c r="K543" s="2081"/>
      <c r="L543" s="2081"/>
    </row>
    <row r="544" spans="2:12">
      <c r="B544" s="1661"/>
      <c r="C544" s="2081"/>
      <c r="D544" s="2081"/>
      <c r="E544" s="2081"/>
      <c r="F544" s="2081"/>
      <c r="G544" s="2081"/>
      <c r="H544" s="2081"/>
      <c r="I544" s="2081"/>
      <c r="J544" s="2081"/>
      <c r="K544" s="2081"/>
      <c r="L544" s="2081"/>
    </row>
    <row r="545" spans="2:12">
      <c r="B545" s="1661"/>
      <c r="C545" s="2081"/>
      <c r="D545" s="2081"/>
      <c r="E545" s="2081"/>
      <c r="F545" s="2081"/>
      <c r="G545" s="2081"/>
      <c r="H545" s="2081"/>
      <c r="I545" s="2081"/>
      <c r="J545" s="2081"/>
      <c r="K545" s="2081"/>
      <c r="L545" s="2081"/>
    </row>
    <row r="546" spans="2:12">
      <c r="B546" s="1661"/>
      <c r="C546" s="2081"/>
      <c r="D546" s="2081"/>
      <c r="E546" s="2081"/>
      <c r="F546" s="2081"/>
      <c r="G546" s="2081"/>
      <c r="H546" s="2081"/>
      <c r="I546" s="2081"/>
      <c r="J546" s="2081"/>
      <c r="K546" s="2081"/>
      <c r="L546" s="2081"/>
    </row>
    <row r="547" spans="2:12">
      <c r="B547" s="1661"/>
      <c r="C547" s="2081"/>
      <c r="D547" s="2081"/>
      <c r="E547" s="2081"/>
      <c r="F547" s="2081"/>
      <c r="G547" s="2081"/>
      <c r="H547" s="2081"/>
      <c r="I547" s="2081"/>
      <c r="J547" s="2081"/>
      <c r="K547" s="2081"/>
      <c r="L547" s="2081"/>
    </row>
    <row r="548" spans="2:12">
      <c r="B548" s="1661"/>
      <c r="C548" s="2081"/>
      <c r="D548" s="2081"/>
      <c r="E548" s="2081"/>
      <c r="F548" s="2081"/>
      <c r="G548" s="2081"/>
      <c r="H548" s="2081"/>
      <c r="I548" s="2081"/>
      <c r="J548" s="2081"/>
      <c r="K548" s="2081"/>
      <c r="L548" s="2081"/>
    </row>
    <row r="549" spans="2:12">
      <c r="B549" s="1661"/>
      <c r="C549" s="2081"/>
      <c r="D549" s="2081"/>
      <c r="E549" s="2081"/>
      <c r="F549" s="2081"/>
      <c r="G549" s="2081"/>
      <c r="H549" s="2081"/>
      <c r="I549" s="2081"/>
      <c r="J549" s="2081"/>
      <c r="K549" s="2081"/>
      <c r="L549" s="2081"/>
    </row>
    <row r="550" spans="2:12">
      <c r="B550" s="1661"/>
      <c r="C550" s="2081"/>
      <c r="D550" s="2081"/>
      <c r="E550" s="2081"/>
      <c r="F550" s="2081"/>
      <c r="G550" s="2081"/>
      <c r="H550" s="2081"/>
      <c r="I550" s="2081"/>
      <c r="J550" s="2081"/>
      <c r="K550" s="2081"/>
      <c r="L550" s="2081"/>
    </row>
    <row r="551" spans="2:12">
      <c r="B551" s="1661"/>
      <c r="C551" s="2081"/>
      <c r="D551" s="2081"/>
      <c r="E551" s="2081"/>
      <c r="F551" s="2081"/>
      <c r="G551" s="2081"/>
      <c r="H551" s="2081"/>
      <c r="I551" s="2081"/>
      <c r="J551" s="2081"/>
      <c r="K551" s="2081"/>
      <c r="L551" s="2081"/>
    </row>
    <row r="552" spans="2:12">
      <c r="B552" s="1661"/>
      <c r="C552" s="2081"/>
      <c r="D552" s="2081"/>
      <c r="E552" s="2081"/>
      <c r="F552" s="2081"/>
      <c r="G552" s="2081"/>
      <c r="H552" s="2081"/>
      <c r="I552" s="2081"/>
      <c r="J552" s="2081"/>
      <c r="K552" s="2081"/>
      <c r="L552" s="2081"/>
    </row>
    <row r="553" spans="2:12">
      <c r="B553" s="1661"/>
      <c r="C553" s="2081"/>
      <c r="D553" s="2081"/>
      <c r="E553" s="2081"/>
      <c r="F553" s="2081"/>
      <c r="G553" s="2081"/>
      <c r="H553" s="2081"/>
      <c r="I553" s="2081"/>
      <c r="J553" s="2081"/>
      <c r="K553" s="2081"/>
      <c r="L553" s="2081"/>
    </row>
    <row r="554" spans="2:12">
      <c r="B554" s="1661"/>
      <c r="C554" s="2081"/>
      <c r="D554" s="2081"/>
      <c r="E554" s="2081"/>
      <c r="F554" s="2081"/>
      <c r="G554" s="2081"/>
      <c r="H554" s="2081"/>
      <c r="I554" s="2081"/>
      <c r="J554" s="2081"/>
      <c r="K554" s="2081"/>
      <c r="L554" s="2081"/>
    </row>
    <row r="555" spans="2:12">
      <c r="B555" s="1661"/>
      <c r="C555" s="2081"/>
      <c r="D555" s="2081"/>
      <c r="E555" s="2081"/>
      <c r="F555" s="2081"/>
      <c r="G555" s="2081"/>
      <c r="H555" s="2081"/>
      <c r="I555" s="2081"/>
      <c r="J555" s="2081"/>
      <c r="K555" s="2081"/>
      <c r="L555" s="2081"/>
    </row>
    <row r="556" spans="2:12">
      <c r="B556" s="1661"/>
      <c r="C556" s="2081"/>
      <c r="D556" s="2081"/>
      <c r="E556" s="2081"/>
      <c r="F556" s="2081"/>
      <c r="G556" s="2081"/>
      <c r="H556" s="2081"/>
      <c r="I556" s="2081"/>
      <c r="J556" s="2081"/>
      <c r="K556" s="2081"/>
      <c r="L556" s="2081"/>
    </row>
    <row r="557" spans="2:12">
      <c r="B557" s="1661"/>
      <c r="C557" s="2081"/>
      <c r="D557" s="2081"/>
      <c r="E557" s="2081"/>
      <c r="F557" s="2081"/>
      <c r="G557" s="2081"/>
      <c r="H557" s="2081"/>
      <c r="I557" s="2081"/>
      <c r="J557" s="2081"/>
      <c r="K557" s="2081"/>
      <c r="L557" s="2081"/>
    </row>
    <row r="558" spans="2:12">
      <c r="B558" s="1661"/>
      <c r="C558" s="2081"/>
      <c r="D558" s="2081"/>
      <c r="E558" s="2081"/>
      <c r="F558" s="2081"/>
      <c r="G558" s="2081"/>
      <c r="H558" s="2081"/>
      <c r="I558" s="2081"/>
      <c r="J558" s="2081"/>
      <c r="K558" s="2081"/>
      <c r="L558" s="2081"/>
    </row>
    <row r="559" spans="2:12">
      <c r="B559" s="1661"/>
      <c r="C559" s="2081"/>
      <c r="D559" s="2081"/>
      <c r="E559" s="2081"/>
      <c r="F559" s="2081"/>
      <c r="G559" s="2081"/>
      <c r="H559" s="2081"/>
      <c r="I559" s="2081"/>
      <c r="J559" s="2081"/>
      <c r="K559" s="2081"/>
      <c r="L559" s="2081"/>
    </row>
    <row r="560" spans="2:12">
      <c r="B560" s="1661"/>
      <c r="C560" s="2081"/>
      <c r="D560" s="2081"/>
      <c r="E560" s="2081"/>
      <c r="F560" s="2081"/>
      <c r="G560" s="2081"/>
      <c r="H560" s="2081"/>
      <c r="I560" s="2081"/>
      <c r="J560" s="2081"/>
      <c r="K560" s="2081"/>
      <c r="L560" s="2081"/>
    </row>
    <row r="561" spans="2:12">
      <c r="B561" s="1661"/>
      <c r="C561" s="2081"/>
      <c r="D561" s="2081"/>
      <c r="E561" s="2081"/>
      <c r="F561" s="2081"/>
      <c r="G561" s="2081"/>
      <c r="H561" s="2081"/>
      <c r="I561" s="2081"/>
      <c r="J561" s="2081"/>
      <c r="K561" s="2081"/>
      <c r="L561" s="2081"/>
    </row>
    <row r="562" spans="2:12">
      <c r="B562" s="1661"/>
      <c r="C562" s="2081"/>
      <c r="D562" s="2081"/>
      <c r="E562" s="2081"/>
      <c r="F562" s="2081"/>
      <c r="G562" s="2081"/>
      <c r="H562" s="2081"/>
      <c r="I562" s="2081"/>
      <c r="J562" s="2081"/>
      <c r="K562" s="2081"/>
      <c r="L562" s="2081"/>
    </row>
    <row r="563" spans="2:12">
      <c r="B563" s="1661"/>
      <c r="C563" s="2081"/>
      <c r="D563" s="2081"/>
      <c r="E563" s="2081"/>
      <c r="F563" s="2081"/>
      <c r="G563" s="2081"/>
      <c r="H563" s="2081"/>
      <c r="I563" s="2081"/>
      <c r="J563" s="2081"/>
      <c r="K563" s="2081"/>
      <c r="L563" s="2081"/>
    </row>
    <row r="564" spans="2:12">
      <c r="B564" s="1661"/>
      <c r="C564" s="2081"/>
      <c r="D564" s="2081"/>
      <c r="E564" s="2081"/>
      <c r="F564" s="2081"/>
      <c r="G564" s="2081"/>
      <c r="H564" s="2081"/>
      <c r="I564" s="2081"/>
      <c r="J564" s="2081"/>
      <c r="K564" s="2081"/>
      <c r="L564" s="2081"/>
    </row>
    <row r="565" spans="2:12">
      <c r="B565" s="1661"/>
      <c r="C565" s="2081"/>
      <c r="D565" s="2081"/>
      <c r="E565" s="2081"/>
      <c r="F565" s="2081"/>
      <c r="G565" s="2081"/>
      <c r="H565" s="2081"/>
      <c r="I565" s="2081"/>
      <c r="J565" s="2081"/>
      <c r="K565" s="2081"/>
      <c r="L565" s="2081"/>
    </row>
    <row r="566" spans="2:12">
      <c r="B566" s="1661"/>
      <c r="C566" s="2081"/>
      <c r="D566" s="2081"/>
      <c r="E566" s="2081"/>
      <c r="F566" s="2081"/>
      <c r="G566" s="2081"/>
      <c r="H566" s="2081"/>
      <c r="I566" s="2081"/>
      <c r="J566" s="2081"/>
      <c r="K566" s="2081"/>
      <c r="L566" s="2081"/>
    </row>
    <row r="567" spans="2:12">
      <c r="B567" s="1661"/>
      <c r="C567" s="2081"/>
      <c r="D567" s="2081"/>
      <c r="E567" s="2081"/>
      <c r="F567" s="2081"/>
      <c r="G567" s="2081"/>
      <c r="H567" s="2081"/>
      <c r="I567" s="2081"/>
      <c r="J567" s="2081"/>
      <c r="K567" s="2081"/>
      <c r="L567" s="2081"/>
    </row>
    <row r="568" spans="2:12">
      <c r="B568" s="1661"/>
      <c r="C568" s="2081"/>
      <c r="D568" s="2081"/>
      <c r="E568" s="2081"/>
      <c r="F568" s="2081"/>
      <c r="G568" s="2081"/>
      <c r="H568" s="2081"/>
      <c r="I568" s="2081"/>
      <c r="J568" s="2081"/>
      <c r="K568" s="2081"/>
      <c r="L568" s="2081"/>
    </row>
    <row r="569" spans="2:12">
      <c r="B569" s="1661"/>
      <c r="C569" s="2081"/>
      <c r="D569" s="2081"/>
      <c r="E569" s="2081"/>
      <c r="F569" s="2081"/>
      <c r="G569" s="2081"/>
      <c r="H569" s="2081"/>
      <c r="I569" s="2081"/>
      <c r="J569" s="2081"/>
      <c r="K569" s="2081"/>
      <c r="L569" s="2081"/>
    </row>
    <row r="570" spans="2:12">
      <c r="B570" s="1661"/>
      <c r="C570" s="2081"/>
      <c r="D570" s="2081"/>
      <c r="E570" s="2081"/>
      <c r="F570" s="2081"/>
      <c r="G570" s="2081"/>
      <c r="H570" s="2081"/>
      <c r="I570" s="2081"/>
      <c r="J570" s="2081"/>
      <c r="K570" s="2081"/>
      <c r="L570" s="2081"/>
    </row>
    <row r="571" spans="2:12">
      <c r="B571" s="1661"/>
      <c r="C571" s="2081"/>
      <c r="D571" s="2081"/>
      <c r="E571" s="2081"/>
      <c r="F571" s="2081"/>
      <c r="G571" s="2081"/>
      <c r="H571" s="2081"/>
      <c r="I571" s="2081"/>
      <c r="J571" s="2081"/>
      <c r="K571" s="2081"/>
      <c r="L571" s="2081"/>
    </row>
    <row r="572" spans="2:12">
      <c r="B572" s="1661"/>
      <c r="C572" s="2081"/>
      <c r="D572" s="2081"/>
      <c r="E572" s="2081"/>
      <c r="F572" s="2081"/>
      <c r="G572" s="2081"/>
      <c r="H572" s="2081"/>
      <c r="I572" s="2081"/>
      <c r="J572" s="2081"/>
      <c r="K572" s="2081"/>
      <c r="L572" s="2081"/>
    </row>
    <row r="573" spans="2:12">
      <c r="B573" s="1661"/>
      <c r="C573" s="2081"/>
      <c r="D573" s="2081"/>
      <c r="E573" s="2081"/>
      <c r="F573" s="2081"/>
      <c r="G573" s="2081"/>
      <c r="H573" s="2081"/>
      <c r="I573" s="2081"/>
      <c r="J573" s="2081"/>
      <c r="K573" s="2081"/>
      <c r="L573" s="2081"/>
    </row>
    <row r="574" spans="2:12">
      <c r="B574" s="1661"/>
      <c r="C574" s="2081"/>
      <c r="D574" s="2081"/>
      <c r="E574" s="2081"/>
      <c r="F574" s="2081"/>
      <c r="G574" s="2081"/>
      <c r="H574" s="2081"/>
      <c r="I574" s="2081"/>
      <c r="J574" s="2081"/>
      <c r="K574" s="2081"/>
      <c r="L574" s="2081"/>
    </row>
    <row r="575" spans="2:12">
      <c r="B575" s="1661"/>
      <c r="C575" s="2081"/>
      <c r="D575" s="2081"/>
      <c r="E575" s="2081"/>
      <c r="F575" s="2081"/>
      <c r="G575" s="2081"/>
      <c r="H575" s="2081"/>
      <c r="I575" s="2081"/>
      <c r="J575" s="2081"/>
      <c r="K575" s="2081"/>
      <c r="L575" s="2081"/>
    </row>
    <row r="576" spans="2:12">
      <c r="B576" s="1661"/>
      <c r="C576" s="2081"/>
      <c r="D576" s="2081"/>
      <c r="E576" s="2081"/>
      <c r="F576" s="2081"/>
      <c r="G576" s="2081"/>
      <c r="H576" s="2081"/>
      <c r="I576" s="2081"/>
      <c r="J576" s="2081"/>
      <c r="K576" s="2081"/>
      <c r="L576" s="2081"/>
    </row>
    <row r="577" spans="2:12">
      <c r="B577" s="1661"/>
      <c r="C577" s="2081"/>
      <c r="D577" s="2081"/>
      <c r="E577" s="2081"/>
      <c r="F577" s="2081"/>
      <c r="G577" s="2081"/>
      <c r="H577" s="2081"/>
      <c r="I577" s="2081"/>
      <c r="J577" s="2081"/>
      <c r="K577" s="2081"/>
      <c r="L577" s="2081"/>
    </row>
    <row r="578" spans="2:12">
      <c r="B578" s="1661"/>
      <c r="C578" s="2081"/>
      <c r="D578" s="2081"/>
      <c r="E578" s="2081"/>
      <c r="F578" s="2081"/>
      <c r="G578" s="2081"/>
      <c r="H578" s="2081"/>
      <c r="I578" s="2081"/>
      <c r="J578" s="2081"/>
      <c r="K578" s="2081"/>
      <c r="L578" s="2081"/>
    </row>
    <row r="579" spans="2:12">
      <c r="B579" s="1661"/>
      <c r="C579" s="2081"/>
      <c r="D579" s="2081"/>
      <c r="E579" s="2081"/>
      <c r="F579" s="2081"/>
      <c r="G579" s="2081"/>
      <c r="H579" s="2081"/>
      <c r="I579" s="2081"/>
      <c r="J579" s="2081"/>
      <c r="K579" s="2081"/>
      <c r="L579" s="2081"/>
    </row>
    <row r="580" spans="2:12">
      <c r="B580" s="1661"/>
      <c r="C580" s="2081"/>
      <c r="D580" s="2081"/>
      <c r="E580" s="2081"/>
      <c r="F580" s="2081"/>
      <c r="G580" s="2081"/>
      <c r="H580" s="2081"/>
      <c r="I580" s="2081"/>
      <c r="J580" s="2081"/>
      <c r="K580" s="2081"/>
      <c r="L580" s="2081"/>
    </row>
    <row r="581" spans="2:12">
      <c r="B581" s="1661"/>
      <c r="C581" s="2081"/>
      <c r="D581" s="2081"/>
      <c r="E581" s="2081"/>
      <c r="F581" s="2081"/>
      <c r="G581" s="2081"/>
      <c r="H581" s="2081"/>
      <c r="I581" s="2081"/>
      <c r="J581" s="2081"/>
      <c r="K581" s="2081"/>
      <c r="L581" s="2081"/>
    </row>
    <row r="582" spans="2:12">
      <c r="B582" s="1661"/>
      <c r="C582" s="2081"/>
      <c r="D582" s="2081"/>
      <c r="E582" s="2081"/>
      <c r="F582" s="2081"/>
      <c r="G582" s="2081"/>
      <c r="H582" s="2081"/>
      <c r="I582" s="2081"/>
      <c r="J582" s="2081"/>
      <c r="K582" s="2081"/>
      <c r="L582" s="2081"/>
    </row>
    <row r="583" spans="2:12">
      <c r="B583" s="1661"/>
      <c r="C583" s="2081"/>
      <c r="D583" s="2081"/>
      <c r="E583" s="2081"/>
      <c r="F583" s="2081"/>
      <c r="G583" s="2081"/>
      <c r="H583" s="2081"/>
      <c r="I583" s="2081"/>
      <c r="J583" s="2081"/>
      <c r="K583" s="2081"/>
      <c r="L583" s="2081"/>
    </row>
    <row r="584" spans="2:12">
      <c r="B584" s="1661"/>
      <c r="C584" s="2081"/>
      <c r="D584" s="2081"/>
      <c r="E584" s="2081"/>
      <c r="F584" s="2081"/>
      <c r="G584" s="2081"/>
      <c r="H584" s="2081"/>
      <c r="I584" s="2081"/>
      <c r="J584" s="2081"/>
      <c r="K584" s="2081"/>
      <c r="L584" s="2081"/>
    </row>
    <row r="585" spans="2:12">
      <c r="B585" s="1661"/>
      <c r="C585" s="2081"/>
      <c r="D585" s="2081"/>
      <c r="E585" s="2081"/>
      <c r="F585" s="2081"/>
      <c r="G585" s="2081"/>
      <c r="H585" s="2081"/>
      <c r="I585" s="2081"/>
      <c r="J585" s="2081"/>
      <c r="K585" s="2081"/>
      <c r="L585" s="2081"/>
    </row>
    <row r="586" spans="2:12">
      <c r="B586" s="1661"/>
      <c r="C586" s="2081"/>
      <c r="D586" s="2081"/>
      <c r="E586" s="2081"/>
      <c r="F586" s="2081"/>
      <c r="G586" s="2081"/>
      <c r="H586" s="2081"/>
      <c r="I586" s="2081"/>
      <c r="J586" s="2081"/>
      <c r="K586" s="2081"/>
      <c r="L586" s="2081"/>
    </row>
    <row r="587" spans="2:12">
      <c r="B587" s="1661"/>
      <c r="C587" s="2081"/>
      <c r="D587" s="2081"/>
      <c r="E587" s="2081"/>
      <c r="F587" s="2081"/>
      <c r="G587" s="2081"/>
      <c r="H587" s="2081"/>
      <c r="I587" s="2081"/>
      <c r="J587" s="2081"/>
      <c r="K587" s="2081"/>
      <c r="L587" s="2081"/>
    </row>
    <row r="588" spans="2:12">
      <c r="B588" s="1661"/>
      <c r="C588" s="2081"/>
      <c r="D588" s="2081"/>
      <c r="E588" s="2081"/>
      <c r="F588" s="2081"/>
      <c r="G588" s="2081"/>
      <c r="H588" s="2081"/>
      <c r="I588" s="2081"/>
      <c r="J588" s="2081"/>
      <c r="K588" s="2081"/>
      <c r="L588" s="2081"/>
    </row>
    <row r="589" spans="2:12">
      <c r="B589" s="1661"/>
      <c r="C589" s="2081"/>
      <c r="D589" s="2081"/>
      <c r="E589" s="2081"/>
      <c r="F589" s="2081"/>
      <c r="G589" s="2081"/>
      <c r="H589" s="2081"/>
      <c r="I589" s="2081"/>
      <c r="J589" s="2081"/>
      <c r="K589" s="2081"/>
      <c r="L589" s="2081"/>
    </row>
    <row r="590" spans="2:12">
      <c r="B590" s="1661"/>
      <c r="C590" s="2081"/>
      <c r="D590" s="2081"/>
      <c r="E590" s="2081"/>
      <c r="F590" s="2081"/>
      <c r="G590" s="2081"/>
      <c r="H590" s="2081"/>
      <c r="I590" s="2081"/>
      <c r="J590" s="2081"/>
      <c r="K590" s="2081"/>
      <c r="L590" s="2081"/>
    </row>
    <row r="591" spans="2:12">
      <c r="B591" s="1661"/>
      <c r="C591" s="2081"/>
      <c r="D591" s="2081"/>
      <c r="E591" s="2081"/>
      <c r="F591" s="2081"/>
      <c r="G591" s="2081"/>
      <c r="H591" s="2081"/>
      <c r="I591" s="2081"/>
      <c r="J591" s="2081"/>
      <c r="K591" s="2081"/>
      <c r="L591" s="2081"/>
    </row>
    <row r="592" spans="2:12">
      <c r="B592" s="1661"/>
      <c r="C592" s="2081"/>
      <c r="D592" s="2081"/>
      <c r="E592" s="2081"/>
      <c r="F592" s="2081"/>
      <c r="G592" s="2081"/>
      <c r="H592" s="2081"/>
      <c r="I592" s="2081"/>
      <c r="J592" s="2081"/>
      <c r="K592" s="2081"/>
      <c r="L592" s="2081"/>
    </row>
    <row r="593" spans="2:12">
      <c r="B593" s="1661"/>
      <c r="C593" s="2081"/>
      <c r="D593" s="2081"/>
      <c r="E593" s="2081"/>
      <c r="F593" s="2081"/>
      <c r="G593" s="2081"/>
      <c r="H593" s="2081"/>
      <c r="I593" s="2081"/>
      <c r="J593" s="2081"/>
      <c r="K593" s="2081"/>
      <c r="L593" s="2081"/>
    </row>
    <row r="594" spans="2:12">
      <c r="B594" s="1661"/>
      <c r="C594" s="2081"/>
      <c r="D594" s="2081"/>
      <c r="E594" s="2081"/>
      <c r="F594" s="2081"/>
      <c r="G594" s="2081"/>
      <c r="H594" s="2081"/>
      <c r="I594" s="2081"/>
      <c r="J594" s="2081"/>
      <c r="K594" s="2081"/>
      <c r="L594" s="2081"/>
    </row>
    <row r="595" spans="2:12">
      <c r="B595" s="1661"/>
      <c r="C595" s="2081"/>
      <c r="D595" s="2081"/>
      <c r="E595" s="2081"/>
      <c r="F595" s="2081"/>
      <c r="G595" s="2081"/>
      <c r="H595" s="2081"/>
      <c r="I595" s="2081"/>
      <c r="J595" s="2081"/>
      <c r="K595" s="2081"/>
      <c r="L595" s="2081"/>
    </row>
    <row r="596" spans="2:12">
      <c r="B596" s="1661"/>
      <c r="C596" s="2081"/>
      <c r="D596" s="2081"/>
      <c r="E596" s="2081"/>
      <c r="F596" s="2081"/>
      <c r="G596" s="2081"/>
      <c r="H596" s="2081"/>
      <c r="I596" s="2081"/>
      <c r="J596" s="2081"/>
      <c r="K596" s="2081"/>
      <c r="L596" s="2081"/>
    </row>
    <row r="597" spans="2:12">
      <c r="B597" s="1661"/>
      <c r="C597" s="2081"/>
      <c r="D597" s="2081"/>
      <c r="E597" s="2081"/>
      <c r="F597" s="2081"/>
      <c r="G597" s="2081"/>
      <c r="H597" s="2081"/>
      <c r="I597" s="2081"/>
      <c r="J597" s="2081"/>
      <c r="K597" s="2081"/>
      <c r="L597" s="2081"/>
    </row>
    <row r="598" spans="2:12">
      <c r="B598" s="1661"/>
      <c r="C598" s="2081"/>
      <c r="D598" s="2081"/>
      <c r="E598" s="2081"/>
      <c r="F598" s="2081"/>
      <c r="G598" s="2081"/>
      <c r="H598" s="2081"/>
      <c r="I598" s="2081"/>
      <c r="J598" s="2081"/>
      <c r="K598" s="2081"/>
      <c r="L598" s="2081"/>
    </row>
    <row r="599" spans="2:12">
      <c r="B599" s="1661"/>
      <c r="C599" s="2081"/>
      <c r="D599" s="2081"/>
      <c r="E599" s="2081"/>
      <c r="F599" s="2081"/>
      <c r="G599" s="2081"/>
      <c r="H599" s="2081"/>
      <c r="I599" s="2081"/>
      <c r="J599" s="2081"/>
      <c r="K599" s="2081"/>
      <c r="L599" s="2081"/>
    </row>
    <row r="600" spans="2:12">
      <c r="B600" s="1661"/>
      <c r="C600" s="2081"/>
      <c r="D600" s="2081"/>
      <c r="E600" s="2081"/>
      <c r="F600" s="2081"/>
      <c r="G600" s="2081"/>
      <c r="H600" s="2081"/>
      <c r="I600" s="2081"/>
      <c r="J600" s="2081"/>
      <c r="K600" s="2081"/>
      <c r="L600" s="2081"/>
    </row>
    <row r="601" spans="2:12">
      <c r="B601" s="1661"/>
      <c r="C601" s="2081"/>
      <c r="D601" s="2081"/>
      <c r="E601" s="2081"/>
      <c r="F601" s="2081"/>
      <c r="G601" s="2081"/>
      <c r="H601" s="2081"/>
      <c r="I601" s="2081"/>
      <c r="J601" s="2081"/>
      <c r="K601" s="2081"/>
      <c r="L601" s="2081"/>
    </row>
    <row r="602" spans="2:12">
      <c r="B602" s="1661"/>
      <c r="C602" s="2081"/>
      <c r="D602" s="2081"/>
      <c r="E602" s="2081"/>
      <c r="F602" s="2081"/>
      <c r="G602" s="2081"/>
      <c r="H602" s="2081"/>
      <c r="I602" s="2081"/>
      <c r="J602" s="2081"/>
      <c r="K602" s="2081"/>
      <c r="L602" s="2081"/>
    </row>
    <row r="603" spans="2:12">
      <c r="B603" s="1661"/>
      <c r="C603" s="2081"/>
      <c r="D603" s="2081"/>
      <c r="E603" s="2081"/>
      <c r="F603" s="2081"/>
      <c r="G603" s="2081"/>
      <c r="H603" s="2081"/>
      <c r="I603" s="2081"/>
      <c r="J603" s="2081"/>
      <c r="K603" s="2081"/>
      <c r="L603" s="2081"/>
    </row>
    <row r="604" spans="2:12">
      <c r="B604" s="1661"/>
      <c r="C604" s="2081"/>
      <c r="D604" s="2081"/>
      <c r="E604" s="2081"/>
      <c r="F604" s="2081"/>
      <c r="G604" s="2081"/>
      <c r="H604" s="2081"/>
      <c r="I604" s="2081"/>
      <c r="J604" s="2081"/>
      <c r="K604" s="2081"/>
      <c r="L604" s="2081"/>
    </row>
    <row r="605" spans="2:12">
      <c r="B605" s="1661"/>
      <c r="C605" s="2081"/>
      <c r="D605" s="2081"/>
      <c r="E605" s="2081"/>
      <c r="F605" s="2081"/>
      <c r="G605" s="2081"/>
      <c r="H605" s="2081"/>
      <c r="I605" s="2081"/>
      <c r="J605" s="2081"/>
      <c r="K605" s="2081"/>
      <c r="L605" s="2081"/>
    </row>
    <row r="606" spans="2:12">
      <c r="B606" s="1661"/>
      <c r="C606" s="2081"/>
      <c r="D606" s="2081"/>
      <c r="E606" s="2081"/>
      <c r="F606" s="2081"/>
      <c r="G606" s="2081"/>
      <c r="H606" s="2081"/>
      <c r="I606" s="2081"/>
      <c r="J606" s="2081"/>
      <c r="K606" s="2081"/>
      <c r="L606" s="2081"/>
    </row>
    <row r="607" spans="2:12">
      <c r="B607" s="1661"/>
      <c r="C607" s="2081"/>
      <c r="D607" s="2081"/>
      <c r="E607" s="2081"/>
      <c r="F607" s="2081"/>
      <c r="G607" s="2081"/>
      <c r="H607" s="2081"/>
      <c r="I607" s="2081"/>
      <c r="J607" s="2081"/>
      <c r="K607" s="2081"/>
      <c r="L607" s="2081"/>
    </row>
    <row r="608" spans="2:12">
      <c r="B608" s="1661"/>
      <c r="C608" s="2081"/>
      <c r="D608" s="2081"/>
      <c r="E608" s="2081"/>
      <c r="F608" s="2081"/>
      <c r="G608" s="2081"/>
      <c r="H608" s="2081"/>
      <c r="I608" s="2081"/>
      <c r="J608" s="2081"/>
      <c r="K608" s="2081"/>
      <c r="L608" s="2081"/>
    </row>
    <row r="609" spans="2:12">
      <c r="B609" s="1661"/>
      <c r="C609" s="2081"/>
      <c r="D609" s="2081"/>
      <c r="E609" s="2081"/>
      <c r="F609" s="2081"/>
      <c r="G609" s="2081"/>
      <c r="H609" s="2081"/>
      <c r="I609" s="2081"/>
      <c r="J609" s="2081"/>
      <c r="K609" s="2081"/>
      <c r="L609" s="2081"/>
    </row>
    <row r="610" spans="2:12">
      <c r="B610" s="1661"/>
      <c r="C610" s="2081"/>
      <c r="D610" s="2081"/>
      <c r="E610" s="2081"/>
      <c r="F610" s="2081"/>
      <c r="G610" s="2081"/>
      <c r="H610" s="2081"/>
      <c r="I610" s="2081"/>
      <c r="J610" s="2081"/>
      <c r="K610" s="2081"/>
      <c r="L610" s="2081"/>
    </row>
    <row r="611" spans="2:12">
      <c r="B611" s="1661"/>
      <c r="C611" s="2081"/>
      <c r="D611" s="2081"/>
      <c r="E611" s="2081"/>
      <c r="F611" s="2081"/>
      <c r="G611" s="2081"/>
      <c r="H611" s="2081"/>
      <c r="I611" s="2081"/>
      <c r="J611" s="2081"/>
      <c r="K611" s="2081"/>
      <c r="L611" s="2081"/>
    </row>
    <row r="612" spans="2:12">
      <c r="B612" s="1661"/>
      <c r="C612" s="2081"/>
      <c r="D612" s="2081"/>
      <c r="E612" s="2081"/>
      <c r="F612" s="2081"/>
      <c r="G612" s="2081"/>
      <c r="H612" s="2081"/>
      <c r="I612" s="2081"/>
      <c r="J612" s="2081"/>
      <c r="K612" s="2081"/>
      <c r="L612" s="2081"/>
    </row>
    <row r="613" spans="2:12">
      <c r="B613" s="1661"/>
      <c r="C613" s="2081"/>
      <c r="D613" s="2081"/>
      <c r="E613" s="2081"/>
      <c r="F613" s="2081"/>
      <c r="G613" s="2081"/>
      <c r="H613" s="2081"/>
      <c r="I613" s="2081"/>
      <c r="J613" s="2081"/>
      <c r="K613" s="2081"/>
      <c r="L613" s="2081"/>
    </row>
    <row r="614" spans="2:12">
      <c r="B614" s="1661"/>
      <c r="C614" s="2081"/>
      <c r="D614" s="2081"/>
      <c r="E614" s="2081"/>
      <c r="F614" s="2081"/>
      <c r="G614" s="2081"/>
      <c r="H614" s="2081"/>
      <c r="I614" s="2081"/>
      <c r="J614" s="2081"/>
      <c r="K614" s="2081"/>
      <c r="L614" s="2081"/>
    </row>
    <row r="615" spans="2:12">
      <c r="B615" s="1661"/>
      <c r="C615" s="2081"/>
      <c r="D615" s="2081"/>
      <c r="E615" s="2081"/>
      <c r="F615" s="2081"/>
      <c r="G615" s="2081"/>
      <c r="H615" s="2081"/>
      <c r="I615" s="2081"/>
      <c r="J615" s="2081"/>
      <c r="K615" s="2081"/>
      <c r="L615" s="2081"/>
    </row>
    <row r="616" spans="2:12">
      <c r="B616" s="1661"/>
      <c r="C616" s="2081"/>
      <c r="D616" s="2081"/>
      <c r="E616" s="2081"/>
      <c r="F616" s="2081"/>
      <c r="G616" s="2081"/>
      <c r="H616" s="2081"/>
      <c r="I616" s="2081"/>
      <c r="J616" s="2081"/>
      <c r="K616" s="2081"/>
      <c r="L616" s="2081"/>
    </row>
    <row r="617" spans="2:12">
      <c r="B617" s="1661"/>
      <c r="C617" s="2081"/>
      <c r="D617" s="2081"/>
      <c r="E617" s="2081"/>
      <c r="F617" s="2081"/>
      <c r="G617" s="2081"/>
      <c r="H617" s="2081"/>
      <c r="I617" s="2081"/>
      <c r="J617" s="2081"/>
      <c r="K617" s="2081"/>
      <c r="L617" s="2081"/>
    </row>
    <row r="618" spans="2:12">
      <c r="B618" s="1661"/>
      <c r="C618" s="2081"/>
      <c r="D618" s="2081"/>
      <c r="E618" s="2081"/>
      <c r="F618" s="2081"/>
      <c r="G618" s="2081"/>
      <c r="H618" s="2081"/>
      <c r="I618" s="2081"/>
      <c r="J618" s="2081"/>
      <c r="K618" s="2081"/>
      <c r="L618" s="2081"/>
    </row>
    <row r="619" spans="2:12">
      <c r="B619" s="1661"/>
      <c r="C619" s="2081"/>
      <c r="D619" s="2081"/>
      <c r="E619" s="2081"/>
      <c r="F619" s="2081"/>
      <c r="G619" s="2081"/>
      <c r="H619" s="2081"/>
      <c r="I619" s="2081"/>
      <c r="J619" s="2081"/>
      <c r="K619" s="2081"/>
      <c r="L619" s="2081"/>
    </row>
    <row r="620" spans="2:12">
      <c r="B620" s="1661"/>
      <c r="C620" s="2081"/>
      <c r="D620" s="2081"/>
      <c r="E620" s="2081"/>
      <c r="F620" s="2081"/>
      <c r="G620" s="2081"/>
      <c r="H620" s="2081"/>
      <c r="I620" s="2081"/>
      <c r="J620" s="2081"/>
      <c r="K620" s="2081"/>
      <c r="L620" s="2081"/>
    </row>
    <row r="621" spans="2:12">
      <c r="B621" s="1661"/>
      <c r="C621" s="2081"/>
      <c r="D621" s="2081"/>
      <c r="E621" s="2081"/>
      <c r="F621" s="2081"/>
      <c r="G621" s="2081"/>
      <c r="H621" s="2081"/>
      <c r="I621" s="2081"/>
      <c r="J621" s="2081"/>
      <c r="K621" s="2081"/>
      <c r="L621" s="2081"/>
    </row>
    <row r="622" spans="2:12">
      <c r="B622" s="1661"/>
      <c r="C622" s="2081"/>
      <c r="D622" s="2081"/>
      <c r="E622" s="2081"/>
      <c r="F622" s="2081"/>
      <c r="G622" s="2081"/>
      <c r="H622" s="2081"/>
      <c r="I622" s="2081"/>
      <c r="J622" s="2081"/>
      <c r="K622" s="2081"/>
      <c r="L622" s="2081"/>
    </row>
    <row r="623" spans="2:12">
      <c r="B623" s="1661"/>
      <c r="C623" s="2081"/>
      <c r="D623" s="2081"/>
      <c r="E623" s="2081"/>
      <c r="F623" s="2081"/>
      <c r="G623" s="2081"/>
      <c r="H623" s="2081"/>
      <c r="I623" s="2081"/>
      <c r="J623" s="2081"/>
      <c r="K623" s="2081"/>
      <c r="L623" s="2081"/>
    </row>
    <row r="624" spans="2:12">
      <c r="B624" s="1661"/>
      <c r="C624" s="2081"/>
      <c r="D624" s="2081"/>
      <c r="E624" s="2081"/>
      <c r="F624" s="2081"/>
      <c r="G624" s="2081"/>
      <c r="H624" s="2081"/>
      <c r="I624" s="2081"/>
      <c r="J624" s="2081"/>
      <c r="K624" s="2081"/>
      <c r="L624" s="2081"/>
    </row>
    <row r="625" spans="2:12">
      <c r="B625" s="1661"/>
      <c r="C625" s="2081"/>
      <c r="D625" s="2081"/>
      <c r="E625" s="2081"/>
      <c r="F625" s="2081"/>
      <c r="G625" s="2081"/>
      <c r="H625" s="2081"/>
      <c r="I625" s="2081"/>
      <c r="J625" s="2081"/>
      <c r="K625" s="2081"/>
      <c r="L625" s="2081"/>
    </row>
    <row r="626" spans="2:12">
      <c r="B626" s="1661"/>
      <c r="C626" s="2081"/>
      <c r="D626" s="2081"/>
      <c r="E626" s="2081"/>
      <c r="F626" s="2081"/>
      <c r="G626" s="2081"/>
      <c r="H626" s="2081"/>
      <c r="I626" s="2081"/>
      <c r="J626" s="2081"/>
      <c r="K626" s="2081"/>
      <c r="L626" s="2081"/>
    </row>
    <row r="627" spans="2:12">
      <c r="B627" s="1661"/>
      <c r="C627" s="2081"/>
      <c r="D627" s="2081"/>
      <c r="E627" s="2081"/>
      <c r="F627" s="2081"/>
      <c r="G627" s="2081"/>
      <c r="H627" s="2081"/>
      <c r="I627" s="2081"/>
      <c r="J627" s="2081"/>
      <c r="K627" s="2081"/>
      <c r="L627" s="2081"/>
    </row>
    <row r="628" spans="2:12">
      <c r="B628" s="1661"/>
      <c r="C628" s="2081"/>
      <c r="D628" s="2081"/>
      <c r="E628" s="2081"/>
      <c r="F628" s="2081"/>
      <c r="G628" s="2081"/>
      <c r="H628" s="2081"/>
      <c r="I628" s="2081"/>
      <c r="J628" s="2081"/>
      <c r="K628" s="2081"/>
      <c r="L628" s="2081"/>
    </row>
    <row r="629" spans="2:12">
      <c r="B629" s="1661"/>
      <c r="C629" s="2081"/>
      <c r="D629" s="2081"/>
      <c r="E629" s="2081"/>
      <c r="F629" s="2081"/>
      <c r="G629" s="2081"/>
      <c r="H629" s="2081"/>
      <c r="I629" s="2081"/>
      <c r="J629" s="2081"/>
      <c r="K629" s="2081"/>
      <c r="L629" s="2081"/>
    </row>
    <row r="630" spans="2:12">
      <c r="B630" s="1661"/>
      <c r="C630" s="2081"/>
      <c r="D630" s="2081"/>
      <c r="E630" s="2081"/>
      <c r="F630" s="2081"/>
      <c r="G630" s="2081"/>
      <c r="H630" s="2081"/>
      <c r="I630" s="2081"/>
      <c r="J630" s="2081"/>
      <c r="K630" s="2081"/>
      <c r="L630" s="2081"/>
    </row>
    <row r="631" spans="2:12">
      <c r="B631" s="1661"/>
      <c r="C631" s="2081"/>
      <c r="D631" s="2081"/>
      <c r="E631" s="2081"/>
      <c r="F631" s="2081"/>
      <c r="G631" s="2081"/>
      <c r="H631" s="2081"/>
      <c r="I631" s="2081"/>
      <c r="J631" s="2081"/>
      <c r="K631" s="2081"/>
      <c r="L631" s="2081"/>
    </row>
    <row r="632" spans="2:12">
      <c r="B632" s="1661"/>
      <c r="C632" s="2081"/>
      <c r="D632" s="2081"/>
      <c r="E632" s="2081"/>
      <c r="F632" s="2081"/>
      <c r="G632" s="2081"/>
      <c r="H632" s="2081"/>
      <c r="I632" s="2081"/>
      <c r="J632" s="2081"/>
      <c r="K632" s="2081"/>
      <c r="L632" s="2081"/>
    </row>
    <row r="633" spans="2:12">
      <c r="B633" s="1661"/>
      <c r="C633" s="2081"/>
      <c r="D633" s="2081"/>
      <c r="E633" s="2081"/>
      <c r="F633" s="2081"/>
      <c r="G633" s="2081"/>
      <c r="H633" s="2081"/>
      <c r="I633" s="2081"/>
      <c r="J633" s="2081"/>
      <c r="K633" s="2081"/>
      <c r="L633" s="2081"/>
    </row>
    <row r="634" spans="2:12">
      <c r="B634" s="1661"/>
      <c r="C634" s="2081"/>
      <c r="D634" s="2081"/>
      <c r="E634" s="2081"/>
      <c r="F634" s="2081"/>
      <c r="G634" s="2081"/>
      <c r="H634" s="2081"/>
      <c r="I634" s="2081"/>
      <c r="J634" s="2081"/>
      <c r="K634" s="2081"/>
      <c r="L634" s="2081"/>
    </row>
    <row r="635" spans="2:12">
      <c r="B635" s="1661"/>
      <c r="C635" s="2081"/>
      <c r="D635" s="2081"/>
      <c r="E635" s="2081"/>
      <c r="F635" s="2081"/>
      <c r="G635" s="2081"/>
      <c r="H635" s="2081"/>
      <c r="I635" s="2081"/>
      <c r="J635" s="2081"/>
      <c r="K635" s="2081"/>
      <c r="L635" s="2081"/>
    </row>
    <row r="636" spans="2:12">
      <c r="B636" s="1661"/>
      <c r="C636" s="2081"/>
      <c r="D636" s="2081"/>
      <c r="E636" s="2081"/>
      <c r="F636" s="2081"/>
      <c r="G636" s="2081"/>
      <c r="H636" s="2081"/>
      <c r="I636" s="2081"/>
      <c r="J636" s="2081"/>
      <c r="K636" s="2081"/>
      <c r="L636" s="2081"/>
    </row>
    <row r="637" spans="2:12">
      <c r="B637" s="1661"/>
      <c r="C637" s="2081"/>
      <c r="D637" s="2081"/>
      <c r="E637" s="2081"/>
      <c r="F637" s="2081"/>
      <c r="G637" s="2081"/>
      <c r="H637" s="2081"/>
      <c r="I637" s="2081"/>
      <c r="J637" s="2081"/>
      <c r="K637" s="2081"/>
      <c r="L637" s="2081"/>
    </row>
    <row r="638" spans="2:12">
      <c r="B638" s="1661"/>
      <c r="C638" s="2081"/>
      <c r="D638" s="2081"/>
      <c r="E638" s="2081"/>
      <c r="F638" s="2081"/>
      <c r="G638" s="2081"/>
      <c r="H638" s="2081"/>
      <c r="I638" s="2081"/>
      <c r="J638" s="2081"/>
      <c r="K638" s="2081"/>
      <c r="L638" s="2081"/>
    </row>
    <row r="639" spans="2:12">
      <c r="B639" s="1661"/>
      <c r="C639" s="2081"/>
      <c r="D639" s="2081"/>
      <c r="E639" s="2081"/>
      <c r="F639" s="2081"/>
      <c r="G639" s="2081"/>
      <c r="H639" s="2081"/>
      <c r="I639" s="2081"/>
      <c r="J639" s="2081"/>
      <c r="K639" s="2081"/>
      <c r="L639" s="2081"/>
    </row>
    <row r="640" spans="2:12">
      <c r="B640" s="1661"/>
      <c r="C640" s="2081"/>
      <c r="D640" s="2081"/>
      <c r="E640" s="2081"/>
      <c r="F640" s="2081"/>
      <c r="G640" s="2081"/>
      <c r="H640" s="2081"/>
      <c r="I640" s="2081"/>
      <c r="J640" s="2081"/>
      <c r="K640" s="2081"/>
      <c r="L640" s="2081"/>
    </row>
    <row r="641" spans="2:12">
      <c r="B641" s="1661"/>
      <c r="C641" s="2081"/>
      <c r="D641" s="2081"/>
      <c r="E641" s="2081"/>
      <c r="F641" s="2081"/>
      <c r="G641" s="2081"/>
      <c r="H641" s="2081"/>
      <c r="I641" s="2081"/>
      <c r="J641" s="2081"/>
      <c r="K641" s="2081"/>
      <c r="L641" s="2081"/>
    </row>
    <row r="642" spans="2:12">
      <c r="B642" s="1661"/>
      <c r="C642" s="2081"/>
      <c r="D642" s="2081"/>
      <c r="E642" s="2081"/>
      <c r="F642" s="2081"/>
      <c r="G642" s="2081"/>
      <c r="H642" s="2081"/>
      <c r="I642" s="2081"/>
      <c r="J642" s="2081"/>
      <c r="K642" s="2081"/>
      <c r="L642" s="2081"/>
    </row>
    <row r="643" spans="2:12">
      <c r="B643" s="1661"/>
      <c r="C643" s="2081"/>
      <c r="D643" s="2081"/>
      <c r="E643" s="2081"/>
      <c r="F643" s="2081"/>
      <c r="G643" s="2081"/>
      <c r="H643" s="2081"/>
      <c r="I643" s="2081"/>
      <c r="J643" s="2081"/>
      <c r="K643" s="2081"/>
      <c r="L643" s="2081"/>
    </row>
    <row r="644" spans="2:12">
      <c r="B644" s="1661"/>
      <c r="C644" s="2081"/>
      <c r="D644" s="2081"/>
      <c r="E644" s="2081"/>
      <c r="F644" s="2081"/>
      <c r="G644" s="2081"/>
      <c r="H644" s="2081"/>
      <c r="I644" s="2081"/>
      <c r="J644" s="2081"/>
      <c r="K644" s="2081"/>
      <c r="L644" s="2081"/>
    </row>
    <row r="645" spans="2:12">
      <c r="B645" s="1661"/>
      <c r="C645" s="2081"/>
      <c r="D645" s="2081"/>
      <c r="E645" s="2081"/>
      <c r="F645" s="2081"/>
      <c r="G645" s="2081"/>
      <c r="H645" s="2081"/>
      <c r="I645" s="2081"/>
      <c r="J645" s="2081"/>
      <c r="K645" s="2081"/>
      <c r="L645" s="2081"/>
    </row>
    <row r="646" spans="2:12">
      <c r="B646" s="1661"/>
      <c r="C646" s="2081"/>
      <c r="D646" s="2081"/>
      <c r="E646" s="2081"/>
      <c r="F646" s="2081"/>
      <c r="G646" s="2081"/>
      <c r="H646" s="2081"/>
      <c r="I646" s="2081"/>
      <c r="J646" s="2081"/>
      <c r="K646" s="2081"/>
      <c r="L646" s="2081"/>
    </row>
    <row r="647" spans="2:12">
      <c r="B647" s="1661"/>
      <c r="C647" s="2081"/>
      <c r="D647" s="2081"/>
      <c r="E647" s="2081"/>
      <c r="F647" s="2081"/>
      <c r="G647" s="2081"/>
      <c r="H647" s="2081"/>
      <c r="I647" s="2081"/>
      <c r="J647" s="2081"/>
      <c r="K647" s="2081"/>
      <c r="L647" s="2081"/>
    </row>
    <row r="648" spans="2:12">
      <c r="B648" s="1661"/>
      <c r="C648" s="2081"/>
      <c r="D648" s="2081"/>
      <c r="E648" s="2081"/>
      <c r="F648" s="2081"/>
      <c r="G648" s="2081"/>
      <c r="H648" s="2081"/>
      <c r="I648" s="2081"/>
      <c r="J648" s="2081"/>
      <c r="K648" s="2081"/>
      <c r="L648" s="2081"/>
    </row>
    <row r="649" spans="2:12">
      <c r="B649" s="1661"/>
      <c r="C649" s="2081"/>
      <c r="D649" s="2081"/>
      <c r="E649" s="2081"/>
      <c r="F649" s="2081"/>
      <c r="G649" s="2081"/>
      <c r="H649" s="2081"/>
      <c r="I649" s="2081"/>
      <c r="J649" s="2081"/>
      <c r="K649" s="2081"/>
      <c r="L649" s="2081"/>
    </row>
    <row r="650" spans="2:12">
      <c r="B650" s="1661"/>
      <c r="C650" s="2081"/>
      <c r="D650" s="2081"/>
      <c r="E650" s="2081"/>
      <c r="F650" s="2081"/>
      <c r="G650" s="2081"/>
      <c r="H650" s="2081"/>
      <c r="I650" s="2081"/>
      <c r="J650" s="2081"/>
      <c r="K650" s="2081"/>
      <c r="L650" s="2081"/>
    </row>
    <row r="651" spans="2:12">
      <c r="B651" s="1661"/>
      <c r="C651" s="2081"/>
      <c r="D651" s="2081"/>
      <c r="E651" s="2081"/>
      <c r="F651" s="2081"/>
      <c r="G651" s="2081"/>
      <c r="H651" s="2081"/>
      <c r="I651" s="2081"/>
      <c r="J651" s="2081"/>
      <c r="K651" s="2081"/>
      <c r="L651" s="2081"/>
    </row>
    <row r="652" spans="2:12">
      <c r="B652" s="1661"/>
      <c r="C652" s="2081"/>
      <c r="D652" s="2081"/>
      <c r="E652" s="2081"/>
      <c r="F652" s="2081"/>
      <c r="G652" s="2081"/>
      <c r="H652" s="2081"/>
      <c r="I652" s="2081"/>
      <c r="J652" s="2081"/>
      <c r="K652" s="2081"/>
      <c r="L652" s="2081"/>
    </row>
    <row r="653" spans="2:12">
      <c r="B653" s="1661"/>
      <c r="C653" s="2081"/>
      <c r="D653" s="2081"/>
      <c r="E653" s="2081"/>
      <c r="F653" s="2081"/>
      <c r="G653" s="2081"/>
      <c r="H653" s="2081"/>
      <c r="I653" s="2081"/>
      <c r="J653" s="2081"/>
      <c r="K653" s="2081"/>
      <c r="L653" s="2081"/>
    </row>
    <row r="654" spans="2:12">
      <c r="B654" s="1661"/>
      <c r="C654" s="2081"/>
      <c r="D654" s="2081"/>
      <c r="E654" s="2081"/>
      <c r="F654" s="2081"/>
      <c r="G654" s="2081"/>
      <c r="H654" s="2081"/>
      <c r="I654" s="2081"/>
      <c r="J654" s="2081"/>
      <c r="K654" s="2081"/>
      <c r="L654" s="2081"/>
    </row>
    <row r="655" spans="2:12">
      <c r="B655" s="1661"/>
      <c r="C655" s="2081"/>
      <c r="D655" s="2081"/>
      <c r="E655" s="2081"/>
      <c r="F655" s="2081"/>
      <c r="G655" s="2081"/>
      <c r="H655" s="2081"/>
      <c r="I655" s="2081"/>
      <c r="J655" s="2081"/>
      <c r="K655" s="2081"/>
      <c r="L655" s="2081"/>
    </row>
    <row r="656" spans="2:12">
      <c r="B656" s="1661"/>
      <c r="C656" s="2081"/>
      <c r="D656" s="2081"/>
      <c r="E656" s="2081"/>
      <c r="F656" s="2081"/>
      <c r="G656" s="2081"/>
      <c r="H656" s="2081"/>
      <c r="I656" s="2081"/>
      <c r="J656" s="2081"/>
      <c r="K656" s="2081"/>
      <c r="L656" s="2081"/>
    </row>
    <row r="657" spans="2:12">
      <c r="B657" s="1661"/>
      <c r="C657" s="2081"/>
      <c r="D657" s="2081"/>
      <c r="E657" s="2081"/>
      <c r="F657" s="2081"/>
      <c r="G657" s="2081"/>
      <c r="H657" s="2081"/>
      <c r="I657" s="2081"/>
      <c r="J657" s="2081"/>
      <c r="K657" s="2081"/>
      <c r="L657" s="2081"/>
    </row>
    <row r="658" spans="2:12">
      <c r="B658" s="1661"/>
      <c r="C658" s="2081"/>
      <c r="D658" s="2081"/>
      <c r="E658" s="2081"/>
      <c r="F658" s="2081"/>
      <c r="G658" s="2081"/>
      <c r="H658" s="2081"/>
      <c r="I658" s="2081"/>
      <c r="J658" s="2081"/>
      <c r="K658" s="2081"/>
      <c r="L658" s="2081"/>
    </row>
    <row r="659" spans="2:12">
      <c r="B659" s="1661"/>
      <c r="C659" s="2081"/>
      <c r="D659" s="2081"/>
      <c r="E659" s="2081"/>
      <c r="F659" s="2081"/>
      <c r="G659" s="2081"/>
      <c r="H659" s="2081"/>
      <c r="I659" s="2081"/>
      <c r="J659" s="2081"/>
      <c r="K659" s="2081"/>
      <c r="L659" s="2081"/>
    </row>
    <row r="660" spans="2:12">
      <c r="B660" s="1661"/>
      <c r="C660" s="2081"/>
      <c r="D660" s="2081"/>
      <c r="E660" s="2081"/>
      <c r="F660" s="2081"/>
      <c r="G660" s="2081"/>
      <c r="H660" s="2081"/>
      <c r="I660" s="2081"/>
      <c r="J660" s="2081"/>
      <c r="K660" s="2081"/>
      <c r="L660" s="2081"/>
    </row>
    <row r="661" spans="2:12">
      <c r="B661" s="1661"/>
      <c r="C661" s="2081"/>
      <c r="D661" s="2081"/>
      <c r="E661" s="2081"/>
      <c r="F661" s="2081"/>
      <c r="G661" s="2081"/>
      <c r="H661" s="2081"/>
      <c r="I661" s="2081"/>
      <c r="J661" s="2081"/>
      <c r="K661" s="2081"/>
      <c r="L661" s="2081"/>
    </row>
    <row r="662" spans="2:12">
      <c r="B662" s="1661"/>
      <c r="C662" s="2081"/>
      <c r="D662" s="2081"/>
      <c r="E662" s="2081"/>
      <c r="F662" s="2081"/>
      <c r="G662" s="2081"/>
      <c r="H662" s="2081"/>
      <c r="I662" s="2081"/>
      <c r="J662" s="2081"/>
      <c r="K662" s="2081"/>
      <c r="L662" s="2081"/>
    </row>
    <row r="663" spans="2:12">
      <c r="B663" s="1661"/>
      <c r="C663" s="2081"/>
      <c r="D663" s="2081"/>
      <c r="E663" s="2081"/>
      <c r="F663" s="2081"/>
      <c r="G663" s="2081"/>
      <c r="H663" s="2081"/>
      <c r="I663" s="2081"/>
      <c r="J663" s="2081"/>
      <c r="K663" s="2081"/>
      <c r="L663" s="2081"/>
    </row>
    <row r="664" spans="2:12">
      <c r="B664" s="1661"/>
      <c r="C664" s="2081"/>
      <c r="D664" s="2081"/>
      <c r="E664" s="2081"/>
      <c r="F664" s="2081"/>
      <c r="G664" s="2081"/>
      <c r="H664" s="2081"/>
      <c r="I664" s="2081"/>
      <c r="J664" s="2081"/>
      <c r="K664" s="2081"/>
      <c r="L664" s="2081"/>
    </row>
    <row r="665" spans="2:12">
      <c r="B665" s="1661"/>
      <c r="C665" s="2081"/>
      <c r="D665" s="2081"/>
      <c r="E665" s="2081"/>
      <c r="F665" s="2081"/>
      <c r="G665" s="2081"/>
      <c r="H665" s="2081"/>
      <c r="I665" s="2081"/>
      <c r="J665" s="2081"/>
      <c r="K665" s="2081"/>
      <c r="L665" s="2081"/>
    </row>
    <row r="666" spans="2:12">
      <c r="B666" s="1661"/>
      <c r="C666" s="2081"/>
      <c r="D666" s="2081"/>
      <c r="E666" s="2081"/>
      <c r="F666" s="2081"/>
      <c r="G666" s="2081"/>
      <c r="H666" s="2081"/>
      <c r="I666" s="2081"/>
      <c r="J666" s="2081"/>
      <c r="K666" s="2081"/>
      <c r="L666" s="2081"/>
    </row>
    <row r="667" spans="2:12">
      <c r="B667" s="1661"/>
      <c r="C667" s="2081"/>
      <c r="D667" s="2081"/>
      <c r="E667" s="2081"/>
      <c r="F667" s="2081"/>
      <c r="G667" s="2081"/>
      <c r="H667" s="2081"/>
      <c r="I667" s="2081"/>
      <c r="J667" s="2081"/>
      <c r="K667" s="2081"/>
      <c r="L667" s="2081"/>
    </row>
    <row r="668" spans="2:12">
      <c r="B668" s="1661"/>
      <c r="C668" s="2081"/>
      <c r="D668" s="2081"/>
      <c r="E668" s="2081"/>
      <c r="F668" s="2081"/>
      <c r="G668" s="2081"/>
      <c r="H668" s="2081"/>
      <c r="I668" s="2081"/>
      <c r="J668" s="2081"/>
      <c r="K668" s="2081"/>
      <c r="L668" s="2081"/>
    </row>
    <row r="669" spans="2:12">
      <c r="B669" s="1661"/>
      <c r="C669" s="2081"/>
      <c r="D669" s="2081"/>
      <c r="E669" s="2081"/>
      <c r="F669" s="2081"/>
      <c r="G669" s="2081"/>
      <c r="H669" s="2081"/>
      <c r="I669" s="2081"/>
      <c r="J669" s="2081"/>
      <c r="K669" s="2081"/>
      <c r="L669" s="2081"/>
    </row>
    <row r="670" spans="2:12">
      <c r="B670" s="1661"/>
      <c r="C670" s="2081"/>
      <c r="D670" s="2081"/>
      <c r="E670" s="2081"/>
      <c r="F670" s="2081"/>
      <c r="G670" s="2081"/>
      <c r="H670" s="2081"/>
      <c r="I670" s="2081"/>
      <c r="J670" s="2081"/>
      <c r="K670" s="2081"/>
      <c r="L670" s="2081"/>
    </row>
    <row r="671" spans="2:12">
      <c r="B671" s="1661"/>
      <c r="C671" s="2081"/>
      <c r="D671" s="2081"/>
      <c r="E671" s="2081"/>
      <c r="F671" s="2081"/>
      <c r="G671" s="2081"/>
      <c r="H671" s="2081"/>
      <c r="I671" s="2081"/>
      <c r="J671" s="2081"/>
      <c r="K671" s="2081"/>
      <c r="L671" s="2081"/>
    </row>
    <row r="672" spans="2:12">
      <c r="B672" s="1661"/>
      <c r="C672" s="2081"/>
      <c r="D672" s="2081"/>
      <c r="E672" s="2081"/>
      <c r="F672" s="2081"/>
      <c r="G672" s="2081"/>
      <c r="H672" s="2081"/>
      <c r="I672" s="2081"/>
      <c r="J672" s="2081"/>
      <c r="K672" s="2081"/>
      <c r="L672" s="2081"/>
    </row>
    <row r="673" spans="2:12">
      <c r="B673" s="1661"/>
      <c r="C673" s="2081"/>
      <c r="D673" s="2081"/>
      <c r="E673" s="2081"/>
      <c r="F673" s="2081"/>
      <c r="G673" s="2081"/>
      <c r="H673" s="2081"/>
      <c r="I673" s="2081"/>
      <c r="J673" s="2081"/>
      <c r="K673" s="2081"/>
      <c r="L673" s="2081"/>
    </row>
    <row r="674" spans="2:12">
      <c r="B674" s="1661"/>
      <c r="C674" s="2081"/>
      <c r="D674" s="2081"/>
      <c r="E674" s="2081"/>
      <c r="F674" s="2081"/>
      <c r="G674" s="2081"/>
      <c r="H674" s="2081"/>
      <c r="I674" s="2081"/>
      <c r="J674" s="2081"/>
      <c r="K674" s="2081"/>
      <c r="L674" s="2081"/>
    </row>
    <row r="675" spans="2:12">
      <c r="B675" s="1661"/>
      <c r="C675" s="2081"/>
      <c r="D675" s="2081"/>
      <c r="E675" s="2081"/>
      <c r="F675" s="2081"/>
      <c r="G675" s="2081"/>
      <c r="H675" s="2081"/>
      <c r="I675" s="2081"/>
      <c r="J675" s="2081"/>
      <c r="K675" s="2081"/>
      <c r="L675" s="2081"/>
    </row>
    <row r="676" spans="2:12">
      <c r="B676" s="1661"/>
      <c r="C676" s="2081"/>
      <c r="D676" s="2081"/>
      <c r="E676" s="2081"/>
      <c r="F676" s="2081"/>
      <c r="G676" s="2081"/>
      <c r="H676" s="2081"/>
      <c r="I676" s="2081"/>
      <c r="J676" s="2081"/>
      <c r="K676" s="2081"/>
      <c r="L676" s="2081"/>
    </row>
    <row r="677" spans="2:12">
      <c r="B677" s="1661"/>
      <c r="C677" s="2081"/>
      <c r="D677" s="2081"/>
      <c r="E677" s="2081"/>
      <c r="F677" s="2081"/>
      <c r="G677" s="2081"/>
      <c r="H677" s="2081"/>
      <c r="I677" s="2081"/>
      <c r="J677" s="2081"/>
      <c r="K677" s="2081"/>
      <c r="L677" s="2081"/>
    </row>
    <row r="678" spans="2:12">
      <c r="B678" s="1661"/>
      <c r="C678" s="2081"/>
      <c r="D678" s="2081"/>
      <c r="E678" s="2081"/>
      <c r="F678" s="2081"/>
      <c r="G678" s="2081"/>
      <c r="H678" s="2081"/>
      <c r="I678" s="2081"/>
      <c r="J678" s="2081"/>
      <c r="K678" s="2081"/>
      <c r="L678" s="2081"/>
    </row>
    <row r="679" spans="2:12">
      <c r="B679" s="1661"/>
      <c r="C679" s="2081"/>
      <c r="D679" s="2081"/>
      <c r="E679" s="2081"/>
      <c r="F679" s="2081"/>
      <c r="G679" s="2081"/>
      <c r="H679" s="2081"/>
      <c r="I679" s="2081"/>
      <c r="J679" s="2081"/>
      <c r="K679" s="2081"/>
      <c r="L679" s="2081"/>
    </row>
    <row r="680" spans="2:12">
      <c r="B680" s="1661"/>
      <c r="C680" s="2081"/>
      <c r="D680" s="2081"/>
      <c r="E680" s="2081"/>
      <c r="F680" s="2081"/>
      <c r="G680" s="2081"/>
      <c r="H680" s="2081"/>
      <c r="I680" s="2081"/>
      <c r="J680" s="2081"/>
      <c r="K680" s="2081"/>
      <c r="L680" s="2081"/>
    </row>
    <row r="681" spans="2:12">
      <c r="B681" s="1661"/>
      <c r="C681" s="2081"/>
      <c r="D681" s="2081"/>
      <c r="E681" s="2081"/>
      <c r="F681" s="2081"/>
      <c r="G681" s="2081"/>
      <c r="H681" s="2081"/>
      <c r="I681" s="2081"/>
      <c r="J681" s="2081"/>
      <c r="K681" s="2081"/>
      <c r="L681" s="2081"/>
    </row>
    <row r="682" spans="2:12">
      <c r="B682" s="1661"/>
      <c r="C682" s="2081"/>
      <c r="D682" s="2081"/>
      <c r="E682" s="2081"/>
      <c r="F682" s="2081"/>
      <c r="G682" s="2081"/>
      <c r="H682" s="2081"/>
      <c r="I682" s="2081"/>
      <c r="J682" s="2081"/>
      <c r="K682" s="2081"/>
      <c r="L682" s="2081"/>
    </row>
    <row r="683" spans="2:12">
      <c r="B683" s="1661"/>
      <c r="C683" s="2081"/>
      <c r="D683" s="2081"/>
      <c r="E683" s="2081"/>
      <c r="F683" s="2081"/>
      <c r="G683" s="2081"/>
      <c r="H683" s="2081"/>
      <c r="I683" s="2081"/>
      <c r="J683" s="2081"/>
      <c r="K683" s="2081"/>
      <c r="L683" s="2081"/>
    </row>
    <row r="684" spans="2:12">
      <c r="B684" s="1661"/>
      <c r="C684" s="2081"/>
      <c r="D684" s="2081"/>
      <c r="E684" s="2081"/>
      <c r="F684" s="2081"/>
      <c r="G684" s="2081"/>
      <c r="H684" s="2081"/>
      <c r="I684" s="2081"/>
      <c r="J684" s="2081"/>
      <c r="K684" s="2081"/>
      <c r="L684" s="2081"/>
    </row>
    <row r="685" spans="2:12">
      <c r="B685" s="1661"/>
      <c r="C685" s="2081"/>
      <c r="D685" s="2081"/>
      <c r="E685" s="2081"/>
      <c r="F685" s="2081"/>
      <c r="G685" s="2081"/>
      <c r="H685" s="2081"/>
      <c r="I685" s="2081"/>
      <c r="J685" s="2081"/>
      <c r="K685" s="2081"/>
      <c r="L685" s="2081"/>
    </row>
    <row r="686" spans="2:12">
      <c r="B686" s="1661"/>
      <c r="C686" s="2081"/>
      <c r="D686" s="2081"/>
      <c r="E686" s="2081"/>
      <c r="F686" s="2081"/>
      <c r="G686" s="2081"/>
      <c r="H686" s="2081"/>
      <c r="I686" s="2081"/>
      <c r="J686" s="2081"/>
      <c r="K686" s="2081"/>
      <c r="L686" s="2081"/>
    </row>
    <row r="687" spans="2:12">
      <c r="B687" s="1661"/>
      <c r="C687" s="2081"/>
      <c r="D687" s="2081"/>
      <c r="E687" s="2081"/>
      <c r="F687" s="2081"/>
      <c r="G687" s="2081"/>
      <c r="H687" s="2081"/>
      <c r="I687" s="2081"/>
      <c r="J687" s="2081"/>
      <c r="K687" s="2081"/>
      <c r="L687" s="2081"/>
    </row>
    <row r="688" spans="2:12">
      <c r="B688" s="1661"/>
      <c r="C688" s="2081"/>
      <c r="D688" s="2081"/>
      <c r="E688" s="2081"/>
      <c r="F688" s="2081"/>
      <c r="G688" s="2081"/>
      <c r="H688" s="2081"/>
      <c r="I688" s="2081"/>
      <c r="J688" s="2081"/>
      <c r="K688" s="2081"/>
      <c r="L688" s="2081"/>
    </row>
    <row r="689" spans="2:12">
      <c r="B689" s="1661"/>
      <c r="C689" s="2081"/>
      <c r="D689" s="2081"/>
      <c r="E689" s="2081"/>
      <c r="F689" s="2081"/>
      <c r="G689" s="2081"/>
      <c r="H689" s="2081"/>
      <c r="I689" s="2081"/>
      <c r="J689" s="2081"/>
      <c r="K689" s="2081"/>
      <c r="L689" s="2081"/>
    </row>
    <row r="690" spans="2:12">
      <c r="B690" s="1661"/>
      <c r="C690" s="2081"/>
      <c r="D690" s="2081"/>
      <c r="E690" s="2081"/>
      <c r="F690" s="2081"/>
      <c r="G690" s="2081"/>
      <c r="H690" s="2081"/>
      <c r="I690" s="2081"/>
      <c r="J690" s="2081"/>
      <c r="K690" s="2081"/>
      <c r="L690" s="2081"/>
    </row>
    <row r="691" spans="2:12">
      <c r="B691" s="1661"/>
      <c r="C691" s="2081"/>
      <c r="D691" s="2081"/>
      <c r="E691" s="2081"/>
      <c r="F691" s="2081"/>
      <c r="G691" s="2081"/>
      <c r="H691" s="2081"/>
      <c r="I691" s="2081"/>
      <c r="J691" s="2081"/>
      <c r="K691" s="2081"/>
      <c r="L691" s="2081"/>
    </row>
    <row r="692" spans="2:12">
      <c r="B692" s="1661"/>
      <c r="C692" s="2081"/>
      <c r="D692" s="2081"/>
      <c r="E692" s="2081"/>
      <c r="F692" s="2081"/>
      <c r="G692" s="2081"/>
      <c r="H692" s="2081"/>
      <c r="I692" s="2081"/>
      <c r="J692" s="2081"/>
      <c r="K692" s="2081"/>
      <c r="L692" s="2081"/>
    </row>
    <row r="693" spans="2:12">
      <c r="B693" s="1661"/>
      <c r="C693" s="2081"/>
      <c r="D693" s="2081"/>
      <c r="E693" s="2081"/>
      <c r="F693" s="2081"/>
      <c r="G693" s="2081"/>
      <c r="H693" s="2081"/>
      <c r="I693" s="2081"/>
      <c r="J693" s="2081"/>
      <c r="K693" s="2081"/>
      <c r="L693" s="2081"/>
    </row>
    <row r="694" spans="2:12">
      <c r="B694" s="1661"/>
      <c r="C694" s="2081"/>
      <c r="D694" s="2081"/>
      <c r="E694" s="2081"/>
      <c r="F694" s="2081"/>
      <c r="G694" s="2081"/>
      <c r="H694" s="2081"/>
      <c r="I694" s="2081"/>
      <c r="J694" s="2081"/>
      <c r="K694" s="2081"/>
      <c r="L694" s="2081"/>
    </row>
    <row r="695" spans="2:12">
      <c r="B695" s="1661"/>
      <c r="C695" s="2081"/>
      <c r="D695" s="2081"/>
      <c r="E695" s="2081"/>
      <c r="F695" s="2081"/>
      <c r="G695" s="2081"/>
      <c r="H695" s="2081"/>
      <c r="I695" s="2081"/>
      <c r="J695" s="2081"/>
      <c r="K695" s="2081"/>
      <c r="L695" s="2081"/>
    </row>
    <row r="696" spans="2:12">
      <c r="B696" s="1661"/>
      <c r="C696" s="2081"/>
      <c r="D696" s="2081"/>
      <c r="E696" s="2081"/>
      <c r="F696" s="2081"/>
      <c r="G696" s="2081"/>
      <c r="H696" s="2081"/>
      <c r="I696" s="2081"/>
      <c r="J696" s="2081"/>
      <c r="K696" s="2081"/>
      <c r="L696" s="2081"/>
    </row>
    <row r="697" spans="2:12">
      <c r="B697" s="1661"/>
      <c r="C697" s="2081"/>
      <c r="D697" s="2081"/>
      <c r="E697" s="2081"/>
      <c r="F697" s="2081"/>
      <c r="G697" s="2081"/>
      <c r="H697" s="2081"/>
      <c r="I697" s="2081"/>
      <c r="J697" s="2081"/>
      <c r="K697" s="2081"/>
      <c r="L697" s="2081"/>
    </row>
    <row r="698" spans="2:12">
      <c r="B698" s="1661"/>
      <c r="C698" s="2081"/>
      <c r="D698" s="2081"/>
      <c r="E698" s="2081"/>
      <c r="F698" s="2081"/>
      <c r="G698" s="2081"/>
      <c r="H698" s="2081"/>
      <c r="I698" s="2081"/>
      <c r="J698" s="2081"/>
      <c r="K698" s="2081"/>
      <c r="L698" s="2081"/>
    </row>
    <row r="699" spans="2:12">
      <c r="B699" s="1661"/>
      <c r="C699" s="2081"/>
      <c r="D699" s="2081"/>
      <c r="E699" s="2081"/>
      <c r="F699" s="2081"/>
      <c r="G699" s="2081"/>
      <c r="H699" s="2081"/>
      <c r="I699" s="2081"/>
      <c r="J699" s="2081"/>
      <c r="K699" s="2081"/>
      <c r="L699" s="2081"/>
    </row>
    <row r="700" spans="2:12">
      <c r="B700" s="1661"/>
      <c r="C700" s="2081"/>
      <c r="D700" s="2081"/>
      <c r="E700" s="2081"/>
      <c r="F700" s="2081"/>
      <c r="G700" s="2081"/>
      <c r="H700" s="2081"/>
      <c r="I700" s="2081"/>
      <c r="J700" s="2081"/>
      <c r="K700" s="2081"/>
      <c r="L700" s="2081"/>
    </row>
    <row r="701" spans="2:12">
      <c r="B701" s="1661"/>
      <c r="C701" s="2081"/>
      <c r="D701" s="2081"/>
      <c r="E701" s="2081"/>
      <c r="F701" s="2081"/>
      <c r="G701" s="2081"/>
      <c r="H701" s="2081"/>
      <c r="I701" s="2081"/>
      <c r="J701" s="2081"/>
      <c r="K701" s="2081"/>
      <c r="L701" s="2081"/>
    </row>
    <row r="702" spans="2:12">
      <c r="B702" s="1661"/>
      <c r="C702" s="2081"/>
      <c r="D702" s="2081"/>
      <c r="E702" s="2081"/>
      <c r="F702" s="2081"/>
      <c r="G702" s="2081"/>
      <c r="H702" s="2081"/>
      <c r="I702" s="2081"/>
      <c r="J702" s="2081"/>
      <c r="K702" s="2081"/>
      <c r="L702" s="2081"/>
    </row>
    <row r="703" spans="2:12">
      <c r="B703" s="1661"/>
      <c r="C703" s="2081"/>
      <c r="D703" s="2081"/>
      <c r="E703" s="2081"/>
      <c r="F703" s="2081"/>
      <c r="G703" s="2081"/>
      <c r="H703" s="2081"/>
      <c r="I703" s="2081"/>
      <c r="J703" s="2081"/>
      <c r="K703" s="2081"/>
      <c r="L703" s="2081"/>
    </row>
    <row r="704" spans="2:12">
      <c r="B704" s="1661"/>
      <c r="C704" s="2081"/>
      <c r="D704" s="2081"/>
      <c r="E704" s="2081"/>
      <c r="F704" s="2081"/>
      <c r="G704" s="2081"/>
      <c r="H704" s="2081"/>
      <c r="I704" s="2081"/>
      <c r="J704" s="2081"/>
      <c r="K704" s="2081"/>
      <c r="L704" s="2081"/>
    </row>
    <row r="705" spans="2:12">
      <c r="B705" s="1661"/>
      <c r="C705" s="2081"/>
      <c r="D705" s="2081"/>
      <c r="E705" s="2081"/>
      <c r="F705" s="2081"/>
      <c r="G705" s="2081"/>
      <c r="H705" s="2081"/>
      <c r="I705" s="2081"/>
      <c r="J705" s="2081"/>
      <c r="K705" s="2081"/>
      <c r="L705" s="2081"/>
    </row>
    <row r="706" spans="2:12">
      <c r="B706" s="1661"/>
      <c r="C706" s="2081"/>
      <c r="D706" s="2081"/>
      <c r="E706" s="2081"/>
      <c r="F706" s="2081"/>
      <c r="G706" s="2081"/>
      <c r="H706" s="2081"/>
      <c r="I706" s="2081"/>
      <c r="J706" s="2081"/>
      <c r="K706" s="2081"/>
      <c r="L706" s="2081"/>
    </row>
    <row r="707" spans="2:12">
      <c r="B707" s="1661"/>
      <c r="C707" s="2081"/>
      <c r="D707" s="2081"/>
      <c r="E707" s="2081"/>
      <c r="F707" s="2081"/>
      <c r="G707" s="2081"/>
      <c r="H707" s="2081"/>
      <c r="I707" s="2081"/>
      <c r="J707" s="2081"/>
      <c r="K707" s="2081"/>
      <c r="L707" s="2081"/>
    </row>
    <row r="708" spans="2:12">
      <c r="B708" s="1661"/>
      <c r="C708" s="2081"/>
      <c r="D708" s="2081"/>
      <c r="E708" s="2081"/>
      <c r="F708" s="2081"/>
      <c r="G708" s="2081"/>
      <c r="H708" s="2081"/>
      <c r="I708" s="2081"/>
      <c r="J708" s="2081"/>
      <c r="K708" s="2081"/>
      <c r="L708" s="2081"/>
    </row>
    <row r="709" spans="2:12">
      <c r="B709" s="1661"/>
      <c r="C709" s="2081"/>
      <c r="D709" s="2081"/>
      <c r="E709" s="2081"/>
      <c r="F709" s="2081"/>
      <c r="G709" s="2081"/>
      <c r="H709" s="2081"/>
      <c r="I709" s="2081"/>
      <c r="J709" s="2081"/>
      <c r="K709" s="2081"/>
      <c r="L709" s="2081"/>
    </row>
    <row r="710" spans="2:12">
      <c r="B710" s="1661"/>
      <c r="C710" s="2081"/>
      <c r="D710" s="2081"/>
      <c r="E710" s="2081"/>
      <c r="F710" s="2081"/>
      <c r="G710" s="2081"/>
      <c r="H710" s="2081"/>
      <c r="I710" s="2081"/>
      <c r="J710" s="2081"/>
      <c r="K710" s="2081"/>
      <c r="L710" s="2081"/>
    </row>
    <row r="711" spans="2:12">
      <c r="B711" s="1661"/>
      <c r="C711" s="2081"/>
      <c r="D711" s="2081"/>
      <c r="E711" s="2081"/>
      <c r="F711" s="2081"/>
      <c r="G711" s="2081"/>
      <c r="H711" s="2081"/>
      <c r="I711" s="2081"/>
      <c r="J711" s="2081"/>
      <c r="K711" s="2081"/>
      <c r="L711" s="2081"/>
    </row>
    <row r="712" spans="2:12">
      <c r="B712" s="1661"/>
      <c r="C712" s="2081"/>
      <c r="D712" s="2081"/>
      <c r="E712" s="2081"/>
      <c r="F712" s="2081"/>
      <c r="G712" s="2081"/>
      <c r="H712" s="2081"/>
      <c r="I712" s="2081"/>
      <c r="J712" s="2081"/>
      <c r="K712" s="2081"/>
      <c r="L712" s="2081"/>
    </row>
    <row r="713" spans="2:12">
      <c r="B713" s="1661"/>
      <c r="C713" s="2081"/>
      <c r="D713" s="2081"/>
      <c r="E713" s="2081"/>
      <c r="F713" s="2081"/>
      <c r="G713" s="2081"/>
      <c r="H713" s="2081"/>
      <c r="I713" s="2081"/>
      <c r="J713" s="2081"/>
      <c r="K713" s="2081"/>
      <c r="L713" s="2081"/>
    </row>
    <row r="714" spans="2:12">
      <c r="B714" s="1661"/>
      <c r="C714" s="2081"/>
      <c r="D714" s="2081"/>
      <c r="E714" s="2081"/>
      <c r="F714" s="2081"/>
      <c r="G714" s="2081"/>
      <c r="H714" s="2081"/>
      <c r="I714" s="2081"/>
      <c r="J714" s="2081"/>
      <c r="K714" s="2081"/>
      <c r="L714" s="2081"/>
    </row>
    <row r="715" spans="2:12">
      <c r="B715" s="1661"/>
      <c r="C715" s="2081"/>
      <c r="D715" s="2081"/>
      <c r="E715" s="2081"/>
      <c r="F715" s="2081"/>
      <c r="G715" s="2081"/>
      <c r="H715" s="2081"/>
      <c r="I715" s="2081"/>
      <c r="J715" s="2081"/>
      <c r="K715" s="2081"/>
      <c r="L715" s="2081"/>
    </row>
    <row r="716" spans="2:12">
      <c r="B716" s="1661"/>
      <c r="C716" s="2081"/>
      <c r="D716" s="2081"/>
      <c r="E716" s="2081"/>
      <c r="F716" s="2081"/>
      <c r="G716" s="2081"/>
      <c r="H716" s="2081"/>
      <c r="I716" s="2081"/>
      <c r="J716" s="2081"/>
      <c r="K716" s="2081"/>
      <c r="L716" s="2081"/>
    </row>
    <row r="717" spans="2:12">
      <c r="B717" s="1661"/>
      <c r="C717" s="2081"/>
      <c r="D717" s="2081"/>
      <c r="E717" s="2081"/>
      <c r="F717" s="2081"/>
      <c r="G717" s="2081"/>
      <c r="H717" s="2081"/>
      <c r="I717" s="2081"/>
      <c r="J717" s="2081"/>
      <c r="K717" s="2081"/>
      <c r="L717" s="2081"/>
    </row>
    <row r="718" spans="2:12">
      <c r="B718" s="1661"/>
      <c r="C718" s="2081"/>
      <c r="D718" s="2081"/>
      <c r="E718" s="2081"/>
      <c r="F718" s="2081"/>
      <c r="G718" s="2081"/>
      <c r="H718" s="2081"/>
      <c r="I718" s="2081"/>
      <c r="J718" s="2081"/>
      <c r="K718" s="2081"/>
      <c r="L718" s="2081"/>
    </row>
    <row r="719" spans="2:12">
      <c r="B719" s="1661"/>
      <c r="C719" s="2081"/>
      <c r="D719" s="2081"/>
      <c r="E719" s="2081"/>
      <c r="F719" s="2081"/>
      <c r="G719" s="2081"/>
      <c r="H719" s="2081"/>
      <c r="I719" s="2081"/>
      <c r="J719" s="2081"/>
      <c r="K719" s="2081"/>
      <c r="L719" s="2081"/>
    </row>
    <row r="720" spans="2:12">
      <c r="B720" s="1661"/>
      <c r="C720" s="2081"/>
      <c r="D720" s="2081"/>
      <c r="E720" s="2081"/>
      <c r="F720" s="2081"/>
      <c r="G720" s="2081"/>
      <c r="H720" s="2081"/>
      <c r="I720" s="2081"/>
      <c r="J720" s="2081"/>
      <c r="K720" s="2081"/>
      <c r="L720" s="2081"/>
    </row>
    <row r="721" spans="2:12">
      <c r="B721" s="1661"/>
      <c r="C721" s="2081"/>
      <c r="D721" s="2081"/>
      <c r="E721" s="2081"/>
      <c r="F721" s="2081"/>
      <c r="G721" s="2081"/>
      <c r="H721" s="2081"/>
      <c r="I721" s="2081"/>
      <c r="J721" s="2081"/>
      <c r="K721" s="2081"/>
      <c r="L721" s="2081"/>
    </row>
    <row r="722" spans="2:12">
      <c r="B722" s="1661"/>
      <c r="C722" s="2081"/>
      <c r="D722" s="2081"/>
      <c r="E722" s="2081"/>
      <c r="F722" s="2081"/>
      <c r="G722" s="2081"/>
      <c r="H722" s="2081"/>
      <c r="I722" s="2081"/>
      <c r="J722" s="2081"/>
      <c r="K722" s="2081"/>
      <c r="L722" s="2081"/>
    </row>
    <row r="723" spans="2:12">
      <c r="B723" s="1661"/>
      <c r="C723" s="2081"/>
      <c r="D723" s="2081"/>
      <c r="E723" s="2081"/>
      <c r="F723" s="2081"/>
      <c r="G723" s="2081"/>
      <c r="H723" s="2081"/>
      <c r="I723" s="2081"/>
      <c r="J723" s="2081"/>
      <c r="K723" s="2081"/>
      <c r="L723" s="2081"/>
    </row>
    <row r="724" spans="2:12">
      <c r="B724" s="1661"/>
      <c r="C724" s="2081"/>
      <c r="D724" s="2081"/>
      <c r="E724" s="2081"/>
      <c r="F724" s="2081"/>
      <c r="G724" s="2081"/>
      <c r="H724" s="2081"/>
      <c r="I724" s="2081"/>
      <c r="J724" s="2081"/>
      <c r="K724" s="2081"/>
      <c r="L724" s="2081"/>
    </row>
    <row r="725" spans="2:12">
      <c r="B725" s="1661"/>
      <c r="C725" s="2081"/>
      <c r="D725" s="2081"/>
      <c r="E725" s="2081"/>
      <c r="F725" s="2081"/>
      <c r="G725" s="2081"/>
      <c r="H725" s="2081"/>
      <c r="I725" s="2081"/>
      <c r="J725" s="2081"/>
      <c r="K725" s="2081"/>
      <c r="L725" s="2081"/>
    </row>
    <row r="726" spans="2:12">
      <c r="B726" s="1661"/>
      <c r="C726" s="2081"/>
      <c r="D726" s="2081"/>
      <c r="E726" s="2081"/>
      <c r="F726" s="2081"/>
      <c r="G726" s="2081"/>
      <c r="H726" s="2081"/>
      <c r="I726" s="2081"/>
      <c r="J726" s="2081"/>
      <c r="K726" s="2081"/>
      <c r="L726" s="2081"/>
    </row>
    <row r="727" spans="2:12">
      <c r="B727" s="1661"/>
      <c r="C727" s="2081"/>
      <c r="D727" s="2081"/>
      <c r="E727" s="2081"/>
      <c r="F727" s="2081"/>
      <c r="G727" s="2081"/>
      <c r="H727" s="2081"/>
      <c r="I727" s="2081"/>
      <c r="J727" s="2081"/>
      <c r="K727" s="2081"/>
      <c r="L727" s="2081"/>
    </row>
    <row r="728" spans="2:12">
      <c r="B728" s="1661"/>
      <c r="C728" s="2081"/>
      <c r="D728" s="2081"/>
      <c r="E728" s="2081"/>
      <c r="F728" s="2081"/>
      <c r="G728" s="2081"/>
      <c r="H728" s="2081"/>
      <c r="I728" s="2081"/>
      <c r="J728" s="2081"/>
      <c r="K728" s="2081"/>
      <c r="L728" s="2081"/>
    </row>
    <row r="729" spans="2:12">
      <c r="B729" s="1661"/>
      <c r="C729" s="2081"/>
      <c r="D729" s="2081"/>
      <c r="E729" s="2081"/>
      <c r="F729" s="2081"/>
      <c r="G729" s="2081"/>
      <c r="H729" s="2081"/>
      <c r="I729" s="2081"/>
      <c r="J729" s="2081"/>
      <c r="K729" s="2081"/>
      <c r="L729" s="2081"/>
    </row>
    <row r="730" spans="2:12">
      <c r="B730" s="1661"/>
      <c r="C730" s="2081"/>
      <c r="D730" s="2081"/>
      <c r="E730" s="2081"/>
      <c r="F730" s="2081"/>
      <c r="G730" s="2081"/>
      <c r="H730" s="2081"/>
      <c r="I730" s="2081"/>
      <c r="J730" s="2081"/>
      <c r="K730" s="2081"/>
      <c r="L730" s="2081"/>
    </row>
    <row r="731" spans="2:12">
      <c r="B731" s="1661"/>
      <c r="C731" s="2081"/>
      <c r="D731" s="2081"/>
      <c r="E731" s="2081"/>
      <c r="F731" s="2081"/>
      <c r="G731" s="2081"/>
      <c r="H731" s="2081"/>
      <c r="I731" s="2081"/>
      <c r="J731" s="2081"/>
      <c r="K731" s="2081"/>
      <c r="L731" s="2081"/>
    </row>
    <row r="732" spans="2:12">
      <c r="B732" s="1661"/>
      <c r="C732" s="2081"/>
      <c r="D732" s="2081"/>
      <c r="E732" s="2081"/>
      <c r="F732" s="2081"/>
      <c r="G732" s="2081"/>
      <c r="H732" s="2081"/>
      <c r="I732" s="2081"/>
      <c r="J732" s="2081"/>
      <c r="K732" s="2081"/>
      <c r="L732" s="2081"/>
    </row>
    <row r="733" spans="2:12">
      <c r="B733" s="1661"/>
      <c r="C733" s="2081"/>
      <c r="D733" s="2081"/>
      <c r="E733" s="2081"/>
      <c r="F733" s="2081"/>
      <c r="G733" s="2081"/>
      <c r="H733" s="2081"/>
      <c r="I733" s="2081"/>
      <c r="J733" s="2081"/>
      <c r="K733" s="2081"/>
      <c r="L733" s="2081"/>
    </row>
    <row r="734" spans="2:12">
      <c r="B734" s="1661"/>
      <c r="C734" s="2081"/>
      <c r="D734" s="2081"/>
      <c r="E734" s="2081"/>
      <c r="F734" s="2081"/>
      <c r="G734" s="2081"/>
      <c r="H734" s="2081"/>
      <c r="I734" s="2081"/>
      <c r="J734" s="2081"/>
      <c r="K734" s="2081"/>
      <c r="L734" s="2081"/>
    </row>
    <row r="735" spans="2:12">
      <c r="B735" s="1661"/>
      <c r="C735" s="2081"/>
      <c r="D735" s="2081"/>
      <c r="E735" s="2081"/>
      <c r="F735" s="2081"/>
      <c r="G735" s="2081"/>
      <c r="H735" s="2081"/>
      <c r="I735" s="2081"/>
      <c r="J735" s="2081"/>
      <c r="K735" s="2081"/>
      <c r="L735" s="2081"/>
    </row>
    <row r="736" spans="2:12">
      <c r="B736" s="1661"/>
      <c r="C736" s="2081"/>
      <c r="D736" s="2081"/>
      <c r="E736" s="2081"/>
      <c r="F736" s="2081"/>
      <c r="G736" s="2081"/>
      <c r="H736" s="2081"/>
      <c r="I736" s="2081"/>
      <c r="J736" s="2081"/>
      <c r="K736" s="2081"/>
      <c r="L736" s="2081"/>
    </row>
    <row r="737" spans="2:12">
      <c r="B737" s="1661"/>
      <c r="C737" s="2081"/>
      <c r="D737" s="2081"/>
      <c r="E737" s="2081"/>
      <c r="F737" s="2081"/>
      <c r="G737" s="2081"/>
      <c r="H737" s="2081"/>
      <c r="I737" s="2081"/>
      <c r="J737" s="2081"/>
      <c r="K737" s="2081"/>
      <c r="L737" s="2081"/>
    </row>
    <row r="738" spans="2:12">
      <c r="B738" s="1661"/>
      <c r="C738" s="2081"/>
      <c r="D738" s="2081"/>
      <c r="E738" s="2081"/>
      <c r="F738" s="2081"/>
      <c r="G738" s="2081"/>
      <c r="H738" s="2081"/>
      <c r="I738" s="2081"/>
      <c r="J738" s="2081"/>
      <c r="K738" s="2081"/>
      <c r="L738" s="2081"/>
    </row>
    <row r="739" spans="2:12">
      <c r="B739" s="1661"/>
      <c r="C739" s="2081"/>
      <c r="D739" s="2081"/>
      <c r="E739" s="2081"/>
      <c r="F739" s="2081"/>
      <c r="G739" s="2081"/>
      <c r="H739" s="2081"/>
      <c r="I739" s="2081"/>
      <c r="J739" s="2081"/>
      <c r="K739" s="2081"/>
      <c r="L739" s="2081"/>
    </row>
    <row r="740" spans="2:12">
      <c r="B740" s="1661"/>
      <c r="C740" s="2081"/>
      <c r="D740" s="2081"/>
      <c r="E740" s="2081"/>
      <c r="F740" s="2081"/>
      <c r="G740" s="2081"/>
      <c r="H740" s="2081"/>
      <c r="I740" s="2081"/>
      <c r="J740" s="2081"/>
      <c r="K740" s="2081"/>
      <c r="L740" s="2081"/>
    </row>
    <row r="741" spans="2:12">
      <c r="B741" s="1661"/>
      <c r="C741" s="2081"/>
      <c r="D741" s="2081"/>
      <c r="E741" s="2081"/>
      <c r="F741" s="2081"/>
      <c r="G741" s="2081"/>
      <c r="H741" s="2081"/>
      <c r="I741" s="2081"/>
      <c r="J741" s="2081"/>
      <c r="K741" s="2081"/>
      <c r="L741" s="2081"/>
    </row>
    <row r="742" spans="2:12">
      <c r="B742" s="1661"/>
      <c r="C742" s="2081"/>
      <c r="D742" s="2081"/>
      <c r="E742" s="2081"/>
      <c r="F742" s="2081"/>
      <c r="G742" s="2081"/>
      <c r="H742" s="2081"/>
      <c r="I742" s="2081"/>
      <c r="J742" s="2081"/>
      <c r="K742" s="2081"/>
      <c r="L742" s="2081"/>
    </row>
    <row r="743" spans="2:12">
      <c r="B743" s="1661"/>
      <c r="C743" s="2081"/>
      <c r="D743" s="2081"/>
      <c r="E743" s="2081"/>
      <c r="F743" s="2081"/>
      <c r="G743" s="2081"/>
      <c r="H743" s="2081"/>
      <c r="I743" s="2081"/>
      <c r="J743" s="2081"/>
      <c r="K743" s="2081"/>
      <c r="L743" s="2081"/>
    </row>
    <row r="744" spans="2:12">
      <c r="B744" s="1661"/>
      <c r="C744" s="2081"/>
      <c r="D744" s="2081"/>
      <c r="E744" s="2081"/>
      <c r="F744" s="2081"/>
      <c r="G744" s="2081"/>
      <c r="H744" s="2081"/>
      <c r="I744" s="2081"/>
      <c r="J744" s="2081"/>
      <c r="K744" s="2081"/>
      <c r="L744" s="2081"/>
    </row>
    <row r="745" spans="2:12">
      <c r="B745" s="1661"/>
      <c r="C745" s="2081"/>
      <c r="D745" s="2081"/>
      <c r="E745" s="2081"/>
      <c r="F745" s="2081"/>
      <c r="G745" s="2081"/>
      <c r="H745" s="2081"/>
      <c r="I745" s="2081"/>
      <c r="J745" s="2081"/>
      <c r="K745" s="2081"/>
      <c r="L745" s="2081"/>
    </row>
    <row r="746" spans="2:12">
      <c r="B746" s="1661"/>
      <c r="C746" s="2081"/>
      <c r="D746" s="2081"/>
      <c r="E746" s="2081"/>
      <c r="F746" s="2081"/>
      <c r="G746" s="2081"/>
      <c r="H746" s="2081"/>
      <c r="I746" s="2081"/>
      <c r="J746" s="2081"/>
      <c r="K746" s="2081"/>
      <c r="L746" s="2081"/>
    </row>
    <row r="747" spans="2:12">
      <c r="B747" s="1661"/>
      <c r="C747" s="2081"/>
      <c r="D747" s="2081"/>
      <c r="E747" s="2081"/>
      <c r="F747" s="2081"/>
      <c r="G747" s="2081"/>
      <c r="H747" s="2081"/>
      <c r="I747" s="2081"/>
      <c r="J747" s="2081"/>
      <c r="K747" s="2081"/>
      <c r="L747" s="2081"/>
    </row>
    <row r="748" spans="2:12">
      <c r="B748" s="1661"/>
      <c r="C748" s="2081"/>
      <c r="D748" s="2081"/>
      <c r="E748" s="2081"/>
      <c r="F748" s="2081"/>
      <c r="G748" s="2081"/>
      <c r="H748" s="2081"/>
      <c r="I748" s="2081"/>
      <c r="J748" s="2081"/>
      <c r="K748" s="2081"/>
      <c r="L748" s="2081"/>
    </row>
    <row r="749" spans="2:12">
      <c r="B749" s="1661"/>
      <c r="C749" s="2081"/>
      <c r="D749" s="2081"/>
      <c r="E749" s="2081"/>
      <c r="F749" s="2081"/>
      <c r="G749" s="2081"/>
      <c r="H749" s="2081"/>
      <c r="I749" s="2081"/>
      <c r="J749" s="2081"/>
      <c r="K749" s="2081"/>
      <c r="L749" s="2081"/>
    </row>
    <row r="750" spans="2:12">
      <c r="B750" s="1661"/>
      <c r="C750" s="2081"/>
      <c r="D750" s="2081"/>
      <c r="E750" s="2081"/>
      <c r="F750" s="2081"/>
      <c r="G750" s="2081"/>
      <c r="H750" s="2081"/>
      <c r="I750" s="2081"/>
      <c r="J750" s="2081"/>
      <c r="K750" s="2081"/>
      <c r="L750" s="2081"/>
    </row>
    <row r="751" spans="2:12">
      <c r="B751" s="1661"/>
      <c r="C751" s="2081"/>
      <c r="D751" s="2081"/>
      <c r="E751" s="2081"/>
      <c r="F751" s="2081"/>
      <c r="G751" s="2081"/>
      <c r="H751" s="2081"/>
      <c r="I751" s="2081"/>
      <c r="J751" s="2081"/>
      <c r="K751" s="2081"/>
      <c r="L751" s="2081"/>
    </row>
    <row r="752" spans="2:12">
      <c r="B752" s="1661"/>
      <c r="C752" s="2081"/>
      <c r="D752" s="2081"/>
      <c r="E752" s="2081"/>
      <c r="F752" s="2081"/>
      <c r="G752" s="2081"/>
      <c r="H752" s="2081"/>
      <c r="I752" s="2081"/>
      <c r="J752" s="2081"/>
      <c r="K752" s="2081"/>
      <c r="L752" s="2081"/>
    </row>
    <row r="753" spans="2:12">
      <c r="B753" s="1661"/>
      <c r="C753" s="2081"/>
      <c r="D753" s="2081"/>
      <c r="E753" s="2081"/>
      <c r="F753" s="2081"/>
      <c r="G753" s="2081"/>
      <c r="H753" s="2081"/>
      <c r="I753" s="2081"/>
      <c r="J753" s="2081"/>
      <c r="K753" s="2081"/>
      <c r="L753" s="2081"/>
    </row>
    <row r="754" spans="2:12">
      <c r="B754" s="1661"/>
      <c r="C754" s="2081"/>
      <c r="D754" s="2081"/>
      <c r="E754" s="2081"/>
      <c r="F754" s="2081"/>
      <c r="G754" s="2081"/>
      <c r="H754" s="2081"/>
      <c r="I754" s="2081"/>
      <c r="J754" s="2081"/>
      <c r="K754" s="2081"/>
      <c r="L754" s="2081"/>
    </row>
    <row r="755" spans="2:12">
      <c r="B755" s="1661"/>
      <c r="C755" s="2081"/>
      <c r="D755" s="2081"/>
      <c r="E755" s="2081"/>
      <c r="F755" s="2081"/>
      <c r="G755" s="2081"/>
      <c r="H755" s="2081"/>
      <c r="I755" s="2081"/>
      <c r="J755" s="2081"/>
      <c r="K755" s="2081"/>
      <c r="L755" s="2081"/>
    </row>
    <row r="756" spans="2:12">
      <c r="B756" s="1661"/>
      <c r="C756" s="2081"/>
      <c r="D756" s="2081"/>
      <c r="E756" s="2081"/>
      <c r="F756" s="2081"/>
      <c r="G756" s="2081"/>
      <c r="H756" s="2081"/>
      <c r="I756" s="2081"/>
      <c r="J756" s="2081"/>
      <c r="K756" s="2081"/>
      <c r="L756" s="2081"/>
    </row>
    <row r="757" spans="2:12">
      <c r="B757" s="1661"/>
      <c r="C757" s="2081"/>
      <c r="D757" s="2081"/>
      <c r="E757" s="2081"/>
      <c r="F757" s="2081"/>
      <c r="G757" s="2081"/>
      <c r="H757" s="2081"/>
      <c r="I757" s="2081"/>
      <c r="J757" s="2081"/>
      <c r="K757" s="2081"/>
      <c r="L757" s="2081"/>
    </row>
    <row r="758" spans="2:12">
      <c r="B758" s="1661"/>
      <c r="C758" s="2081"/>
      <c r="D758" s="2081"/>
      <c r="E758" s="2081"/>
      <c r="F758" s="2081"/>
      <c r="G758" s="2081"/>
      <c r="H758" s="2081"/>
      <c r="I758" s="2081"/>
      <c r="J758" s="2081"/>
      <c r="K758" s="2081"/>
      <c r="L758" s="2081"/>
    </row>
    <row r="759" spans="2:12">
      <c r="B759" s="1661"/>
      <c r="C759" s="2081"/>
      <c r="D759" s="2081"/>
      <c r="E759" s="2081"/>
      <c r="F759" s="2081"/>
      <c r="G759" s="2081"/>
      <c r="H759" s="2081"/>
      <c r="I759" s="2081"/>
      <c r="J759" s="2081"/>
      <c r="K759" s="2081"/>
      <c r="L759" s="2081"/>
    </row>
    <row r="760" spans="2:12">
      <c r="B760" s="1661"/>
      <c r="C760" s="2081"/>
      <c r="D760" s="2081"/>
      <c r="E760" s="2081"/>
      <c r="F760" s="2081"/>
      <c r="G760" s="2081"/>
      <c r="H760" s="2081"/>
      <c r="I760" s="2081"/>
      <c r="J760" s="2081"/>
      <c r="K760" s="2081"/>
      <c r="L760" s="2081"/>
    </row>
    <row r="761" spans="2:12">
      <c r="B761" s="1661"/>
      <c r="C761" s="2081"/>
      <c r="D761" s="2081"/>
      <c r="E761" s="2081"/>
      <c r="F761" s="2081"/>
      <c r="G761" s="2081"/>
      <c r="H761" s="2081"/>
      <c r="I761" s="2081"/>
      <c r="J761" s="2081"/>
      <c r="K761" s="2081"/>
      <c r="L761" s="2081"/>
    </row>
    <row r="762" spans="2:12">
      <c r="B762" s="1661"/>
      <c r="C762" s="2081"/>
      <c r="D762" s="2081"/>
      <c r="E762" s="2081"/>
      <c r="F762" s="2081"/>
      <c r="G762" s="2081"/>
      <c r="H762" s="2081"/>
      <c r="I762" s="2081"/>
      <c r="J762" s="2081"/>
      <c r="K762" s="2081"/>
      <c r="L762" s="2081"/>
    </row>
    <row r="763" spans="2:12">
      <c r="B763" s="1661"/>
      <c r="C763" s="2081"/>
      <c r="D763" s="2081"/>
      <c r="E763" s="2081"/>
      <c r="F763" s="2081"/>
      <c r="G763" s="2081"/>
      <c r="H763" s="2081"/>
      <c r="I763" s="2081"/>
      <c r="J763" s="2081"/>
      <c r="K763" s="2081"/>
      <c r="L763" s="2081"/>
    </row>
    <row r="764" spans="2:12">
      <c r="B764" s="1661"/>
      <c r="C764" s="2081"/>
      <c r="D764" s="2081"/>
      <c r="E764" s="2081"/>
      <c r="F764" s="2081"/>
      <c r="G764" s="2081"/>
      <c r="H764" s="2081"/>
      <c r="I764" s="2081"/>
      <c r="J764" s="2081"/>
      <c r="K764" s="2081"/>
      <c r="L764" s="2081"/>
    </row>
    <row r="765" spans="2:12">
      <c r="B765" s="1661"/>
      <c r="C765" s="2081"/>
      <c r="D765" s="2081"/>
      <c r="E765" s="2081"/>
      <c r="F765" s="2081"/>
      <c r="G765" s="2081"/>
      <c r="H765" s="2081"/>
      <c r="I765" s="2081"/>
      <c r="J765" s="2081"/>
      <c r="K765" s="2081"/>
      <c r="L765" s="2081"/>
    </row>
    <row r="766" spans="2:12">
      <c r="B766" s="1661"/>
      <c r="C766" s="2081"/>
      <c r="D766" s="2081"/>
      <c r="E766" s="2081"/>
      <c r="F766" s="2081"/>
      <c r="G766" s="2081"/>
      <c r="H766" s="2081"/>
      <c r="I766" s="2081"/>
      <c r="J766" s="2081"/>
      <c r="K766" s="2081"/>
      <c r="L766" s="2081"/>
    </row>
    <row r="767" spans="2:12">
      <c r="B767" s="1661"/>
      <c r="C767" s="2081"/>
      <c r="D767" s="2081"/>
      <c r="E767" s="2081"/>
      <c r="F767" s="2081"/>
      <c r="G767" s="2081"/>
      <c r="H767" s="2081"/>
      <c r="I767" s="2081"/>
      <c r="J767" s="2081"/>
      <c r="K767" s="2081"/>
      <c r="L767" s="2081"/>
    </row>
    <row r="768" spans="2:12">
      <c r="B768" s="1661"/>
      <c r="C768" s="2081"/>
      <c r="D768" s="2081"/>
      <c r="E768" s="2081"/>
      <c r="F768" s="2081"/>
      <c r="G768" s="2081"/>
      <c r="H768" s="2081"/>
      <c r="I768" s="2081"/>
      <c r="J768" s="2081"/>
      <c r="K768" s="2081"/>
      <c r="L768" s="2081"/>
    </row>
    <row r="769" spans="2:12">
      <c r="B769" s="1661"/>
      <c r="C769" s="2081"/>
      <c r="D769" s="2081"/>
      <c r="E769" s="2081"/>
      <c r="F769" s="2081"/>
      <c r="G769" s="2081"/>
      <c r="H769" s="2081"/>
      <c r="I769" s="2081"/>
      <c r="J769" s="2081"/>
      <c r="K769" s="2081"/>
      <c r="L769" s="2081"/>
    </row>
    <row r="770" spans="2:12">
      <c r="B770" s="1661"/>
      <c r="C770" s="2081"/>
      <c r="D770" s="2081"/>
      <c r="E770" s="2081"/>
      <c r="F770" s="2081"/>
      <c r="G770" s="2081"/>
      <c r="H770" s="2081"/>
      <c r="I770" s="2081"/>
      <c r="J770" s="2081"/>
      <c r="K770" s="2081"/>
      <c r="L770" s="2081"/>
    </row>
    <row r="771" spans="2:12">
      <c r="B771" s="1661"/>
      <c r="C771" s="2081"/>
      <c r="D771" s="2081"/>
      <c r="E771" s="2081"/>
      <c r="F771" s="2081"/>
      <c r="G771" s="2081"/>
      <c r="H771" s="2081"/>
      <c r="I771" s="2081"/>
      <c r="J771" s="2081"/>
      <c r="K771" s="2081"/>
      <c r="L771" s="2081"/>
    </row>
    <row r="772" spans="2:12">
      <c r="B772" s="1661"/>
      <c r="C772" s="2081"/>
      <c r="D772" s="2081"/>
      <c r="E772" s="2081"/>
      <c r="F772" s="2081"/>
      <c r="G772" s="2081"/>
      <c r="H772" s="2081"/>
      <c r="I772" s="2081"/>
      <c r="J772" s="2081"/>
      <c r="K772" s="2081"/>
      <c r="L772" s="2081"/>
    </row>
    <row r="773" spans="2:12">
      <c r="B773" s="1661"/>
      <c r="C773" s="2081"/>
      <c r="D773" s="2081"/>
      <c r="E773" s="2081"/>
      <c r="F773" s="2081"/>
      <c r="G773" s="2081"/>
      <c r="H773" s="2081"/>
      <c r="I773" s="2081"/>
      <c r="J773" s="2081"/>
      <c r="K773" s="2081"/>
      <c r="L773" s="2081"/>
    </row>
    <row r="774" spans="2:12">
      <c r="B774" s="1661"/>
      <c r="C774" s="2081"/>
      <c r="D774" s="2081"/>
      <c r="E774" s="2081"/>
      <c r="F774" s="2081"/>
      <c r="G774" s="2081"/>
      <c r="H774" s="2081"/>
      <c r="I774" s="2081"/>
      <c r="J774" s="2081"/>
      <c r="K774" s="2081"/>
      <c r="L774" s="2081"/>
    </row>
    <row r="775" spans="2:12">
      <c r="B775" s="1661"/>
      <c r="C775" s="2081"/>
      <c r="D775" s="2081"/>
      <c r="E775" s="2081"/>
      <c r="F775" s="2081"/>
      <c r="G775" s="2081"/>
      <c r="H775" s="2081"/>
      <c r="I775" s="2081"/>
      <c r="J775" s="2081"/>
      <c r="K775" s="2081"/>
      <c r="L775" s="2081"/>
    </row>
    <row r="776" spans="2:12">
      <c r="B776" s="1661"/>
      <c r="C776" s="2081"/>
      <c r="D776" s="2081"/>
      <c r="E776" s="2081"/>
      <c r="F776" s="2081"/>
      <c r="G776" s="2081"/>
      <c r="H776" s="2081"/>
      <c r="I776" s="2081"/>
      <c r="J776" s="2081"/>
      <c r="K776" s="2081"/>
      <c r="L776" s="2081"/>
    </row>
    <row r="777" spans="2:12">
      <c r="B777" s="1661"/>
      <c r="C777" s="2081"/>
      <c r="D777" s="2081"/>
      <c r="E777" s="2081"/>
      <c r="F777" s="2081"/>
      <c r="G777" s="2081"/>
      <c r="H777" s="2081"/>
      <c r="I777" s="2081"/>
      <c r="J777" s="2081"/>
      <c r="K777" s="2081"/>
      <c r="L777" s="2081"/>
    </row>
    <row r="778" spans="2:12">
      <c r="B778" s="1661"/>
      <c r="C778" s="2081"/>
      <c r="D778" s="2081"/>
      <c r="E778" s="2081"/>
      <c r="F778" s="2081"/>
      <c r="G778" s="2081"/>
      <c r="H778" s="2081"/>
      <c r="I778" s="2081"/>
      <c r="J778" s="2081"/>
      <c r="K778" s="2081"/>
      <c r="L778" s="2081"/>
    </row>
    <row r="779" spans="2:12">
      <c r="B779" s="1661"/>
      <c r="C779" s="2081"/>
      <c r="D779" s="2081"/>
      <c r="E779" s="2081"/>
      <c r="F779" s="2081"/>
      <c r="G779" s="2081"/>
      <c r="H779" s="2081"/>
      <c r="I779" s="2081"/>
      <c r="J779" s="2081"/>
      <c r="K779" s="2081"/>
      <c r="L779" s="2081"/>
    </row>
    <row r="780" spans="2:12">
      <c r="B780" s="1661"/>
      <c r="C780" s="2081"/>
      <c r="D780" s="2081"/>
      <c r="E780" s="2081"/>
      <c r="F780" s="2081"/>
      <c r="G780" s="2081"/>
      <c r="H780" s="2081"/>
      <c r="I780" s="2081"/>
      <c r="J780" s="2081"/>
      <c r="K780" s="2081"/>
      <c r="L780" s="2081"/>
    </row>
    <row r="781" spans="2:12">
      <c r="B781" s="1661"/>
      <c r="C781" s="2081"/>
      <c r="D781" s="2081"/>
      <c r="E781" s="2081"/>
      <c r="F781" s="2081"/>
      <c r="G781" s="2081"/>
      <c r="H781" s="2081"/>
      <c r="I781" s="2081"/>
      <c r="J781" s="2081"/>
      <c r="K781" s="2081"/>
      <c r="L781" s="2081"/>
    </row>
    <row r="782" spans="2:12">
      <c r="B782" s="1661"/>
      <c r="C782" s="2081"/>
      <c r="D782" s="2081"/>
      <c r="E782" s="2081"/>
      <c r="F782" s="2081"/>
      <c r="G782" s="2081"/>
      <c r="H782" s="2081"/>
      <c r="I782" s="2081"/>
      <c r="J782" s="2081"/>
      <c r="K782" s="2081"/>
      <c r="L782" s="2081"/>
    </row>
    <row r="783" spans="2:12">
      <c r="B783" s="1661"/>
      <c r="C783" s="2081"/>
      <c r="D783" s="2081"/>
      <c r="E783" s="2081"/>
      <c r="F783" s="2081"/>
      <c r="G783" s="2081"/>
      <c r="H783" s="2081"/>
      <c r="I783" s="2081"/>
      <c r="J783" s="2081"/>
      <c r="K783" s="2081"/>
      <c r="L783" s="2081"/>
    </row>
    <row r="784" spans="2:12">
      <c r="B784" s="1661"/>
      <c r="C784" s="2081"/>
      <c r="D784" s="2081"/>
      <c r="E784" s="2081"/>
      <c r="F784" s="2081"/>
      <c r="G784" s="2081"/>
      <c r="H784" s="2081"/>
      <c r="I784" s="2081"/>
      <c r="J784" s="2081"/>
      <c r="K784" s="2081"/>
      <c r="L784" s="2081"/>
    </row>
    <row r="785" spans="2:12">
      <c r="B785" s="1661"/>
      <c r="C785" s="2081"/>
      <c r="D785" s="2081"/>
      <c r="E785" s="2081"/>
      <c r="F785" s="2081"/>
      <c r="G785" s="2081"/>
      <c r="H785" s="2081"/>
      <c r="I785" s="2081"/>
      <c r="J785" s="2081"/>
      <c r="K785" s="2081"/>
      <c r="L785" s="2081"/>
    </row>
    <row r="786" spans="2:12">
      <c r="B786" s="1661"/>
      <c r="C786" s="2081"/>
      <c r="D786" s="2081"/>
      <c r="E786" s="2081"/>
      <c r="F786" s="2081"/>
      <c r="G786" s="2081"/>
      <c r="H786" s="2081"/>
      <c r="I786" s="2081"/>
      <c r="J786" s="2081"/>
      <c r="K786" s="2081"/>
      <c r="L786" s="2081"/>
    </row>
    <row r="787" spans="2:12">
      <c r="B787" s="1661"/>
      <c r="C787" s="2081"/>
      <c r="D787" s="2081"/>
      <c r="E787" s="2081"/>
      <c r="F787" s="2081"/>
      <c r="G787" s="2081"/>
      <c r="H787" s="2081"/>
      <c r="I787" s="2081"/>
      <c r="J787" s="2081"/>
      <c r="K787" s="2081"/>
      <c r="L787" s="2081"/>
    </row>
    <row r="788" spans="2:12">
      <c r="B788" s="1661"/>
      <c r="C788" s="2081"/>
      <c r="D788" s="2081"/>
      <c r="E788" s="2081"/>
      <c r="F788" s="2081"/>
      <c r="G788" s="2081"/>
      <c r="H788" s="2081"/>
      <c r="I788" s="2081"/>
      <c r="J788" s="2081"/>
      <c r="K788" s="2081"/>
      <c r="L788" s="2081"/>
    </row>
    <row r="789" spans="2:12">
      <c r="B789" s="1661"/>
      <c r="C789" s="2081"/>
      <c r="D789" s="2081"/>
      <c r="E789" s="2081"/>
      <c r="F789" s="2081"/>
      <c r="G789" s="2081"/>
      <c r="H789" s="2081"/>
      <c r="I789" s="2081"/>
      <c r="J789" s="2081"/>
      <c r="K789" s="2081"/>
      <c r="L789" s="2081"/>
    </row>
    <row r="790" spans="2:12">
      <c r="B790" s="1661"/>
      <c r="C790" s="2081"/>
      <c r="D790" s="2081"/>
      <c r="E790" s="2081"/>
      <c r="F790" s="2081"/>
      <c r="G790" s="2081"/>
      <c r="H790" s="2081"/>
      <c r="I790" s="2081"/>
      <c r="J790" s="2081"/>
      <c r="K790" s="2081"/>
      <c r="L790" s="2081"/>
    </row>
    <row r="791" spans="2:12">
      <c r="B791" s="1661"/>
      <c r="C791" s="2081"/>
      <c r="D791" s="2081"/>
      <c r="E791" s="2081"/>
      <c r="F791" s="2081"/>
      <c r="G791" s="2081"/>
      <c r="H791" s="2081"/>
      <c r="I791" s="2081"/>
      <c r="J791" s="2081"/>
      <c r="K791" s="2081"/>
      <c r="L791" s="2081"/>
    </row>
    <row r="792" spans="2:12">
      <c r="B792" s="1661"/>
      <c r="C792" s="2081"/>
      <c r="D792" s="2081"/>
      <c r="E792" s="2081"/>
      <c r="F792" s="2081"/>
      <c r="G792" s="2081"/>
      <c r="H792" s="2081"/>
      <c r="I792" s="2081"/>
      <c r="J792" s="2081"/>
      <c r="K792" s="2081"/>
      <c r="L792" s="2081"/>
    </row>
    <row r="793" spans="2:12">
      <c r="B793" s="1661"/>
      <c r="C793" s="2081"/>
      <c r="D793" s="2081"/>
      <c r="E793" s="2081"/>
      <c r="F793" s="2081"/>
      <c r="G793" s="2081"/>
      <c r="H793" s="2081"/>
      <c r="I793" s="2081"/>
      <c r="J793" s="2081"/>
      <c r="K793" s="2081"/>
      <c r="L793" s="2081"/>
    </row>
    <row r="794" spans="2:12">
      <c r="B794" s="1661"/>
      <c r="C794" s="2081"/>
      <c r="D794" s="2081"/>
      <c r="E794" s="2081"/>
      <c r="F794" s="2081"/>
      <c r="G794" s="2081"/>
      <c r="H794" s="2081"/>
      <c r="I794" s="2081"/>
      <c r="J794" s="2081"/>
      <c r="K794" s="2081"/>
      <c r="L794" s="2081"/>
    </row>
    <row r="795" spans="2:12">
      <c r="B795" s="1661"/>
      <c r="C795" s="2081"/>
      <c r="D795" s="2081"/>
      <c r="E795" s="2081"/>
      <c r="F795" s="2081"/>
      <c r="G795" s="2081"/>
      <c r="H795" s="2081"/>
      <c r="I795" s="2081"/>
      <c r="J795" s="2081"/>
      <c r="K795" s="2081"/>
      <c r="L795" s="2081"/>
    </row>
    <row r="796" spans="2:12">
      <c r="B796" s="1661"/>
      <c r="C796" s="2081"/>
      <c r="D796" s="2081"/>
      <c r="E796" s="2081"/>
      <c r="F796" s="2081"/>
      <c r="G796" s="2081"/>
      <c r="H796" s="2081"/>
      <c r="I796" s="2081"/>
      <c r="J796" s="2081"/>
      <c r="K796" s="2081"/>
      <c r="L796" s="2081"/>
    </row>
    <row r="797" spans="2:12">
      <c r="B797" s="1661"/>
      <c r="C797" s="2081"/>
      <c r="D797" s="2081"/>
      <c r="E797" s="2081"/>
      <c r="F797" s="2081"/>
      <c r="G797" s="2081"/>
      <c r="H797" s="2081"/>
      <c r="I797" s="2081"/>
      <c r="J797" s="2081"/>
      <c r="K797" s="2081"/>
      <c r="L797" s="2081"/>
    </row>
    <row r="798" spans="2:12">
      <c r="B798" s="1661"/>
      <c r="C798" s="2081"/>
      <c r="D798" s="2081"/>
      <c r="E798" s="2081"/>
      <c r="F798" s="2081"/>
      <c r="G798" s="2081"/>
      <c r="H798" s="2081"/>
      <c r="I798" s="2081"/>
      <c r="J798" s="2081"/>
      <c r="K798" s="2081"/>
      <c r="L798" s="2081"/>
    </row>
    <row r="799" spans="2:12">
      <c r="B799" s="1661"/>
      <c r="C799" s="2081"/>
      <c r="D799" s="2081"/>
      <c r="E799" s="2081"/>
      <c r="F799" s="2081"/>
      <c r="G799" s="2081"/>
      <c r="H799" s="2081"/>
      <c r="I799" s="2081"/>
      <c r="J799" s="2081"/>
      <c r="K799" s="2081"/>
      <c r="L799" s="2081"/>
    </row>
    <row r="800" spans="2:12">
      <c r="B800" s="1661"/>
      <c r="C800" s="2081"/>
      <c r="D800" s="2081"/>
      <c r="E800" s="2081"/>
      <c r="F800" s="2081"/>
      <c r="G800" s="2081"/>
      <c r="H800" s="2081"/>
      <c r="I800" s="2081"/>
      <c r="J800" s="2081"/>
      <c r="K800" s="2081"/>
      <c r="L800" s="2081"/>
    </row>
    <row r="801" spans="2:12">
      <c r="B801" s="1661"/>
      <c r="C801" s="2081"/>
      <c r="D801" s="2081"/>
      <c r="E801" s="2081"/>
      <c r="F801" s="2081"/>
      <c r="G801" s="2081"/>
      <c r="H801" s="2081"/>
      <c r="I801" s="2081"/>
      <c r="J801" s="2081"/>
      <c r="K801" s="2081"/>
      <c r="L801" s="2081"/>
    </row>
    <row r="802" spans="2:12">
      <c r="B802" s="1661"/>
      <c r="C802" s="2081"/>
      <c r="D802" s="2081"/>
      <c r="E802" s="2081"/>
      <c r="F802" s="2081"/>
      <c r="G802" s="2081"/>
      <c r="H802" s="2081"/>
      <c r="I802" s="2081"/>
      <c r="J802" s="2081"/>
      <c r="K802" s="2081"/>
      <c r="L802" s="2081"/>
    </row>
    <row r="803" spans="2:12">
      <c r="B803" s="1661"/>
      <c r="C803" s="2081"/>
      <c r="D803" s="2081"/>
      <c r="E803" s="2081"/>
      <c r="F803" s="2081"/>
      <c r="G803" s="2081"/>
      <c r="H803" s="2081"/>
      <c r="I803" s="2081"/>
      <c r="J803" s="2081"/>
      <c r="K803" s="2081"/>
      <c r="L803" s="2081"/>
    </row>
    <row r="804" spans="2:12">
      <c r="B804" s="1661"/>
      <c r="C804" s="2081"/>
      <c r="D804" s="2081"/>
      <c r="E804" s="2081"/>
      <c r="F804" s="2081"/>
      <c r="G804" s="2081"/>
      <c r="H804" s="2081"/>
      <c r="I804" s="2081"/>
      <c r="J804" s="2081"/>
      <c r="K804" s="2081"/>
      <c r="L804" s="2081"/>
    </row>
    <row r="805" spans="2:12">
      <c r="B805" s="1661"/>
      <c r="C805" s="2081"/>
      <c r="D805" s="2081"/>
      <c r="E805" s="2081"/>
      <c r="F805" s="2081"/>
      <c r="G805" s="2081"/>
      <c r="H805" s="2081"/>
      <c r="I805" s="2081"/>
      <c r="J805" s="2081"/>
      <c r="K805" s="2081"/>
      <c r="L805" s="2081"/>
    </row>
    <row r="806" spans="2:12">
      <c r="B806" s="1661"/>
      <c r="C806" s="2081"/>
      <c r="D806" s="2081"/>
      <c r="E806" s="2081"/>
      <c r="F806" s="2081"/>
      <c r="G806" s="2081"/>
      <c r="H806" s="2081"/>
      <c r="I806" s="2081"/>
      <c r="J806" s="2081"/>
      <c r="K806" s="2081"/>
      <c r="L806" s="2081"/>
    </row>
    <row r="807" spans="2:12">
      <c r="B807" s="1661"/>
      <c r="C807" s="2081"/>
      <c r="D807" s="2081"/>
      <c r="E807" s="2081"/>
      <c r="F807" s="2081"/>
      <c r="G807" s="2081"/>
      <c r="H807" s="2081"/>
      <c r="I807" s="2081"/>
      <c r="J807" s="2081"/>
      <c r="K807" s="2081"/>
      <c r="L807" s="2081"/>
    </row>
    <row r="808" spans="2:12">
      <c r="B808" s="1661"/>
      <c r="C808" s="2081"/>
      <c r="D808" s="2081"/>
      <c r="E808" s="2081"/>
      <c r="F808" s="2081"/>
      <c r="G808" s="2081"/>
      <c r="H808" s="2081"/>
      <c r="I808" s="2081"/>
      <c r="J808" s="2081"/>
      <c r="K808" s="2081"/>
      <c r="L808" s="2081"/>
    </row>
    <row r="809" spans="2:12">
      <c r="B809" s="1661"/>
      <c r="C809" s="2081"/>
      <c r="D809" s="2081"/>
      <c r="E809" s="2081"/>
      <c r="F809" s="2081"/>
      <c r="G809" s="2081"/>
      <c r="H809" s="2081"/>
      <c r="I809" s="2081"/>
      <c r="J809" s="2081"/>
      <c r="K809" s="2081"/>
      <c r="L809" s="2081"/>
    </row>
    <row r="810" spans="2:12">
      <c r="B810" s="1661"/>
      <c r="C810" s="2081"/>
      <c r="D810" s="2081"/>
      <c r="E810" s="2081"/>
      <c r="F810" s="2081"/>
      <c r="G810" s="2081"/>
      <c r="H810" s="2081"/>
      <c r="I810" s="2081"/>
      <c r="J810" s="2081"/>
      <c r="K810" s="2081"/>
      <c r="L810" s="2081"/>
    </row>
    <row r="811" spans="2:12">
      <c r="B811" s="1661"/>
      <c r="C811" s="2081"/>
      <c r="D811" s="2081"/>
      <c r="E811" s="2081"/>
      <c r="F811" s="2081"/>
      <c r="G811" s="2081"/>
      <c r="H811" s="2081"/>
      <c r="I811" s="2081"/>
      <c r="J811" s="2081"/>
      <c r="K811" s="2081"/>
      <c r="L811" s="2081"/>
    </row>
    <row r="812" spans="2:12">
      <c r="B812" s="1661"/>
      <c r="C812" s="2081"/>
      <c r="D812" s="2081"/>
      <c r="E812" s="2081"/>
      <c r="F812" s="2081"/>
      <c r="G812" s="2081"/>
      <c r="H812" s="2081"/>
      <c r="I812" s="2081"/>
      <c r="J812" s="2081"/>
      <c r="K812" s="2081"/>
      <c r="L812" s="2081"/>
    </row>
    <row r="813" spans="2:12">
      <c r="B813" s="1661"/>
      <c r="C813" s="2081"/>
      <c r="D813" s="2081"/>
      <c r="E813" s="2081"/>
      <c r="F813" s="2081"/>
      <c r="G813" s="2081"/>
      <c r="H813" s="2081"/>
      <c r="I813" s="2081"/>
      <c r="J813" s="2081"/>
      <c r="K813" s="2081"/>
      <c r="L813" s="2081"/>
    </row>
    <row r="814" spans="2:12">
      <c r="B814" s="1661"/>
      <c r="C814" s="2081"/>
      <c r="D814" s="2081"/>
      <c r="E814" s="2081"/>
      <c r="F814" s="2081"/>
      <c r="G814" s="2081"/>
      <c r="H814" s="2081"/>
      <c r="I814" s="2081"/>
      <c r="J814" s="2081"/>
      <c r="K814" s="2081"/>
      <c r="L814" s="2081"/>
    </row>
    <row r="815" spans="2:12">
      <c r="B815" s="1661"/>
      <c r="C815" s="2081"/>
      <c r="D815" s="2081"/>
      <c r="E815" s="2081"/>
      <c r="F815" s="2081"/>
      <c r="G815" s="2081"/>
      <c r="H815" s="2081"/>
      <c r="I815" s="2081"/>
      <c r="J815" s="2081"/>
      <c r="K815" s="2081"/>
      <c r="L815" s="2081"/>
    </row>
    <row r="816" spans="2:12">
      <c r="B816" s="1661"/>
      <c r="C816" s="2081"/>
      <c r="D816" s="2081"/>
      <c r="E816" s="2081"/>
      <c r="F816" s="2081"/>
      <c r="G816" s="2081"/>
      <c r="H816" s="2081"/>
      <c r="I816" s="2081"/>
      <c r="J816" s="2081"/>
      <c r="K816" s="2081"/>
      <c r="L816" s="2081"/>
    </row>
    <row r="817" spans="2:12">
      <c r="B817" s="1661"/>
      <c r="C817" s="2081"/>
      <c r="D817" s="2081"/>
      <c r="E817" s="2081"/>
      <c r="F817" s="2081"/>
      <c r="G817" s="2081"/>
      <c r="H817" s="2081"/>
      <c r="I817" s="2081"/>
      <c r="J817" s="2081"/>
      <c r="K817" s="2081"/>
      <c r="L817" s="2081"/>
    </row>
    <row r="818" spans="2:12">
      <c r="B818" s="1661"/>
      <c r="C818" s="2081"/>
      <c r="D818" s="2081"/>
      <c r="E818" s="2081"/>
      <c r="F818" s="2081"/>
      <c r="G818" s="2081"/>
      <c r="H818" s="2081"/>
      <c r="I818" s="2081"/>
      <c r="J818" s="2081"/>
      <c r="K818" s="2081"/>
      <c r="L818" s="2081"/>
    </row>
    <row r="819" spans="2:12">
      <c r="B819" s="1661"/>
      <c r="C819" s="2081"/>
      <c r="D819" s="2081"/>
      <c r="E819" s="2081"/>
      <c r="F819" s="2081"/>
      <c r="G819" s="2081"/>
      <c r="H819" s="2081"/>
      <c r="I819" s="2081"/>
      <c r="J819" s="2081"/>
      <c r="K819" s="2081"/>
      <c r="L819" s="2081"/>
    </row>
    <row r="820" spans="2:12">
      <c r="B820" s="1661"/>
      <c r="C820" s="2081"/>
      <c r="D820" s="2081"/>
      <c r="E820" s="2081"/>
      <c r="F820" s="2081"/>
      <c r="G820" s="2081"/>
      <c r="H820" s="2081"/>
      <c r="I820" s="2081"/>
      <c r="J820" s="2081"/>
      <c r="K820" s="2081"/>
      <c r="L820" s="2081"/>
    </row>
    <row r="821" spans="2:12">
      <c r="B821" s="1661"/>
      <c r="C821" s="2081"/>
      <c r="D821" s="2081"/>
      <c r="E821" s="2081"/>
      <c r="F821" s="2081"/>
      <c r="G821" s="2081"/>
      <c r="H821" s="2081"/>
      <c r="I821" s="2081"/>
      <c r="J821" s="2081"/>
      <c r="K821" s="2081"/>
      <c r="L821" s="2081"/>
    </row>
    <row r="822" spans="2:12">
      <c r="B822" s="1661"/>
      <c r="C822" s="2081"/>
      <c r="D822" s="2081"/>
      <c r="E822" s="2081"/>
      <c r="F822" s="2081"/>
      <c r="G822" s="2081"/>
      <c r="H822" s="2081"/>
      <c r="I822" s="2081"/>
      <c r="J822" s="2081"/>
      <c r="K822" s="2081"/>
      <c r="L822" s="2081"/>
    </row>
    <row r="823" spans="2:12">
      <c r="B823" s="1661"/>
      <c r="C823" s="2081"/>
      <c r="D823" s="2081"/>
      <c r="E823" s="2081"/>
      <c r="F823" s="2081"/>
      <c r="G823" s="2081"/>
      <c r="H823" s="2081"/>
      <c r="I823" s="2081"/>
      <c r="J823" s="2081"/>
      <c r="K823" s="2081"/>
      <c r="L823" s="2081"/>
    </row>
    <row r="824" spans="2:12">
      <c r="B824" s="1661"/>
      <c r="C824" s="2081"/>
      <c r="D824" s="2081"/>
      <c r="E824" s="2081"/>
      <c r="F824" s="2081"/>
      <c r="G824" s="2081"/>
      <c r="H824" s="2081"/>
      <c r="I824" s="2081"/>
      <c r="J824" s="2081"/>
      <c r="K824" s="2081"/>
      <c r="L824" s="2081"/>
    </row>
    <row r="825" spans="2:12">
      <c r="B825" s="1661"/>
      <c r="C825" s="2081"/>
      <c r="D825" s="2081"/>
      <c r="E825" s="2081"/>
      <c r="F825" s="2081"/>
      <c r="G825" s="2081"/>
      <c r="H825" s="2081"/>
      <c r="I825" s="2081"/>
      <c r="J825" s="2081"/>
      <c r="K825" s="2081"/>
      <c r="L825" s="2081"/>
    </row>
    <row r="826" spans="2:12">
      <c r="B826" s="1661"/>
      <c r="C826" s="2081"/>
      <c r="D826" s="2081"/>
      <c r="E826" s="2081"/>
      <c r="F826" s="2081"/>
      <c r="G826" s="2081"/>
      <c r="H826" s="2081"/>
      <c r="I826" s="2081"/>
      <c r="J826" s="2081"/>
      <c r="K826" s="2081"/>
      <c r="L826" s="2081"/>
    </row>
    <row r="827" spans="2:12">
      <c r="B827" s="1661"/>
      <c r="C827" s="2081"/>
      <c r="D827" s="2081"/>
      <c r="E827" s="2081"/>
      <c r="F827" s="2081"/>
      <c r="G827" s="2081"/>
      <c r="H827" s="2081"/>
      <c r="I827" s="2081"/>
      <c r="J827" s="2081"/>
      <c r="K827" s="2081"/>
      <c r="L827" s="2081"/>
    </row>
    <row r="828" spans="2:12">
      <c r="B828" s="1661"/>
      <c r="C828" s="2081"/>
      <c r="D828" s="2081"/>
      <c r="E828" s="2081"/>
      <c r="F828" s="2081"/>
      <c r="G828" s="2081"/>
      <c r="H828" s="2081"/>
      <c r="I828" s="2081"/>
      <c r="J828" s="2081"/>
      <c r="K828" s="2081"/>
      <c r="L828" s="2081"/>
    </row>
    <row r="829" spans="2:12">
      <c r="B829" s="1661"/>
      <c r="C829" s="2081"/>
      <c r="D829" s="2081"/>
      <c r="E829" s="2081"/>
      <c r="F829" s="2081"/>
      <c r="G829" s="2081"/>
      <c r="H829" s="2081"/>
      <c r="I829" s="2081"/>
      <c r="J829" s="2081"/>
      <c r="K829" s="2081"/>
      <c r="L829" s="2081"/>
    </row>
    <row r="830" spans="2:12">
      <c r="B830" s="1661"/>
      <c r="C830" s="2081"/>
      <c r="D830" s="2081"/>
      <c r="E830" s="2081"/>
      <c r="F830" s="2081"/>
      <c r="G830" s="2081"/>
      <c r="H830" s="2081"/>
      <c r="I830" s="2081"/>
      <c r="J830" s="2081"/>
      <c r="K830" s="2081"/>
      <c r="L830" s="2081"/>
    </row>
    <row r="831" spans="2:12">
      <c r="B831" s="1661"/>
      <c r="C831" s="2081"/>
      <c r="D831" s="2081"/>
      <c r="E831" s="2081"/>
      <c r="F831" s="2081"/>
      <c r="G831" s="2081"/>
      <c r="H831" s="2081"/>
      <c r="I831" s="2081"/>
      <c r="J831" s="2081"/>
      <c r="K831" s="2081"/>
      <c r="L831" s="2081"/>
    </row>
    <row r="832" spans="2:12">
      <c r="B832" s="1661"/>
      <c r="C832" s="2081"/>
      <c r="D832" s="2081"/>
      <c r="E832" s="2081"/>
      <c r="F832" s="2081"/>
      <c r="G832" s="2081"/>
      <c r="H832" s="2081"/>
      <c r="I832" s="2081"/>
      <c r="J832" s="2081"/>
      <c r="K832" s="2081"/>
      <c r="L832" s="2081"/>
    </row>
    <row r="833" spans="2:12">
      <c r="B833" s="1661"/>
      <c r="C833" s="2081"/>
      <c r="D833" s="2081"/>
      <c r="E833" s="2081"/>
      <c r="F833" s="2081"/>
      <c r="G833" s="2081"/>
      <c r="H833" s="2081"/>
      <c r="I833" s="2081"/>
      <c r="J833" s="2081"/>
      <c r="K833" s="2081"/>
      <c r="L833" s="2081"/>
    </row>
    <row r="834" spans="2:12">
      <c r="B834" s="1661"/>
      <c r="C834" s="2081"/>
      <c r="D834" s="2081"/>
      <c r="E834" s="2081"/>
      <c r="F834" s="2081"/>
      <c r="G834" s="2081"/>
      <c r="H834" s="2081"/>
      <c r="I834" s="2081"/>
      <c r="J834" s="2081"/>
      <c r="K834" s="2081"/>
      <c r="L834" s="2081"/>
    </row>
    <row r="835" spans="2:12">
      <c r="B835" s="1661"/>
      <c r="C835" s="2081"/>
      <c r="D835" s="2081"/>
      <c r="E835" s="2081"/>
      <c r="F835" s="2081"/>
      <c r="G835" s="2081"/>
      <c r="H835" s="2081"/>
      <c r="I835" s="2081"/>
      <c r="J835" s="2081"/>
      <c r="K835" s="2081"/>
      <c r="L835" s="2081"/>
    </row>
    <row r="836" spans="2:12">
      <c r="B836" s="1661"/>
      <c r="C836" s="2081"/>
      <c r="D836" s="2081"/>
      <c r="E836" s="2081"/>
      <c r="F836" s="2081"/>
      <c r="G836" s="2081"/>
      <c r="H836" s="2081"/>
      <c r="I836" s="2081"/>
      <c r="J836" s="2081"/>
      <c r="K836" s="2081"/>
      <c r="L836" s="2081"/>
    </row>
    <row r="837" spans="2:12">
      <c r="B837" s="1661"/>
      <c r="C837" s="2081"/>
      <c r="D837" s="2081"/>
      <c r="E837" s="2081"/>
      <c r="F837" s="2081"/>
      <c r="G837" s="2081"/>
      <c r="H837" s="2081"/>
      <c r="I837" s="2081"/>
      <c r="J837" s="2081"/>
      <c r="K837" s="2081"/>
      <c r="L837" s="2081"/>
    </row>
    <row r="838" spans="2:12">
      <c r="B838" s="1661"/>
      <c r="C838" s="2081"/>
      <c r="D838" s="2081"/>
      <c r="E838" s="2081"/>
      <c r="F838" s="2081"/>
      <c r="G838" s="2081"/>
      <c r="H838" s="2081"/>
      <c r="I838" s="2081"/>
      <c r="J838" s="2081"/>
      <c r="K838" s="2081"/>
      <c r="L838" s="2081"/>
    </row>
    <row r="839" spans="2:12">
      <c r="B839" s="1661"/>
      <c r="C839" s="2081"/>
      <c r="D839" s="2081"/>
      <c r="E839" s="2081"/>
      <c r="F839" s="2081"/>
      <c r="G839" s="2081"/>
      <c r="H839" s="2081"/>
      <c r="I839" s="2081"/>
      <c r="J839" s="2081"/>
      <c r="K839" s="2081"/>
      <c r="L839" s="2081"/>
    </row>
    <row r="840" spans="2:12">
      <c r="B840" s="1661"/>
      <c r="C840" s="2081"/>
      <c r="D840" s="2081"/>
      <c r="E840" s="2081"/>
      <c r="F840" s="2081"/>
      <c r="G840" s="2081"/>
      <c r="H840" s="2081"/>
      <c r="I840" s="2081"/>
      <c r="J840" s="2081"/>
      <c r="K840" s="2081"/>
      <c r="L840" s="2081"/>
    </row>
    <row r="841" spans="2:12">
      <c r="B841" s="1661"/>
      <c r="C841" s="2081"/>
      <c r="D841" s="2081"/>
      <c r="E841" s="2081"/>
      <c r="F841" s="2081"/>
      <c r="G841" s="2081"/>
      <c r="H841" s="2081"/>
      <c r="I841" s="2081"/>
      <c r="J841" s="2081"/>
      <c r="K841" s="2081"/>
      <c r="L841" s="2081"/>
    </row>
    <row r="842" spans="2:12">
      <c r="B842" s="1661"/>
      <c r="C842" s="2081"/>
      <c r="D842" s="2081"/>
      <c r="E842" s="2081"/>
      <c r="F842" s="2081"/>
      <c r="G842" s="2081"/>
      <c r="H842" s="2081"/>
      <c r="I842" s="2081"/>
      <c r="J842" s="2081"/>
      <c r="K842" s="2081"/>
      <c r="L842" s="2081"/>
    </row>
    <row r="843" spans="2:12">
      <c r="B843" s="1661"/>
      <c r="C843" s="2081"/>
      <c r="D843" s="2081"/>
      <c r="E843" s="2081"/>
      <c r="F843" s="2081"/>
      <c r="G843" s="2081"/>
      <c r="H843" s="2081"/>
      <c r="I843" s="2081"/>
      <c r="J843" s="2081"/>
      <c r="K843" s="2081"/>
      <c r="L843" s="2081"/>
    </row>
    <row r="844" spans="2:12">
      <c r="B844" s="1661"/>
      <c r="C844" s="2081"/>
      <c r="D844" s="2081"/>
      <c r="E844" s="2081"/>
      <c r="F844" s="2081"/>
      <c r="G844" s="2081"/>
      <c r="H844" s="2081"/>
      <c r="I844" s="2081"/>
      <c r="J844" s="2081"/>
      <c r="K844" s="2081"/>
      <c r="L844" s="2081"/>
    </row>
    <row r="845" spans="2:12">
      <c r="B845" s="1661"/>
      <c r="C845" s="2081"/>
      <c r="D845" s="2081"/>
      <c r="E845" s="2081"/>
      <c r="F845" s="2081"/>
      <c r="G845" s="2081"/>
      <c r="H845" s="2081"/>
      <c r="I845" s="2081"/>
      <c r="J845" s="2081"/>
      <c r="K845" s="2081"/>
      <c r="L845" s="2081"/>
    </row>
    <row r="846" spans="2:12">
      <c r="B846" s="1661"/>
      <c r="C846" s="2081"/>
      <c r="D846" s="2081"/>
      <c r="E846" s="2081"/>
      <c r="F846" s="2081"/>
      <c r="G846" s="2081"/>
      <c r="H846" s="2081"/>
      <c r="I846" s="2081"/>
      <c r="J846" s="2081"/>
      <c r="K846" s="2081"/>
      <c r="L846" s="2081"/>
    </row>
    <row r="847" spans="2:12">
      <c r="B847" s="1661"/>
      <c r="C847" s="2081"/>
      <c r="D847" s="2081"/>
      <c r="E847" s="2081"/>
      <c r="F847" s="2081"/>
      <c r="G847" s="2081"/>
      <c r="H847" s="2081"/>
      <c r="I847" s="2081"/>
      <c r="J847" s="2081"/>
      <c r="K847" s="2081"/>
      <c r="L847" s="2081"/>
    </row>
    <row r="848" spans="2:12">
      <c r="B848" s="1661"/>
      <c r="C848" s="2081"/>
      <c r="D848" s="2081"/>
      <c r="E848" s="2081"/>
      <c r="F848" s="2081"/>
      <c r="G848" s="2081"/>
      <c r="H848" s="2081"/>
      <c r="I848" s="2081"/>
      <c r="J848" s="2081"/>
      <c r="K848" s="2081"/>
      <c r="L848" s="2081"/>
    </row>
    <row r="849" spans="2:12">
      <c r="B849" s="1661"/>
      <c r="C849" s="2081"/>
      <c r="D849" s="2081"/>
      <c r="E849" s="2081"/>
      <c r="F849" s="2081"/>
      <c r="G849" s="2081"/>
      <c r="H849" s="2081"/>
      <c r="I849" s="2081"/>
      <c r="J849" s="2081"/>
      <c r="K849" s="2081"/>
      <c r="L849" s="2081"/>
    </row>
    <row r="850" spans="2:12">
      <c r="B850" s="1661"/>
      <c r="C850" s="2081"/>
      <c r="D850" s="2081"/>
      <c r="E850" s="2081"/>
      <c r="F850" s="2081"/>
      <c r="G850" s="2081"/>
      <c r="H850" s="2081"/>
      <c r="I850" s="2081"/>
      <c r="J850" s="2081"/>
      <c r="K850" s="2081"/>
      <c r="L850" s="2081"/>
    </row>
    <row r="851" spans="2:12">
      <c r="B851" s="1661"/>
      <c r="C851" s="2081"/>
      <c r="D851" s="2081"/>
      <c r="E851" s="2081"/>
      <c r="F851" s="2081"/>
      <c r="G851" s="2081"/>
      <c r="H851" s="2081"/>
      <c r="I851" s="2081"/>
      <c r="J851" s="2081"/>
      <c r="K851" s="2081"/>
      <c r="L851" s="2081"/>
    </row>
    <row r="852" spans="2:12">
      <c r="B852" s="1661"/>
      <c r="C852" s="2081"/>
      <c r="D852" s="2081"/>
      <c r="E852" s="2081"/>
      <c r="F852" s="2081"/>
      <c r="G852" s="2081"/>
      <c r="H852" s="2081"/>
      <c r="I852" s="2081"/>
      <c r="J852" s="2081"/>
      <c r="K852" s="2081"/>
      <c r="L852" s="2081"/>
    </row>
    <row r="853" spans="2:12">
      <c r="B853" s="1661"/>
      <c r="C853" s="2081"/>
      <c r="D853" s="2081"/>
      <c r="E853" s="2081"/>
      <c r="F853" s="2081"/>
      <c r="G853" s="2081"/>
      <c r="H853" s="2081"/>
      <c r="I853" s="2081"/>
      <c r="J853" s="2081"/>
      <c r="K853" s="2081"/>
      <c r="L853" s="2081"/>
    </row>
    <row r="854" spans="2:12">
      <c r="B854" s="1661"/>
      <c r="C854" s="2081"/>
      <c r="D854" s="2081"/>
      <c r="E854" s="2081"/>
      <c r="F854" s="2081"/>
      <c r="G854" s="2081"/>
      <c r="H854" s="2081"/>
      <c r="I854" s="2081"/>
      <c r="J854" s="2081"/>
      <c r="K854" s="2081"/>
      <c r="L854" s="2081"/>
    </row>
    <row r="855" spans="2:12">
      <c r="B855" s="1661"/>
      <c r="C855" s="2081"/>
      <c r="D855" s="2081"/>
      <c r="E855" s="2081"/>
      <c r="F855" s="2081"/>
      <c r="G855" s="2081"/>
      <c r="H855" s="2081"/>
      <c r="I855" s="2081"/>
      <c r="J855" s="2081"/>
      <c r="K855" s="2081"/>
      <c r="L855" s="2081"/>
    </row>
    <row r="856" spans="2:12">
      <c r="B856" s="1661"/>
      <c r="C856" s="2081"/>
      <c r="D856" s="2081"/>
      <c r="E856" s="2081"/>
      <c r="F856" s="2081"/>
      <c r="G856" s="2081"/>
      <c r="H856" s="2081"/>
      <c r="I856" s="2081"/>
      <c r="J856" s="2081"/>
      <c r="K856" s="2081"/>
      <c r="L856" s="2081"/>
    </row>
    <row r="857" spans="2:12">
      <c r="B857" s="1661"/>
      <c r="C857" s="2081"/>
      <c r="D857" s="2081"/>
      <c r="E857" s="2081"/>
      <c r="F857" s="2081"/>
      <c r="G857" s="2081"/>
      <c r="H857" s="2081"/>
      <c r="I857" s="2081"/>
      <c r="J857" s="2081"/>
      <c r="K857" s="2081"/>
      <c r="L857" s="2081"/>
    </row>
    <row r="858" spans="2:12">
      <c r="B858" s="1661"/>
      <c r="C858" s="2081"/>
      <c r="D858" s="2081"/>
      <c r="E858" s="2081"/>
      <c r="F858" s="2081"/>
      <c r="G858" s="2081"/>
      <c r="H858" s="2081"/>
      <c r="I858" s="2081"/>
      <c r="J858" s="2081"/>
      <c r="K858" s="2081"/>
      <c r="L858" s="2081"/>
    </row>
    <row r="859" spans="2:12">
      <c r="B859" s="1661"/>
      <c r="C859" s="2081"/>
      <c r="D859" s="2081"/>
      <c r="E859" s="2081"/>
      <c r="F859" s="2081"/>
      <c r="G859" s="2081"/>
      <c r="H859" s="2081"/>
      <c r="I859" s="2081"/>
      <c r="J859" s="2081"/>
      <c r="K859" s="2081"/>
      <c r="L859" s="2081"/>
    </row>
    <row r="860" spans="2:12">
      <c r="B860" s="1661"/>
      <c r="C860" s="2081"/>
      <c r="D860" s="2081"/>
      <c r="E860" s="2081"/>
      <c r="F860" s="2081"/>
      <c r="G860" s="2081"/>
      <c r="H860" s="2081"/>
      <c r="I860" s="2081"/>
      <c r="J860" s="2081"/>
      <c r="K860" s="2081"/>
      <c r="L860" s="2081"/>
    </row>
    <row r="861" spans="2:12">
      <c r="B861" s="1661"/>
      <c r="C861" s="2081"/>
      <c r="D861" s="2081"/>
      <c r="E861" s="2081"/>
      <c r="F861" s="2081"/>
      <c r="G861" s="2081"/>
      <c r="H861" s="2081"/>
      <c r="I861" s="2081"/>
      <c r="J861" s="2081"/>
      <c r="K861" s="2081"/>
      <c r="L861" s="2081"/>
    </row>
    <row r="862" spans="2:12">
      <c r="B862" s="1661"/>
      <c r="C862" s="2081"/>
      <c r="D862" s="2081"/>
      <c r="E862" s="2081"/>
      <c r="F862" s="2081"/>
      <c r="G862" s="2081"/>
      <c r="H862" s="2081"/>
      <c r="I862" s="2081"/>
      <c r="J862" s="2081"/>
      <c r="K862" s="2081"/>
      <c r="L862" s="2081"/>
    </row>
    <row r="863" spans="2:12">
      <c r="B863" s="1661"/>
      <c r="C863" s="2081"/>
      <c r="D863" s="2081"/>
      <c r="E863" s="2081"/>
      <c r="F863" s="2081"/>
      <c r="G863" s="2081"/>
      <c r="H863" s="2081"/>
      <c r="I863" s="2081"/>
      <c r="J863" s="2081"/>
      <c r="K863" s="2081"/>
      <c r="L863" s="2081"/>
    </row>
    <row r="864" spans="2:12">
      <c r="B864" s="1661"/>
      <c r="C864" s="2081"/>
      <c r="D864" s="2081"/>
      <c r="E864" s="2081"/>
      <c r="F864" s="2081"/>
      <c r="G864" s="2081"/>
      <c r="H864" s="2081"/>
      <c r="I864" s="2081"/>
      <c r="J864" s="2081"/>
      <c r="K864" s="2081"/>
      <c r="L864" s="2081"/>
    </row>
    <row r="865" spans="2:12">
      <c r="B865" s="1661"/>
      <c r="C865" s="2081"/>
      <c r="D865" s="2081"/>
      <c r="E865" s="2081"/>
      <c r="F865" s="2081"/>
      <c r="G865" s="2081"/>
      <c r="H865" s="2081"/>
      <c r="I865" s="2081"/>
      <c r="J865" s="2081"/>
      <c r="K865" s="2081"/>
      <c r="L865" s="2081"/>
    </row>
    <row r="866" spans="2:12">
      <c r="B866" s="1661"/>
      <c r="C866" s="2081"/>
      <c r="D866" s="2081"/>
      <c r="E866" s="2081"/>
      <c r="F866" s="2081"/>
      <c r="G866" s="2081"/>
      <c r="H866" s="2081"/>
      <c r="I866" s="2081"/>
      <c r="J866" s="2081"/>
      <c r="K866" s="2081"/>
      <c r="L866" s="2081"/>
    </row>
    <row r="867" spans="2:12">
      <c r="B867" s="1661"/>
      <c r="C867" s="2081"/>
      <c r="D867" s="2081"/>
      <c r="E867" s="2081"/>
      <c r="F867" s="2081"/>
      <c r="G867" s="2081"/>
      <c r="H867" s="2081"/>
      <c r="I867" s="2081"/>
      <c r="J867" s="2081"/>
      <c r="K867" s="2081"/>
      <c r="L867" s="2081"/>
    </row>
    <row r="868" spans="2:12">
      <c r="B868" s="1661"/>
      <c r="C868" s="2081"/>
      <c r="D868" s="2081"/>
      <c r="E868" s="2081"/>
      <c r="F868" s="2081"/>
      <c r="G868" s="2081"/>
      <c r="H868" s="2081"/>
      <c r="I868" s="2081"/>
      <c r="J868" s="2081"/>
      <c r="K868" s="2081"/>
      <c r="L868" s="2081"/>
    </row>
    <row r="869" spans="2:12">
      <c r="B869" s="1661"/>
      <c r="C869" s="2081"/>
      <c r="D869" s="2081"/>
      <c r="E869" s="2081"/>
      <c r="F869" s="2081"/>
      <c r="G869" s="2081"/>
      <c r="H869" s="2081"/>
      <c r="I869" s="2081"/>
      <c r="J869" s="2081"/>
      <c r="K869" s="2081"/>
      <c r="L869" s="2081"/>
    </row>
    <row r="870" spans="2:12">
      <c r="B870" s="1661"/>
      <c r="C870" s="2081"/>
      <c r="D870" s="2081"/>
      <c r="E870" s="2081"/>
      <c r="F870" s="2081"/>
      <c r="G870" s="2081"/>
      <c r="H870" s="2081"/>
      <c r="I870" s="2081"/>
      <c r="J870" s="2081"/>
      <c r="K870" s="2081"/>
      <c r="L870" s="2081"/>
    </row>
    <row r="871" spans="2:12">
      <c r="B871" s="1661"/>
      <c r="C871" s="2081"/>
      <c r="D871" s="2081"/>
      <c r="E871" s="2081"/>
      <c r="F871" s="2081"/>
      <c r="G871" s="2081"/>
      <c r="H871" s="2081"/>
      <c r="I871" s="2081"/>
      <c r="J871" s="2081"/>
      <c r="K871" s="2081"/>
      <c r="L871" s="2081"/>
    </row>
    <row r="872" spans="2:12">
      <c r="B872" s="1661"/>
      <c r="C872" s="2081"/>
      <c r="D872" s="2081"/>
      <c r="E872" s="2081"/>
      <c r="F872" s="2081"/>
      <c r="G872" s="2081"/>
      <c r="H872" s="2081"/>
      <c r="I872" s="2081"/>
      <c r="J872" s="2081"/>
      <c r="K872" s="2081"/>
      <c r="L872" s="2081"/>
    </row>
    <row r="873" spans="2:12">
      <c r="B873" s="1661"/>
      <c r="C873" s="2081"/>
      <c r="D873" s="2081"/>
      <c r="E873" s="2081"/>
      <c r="F873" s="2081"/>
      <c r="G873" s="2081"/>
      <c r="H873" s="2081"/>
      <c r="I873" s="2081"/>
      <c r="J873" s="2081"/>
      <c r="K873" s="2081"/>
      <c r="L873" s="2081"/>
    </row>
    <row r="874" spans="2:12">
      <c r="B874" s="1661"/>
      <c r="C874" s="2081"/>
      <c r="D874" s="2081"/>
      <c r="E874" s="2081"/>
      <c r="F874" s="2081"/>
      <c r="G874" s="2081"/>
      <c r="H874" s="2081"/>
      <c r="I874" s="2081"/>
      <c r="J874" s="2081"/>
      <c r="K874" s="2081"/>
      <c r="L874" s="2081"/>
    </row>
    <row r="875" spans="2:12">
      <c r="B875" s="1661"/>
      <c r="C875" s="2081"/>
      <c r="D875" s="2081"/>
      <c r="E875" s="2081"/>
      <c r="F875" s="2081"/>
      <c r="G875" s="2081"/>
      <c r="H875" s="2081"/>
      <c r="I875" s="2081"/>
      <c r="J875" s="2081"/>
      <c r="K875" s="2081"/>
      <c r="L875" s="2081"/>
    </row>
    <row r="876" spans="2:12">
      <c r="B876" s="1661"/>
      <c r="C876" s="2081"/>
      <c r="D876" s="2081"/>
      <c r="E876" s="2081"/>
      <c r="F876" s="2081"/>
      <c r="G876" s="2081"/>
      <c r="H876" s="2081"/>
      <c r="I876" s="2081"/>
      <c r="J876" s="2081"/>
      <c r="K876" s="2081"/>
      <c r="L876" s="2081"/>
    </row>
    <row r="877" spans="2:12">
      <c r="B877" s="1661"/>
      <c r="C877" s="2081"/>
      <c r="D877" s="2081"/>
      <c r="E877" s="2081"/>
      <c r="F877" s="2081"/>
      <c r="G877" s="2081"/>
      <c r="H877" s="2081"/>
      <c r="I877" s="2081"/>
      <c r="J877" s="2081"/>
      <c r="K877" s="2081"/>
      <c r="L877" s="2081"/>
    </row>
    <row r="878" spans="2:12">
      <c r="B878" s="1661"/>
      <c r="C878" s="2081"/>
      <c r="D878" s="2081"/>
      <c r="E878" s="2081"/>
      <c r="F878" s="2081"/>
      <c r="G878" s="2081"/>
      <c r="H878" s="2081"/>
      <c r="I878" s="2081"/>
      <c r="J878" s="2081"/>
      <c r="K878" s="2081"/>
      <c r="L878" s="2081"/>
    </row>
    <row r="879" spans="2:12">
      <c r="B879" s="1661"/>
      <c r="C879" s="2081"/>
      <c r="D879" s="2081"/>
      <c r="E879" s="2081"/>
      <c r="F879" s="2081"/>
      <c r="G879" s="2081"/>
      <c r="H879" s="2081"/>
      <c r="I879" s="2081"/>
      <c r="J879" s="2081"/>
      <c r="K879" s="2081"/>
      <c r="L879" s="2081"/>
    </row>
    <row r="880" spans="2:12">
      <c r="B880" s="1661"/>
      <c r="C880" s="2081"/>
      <c r="D880" s="2081"/>
      <c r="E880" s="2081"/>
      <c r="F880" s="2081"/>
      <c r="G880" s="2081"/>
      <c r="H880" s="2081"/>
      <c r="I880" s="2081"/>
      <c r="J880" s="2081"/>
      <c r="K880" s="2081"/>
      <c r="L880" s="2081"/>
    </row>
    <row r="881" spans="2:12">
      <c r="B881" s="1661"/>
      <c r="C881" s="2081"/>
      <c r="D881" s="2081"/>
      <c r="E881" s="2081"/>
      <c r="F881" s="2081"/>
      <c r="G881" s="2081"/>
      <c r="H881" s="2081"/>
      <c r="I881" s="2081"/>
      <c r="J881" s="2081"/>
      <c r="K881" s="2081"/>
      <c r="L881" s="2081"/>
    </row>
    <row r="882" spans="2:12">
      <c r="B882" s="1661"/>
      <c r="C882" s="2081"/>
      <c r="D882" s="2081"/>
      <c r="E882" s="2081"/>
      <c r="F882" s="2081"/>
      <c r="G882" s="2081"/>
      <c r="H882" s="2081"/>
      <c r="I882" s="2081"/>
      <c r="J882" s="2081"/>
      <c r="K882" s="2081"/>
      <c r="L882" s="2081"/>
    </row>
    <row r="883" spans="2:12">
      <c r="B883" s="1661"/>
      <c r="C883" s="2081"/>
      <c r="D883" s="2081"/>
      <c r="E883" s="2081"/>
      <c r="F883" s="2081"/>
      <c r="G883" s="2081"/>
      <c r="H883" s="2081"/>
      <c r="I883" s="2081"/>
      <c r="J883" s="2081"/>
      <c r="K883" s="2081"/>
      <c r="L883" s="2081"/>
    </row>
    <row r="884" spans="2:12">
      <c r="B884" s="1661"/>
      <c r="C884" s="2081"/>
      <c r="D884" s="2081"/>
      <c r="E884" s="2081"/>
      <c r="F884" s="2081"/>
      <c r="G884" s="2081"/>
      <c r="H884" s="2081"/>
      <c r="I884" s="2081"/>
      <c r="J884" s="2081"/>
      <c r="K884" s="2081"/>
      <c r="L884" s="2081"/>
    </row>
    <row r="885" spans="2:12">
      <c r="B885" s="1661"/>
      <c r="C885" s="2081"/>
      <c r="D885" s="2081"/>
      <c r="E885" s="2081"/>
      <c r="F885" s="2081"/>
      <c r="G885" s="2081"/>
      <c r="H885" s="2081"/>
      <c r="I885" s="2081"/>
      <c r="J885" s="2081"/>
      <c r="K885" s="2081"/>
      <c r="L885" s="2081"/>
    </row>
    <row r="886" spans="2:12">
      <c r="B886" s="1661"/>
      <c r="C886" s="2081"/>
      <c r="D886" s="2081"/>
      <c r="E886" s="2081"/>
      <c r="F886" s="2081"/>
      <c r="G886" s="2081"/>
      <c r="H886" s="2081"/>
      <c r="I886" s="2081"/>
      <c r="J886" s="2081"/>
      <c r="K886" s="2081"/>
      <c r="L886" s="2081"/>
    </row>
    <row r="887" spans="2:12">
      <c r="B887" s="1661"/>
      <c r="C887" s="2081"/>
      <c r="D887" s="2081"/>
      <c r="E887" s="2081"/>
      <c r="F887" s="2081"/>
      <c r="G887" s="2081"/>
      <c r="H887" s="2081"/>
      <c r="I887" s="2081"/>
      <c r="J887" s="2081"/>
      <c r="K887" s="2081"/>
      <c r="L887" s="2081"/>
    </row>
    <row r="888" spans="2:12">
      <c r="B888" s="1661"/>
      <c r="C888" s="2081"/>
      <c r="D888" s="2081"/>
      <c r="E888" s="2081"/>
      <c r="F888" s="2081"/>
      <c r="G888" s="2081"/>
      <c r="H888" s="2081"/>
      <c r="I888" s="2081"/>
      <c r="J888" s="2081"/>
      <c r="K888" s="2081"/>
      <c r="L888" s="2081"/>
    </row>
    <row r="889" spans="2:12">
      <c r="B889" s="1661"/>
      <c r="C889" s="2081"/>
      <c r="D889" s="2081"/>
      <c r="E889" s="2081"/>
      <c r="F889" s="2081"/>
      <c r="G889" s="2081"/>
      <c r="H889" s="2081"/>
      <c r="I889" s="2081"/>
      <c r="J889" s="2081"/>
      <c r="K889" s="2081"/>
      <c r="L889" s="2081"/>
    </row>
    <row r="890" spans="2:12">
      <c r="B890" s="1661"/>
      <c r="C890" s="2081"/>
      <c r="D890" s="2081"/>
      <c r="E890" s="2081"/>
      <c r="F890" s="2081"/>
      <c r="G890" s="2081"/>
      <c r="H890" s="2081"/>
      <c r="I890" s="2081"/>
      <c r="J890" s="2081"/>
      <c r="K890" s="2081"/>
      <c r="L890" s="2081"/>
    </row>
    <row r="891" spans="2:12">
      <c r="B891" s="1661"/>
      <c r="C891" s="2081"/>
      <c r="D891" s="2081"/>
      <c r="E891" s="2081"/>
      <c r="F891" s="2081"/>
      <c r="G891" s="2081"/>
      <c r="H891" s="2081"/>
      <c r="I891" s="2081"/>
      <c r="J891" s="2081"/>
      <c r="K891" s="2081"/>
      <c r="L891" s="2081"/>
    </row>
    <row r="892" spans="2:12">
      <c r="B892" s="1661"/>
      <c r="C892" s="2081"/>
      <c r="D892" s="2081"/>
      <c r="E892" s="2081"/>
      <c r="F892" s="2081"/>
      <c r="G892" s="2081"/>
      <c r="H892" s="2081"/>
      <c r="I892" s="2081"/>
      <c r="J892" s="2081"/>
      <c r="K892" s="2081"/>
      <c r="L892" s="2081"/>
    </row>
    <row r="893" spans="2:12">
      <c r="B893" s="1661"/>
      <c r="C893" s="2081"/>
      <c r="D893" s="2081"/>
      <c r="E893" s="2081"/>
      <c r="F893" s="2081"/>
      <c r="G893" s="2081"/>
      <c r="H893" s="2081"/>
      <c r="I893" s="2081"/>
      <c r="J893" s="2081"/>
      <c r="K893" s="2081"/>
      <c r="L893" s="2081"/>
    </row>
    <row r="894" spans="2:12">
      <c r="B894" s="1661"/>
      <c r="C894" s="2081"/>
      <c r="D894" s="2081"/>
      <c r="E894" s="2081"/>
      <c r="F894" s="2081"/>
      <c r="G894" s="2081"/>
      <c r="H894" s="2081"/>
      <c r="I894" s="2081"/>
      <c r="J894" s="2081"/>
      <c r="K894" s="2081"/>
      <c r="L894" s="2081"/>
    </row>
    <row r="895" spans="2:12">
      <c r="B895" s="1661"/>
      <c r="C895" s="2081"/>
      <c r="D895" s="2081"/>
      <c r="E895" s="2081"/>
      <c r="F895" s="2081"/>
      <c r="G895" s="2081"/>
      <c r="H895" s="2081"/>
      <c r="I895" s="2081"/>
      <c r="J895" s="2081"/>
      <c r="K895" s="2081"/>
      <c r="L895" s="2081"/>
    </row>
    <row r="896" spans="2:12">
      <c r="B896" s="1661"/>
      <c r="C896" s="2081"/>
      <c r="D896" s="2081"/>
      <c r="E896" s="2081"/>
      <c r="F896" s="2081"/>
      <c r="G896" s="2081"/>
      <c r="H896" s="2081"/>
      <c r="I896" s="2081"/>
      <c r="J896" s="2081"/>
      <c r="K896" s="2081"/>
      <c r="L896" s="2081"/>
    </row>
    <row r="897" spans="2:12">
      <c r="B897" s="1661"/>
      <c r="C897" s="2081"/>
      <c r="D897" s="2081"/>
      <c r="E897" s="2081"/>
      <c r="F897" s="2081"/>
      <c r="G897" s="2081"/>
      <c r="H897" s="2081"/>
      <c r="I897" s="2081"/>
      <c r="J897" s="2081"/>
      <c r="K897" s="2081"/>
      <c r="L897" s="2081"/>
    </row>
    <row r="898" spans="2:12">
      <c r="B898" s="1661"/>
      <c r="C898" s="2081"/>
      <c r="D898" s="2081"/>
      <c r="E898" s="2081"/>
      <c r="F898" s="2081"/>
      <c r="G898" s="2081"/>
      <c r="H898" s="2081"/>
      <c r="I898" s="2081"/>
      <c r="J898" s="2081"/>
      <c r="K898" s="2081"/>
      <c r="L898" s="2081"/>
    </row>
    <row r="899" spans="2:12">
      <c r="B899" s="1661"/>
      <c r="C899" s="2081"/>
      <c r="D899" s="2081"/>
      <c r="E899" s="2081"/>
      <c r="F899" s="2081"/>
      <c r="G899" s="2081"/>
      <c r="H899" s="2081"/>
      <c r="I899" s="2081"/>
      <c r="J899" s="2081"/>
      <c r="K899" s="2081"/>
      <c r="L899" s="2081"/>
    </row>
    <row r="900" spans="2:12">
      <c r="B900" s="1661"/>
      <c r="C900" s="2081"/>
      <c r="D900" s="2081"/>
      <c r="E900" s="2081"/>
      <c r="F900" s="2081"/>
      <c r="G900" s="2081"/>
      <c r="H900" s="2081"/>
      <c r="I900" s="2081"/>
      <c r="J900" s="2081"/>
      <c r="K900" s="2081"/>
      <c r="L900" s="2081"/>
    </row>
    <row r="901" spans="2:12">
      <c r="B901" s="1661"/>
      <c r="C901" s="2081"/>
      <c r="D901" s="2081"/>
      <c r="E901" s="2081"/>
      <c r="F901" s="2081"/>
      <c r="G901" s="2081"/>
      <c r="H901" s="2081"/>
      <c r="I901" s="2081"/>
      <c r="J901" s="2081"/>
      <c r="K901" s="2081"/>
      <c r="L901" s="2081"/>
    </row>
    <row r="902" spans="2:12">
      <c r="B902" s="1661"/>
      <c r="C902" s="2081"/>
      <c r="D902" s="2081"/>
      <c r="E902" s="2081"/>
      <c r="F902" s="2081"/>
      <c r="G902" s="2081"/>
      <c r="H902" s="2081"/>
      <c r="I902" s="2081"/>
      <c r="J902" s="2081"/>
      <c r="K902" s="2081"/>
      <c r="L902" s="2081"/>
    </row>
    <row r="903" spans="2:12">
      <c r="B903" s="1661"/>
      <c r="C903" s="2081"/>
      <c r="D903" s="2081"/>
      <c r="E903" s="2081"/>
      <c r="F903" s="2081"/>
      <c r="G903" s="2081"/>
      <c r="H903" s="2081"/>
      <c r="I903" s="2081"/>
      <c r="J903" s="2081"/>
      <c r="K903" s="2081"/>
      <c r="L903" s="2081"/>
    </row>
    <row r="904" spans="2:12">
      <c r="B904" s="1661"/>
      <c r="C904" s="2081"/>
      <c r="D904" s="2081"/>
      <c r="E904" s="2081"/>
      <c r="F904" s="2081"/>
      <c r="G904" s="2081"/>
      <c r="H904" s="2081"/>
      <c r="I904" s="2081"/>
      <c r="J904" s="2081"/>
      <c r="K904" s="2081"/>
      <c r="L904" s="2081"/>
    </row>
    <row r="905" spans="2:12">
      <c r="B905" s="1661"/>
      <c r="C905" s="2081"/>
      <c r="D905" s="2081"/>
      <c r="E905" s="2081"/>
      <c r="F905" s="2081"/>
      <c r="G905" s="2081"/>
      <c r="H905" s="2081"/>
      <c r="I905" s="2081"/>
      <c r="J905" s="2081"/>
      <c r="K905" s="2081"/>
      <c r="L905" s="2081"/>
    </row>
    <row r="906" spans="2:12">
      <c r="B906" s="1661"/>
      <c r="C906" s="2081"/>
      <c r="D906" s="2081"/>
      <c r="E906" s="2081"/>
      <c r="F906" s="2081"/>
      <c r="G906" s="2081"/>
      <c r="H906" s="2081"/>
      <c r="I906" s="2081"/>
      <c r="J906" s="2081"/>
      <c r="K906" s="2081"/>
      <c r="L906" s="2081"/>
    </row>
    <row r="907" spans="2:12">
      <c r="B907" s="1661"/>
      <c r="C907" s="2081"/>
      <c r="D907" s="2081"/>
      <c r="E907" s="2081"/>
      <c r="F907" s="2081"/>
      <c r="G907" s="2081"/>
      <c r="H907" s="2081"/>
      <c r="I907" s="2081"/>
      <c r="J907" s="2081"/>
      <c r="K907" s="2081"/>
      <c r="L907" s="2081"/>
    </row>
    <row r="908" spans="2:12">
      <c r="B908" s="1661"/>
      <c r="C908" s="2081"/>
      <c r="D908" s="2081"/>
      <c r="E908" s="2081"/>
      <c r="F908" s="2081"/>
      <c r="G908" s="2081"/>
      <c r="H908" s="2081"/>
      <c r="I908" s="2081"/>
      <c r="J908" s="2081"/>
      <c r="K908" s="2081"/>
      <c r="L908" s="2081"/>
    </row>
    <row r="909" spans="2:12">
      <c r="B909" s="1661"/>
      <c r="C909" s="2081"/>
      <c r="D909" s="2081"/>
      <c r="E909" s="2081"/>
      <c r="F909" s="2081"/>
      <c r="G909" s="2081"/>
      <c r="H909" s="2081"/>
      <c r="I909" s="2081"/>
      <c r="J909" s="2081"/>
      <c r="K909" s="2081"/>
      <c r="L909" s="2081"/>
    </row>
    <row r="910" spans="2:12">
      <c r="B910" s="1661"/>
      <c r="C910" s="2081"/>
      <c r="D910" s="2081"/>
      <c r="E910" s="2081"/>
      <c r="F910" s="2081"/>
      <c r="G910" s="2081"/>
      <c r="H910" s="2081"/>
      <c r="I910" s="2081"/>
      <c r="J910" s="2081"/>
      <c r="K910" s="2081"/>
      <c r="L910" s="2081"/>
    </row>
    <row r="911" spans="2:12">
      <c r="B911" s="1661"/>
      <c r="C911" s="2081"/>
      <c r="D911" s="2081"/>
      <c r="E911" s="2081"/>
      <c r="F911" s="2081"/>
      <c r="G911" s="2081"/>
      <c r="H911" s="2081"/>
      <c r="I911" s="2081"/>
      <c r="J911" s="2081"/>
      <c r="K911" s="2081"/>
      <c r="L911" s="2081"/>
    </row>
    <row r="912" spans="2:12">
      <c r="B912" s="1661"/>
      <c r="C912" s="2081"/>
      <c r="D912" s="2081"/>
      <c r="E912" s="2081"/>
      <c r="F912" s="2081"/>
      <c r="G912" s="2081"/>
      <c r="H912" s="2081"/>
      <c r="I912" s="2081"/>
      <c r="J912" s="2081"/>
      <c r="K912" s="2081"/>
      <c r="L912" s="2081"/>
    </row>
    <row r="913" spans="2:12">
      <c r="B913" s="1661"/>
      <c r="C913" s="2081"/>
      <c r="D913" s="2081"/>
      <c r="E913" s="2081"/>
      <c r="F913" s="2081"/>
      <c r="G913" s="2081"/>
      <c r="H913" s="2081"/>
      <c r="I913" s="2081"/>
      <c r="J913" s="2081"/>
      <c r="K913" s="2081"/>
      <c r="L913" s="2081"/>
    </row>
    <row r="914" spans="2:12">
      <c r="B914" s="1661"/>
      <c r="C914" s="2081"/>
      <c r="D914" s="2081"/>
      <c r="E914" s="2081"/>
      <c r="F914" s="2081"/>
      <c r="G914" s="2081"/>
      <c r="H914" s="2081"/>
      <c r="I914" s="2081"/>
      <c r="J914" s="2081"/>
      <c r="K914" s="2081"/>
      <c r="L914" s="2081"/>
    </row>
    <row r="915" spans="2:12">
      <c r="B915" s="1661"/>
      <c r="C915" s="2081"/>
      <c r="D915" s="2081"/>
      <c r="E915" s="2081"/>
      <c r="F915" s="2081"/>
      <c r="G915" s="2081"/>
      <c r="H915" s="2081"/>
      <c r="I915" s="2081"/>
      <c r="J915" s="2081"/>
      <c r="K915" s="2081"/>
      <c r="L915" s="2081"/>
    </row>
    <row r="916" spans="2:12">
      <c r="B916" s="1661"/>
      <c r="C916" s="2081"/>
      <c r="D916" s="2081"/>
      <c r="E916" s="2081"/>
      <c r="F916" s="2081"/>
      <c r="G916" s="2081"/>
      <c r="H916" s="2081"/>
      <c r="I916" s="2081"/>
      <c r="J916" s="2081"/>
      <c r="K916" s="2081"/>
      <c r="L916" s="2081"/>
    </row>
    <row r="917" spans="2:12">
      <c r="B917" s="1661"/>
      <c r="C917" s="2081"/>
      <c r="D917" s="2081"/>
      <c r="E917" s="2081"/>
      <c r="F917" s="2081"/>
      <c r="G917" s="2081"/>
      <c r="H917" s="2081"/>
      <c r="I917" s="2081"/>
      <c r="J917" s="2081"/>
      <c r="K917" s="2081"/>
      <c r="L917" s="2081"/>
    </row>
    <row r="918" spans="2:12">
      <c r="B918" s="1661"/>
      <c r="C918" s="2081"/>
      <c r="D918" s="2081"/>
      <c r="E918" s="2081"/>
      <c r="F918" s="2081"/>
      <c r="G918" s="2081"/>
      <c r="H918" s="2081"/>
      <c r="I918" s="2081"/>
      <c r="J918" s="2081"/>
      <c r="K918" s="2081"/>
      <c r="L918" s="2081"/>
    </row>
    <row r="919" spans="2:12">
      <c r="B919" s="1661"/>
      <c r="C919" s="2081"/>
      <c r="D919" s="2081"/>
      <c r="E919" s="2081"/>
      <c r="F919" s="2081"/>
      <c r="G919" s="2081"/>
      <c r="H919" s="2081"/>
      <c r="I919" s="2081"/>
      <c r="J919" s="2081"/>
      <c r="K919" s="2081"/>
      <c r="L919" s="2081"/>
    </row>
    <row r="920" spans="2:12">
      <c r="B920" s="1661"/>
      <c r="C920" s="2081"/>
      <c r="D920" s="2081"/>
      <c r="E920" s="2081"/>
      <c r="F920" s="2081"/>
      <c r="G920" s="2081"/>
      <c r="H920" s="2081"/>
      <c r="I920" s="2081"/>
      <c r="J920" s="2081"/>
      <c r="K920" s="2081"/>
      <c r="L920" s="2081"/>
    </row>
    <row r="921" spans="2:12">
      <c r="B921" s="1661"/>
      <c r="C921" s="2081"/>
      <c r="D921" s="2081"/>
      <c r="E921" s="2081"/>
      <c r="F921" s="2081"/>
      <c r="G921" s="2081"/>
      <c r="H921" s="2081"/>
      <c r="I921" s="2081"/>
      <c r="J921" s="2081"/>
      <c r="K921" s="2081"/>
      <c r="L921" s="2081"/>
    </row>
    <row r="922" spans="2:12">
      <c r="B922" s="1661"/>
      <c r="C922" s="2081"/>
      <c r="D922" s="2081"/>
      <c r="E922" s="2081"/>
      <c r="F922" s="2081"/>
      <c r="G922" s="2081"/>
      <c r="H922" s="2081"/>
      <c r="I922" s="2081"/>
      <c r="J922" s="2081"/>
      <c r="K922" s="2081"/>
      <c r="L922" s="2081"/>
    </row>
    <row r="923" spans="2:12">
      <c r="B923" s="1661"/>
      <c r="C923" s="2081"/>
      <c r="D923" s="2081"/>
      <c r="E923" s="2081"/>
      <c r="F923" s="2081"/>
      <c r="G923" s="2081"/>
      <c r="H923" s="2081"/>
      <c r="I923" s="2081"/>
      <c r="J923" s="2081"/>
      <c r="K923" s="2081"/>
      <c r="L923" s="2081"/>
    </row>
    <row r="924" spans="2:12">
      <c r="B924" s="1661"/>
      <c r="C924" s="2081"/>
      <c r="D924" s="2081"/>
      <c r="E924" s="2081"/>
      <c r="F924" s="2081"/>
      <c r="G924" s="2081"/>
      <c r="H924" s="2081"/>
      <c r="I924" s="2081"/>
      <c r="J924" s="2081"/>
      <c r="K924" s="2081"/>
      <c r="L924" s="2081"/>
    </row>
    <row r="925" spans="2:12">
      <c r="B925" s="1661"/>
      <c r="C925" s="2081"/>
      <c r="D925" s="2081"/>
      <c r="E925" s="2081"/>
      <c r="F925" s="2081"/>
      <c r="G925" s="2081"/>
      <c r="H925" s="2081"/>
      <c r="I925" s="2081"/>
      <c r="J925" s="2081"/>
      <c r="K925" s="2081"/>
      <c r="L925" s="2081"/>
    </row>
    <row r="926" spans="2:12">
      <c r="B926" s="1661"/>
      <c r="C926" s="2081"/>
      <c r="D926" s="2081"/>
      <c r="E926" s="2081"/>
      <c r="F926" s="2081"/>
      <c r="G926" s="2081"/>
      <c r="H926" s="2081"/>
      <c r="I926" s="2081"/>
      <c r="J926" s="2081"/>
      <c r="K926" s="2081"/>
      <c r="L926" s="2081"/>
    </row>
    <row r="927" spans="2:12">
      <c r="B927" s="1661"/>
      <c r="C927" s="2081"/>
      <c r="D927" s="2081"/>
      <c r="E927" s="2081"/>
      <c r="F927" s="2081"/>
      <c r="G927" s="2081"/>
      <c r="H927" s="2081"/>
      <c r="I927" s="2081"/>
      <c r="J927" s="2081"/>
      <c r="K927" s="2081"/>
      <c r="L927" s="2081"/>
    </row>
    <row r="928" spans="2:12">
      <c r="B928" s="1661"/>
      <c r="C928" s="2081"/>
      <c r="D928" s="2081"/>
      <c r="E928" s="2081"/>
      <c r="F928" s="2081"/>
      <c r="G928" s="2081"/>
      <c r="H928" s="2081"/>
      <c r="I928" s="2081"/>
      <c r="J928" s="2081"/>
      <c r="K928" s="2081"/>
      <c r="L928" s="2081"/>
    </row>
    <row r="929" spans="2:12">
      <c r="B929" s="1661"/>
      <c r="C929" s="2081"/>
      <c r="D929" s="2081"/>
      <c r="E929" s="2081"/>
      <c r="F929" s="2081"/>
      <c r="G929" s="2081"/>
      <c r="H929" s="2081"/>
      <c r="I929" s="2081"/>
      <c r="J929" s="2081"/>
      <c r="K929" s="2081"/>
      <c r="L929" s="2081"/>
    </row>
    <row r="930" spans="2:12">
      <c r="B930" s="1661"/>
      <c r="C930" s="2081"/>
      <c r="D930" s="2081"/>
      <c r="E930" s="2081"/>
      <c r="F930" s="2081"/>
      <c r="G930" s="2081"/>
      <c r="H930" s="2081"/>
      <c r="I930" s="2081"/>
      <c r="J930" s="2081"/>
      <c r="K930" s="2081"/>
      <c r="L930" s="2081"/>
    </row>
    <row r="931" spans="2:12">
      <c r="B931" s="1661"/>
      <c r="C931" s="2081"/>
      <c r="D931" s="2081"/>
      <c r="E931" s="2081"/>
      <c r="F931" s="2081"/>
      <c r="G931" s="2081"/>
      <c r="H931" s="2081"/>
      <c r="I931" s="2081"/>
      <c r="J931" s="2081"/>
      <c r="K931" s="2081"/>
      <c r="L931" s="2081"/>
    </row>
    <row r="932" spans="2:12">
      <c r="B932" s="1661"/>
      <c r="C932" s="2081"/>
      <c r="D932" s="2081"/>
      <c r="E932" s="2081"/>
      <c r="F932" s="2081"/>
      <c r="G932" s="2081"/>
      <c r="H932" s="2081"/>
      <c r="I932" s="2081"/>
      <c r="J932" s="2081"/>
      <c r="K932" s="2081"/>
      <c r="L932" s="2081"/>
    </row>
    <row r="933" spans="2:12">
      <c r="B933" s="1661"/>
      <c r="C933" s="2081"/>
      <c r="D933" s="2081"/>
      <c r="E933" s="2081"/>
      <c r="F933" s="2081"/>
      <c r="G933" s="2081"/>
      <c r="H933" s="2081"/>
      <c r="I933" s="2081"/>
      <c r="J933" s="2081"/>
      <c r="K933" s="2081"/>
      <c r="L933" s="2081"/>
    </row>
    <row r="934" spans="2:12">
      <c r="B934" s="1661"/>
      <c r="C934" s="2081"/>
      <c r="D934" s="2081"/>
      <c r="E934" s="2081"/>
      <c r="F934" s="2081"/>
      <c r="G934" s="2081"/>
      <c r="H934" s="2081"/>
      <c r="I934" s="2081"/>
      <c r="J934" s="2081"/>
      <c r="K934" s="2081"/>
      <c r="L934" s="2081"/>
    </row>
    <row r="935" spans="2:12">
      <c r="B935" s="1661"/>
      <c r="C935" s="2081"/>
      <c r="D935" s="2081"/>
      <c r="E935" s="2081"/>
      <c r="F935" s="2081"/>
      <c r="G935" s="2081"/>
      <c r="H935" s="2081"/>
      <c r="I935" s="2081"/>
      <c r="J935" s="2081"/>
      <c r="K935" s="2081"/>
      <c r="L935" s="2081"/>
    </row>
    <row r="936" spans="2:12">
      <c r="B936" s="1661"/>
      <c r="C936" s="2081"/>
      <c r="D936" s="2081"/>
      <c r="E936" s="2081"/>
      <c r="F936" s="2081"/>
      <c r="G936" s="2081"/>
      <c r="H936" s="2081"/>
      <c r="I936" s="2081"/>
      <c r="J936" s="2081"/>
      <c r="K936" s="2081"/>
      <c r="L936" s="2081"/>
    </row>
    <row r="937" spans="2:12">
      <c r="B937" s="1661"/>
      <c r="C937" s="2081"/>
      <c r="D937" s="2081"/>
      <c r="E937" s="2081"/>
      <c r="F937" s="2081"/>
      <c r="G937" s="2081"/>
      <c r="H937" s="2081"/>
      <c r="I937" s="2081"/>
      <c r="J937" s="2081"/>
      <c r="K937" s="2081"/>
      <c r="L937" s="2081"/>
    </row>
    <row r="938" spans="2:12">
      <c r="B938" s="1661"/>
      <c r="C938" s="2081"/>
      <c r="D938" s="2081"/>
      <c r="E938" s="2081"/>
      <c r="F938" s="2081"/>
      <c r="G938" s="2081"/>
      <c r="H938" s="2081"/>
      <c r="I938" s="2081"/>
      <c r="J938" s="2081"/>
      <c r="K938" s="2081"/>
      <c r="L938" s="2081"/>
    </row>
    <row r="939" spans="2:12">
      <c r="B939" s="1661"/>
      <c r="C939" s="2081"/>
      <c r="D939" s="2081"/>
      <c r="E939" s="2081"/>
      <c r="F939" s="2081"/>
      <c r="G939" s="2081"/>
      <c r="H939" s="2081"/>
      <c r="I939" s="2081"/>
      <c r="J939" s="2081"/>
      <c r="K939" s="2081"/>
      <c r="L939" s="2081"/>
    </row>
    <row r="940" spans="2:12">
      <c r="B940" s="1661"/>
      <c r="C940" s="2081"/>
      <c r="D940" s="2081"/>
      <c r="E940" s="2081"/>
      <c r="F940" s="2081"/>
      <c r="G940" s="2081"/>
      <c r="H940" s="2081"/>
      <c r="I940" s="2081"/>
      <c r="J940" s="2081"/>
      <c r="K940" s="2081"/>
      <c r="L940" s="2081"/>
    </row>
    <row r="941" spans="2:12">
      <c r="B941" s="1661"/>
      <c r="C941" s="2081"/>
      <c r="D941" s="2081"/>
      <c r="E941" s="2081"/>
      <c r="F941" s="2081"/>
      <c r="G941" s="2081"/>
      <c r="H941" s="2081"/>
      <c r="I941" s="2081"/>
      <c r="J941" s="2081"/>
      <c r="K941" s="2081"/>
      <c r="L941" s="2081"/>
    </row>
    <row r="942" spans="2:12">
      <c r="B942" s="1661"/>
      <c r="C942" s="2081"/>
      <c r="D942" s="2081"/>
      <c r="E942" s="2081"/>
      <c r="F942" s="2081"/>
      <c r="G942" s="2081"/>
      <c r="H942" s="2081"/>
      <c r="I942" s="2081"/>
      <c r="J942" s="2081"/>
      <c r="K942" s="2081"/>
      <c r="L942" s="2081"/>
    </row>
    <row r="943" spans="2:12">
      <c r="B943" s="1661"/>
      <c r="C943" s="2081"/>
      <c r="D943" s="2081"/>
      <c r="E943" s="2081"/>
      <c r="F943" s="2081"/>
      <c r="G943" s="2081"/>
      <c r="H943" s="2081"/>
      <c r="I943" s="2081"/>
      <c r="J943" s="2081"/>
      <c r="K943" s="2081"/>
      <c r="L943" s="2081"/>
    </row>
    <row r="944" spans="2:12">
      <c r="B944" s="1661"/>
      <c r="C944" s="2081"/>
      <c r="D944" s="2081"/>
      <c r="E944" s="2081"/>
      <c r="F944" s="2081"/>
      <c r="G944" s="2081"/>
      <c r="H944" s="2081"/>
      <c r="I944" s="2081"/>
      <c r="J944" s="2081"/>
      <c r="K944" s="2081"/>
      <c r="L944" s="2081"/>
    </row>
    <row r="945" spans="2:12">
      <c r="B945" s="1661"/>
      <c r="C945" s="2081"/>
      <c r="D945" s="2081"/>
      <c r="E945" s="2081"/>
      <c r="F945" s="2081"/>
      <c r="G945" s="2081"/>
      <c r="H945" s="2081"/>
      <c r="I945" s="2081"/>
      <c r="J945" s="2081"/>
      <c r="K945" s="2081"/>
      <c r="L945" s="2081"/>
    </row>
    <row r="946" spans="2:12">
      <c r="B946" s="1661"/>
      <c r="C946" s="2081"/>
      <c r="D946" s="2081"/>
      <c r="E946" s="2081"/>
      <c r="F946" s="2081"/>
      <c r="G946" s="2081"/>
      <c r="H946" s="2081"/>
      <c r="I946" s="2081"/>
      <c r="J946" s="2081"/>
      <c r="K946" s="2081"/>
      <c r="L946" s="2081"/>
    </row>
    <row r="947" spans="2:12">
      <c r="B947" s="1661"/>
      <c r="C947" s="2081"/>
      <c r="D947" s="2081"/>
      <c r="E947" s="2081"/>
      <c r="F947" s="2081"/>
      <c r="G947" s="2081"/>
      <c r="H947" s="2081"/>
      <c r="I947" s="2081"/>
      <c r="J947" s="2081"/>
      <c r="K947" s="2081"/>
      <c r="L947" s="2081"/>
    </row>
    <row r="948" spans="2:12">
      <c r="B948" s="1661"/>
      <c r="C948" s="2081"/>
      <c r="D948" s="2081"/>
      <c r="E948" s="2081"/>
      <c r="F948" s="2081"/>
      <c r="G948" s="2081"/>
      <c r="H948" s="2081"/>
      <c r="I948" s="2081"/>
      <c r="J948" s="2081"/>
      <c r="K948" s="2081"/>
      <c r="L948" s="2081"/>
    </row>
    <row r="949" spans="2:12">
      <c r="B949" s="1661"/>
      <c r="C949" s="2081"/>
      <c r="D949" s="2081"/>
      <c r="E949" s="2081"/>
      <c r="F949" s="2081"/>
      <c r="G949" s="2081"/>
      <c r="H949" s="2081"/>
      <c r="I949" s="2081"/>
      <c r="J949" s="2081"/>
      <c r="K949" s="2081"/>
      <c r="L949" s="2081"/>
    </row>
    <row r="950" spans="2:12">
      <c r="B950" s="1661"/>
      <c r="C950" s="2081"/>
      <c r="D950" s="2081"/>
      <c r="E950" s="2081"/>
      <c r="F950" s="2081"/>
      <c r="G950" s="2081"/>
      <c r="H950" s="2081"/>
      <c r="I950" s="2081"/>
      <c r="J950" s="2081"/>
      <c r="K950" s="2081"/>
      <c r="L950" s="2081"/>
    </row>
    <row r="951" spans="2:12">
      <c r="B951" s="1661"/>
      <c r="C951" s="2081"/>
      <c r="D951" s="2081"/>
      <c r="E951" s="2081"/>
      <c r="F951" s="2081"/>
      <c r="G951" s="2081"/>
      <c r="H951" s="2081"/>
      <c r="I951" s="2081"/>
      <c r="J951" s="2081"/>
      <c r="K951" s="2081"/>
      <c r="L951" s="2081"/>
    </row>
    <row r="952" spans="2:12">
      <c r="B952" s="1661"/>
      <c r="C952" s="2081"/>
      <c r="D952" s="2081"/>
      <c r="E952" s="2081"/>
      <c r="F952" s="2081"/>
      <c r="G952" s="2081"/>
      <c r="H952" s="2081"/>
      <c r="I952" s="2081"/>
      <c r="J952" s="2081"/>
      <c r="K952" s="2081"/>
      <c r="L952" s="2081"/>
    </row>
    <row r="953" spans="2:12">
      <c r="B953" s="1661"/>
      <c r="C953" s="2081"/>
      <c r="D953" s="2081"/>
      <c r="E953" s="2081"/>
      <c r="F953" s="2081"/>
      <c r="G953" s="2081"/>
      <c r="H953" s="2081"/>
      <c r="I953" s="2081"/>
      <c r="J953" s="2081"/>
      <c r="K953" s="2081"/>
      <c r="L953" s="2081"/>
    </row>
    <row r="954" spans="2:12">
      <c r="B954" s="1661"/>
      <c r="C954" s="2081"/>
      <c r="D954" s="2081"/>
      <c r="E954" s="2081"/>
      <c r="F954" s="2081"/>
      <c r="G954" s="2081"/>
      <c r="H954" s="2081"/>
      <c r="I954" s="2081"/>
      <c r="J954" s="2081"/>
      <c r="K954" s="2081"/>
      <c r="L954" s="2081"/>
    </row>
    <row r="955" spans="2:12">
      <c r="B955" s="1661"/>
      <c r="C955" s="2081"/>
      <c r="D955" s="2081"/>
      <c r="E955" s="2081"/>
      <c r="F955" s="2081"/>
      <c r="G955" s="2081"/>
      <c r="H955" s="2081"/>
      <c r="I955" s="2081"/>
      <c r="J955" s="2081"/>
      <c r="K955" s="2081"/>
      <c r="L955" s="2081"/>
    </row>
    <row r="956" spans="2:12">
      <c r="B956" s="1661"/>
      <c r="C956" s="2081"/>
      <c r="D956" s="2081"/>
      <c r="E956" s="2081"/>
      <c r="F956" s="2081"/>
      <c r="G956" s="2081"/>
      <c r="H956" s="2081"/>
      <c r="I956" s="2081"/>
      <c r="J956" s="2081"/>
      <c r="K956" s="2081"/>
      <c r="L956" s="2081"/>
    </row>
    <row r="957" spans="2:12">
      <c r="B957" s="1661"/>
      <c r="C957" s="2081"/>
      <c r="D957" s="2081"/>
      <c r="E957" s="2081"/>
      <c r="F957" s="2081"/>
      <c r="G957" s="2081"/>
      <c r="H957" s="2081"/>
      <c r="I957" s="2081"/>
      <c r="J957" s="2081"/>
      <c r="K957" s="2081"/>
      <c r="L957" s="2081"/>
    </row>
    <row r="958" spans="2:12">
      <c r="B958" s="1661"/>
      <c r="C958" s="2081"/>
      <c r="D958" s="2081"/>
      <c r="E958" s="2081"/>
      <c r="F958" s="2081"/>
      <c r="G958" s="2081"/>
      <c r="H958" s="2081"/>
      <c r="I958" s="2081"/>
      <c r="J958" s="2081"/>
      <c r="K958" s="2081"/>
      <c r="L958" s="2081"/>
    </row>
    <row r="959" spans="2:12">
      <c r="B959" s="1661"/>
      <c r="C959" s="2081"/>
      <c r="D959" s="2081"/>
      <c r="E959" s="2081"/>
      <c r="F959" s="2081"/>
      <c r="G959" s="2081"/>
      <c r="H959" s="2081"/>
      <c r="I959" s="2081"/>
      <c r="J959" s="2081"/>
      <c r="K959" s="2081"/>
      <c r="L959" s="2081"/>
    </row>
    <row r="960" spans="2:12">
      <c r="B960" s="1661"/>
      <c r="C960" s="2081"/>
      <c r="D960" s="2081"/>
      <c r="E960" s="2081"/>
      <c r="F960" s="2081"/>
      <c r="G960" s="2081"/>
      <c r="H960" s="2081"/>
      <c r="I960" s="2081"/>
      <c r="J960" s="2081"/>
      <c r="K960" s="2081"/>
      <c r="L960" s="2081"/>
    </row>
    <row r="961" spans="2:12">
      <c r="B961" s="1661"/>
      <c r="C961" s="2081"/>
      <c r="D961" s="2081"/>
      <c r="E961" s="2081"/>
      <c r="F961" s="2081"/>
      <c r="G961" s="2081"/>
      <c r="H961" s="2081"/>
      <c r="I961" s="2081"/>
      <c r="J961" s="2081"/>
      <c r="K961" s="2081"/>
      <c r="L961" s="2081"/>
    </row>
    <row r="962" spans="2:12">
      <c r="B962" s="1661"/>
      <c r="C962" s="2081"/>
      <c r="D962" s="2081"/>
      <c r="E962" s="2081"/>
      <c r="F962" s="2081"/>
      <c r="G962" s="2081"/>
      <c r="H962" s="2081"/>
      <c r="I962" s="2081"/>
      <c r="J962" s="2081"/>
      <c r="K962" s="2081"/>
      <c r="L962" s="2081"/>
    </row>
    <row r="963" spans="2:12">
      <c r="B963" s="1661"/>
      <c r="C963" s="2081"/>
      <c r="D963" s="2081"/>
      <c r="E963" s="2081"/>
      <c r="F963" s="2081"/>
      <c r="G963" s="2081"/>
      <c r="H963" s="2081"/>
      <c r="I963" s="2081"/>
      <c r="J963" s="2081"/>
      <c r="K963" s="2081"/>
      <c r="L963" s="2081"/>
    </row>
    <row r="964" spans="2:12">
      <c r="B964" s="1661"/>
      <c r="C964" s="2081"/>
      <c r="D964" s="2081"/>
      <c r="E964" s="2081"/>
      <c r="F964" s="2081"/>
      <c r="G964" s="2081"/>
      <c r="H964" s="2081"/>
      <c r="I964" s="2081"/>
      <c r="J964" s="2081"/>
      <c r="K964" s="2081"/>
      <c r="L964" s="2081"/>
    </row>
    <row r="965" spans="2:12">
      <c r="B965" s="1661"/>
      <c r="C965" s="2081"/>
      <c r="D965" s="2081"/>
      <c r="E965" s="2081"/>
      <c r="F965" s="2081"/>
      <c r="G965" s="2081"/>
      <c r="H965" s="2081"/>
      <c r="I965" s="2081"/>
      <c r="J965" s="2081"/>
      <c r="K965" s="2081"/>
      <c r="L965" s="2081"/>
    </row>
    <row r="966" spans="2:12">
      <c r="B966" s="1661"/>
      <c r="C966" s="2081"/>
      <c r="D966" s="2081"/>
      <c r="E966" s="2081"/>
      <c r="F966" s="2081"/>
      <c r="G966" s="2081"/>
      <c r="H966" s="2081"/>
      <c r="I966" s="2081"/>
      <c r="J966" s="2081"/>
      <c r="K966" s="2081"/>
      <c r="L966" s="2081"/>
    </row>
    <row r="967" spans="2:12">
      <c r="B967" s="1661"/>
      <c r="C967" s="2081"/>
      <c r="D967" s="2081"/>
      <c r="E967" s="2081"/>
      <c r="F967" s="2081"/>
      <c r="G967" s="2081"/>
      <c r="H967" s="2081"/>
      <c r="I967" s="2081"/>
      <c r="J967" s="2081"/>
      <c r="K967" s="2081"/>
      <c r="L967" s="2081"/>
    </row>
    <row r="968" spans="2:12">
      <c r="B968" s="1661"/>
      <c r="C968" s="2081"/>
      <c r="D968" s="2081"/>
      <c r="E968" s="2081"/>
      <c r="F968" s="2081"/>
      <c r="G968" s="2081"/>
      <c r="H968" s="2081"/>
      <c r="I968" s="2081"/>
      <c r="J968" s="2081"/>
      <c r="K968" s="2081"/>
      <c r="L968" s="2081"/>
    </row>
    <row r="969" spans="2:12">
      <c r="B969" s="1661"/>
      <c r="C969" s="2081"/>
      <c r="D969" s="2081"/>
      <c r="E969" s="2081"/>
      <c r="F969" s="2081"/>
      <c r="G969" s="2081"/>
      <c r="H969" s="2081"/>
      <c r="I969" s="2081"/>
      <c r="J969" s="2081"/>
      <c r="K969" s="2081"/>
      <c r="L969" s="2081"/>
    </row>
    <row r="970" spans="2:12">
      <c r="B970" s="1661"/>
      <c r="C970" s="2081"/>
      <c r="D970" s="2081"/>
      <c r="E970" s="2081"/>
      <c r="F970" s="2081"/>
      <c r="G970" s="2081"/>
      <c r="H970" s="2081"/>
      <c r="I970" s="2081"/>
      <c r="J970" s="2081"/>
      <c r="K970" s="2081"/>
      <c r="L970" s="2081"/>
    </row>
    <row r="971" spans="2:12">
      <c r="B971" s="1661"/>
      <c r="C971" s="2081"/>
      <c r="D971" s="2081"/>
      <c r="E971" s="2081"/>
      <c r="F971" s="2081"/>
      <c r="G971" s="2081"/>
      <c r="H971" s="2081"/>
      <c r="I971" s="2081"/>
      <c r="J971" s="2081"/>
      <c r="K971" s="2081"/>
      <c r="L971" s="2081"/>
    </row>
    <row r="972" spans="2:12">
      <c r="B972" s="1661"/>
      <c r="C972" s="2081"/>
      <c r="D972" s="2081"/>
      <c r="E972" s="2081"/>
      <c r="F972" s="2081"/>
      <c r="G972" s="2081"/>
      <c r="H972" s="2081"/>
      <c r="I972" s="2081"/>
      <c r="J972" s="2081"/>
      <c r="K972" s="2081"/>
      <c r="L972" s="2081"/>
    </row>
    <row r="973" spans="2:12">
      <c r="B973" s="1661"/>
      <c r="C973" s="2081"/>
      <c r="D973" s="2081"/>
      <c r="E973" s="2081"/>
      <c r="F973" s="2081"/>
      <c r="G973" s="2081"/>
      <c r="H973" s="2081"/>
      <c r="I973" s="2081"/>
      <c r="J973" s="2081"/>
      <c r="K973" s="2081"/>
      <c r="L973" s="2081"/>
    </row>
    <row r="974" spans="2:12">
      <c r="B974" s="1661"/>
      <c r="C974" s="2081"/>
      <c r="D974" s="2081"/>
      <c r="E974" s="2081"/>
      <c r="F974" s="2081"/>
      <c r="G974" s="2081"/>
      <c r="H974" s="2081"/>
      <c r="I974" s="2081"/>
      <c r="J974" s="2081"/>
      <c r="K974" s="2081"/>
      <c r="L974" s="2081"/>
    </row>
    <row r="975" spans="2:12">
      <c r="B975" s="1661"/>
      <c r="C975" s="2081"/>
      <c r="D975" s="2081"/>
      <c r="E975" s="2081"/>
      <c r="F975" s="2081"/>
      <c r="G975" s="2081"/>
      <c r="H975" s="2081"/>
      <c r="I975" s="2081"/>
      <c r="J975" s="2081"/>
      <c r="K975" s="2081"/>
      <c r="L975" s="2081"/>
    </row>
    <row r="976" spans="2:12">
      <c r="B976" s="1661"/>
      <c r="C976" s="2081"/>
      <c r="D976" s="2081"/>
      <c r="E976" s="2081"/>
      <c r="F976" s="2081"/>
      <c r="G976" s="2081"/>
      <c r="H976" s="2081"/>
      <c r="I976" s="2081"/>
      <c r="J976" s="2081"/>
      <c r="K976" s="2081"/>
      <c r="L976" s="2081"/>
    </row>
    <row r="977" spans="2:12">
      <c r="B977" s="1661"/>
      <c r="C977" s="2081"/>
      <c r="D977" s="2081"/>
      <c r="E977" s="2081"/>
      <c r="F977" s="2081"/>
      <c r="G977" s="2081"/>
      <c r="H977" s="2081"/>
      <c r="I977" s="2081"/>
      <c r="J977" s="2081"/>
      <c r="K977" s="2081"/>
      <c r="L977" s="2081"/>
    </row>
    <row r="978" spans="2:12">
      <c r="B978" s="1661"/>
      <c r="C978" s="2081"/>
      <c r="D978" s="2081"/>
      <c r="E978" s="2081"/>
      <c r="F978" s="2081"/>
      <c r="G978" s="2081"/>
      <c r="H978" s="2081"/>
      <c r="I978" s="2081"/>
      <c r="J978" s="2081"/>
      <c r="K978" s="2081"/>
      <c r="L978" s="2081"/>
    </row>
    <row r="979" spans="2:12">
      <c r="B979" s="1661"/>
      <c r="C979" s="2081"/>
      <c r="D979" s="2081"/>
      <c r="E979" s="2081"/>
      <c r="F979" s="2081"/>
      <c r="G979" s="2081"/>
      <c r="H979" s="2081"/>
      <c r="I979" s="2081"/>
      <c r="J979" s="2081"/>
      <c r="K979" s="2081"/>
      <c r="L979" s="2081"/>
    </row>
    <row r="980" spans="2:12">
      <c r="B980" s="1661"/>
      <c r="C980" s="2081"/>
      <c r="D980" s="2081"/>
      <c r="E980" s="2081"/>
      <c r="F980" s="2081"/>
      <c r="G980" s="2081"/>
      <c r="H980" s="2081"/>
      <c r="I980" s="2081"/>
      <c r="J980" s="2081"/>
      <c r="K980" s="2081"/>
      <c r="L980" s="2081"/>
    </row>
    <row r="981" spans="2:12">
      <c r="B981" s="1661"/>
      <c r="C981" s="2081"/>
      <c r="D981" s="2081"/>
      <c r="E981" s="2081"/>
      <c r="F981" s="2081"/>
      <c r="G981" s="2081"/>
      <c r="H981" s="2081"/>
      <c r="I981" s="2081"/>
      <c r="J981" s="2081"/>
      <c r="K981" s="2081"/>
      <c r="L981" s="2081"/>
    </row>
    <row r="982" spans="2:12">
      <c r="B982" s="1661"/>
      <c r="C982" s="2081"/>
      <c r="D982" s="2081"/>
      <c r="E982" s="2081"/>
      <c r="F982" s="2081"/>
      <c r="G982" s="2081"/>
      <c r="H982" s="2081"/>
      <c r="I982" s="2081"/>
      <c r="J982" s="2081"/>
      <c r="K982" s="2081"/>
      <c r="L982" s="2081"/>
    </row>
    <row r="983" spans="2:12">
      <c r="B983" s="1661"/>
      <c r="C983" s="2081"/>
      <c r="D983" s="2081"/>
      <c r="E983" s="2081"/>
      <c r="F983" s="2081"/>
      <c r="G983" s="2081"/>
      <c r="H983" s="2081"/>
      <c r="I983" s="2081"/>
      <c r="J983" s="2081"/>
      <c r="K983" s="2081"/>
      <c r="L983" s="2081"/>
    </row>
    <row r="984" spans="2:12">
      <c r="B984" s="1661"/>
      <c r="C984" s="2081"/>
      <c r="D984" s="2081"/>
      <c r="E984" s="2081"/>
      <c r="F984" s="2081"/>
      <c r="G984" s="2081"/>
      <c r="H984" s="2081"/>
      <c r="I984" s="2081"/>
      <c r="J984" s="2081"/>
      <c r="K984" s="2081"/>
      <c r="L984" s="2081"/>
    </row>
    <row r="985" spans="2:12">
      <c r="B985" s="1661"/>
      <c r="C985" s="2081"/>
      <c r="D985" s="2081"/>
      <c r="E985" s="2081"/>
      <c r="F985" s="2081"/>
      <c r="G985" s="2081"/>
      <c r="H985" s="2081"/>
      <c r="I985" s="2081"/>
      <c r="J985" s="2081"/>
      <c r="K985" s="2081"/>
      <c r="L985" s="2081"/>
    </row>
    <row r="986" spans="2:12">
      <c r="B986" s="1661"/>
      <c r="C986" s="2081"/>
      <c r="D986" s="2081"/>
      <c r="E986" s="2081"/>
      <c r="F986" s="2081"/>
      <c r="G986" s="2081"/>
      <c r="H986" s="2081"/>
      <c r="I986" s="2081"/>
      <c r="J986" s="2081"/>
      <c r="K986" s="2081"/>
      <c r="L986" s="2081"/>
    </row>
    <row r="987" spans="2:12">
      <c r="B987" s="1661"/>
      <c r="C987" s="2081"/>
      <c r="D987" s="2081"/>
      <c r="E987" s="2081"/>
      <c r="F987" s="2081"/>
      <c r="G987" s="2081"/>
      <c r="H987" s="2081"/>
      <c r="I987" s="2081"/>
      <c r="J987" s="2081"/>
      <c r="K987" s="2081"/>
      <c r="L987" s="2081"/>
    </row>
    <row r="988" spans="2:12">
      <c r="B988" s="1661"/>
      <c r="C988" s="2081"/>
      <c r="D988" s="2081"/>
      <c r="E988" s="2081"/>
      <c r="F988" s="2081"/>
      <c r="G988" s="2081"/>
      <c r="H988" s="2081"/>
      <c r="I988" s="2081"/>
      <c r="J988" s="2081"/>
      <c r="K988" s="2081"/>
      <c r="L988" s="2081"/>
    </row>
    <row r="989" spans="2:12">
      <c r="B989" s="1661"/>
      <c r="C989" s="2081"/>
      <c r="D989" s="2081"/>
      <c r="E989" s="2081"/>
      <c r="F989" s="2081"/>
      <c r="G989" s="2081"/>
      <c r="H989" s="2081"/>
      <c r="I989" s="2081"/>
      <c r="J989" s="2081"/>
      <c r="K989" s="2081"/>
      <c r="L989" s="2081"/>
    </row>
    <row r="990" spans="2:12">
      <c r="B990" s="1661"/>
      <c r="C990" s="2081"/>
      <c r="D990" s="2081"/>
      <c r="E990" s="2081"/>
      <c r="F990" s="2081"/>
      <c r="G990" s="2081"/>
      <c r="H990" s="2081"/>
      <c r="I990" s="2081"/>
      <c r="J990" s="2081"/>
      <c r="K990" s="2081"/>
      <c r="L990" s="2081"/>
    </row>
    <row r="991" spans="2:12">
      <c r="B991" s="1661"/>
      <c r="C991" s="2081"/>
      <c r="D991" s="2081"/>
      <c r="E991" s="2081"/>
      <c r="F991" s="2081"/>
      <c r="G991" s="2081"/>
      <c r="H991" s="2081"/>
      <c r="I991" s="2081"/>
      <c r="J991" s="2081"/>
      <c r="K991" s="2081"/>
      <c r="L991" s="2081"/>
    </row>
    <row r="992" spans="2:12">
      <c r="B992" s="1661"/>
      <c r="C992" s="2081"/>
      <c r="D992" s="2081"/>
      <c r="E992" s="2081"/>
      <c r="F992" s="2081"/>
      <c r="G992" s="2081"/>
      <c r="H992" s="2081"/>
      <c r="I992" s="2081"/>
      <c r="J992" s="2081"/>
      <c r="K992" s="2081"/>
      <c r="L992" s="2081"/>
    </row>
    <row r="993" spans="2:12">
      <c r="B993" s="1661"/>
      <c r="C993" s="2081"/>
      <c r="D993" s="2081"/>
      <c r="E993" s="2081"/>
      <c r="F993" s="2081"/>
      <c r="G993" s="2081"/>
      <c r="H993" s="2081"/>
      <c r="I993" s="2081"/>
      <c r="J993" s="2081"/>
      <c r="K993" s="2081"/>
      <c r="L993" s="2081"/>
    </row>
    <row r="994" spans="2:12">
      <c r="B994" s="1661"/>
      <c r="C994" s="2081"/>
      <c r="D994" s="2081"/>
      <c r="E994" s="2081"/>
      <c r="F994" s="2081"/>
      <c r="G994" s="2081"/>
      <c r="H994" s="2081"/>
      <c r="I994" s="2081"/>
      <c r="J994" s="2081"/>
      <c r="K994" s="2081"/>
      <c r="L994" s="2081"/>
    </row>
    <row r="995" spans="2:12">
      <c r="B995" s="1661"/>
      <c r="C995" s="2081"/>
      <c r="D995" s="2081"/>
      <c r="E995" s="2081"/>
      <c r="F995" s="2081"/>
      <c r="G995" s="2081"/>
      <c r="H995" s="2081"/>
      <c r="I995" s="2081"/>
      <c r="J995" s="2081"/>
      <c r="K995" s="2081"/>
      <c r="L995" s="2081"/>
    </row>
    <row r="996" spans="2:12">
      <c r="B996" s="1661"/>
      <c r="C996" s="2081"/>
      <c r="D996" s="2081"/>
      <c r="E996" s="2081"/>
      <c r="F996" s="2081"/>
      <c r="G996" s="2081"/>
      <c r="H996" s="2081"/>
      <c r="I996" s="2081"/>
      <c r="J996" s="2081"/>
      <c r="K996" s="2081"/>
      <c r="L996" s="2081"/>
    </row>
    <row r="997" spans="2:12">
      <c r="B997" s="1661"/>
      <c r="C997" s="2081"/>
      <c r="D997" s="2081"/>
      <c r="E997" s="2081"/>
      <c r="F997" s="2081"/>
      <c r="G997" s="2081"/>
      <c r="H997" s="2081"/>
      <c r="I997" s="2081"/>
      <c r="J997" s="2081"/>
      <c r="K997" s="2081"/>
      <c r="L997" s="2081"/>
    </row>
    <row r="998" spans="2:12">
      <c r="B998" s="1661"/>
      <c r="C998" s="2081"/>
      <c r="D998" s="2081"/>
      <c r="E998" s="2081"/>
      <c r="F998" s="2081"/>
      <c r="G998" s="2081"/>
      <c r="H998" s="2081"/>
      <c r="I998" s="2081"/>
      <c r="J998" s="2081"/>
      <c r="K998" s="2081"/>
      <c r="L998" s="2081"/>
    </row>
    <row r="999" spans="2:12">
      <c r="B999" s="1661"/>
      <c r="C999" s="2081"/>
      <c r="D999" s="2081"/>
      <c r="E999" s="2081"/>
      <c r="F999" s="2081"/>
      <c r="G999" s="2081"/>
      <c r="H999" s="2081"/>
      <c r="I999" s="2081"/>
      <c r="J999" s="2081"/>
      <c r="K999" s="2081"/>
      <c r="L999" s="2081"/>
    </row>
    <row r="1000" spans="2:12">
      <c r="B1000" s="1661"/>
      <c r="C1000" s="2081"/>
      <c r="D1000" s="2081"/>
      <c r="E1000" s="2081"/>
      <c r="F1000" s="2081"/>
      <c r="G1000" s="2081"/>
      <c r="H1000" s="2081"/>
      <c r="I1000" s="2081"/>
      <c r="J1000" s="2081"/>
      <c r="K1000" s="2081"/>
      <c r="L1000" s="2081"/>
    </row>
    <row r="1001" spans="2:12">
      <c r="B1001" s="1661"/>
      <c r="C1001" s="2081"/>
      <c r="D1001" s="2081"/>
      <c r="E1001" s="2081"/>
      <c r="F1001" s="2081"/>
      <c r="G1001" s="2081"/>
      <c r="H1001" s="2081"/>
      <c r="I1001" s="2081"/>
      <c r="J1001" s="2081"/>
      <c r="K1001" s="2081"/>
      <c r="L1001" s="2081"/>
    </row>
    <row r="1002" spans="2:12">
      <c r="B1002" s="1661"/>
      <c r="C1002" s="2081"/>
      <c r="D1002" s="2081"/>
      <c r="E1002" s="2081"/>
      <c r="F1002" s="2081"/>
      <c r="G1002" s="2081"/>
      <c r="H1002" s="2081"/>
      <c r="I1002" s="2081"/>
      <c r="J1002" s="2081"/>
      <c r="K1002" s="2081"/>
      <c r="L1002" s="2081"/>
    </row>
    <row r="1003" spans="2:12">
      <c r="B1003" s="1661"/>
      <c r="C1003" s="2081"/>
      <c r="D1003" s="2081"/>
      <c r="E1003" s="2081"/>
      <c r="F1003" s="2081"/>
      <c r="G1003" s="2081"/>
      <c r="H1003" s="2081"/>
      <c r="I1003" s="2081"/>
      <c r="J1003" s="2081"/>
      <c r="K1003" s="2081"/>
      <c r="L1003" s="2081"/>
    </row>
    <row r="1004" spans="2:12">
      <c r="B1004" s="1661"/>
      <c r="C1004" s="2081"/>
      <c r="D1004" s="2081"/>
      <c r="E1004" s="2081"/>
      <c r="F1004" s="2081"/>
      <c r="G1004" s="2081"/>
      <c r="H1004" s="2081"/>
      <c r="I1004" s="2081"/>
      <c r="J1004" s="2081"/>
      <c r="K1004" s="2081"/>
      <c r="L1004" s="2081"/>
    </row>
    <row r="1005" spans="2:12">
      <c r="B1005" s="1661"/>
      <c r="C1005" s="2081"/>
      <c r="D1005" s="2081"/>
      <c r="E1005" s="2081"/>
      <c r="F1005" s="2081"/>
      <c r="G1005" s="2081"/>
      <c r="H1005" s="2081"/>
      <c r="I1005" s="2081"/>
      <c r="J1005" s="2081"/>
      <c r="K1005" s="2081"/>
      <c r="L1005" s="2081"/>
    </row>
    <row r="1006" spans="2:12">
      <c r="B1006" s="1661"/>
      <c r="C1006" s="2081"/>
      <c r="D1006" s="2081"/>
      <c r="E1006" s="2081"/>
      <c r="F1006" s="2081"/>
      <c r="G1006" s="2081"/>
      <c r="H1006" s="2081"/>
      <c r="I1006" s="2081"/>
      <c r="J1006" s="2081"/>
      <c r="K1006" s="2081"/>
      <c r="L1006" s="2081"/>
    </row>
    <row r="1007" spans="2:12">
      <c r="B1007" s="1661"/>
      <c r="C1007" s="2081"/>
      <c r="D1007" s="2081"/>
      <c r="E1007" s="2081"/>
      <c r="F1007" s="2081"/>
      <c r="G1007" s="2081"/>
      <c r="H1007" s="2081"/>
      <c r="I1007" s="2081"/>
      <c r="J1007" s="2081"/>
      <c r="K1007" s="2081"/>
      <c r="L1007" s="2081"/>
    </row>
    <row r="1008" spans="2:12">
      <c r="B1008" s="1661"/>
      <c r="C1008" s="2081"/>
      <c r="D1008" s="2081"/>
      <c r="E1008" s="2081"/>
      <c r="F1008" s="2081"/>
      <c r="G1008" s="2081"/>
      <c r="H1008" s="2081"/>
      <c r="I1008" s="2081"/>
      <c r="J1008" s="2081"/>
      <c r="K1008" s="2081"/>
      <c r="L1008" s="2081"/>
    </row>
    <row r="1009" spans="2:12">
      <c r="B1009" s="1661"/>
      <c r="C1009" s="2081"/>
      <c r="D1009" s="2081"/>
      <c r="E1009" s="2081"/>
      <c r="F1009" s="2081"/>
      <c r="G1009" s="2081"/>
      <c r="H1009" s="2081"/>
      <c r="I1009" s="2081"/>
      <c r="J1009" s="2081"/>
      <c r="K1009" s="2081"/>
      <c r="L1009" s="2081"/>
    </row>
    <row r="1010" spans="2:12">
      <c r="B1010" s="1661"/>
      <c r="C1010" s="2081"/>
      <c r="D1010" s="2081"/>
      <c r="E1010" s="2081"/>
      <c r="F1010" s="2081"/>
      <c r="G1010" s="2081"/>
      <c r="H1010" s="2081"/>
      <c r="I1010" s="2081"/>
      <c r="J1010" s="2081"/>
      <c r="K1010" s="2081"/>
      <c r="L1010" s="2081"/>
    </row>
    <row r="1011" spans="2:12">
      <c r="B1011" s="1661"/>
      <c r="C1011" s="2081"/>
      <c r="D1011" s="2081"/>
      <c r="E1011" s="2081"/>
      <c r="F1011" s="2081"/>
      <c r="G1011" s="2081"/>
      <c r="H1011" s="2081"/>
      <c r="I1011" s="2081"/>
      <c r="J1011" s="2081"/>
      <c r="K1011" s="2081"/>
      <c r="L1011" s="2081"/>
    </row>
    <row r="1012" spans="2:12">
      <c r="B1012" s="1661"/>
      <c r="C1012" s="2081"/>
      <c r="D1012" s="2081"/>
      <c r="E1012" s="2081"/>
      <c r="F1012" s="2081"/>
      <c r="G1012" s="2081"/>
      <c r="H1012" s="2081"/>
      <c r="I1012" s="2081"/>
      <c r="J1012" s="2081"/>
      <c r="K1012" s="2081"/>
      <c r="L1012" s="2081"/>
    </row>
    <row r="1013" spans="2:12">
      <c r="B1013" s="1661"/>
      <c r="C1013" s="2081"/>
      <c r="D1013" s="2081"/>
      <c r="E1013" s="2081"/>
      <c r="F1013" s="2081"/>
      <c r="G1013" s="2081"/>
      <c r="H1013" s="2081"/>
      <c r="I1013" s="2081"/>
      <c r="J1013" s="2081"/>
      <c r="K1013" s="2081"/>
      <c r="L1013" s="2081"/>
    </row>
    <row r="1014" spans="2:12">
      <c r="B1014" s="1661"/>
      <c r="C1014" s="2081"/>
      <c r="D1014" s="2081"/>
      <c r="E1014" s="2081"/>
      <c r="F1014" s="2081"/>
      <c r="G1014" s="2081"/>
      <c r="H1014" s="2081"/>
      <c r="I1014" s="2081"/>
      <c r="J1014" s="2081"/>
      <c r="K1014" s="2081"/>
      <c r="L1014" s="2081"/>
    </row>
    <row r="1015" spans="2:12">
      <c r="B1015" s="1661"/>
      <c r="C1015" s="2081"/>
      <c r="D1015" s="2081"/>
      <c r="E1015" s="2081"/>
      <c r="F1015" s="2081"/>
      <c r="G1015" s="2081"/>
      <c r="H1015" s="2081"/>
      <c r="I1015" s="2081"/>
      <c r="J1015" s="2081"/>
      <c r="K1015" s="2081"/>
      <c r="L1015" s="2081"/>
    </row>
    <row r="1016" spans="2:12">
      <c r="B1016" s="1661"/>
      <c r="C1016" s="2081"/>
      <c r="D1016" s="2081"/>
      <c r="E1016" s="2081"/>
      <c r="F1016" s="2081"/>
      <c r="G1016" s="2081"/>
      <c r="H1016" s="2081"/>
      <c r="I1016" s="2081"/>
      <c r="J1016" s="2081"/>
      <c r="K1016" s="2081"/>
      <c r="L1016" s="2081"/>
    </row>
    <row r="1017" spans="2:12">
      <c r="B1017" s="1661"/>
      <c r="C1017" s="2081"/>
      <c r="D1017" s="2081"/>
      <c r="E1017" s="2081"/>
      <c r="F1017" s="2081"/>
      <c r="G1017" s="2081"/>
      <c r="H1017" s="2081"/>
      <c r="I1017" s="2081"/>
      <c r="J1017" s="2081"/>
      <c r="K1017" s="2081"/>
      <c r="L1017" s="2081"/>
    </row>
    <row r="1018" spans="2:12">
      <c r="B1018" s="1661"/>
      <c r="C1018" s="2081"/>
      <c r="D1018" s="2081"/>
      <c r="E1018" s="2081"/>
      <c r="F1018" s="2081"/>
      <c r="G1018" s="2081"/>
      <c r="H1018" s="2081"/>
      <c r="I1018" s="2081"/>
      <c r="J1018" s="2081"/>
      <c r="K1018" s="2081"/>
      <c r="L1018" s="2081"/>
    </row>
    <row r="1019" spans="2:12">
      <c r="B1019" s="1661"/>
      <c r="C1019" s="2081"/>
      <c r="D1019" s="2081"/>
      <c r="E1019" s="2081"/>
      <c r="F1019" s="2081"/>
      <c r="G1019" s="2081"/>
      <c r="H1019" s="2081"/>
      <c r="I1019" s="2081"/>
      <c r="J1019" s="2081"/>
      <c r="K1019" s="2081"/>
      <c r="L1019" s="2081"/>
    </row>
    <row r="1020" spans="2:12">
      <c r="B1020" s="1661"/>
      <c r="C1020" s="2081"/>
      <c r="D1020" s="2081"/>
      <c r="E1020" s="2081"/>
      <c r="F1020" s="2081"/>
      <c r="G1020" s="2081"/>
      <c r="H1020" s="2081"/>
      <c r="I1020" s="2081"/>
      <c r="J1020" s="2081"/>
      <c r="K1020" s="2081"/>
      <c r="L1020" s="2081"/>
    </row>
    <row r="1021" spans="2:12">
      <c r="B1021" s="1661"/>
      <c r="C1021" s="2081"/>
      <c r="D1021" s="2081"/>
      <c r="E1021" s="2081"/>
      <c r="F1021" s="2081"/>
      <c r="G1021" s="2081"/>
      <c r="H1021" s="2081"/>
      <c r="I1021" s="2081"/>
      <c r="J1021" s="2081"/>
      <c r="K1021" s="2081"/>
      <c r="L1021" s="2081"/>
    </row>
    <row r="1022" spans="2:12">
      <c r="B1022" s="1661"/>
      <c r="C1022" s="2081"/>
      <c r="D1022" s="2081"/>
      <c r="E1022" s="2081"/>
      <c r="F1022" s="2081"/>
      <c r="G1022" s="2081"/>
      <c r="H1022" s="2081"/>
      <c r="I1022" s="2081"/>
      <c r="J1022" s="2081"/>
      <c r="K1022" s="2081"/>
      <c r="L1022" s="2081"/>
    </row>
    <row r="1023" spans="2:12">
      <c r="B1023" s="1661"/>
      <c r="C1023" s="2081"/>
      <c r="D1023" s="2081"/>
      <c r="E1023" s="2081"/>
      <c r="F1023" s="2081"/>
      <c r="G1023" s="2081"/>
      <c r="H1023" s="2081"/>
      <c r="I1023" s="2081"/>
      <c r="J1023" s="2081"/>
      <c r="K1023" s="2081"/>
      <c r="L1023" s="2081"/>
    </row>
    <row r="1024" spans="2:12">
      <c r="B1024" s="1661"/>
      <c r="C1024" s="2081"/>
      <c r="D1024" s="2081"/>
      <c r="E1024" s="2081"/>
      <c r="F1024" s="2081"/>
      <c r="G1024" s="2081"/>
      <c r="H1024" s="2081"/>
      <c r="I1024" s="2081"/>
      <c r="J1024" s="2081"/>
      <c r="K1024" s="2081"/>
      <c r="L1024" s="2081"/>
    </row>
    <row r="1025" spans="2:12">
      <c r="B1025" s="1661"/>
      <c r="C1025" s="2081"/>
      <c r="D1025" s="2081"/>
      <c r="E1025" s="2081"/>
      <c r="F1025" s="2081"/>
      <c r="G1025" s="2081"/>
      <c r="H1025" s="2081"/>
      <c r="I1025" s="2081"/>
      <c r="J1025" s="2081"/>
      <c r="K1025" s="2081"/>
      <c r="L1025" s="2081"/>
    </row>
    <row r="1026" spans="2:12">
      <c r="B1026" s="1661"/>
      <c r="C1026" s="2081"/>
      <c r="D1026" s="2081"/>
      <c r="E1026" s="2081"/>
      <c r="F1026" s="2081"/>
      <c r="G1026" s="2081"/>
      <c r="H1026" s="2081"/>
      <c r="I1026" s="2081"/>
      <c r="J1026" s="2081"/>
      <c r="K1026" s="2081"/>
      <c r="L1026" s="2081"/>
    </row>
    <row r="1027" spans="2:12">
      <c r="B1027" s="1661"/>
      <c r="C1027" s="2081"/>
      <c r="D1027" s="2081"/>
      <c r="E1027" s="2081"/>
      <c r="F1027" s="2081"/>
      <c r="G1027" s="2081"/>
      <c r="H1027" s="2081"/>
      <c r="I1027" s="2081"/>
      <c r="J1027" s="2081"/>
      <c r="K1027" s="2081"/>
      <c r="L1027" s="2081"/>
    </row>
    <row r="1028" spans="2:12">
      <c r="B1028" s="1661"/>
      <c r="C1028" s="2081"/>
      <c r="D1028" s="2081"/>
      <c r="E1028" s="2081"/>
      <c r="F1028" s="2081"/>
      <c r="G1028" s="2081"/>
      <c r="H1028" s="2081"/>
      <c r="I1028" s="2081"/>
      <c r="J1028" s="2081"/>
      <c r="K1028" s="2081"/>
      <c r="L1028" s="2081"/>
    </row>
    <row r="1029" spans="2:12">
      <c r="B1029" s="1661"/>
      <c r="C1029" s="2081"/>
      <c r="D1029" s="2081"/>
      <c r="E1029" s="2081"/>
      <c r="F1029" s="2081"/>
      <c r="G1029" s="2081"/>
      <c r="H1029" s="2081"/>
      <c r="I1029" s="2081"/>
      <c r="J1029" s="2081"/>
      <c r="K1029" s="2081"/>
      <c r="L1029" s="2081"/>
    </row>
    <row r="1030" spans="2:12">
      <c r="B1030" s="1661"/>
      <c r="C1030" s="2081"/>
      <c r="D1030" s="2081"/>
      <c r="E1030" s="2081"/>
      <c r="F1030" s="2081"/>
      <c r="G1030" s="2081"/>
      <c r="H1030" s="2081"/>
      <c r="I1030" s="2081"/>
      <c r="J1030" s="2081"/>
      <c r="K1030" s="2081"/>
      <c r="L1030" s="2081"/>
    </row>
    <row r="1031" spans="2:12">
      <c r="B1031" s="1661"/>
      <c r="C1031" s="2081"/>
      <c r="D1031" s="2081"/>
      <c r="E1031" s="2081"/>
      <c r="F1031" s="2081"/>
      <c r="G1031" s="2081"/>
      <c r="H1031" s="2081"/>
      <c r="I1031" s="2081"/>
      <c r="J1031" s="2081"/>
      <c r="K1031" s="2081"/>
      <c r="L1031" s="2081"/>
    </row>
    <row r="1032" spans="2:12">
      <c r="B1032" s="1661"/>
      <c r="C1032" s="2081"/>
      <c r="D1032" s="2081"/>
      <c r="E1032" s="2081"/>
      <c r="F1032" s="2081"/>
      <c r="G1032" s="2081"/>
      <c r="H1032" s="2081"/>
      <c r="I1032" s="2081"/>
      <c r="J1032" s="2081"/>
      <c r="K1032" s="2081"/>
      <c r="L1032" s="2081"/>
    </row>
    <row r="1033" spans="2:12">
      <c r="B1033" s="1661"/>
      <c r="C1033" s="2081"/>
      <c r="D1033" s="2081"/>
      <c r="E1033" s="2081"/>
      <c r="F1033" s="2081"/>
      <c r="G1033" s="2081"/>
      <c r="H1033" s="2081"/>
      <c r="I1033" s="2081"/>
      <c r="J1033" s="2081"/>
      <c r="K1033" s="2081"/>
      <c r="L1033" s="2081"/>
    </row>
    <row r="1034" spans="2:12">
      <c r="B1034" s="1661"/>
      <c r="C1034" s="2081"/>
      <c r="D1034" s="2081"/>
      <c r="E1034" s="2081"/>
      <c r="F1034" s="2081"/>
      <c r="G1034" s="2081"/>
      <c r="H1034" s="2081"/>
      <c r="I1034" s="2081"/>
      <c r="J1034" s="2081"/>
      <c r="K1034" s="2081"/>
      <c r="L1034" s="2081"/>
    </row>
    <row r="1035" spans="2:12">
      <c r="B1035" s="1661"/>
      <c r="C1035" s="2081"/>
      <c r="D1035" s="2081"/>
      <c r="E1035" s="2081"/>
      <c r="F1035" s="2081"/>
      <c r="G1035" s="2081"/>
      <c r="H1035" s="2081"/>
      <c r="I1035" s="2081"/>
      <c r="J1035" s="2081"/>
      <c r="K1035" s="2081"/>
      <c r="L1035" s="2081"/>
    </row>
    <row r="1036" spans="2:12">
      <c r="B1036" s="1661"/>
      <c r="C1036" s="2081"/>
      <c r="D1036" s="2081"/>
      <c r="E1036" s="2081"/>
      <c r="F1036" s="2081"/>
      <c r="G1036" s="2081"/>
      <c r="H1036" s="2081"/>
      <c r="I1036" s="2081"/>
      <c r="J1036" s="2081"/>
      <c r="K1036" s="2081"/>
      <c r="L1036" s="2081"/>
    </row>
    <row r="1037" spans="2:12">
      <c r="B1037" s="1661"/>
      <c r="C1037" s="2081"/>
      <c r="D1037" s="2081"/>
      <c r="E1037" s="2081"/>
      <c r="F1037" s="2081"/>
      <c r="G1037" s="2081"/>
      <c r="H1037" s="2081"/>
      <c r="I1037" s="2081"/>
      <c r="J1037" s="2081"/>
      <c r="K1037" s="2081"/>
      <c r="L1037" s="2081"/>
    </row>
    <row r="1038" spans="2:12">
      <c r="B1038" s="1661"/>
      <c r="C1038" s="2081"/>
      <c r="D1038" s="2081"/>
      <c r="E1038" s="2081"/>
      <c r="F1038" s="2081"/>
      <c r="G1038" s="2081"/>
      <c r="H1038" s="2081"/>
      <c r="I1038" s="2081"/>
      <c r="J1038" s="2081"/>
      <c r="K1038" s="2081"/>
      <c r="L1038" s="2081"/>
    </row>
    <row r="1039" spans="2:12">
      <c r="B1039" s="1661"/>
      <c r="C1039" s="2081"/>
      <c r="D1039" s="2081"/>
      <c r="E1039" s="2081"/>
      <c r="F1039" s="2081"/>
      <c r="G1039" s="2081"/>
      <c r="H1039" s="2081"/>
      <c r="I1039" s="2081"/>
      <c r="J1039" s="2081"/>
      <c r="K1039" s="2081"/>
      <c r="L1039" s="2081"/>
    </row>
    <row r="1040" spans="2:12">
      <c r="B1040" s="1661"/>
      <c r="C1040" s="2081"/>
      <c r="D1040" s="2081"/>
      <c r="E1040" s="2081"/>
      <c r="F1040" s="2081"/>
      <c r="G1040" s="2081"/>
      <c r="H1040" s="2081"/>
      <c r="I1040" s="2081"/>
      <c r="J1040" s="2081"/>
      <c r="K1040" s="2081"/>
      <c r="L1040" s="2081"/>
    </row>
    <row r="1041" spans="2:12">
      <c r="B1041" s="1661"/>
      <c r="C1041" s="2081"/>
      <c r="D1041" s="2081"/>
      <c r="E1041" s="2081"/>
      <c r="F1041" s="2081"/>
      <c r="G1041" s="2081"/>
      <c r="H1041" s="2081"/>
      <c r="I1041" s="2081"/>
      <c r="J1041" s="2081"/>
      <c r="K1041" s="2081"/>
      <c r="L1041" s="2081"/>
    </row>
    <row r="1042" spans="2:12">
      <c r="B1042" s="1661"/>
      <c r="C1042" s="2081"/>
      <c r="D1042" s="2081"/>
      <c r="E1042" s="2081"/>
      <c r="F1042" s="2081"/>
      <c r="G1042" s="2081"/>
      <c r="H1042" s="2081"/>
      <c r="I1042" s="2081"/>
      <c r="J1042" s="2081"/>
      <c r="K1042" s="2081"/>
      <c r="L1042" s="2081"/>
    </row>
    <row r="1043" spans="2:12">
      <c r="B1043" s="1661"/>
      <c r="C1043" s="2081"/>
      <c r="D1043" s="2081"/>
      <c r="E1043" s="2081"/>
      <c r="F1043" s="2081"/>
      <c r="G1043" s="2081"/>
      <c r="H1043" s="2081"/>
      <c r="I1043" s="2081"/>
      <c r="J1043" s="2081"/>
      <c r="K1043" s="2081"/>
      <c r="L1043" s="2081"/>
    </row>
    <row r="1044" spans="2:12">
      <c r="B1044" s="1661"/>
      <c r="C1044" s="2081"/>
      <c r="D1044" s="2081"/>
      <c r="E1044" s="2081"/>
      <c r="F1044" s="2081"/>
      <c r="G1044" s="2081"/>
      <c r="H1044" s="2081"/>
      <c r="I1044" s="2081"/>
      <c r="J1044" s="2081"/>
      <c r="K1044" s="2081"/>
      <c r="L1044" s="2081"/>
    </row>
    <row r="1045" spans="2:12">
      <c r="B1045" s="1661"/>
      <c r="C1045" s="2081"/>
      <c r="D1045" s="2081"/>
      <c r="E1045" s="2081"/>
      <c r="F1045" s="2081"/>
      <c r="G1045" s="2081"/>
      <c r="H1045" s="2081"/>
      <c r="I1045" s="2081"/>
      <c r="J1045" s="2081"/>
      <c r="K1045" s="2081"/>
      <c r="L1045" s="2081"/>
    </row>
    <row r="1046" spans="2:12">
      <c r="B1046" s="1661"/>
      <c r="C1046" s="2081"/>
      <c r="D1046" s="2081"/>
      <c r="E1046" s="2081"/>
      <c r="F1046" s="2081"/>
      <c r="G1046" s="2081"/>
      <c r="H1046" s="2081"/>
      <c r="I1046" s="2081"/>
      <c r="J1046" s="2081"/>
      <c r="K1046" s="2081"/>
      <c r="L1046" s="2081"/>
    </row>
    <row r="1047" spans="2:12">
      <c r="B1047" s="1661"/>
      <c r="C1047" s="2081"/>
      <c r="D1047" s="2081"/>
      <c r="E1047" s="2081"/>
      <c r="F1047" s="2081"/>
      <c r="G1047" s="2081"/>
      <c r="H1047" s="2081"/>
      <c r="I1047" s="2081"/>
      <c r="J1047" s="2081"/>
      <c r="K1047" s="2081"/>
      <c r="L1047" s="2081"/>
    </row>
    <row r="1048" spans="2:12">
      <c r="B1048" s="1661"/>
      <c r="C1048" s="2081"/>
      <c r="D1048" s="2081"/>
      <c r="E1048" s="2081"/>
      <c r="F1048" s="2081"/>
      <c r="G1048" s="2081"/>
      <c r="H1048" s="2081"/>
      <c r="I1048" s="2081"/>
      <c r="J1048" s="2081"/>
      <c r="K1048" s="2081"/>
      <c r="L1048" s="2081"/>
    </row>
    <row r="1049" spans="2:12">
      <c r="B1049" s="1661"/>
      <c r="C1049" s="2081"/>
      <c r="D1049" s="2081"/>
      <c r="E1049" s="2081"/>
      <c r="F1049" s="2081"/>
      <c r="G1049" s="2081"/>
      <c r="H1049" s="2081"/>
      <c r="I1049" s="2081"/>
      <c r="J1049" s="2081"/>
      <c r="K1049" s="2081"/>
      <c r="L1049" s="2081"/>
    </row>
    <row r="1050" spans="2:12">
      <c r="B1050" s="1661"/>
      <c r="C1050" s="2081"/>
      <c r="D1050" s="2081"/>
      <c r="E1050" s="2081"/>
      <c r="F1050" s="2081"/>
      <c r="G1050" s="2081"/>
      <c r="H1050" s="2081"/>
      <c r="I1050" s="2081"/>
      <c r="J1050" s="2081"/>
      <c r="K1050" s="2081"/>
      <c r="L1050" s="2081"/>
    </row>
    <row r="1051" spans="2:12">
      <c r="B1051" s="1661"/>
      <c r="C1051" s="2081"/>
      <c r="D1051" s="2081"/>
      <c r="E1051" s="2081"/>
      <c r="F1051" s="2081"/>
      <c r="G1051" s="2081"/>
      <c r="H1051" s="2081"/>
      <c r="I1051" s="2081"/>
      <c r="J1051" s="2081"/>
      <c r="K1051" s="2081"/>
      <c r="L1051" s="2081"/>
    </row>
    <row r="1052" spans="2:12">
      <c r="B1052" s="1661"/>
      <c r="C1052" s="2081"/>
      <c r="D1052" s="2081"/>
      <c r="E1052" s="2081"/>
      <c r="F1052" s="2081"/>
      <c r="G1052" s="2081"/>
      <c r="H1052" s="2081"/>
      <c r="I1052" s="2081"/>
      <c r="J1052" s="2081"/>
      <c r="K1052" s="2081"/>
      <c r="L1052" s="2081"/>
    </row>
    <row r="1053" spans="2:12">
      <c r="B1053" s="1661"/>
      <c r="C1053" s="2081"/>
      <c r="D1053" s="2081"/>
      <c r="E1053" s="2081"/>
      <c r="F1053" s="2081"/>
      <c r="G1053" s="2081"/>
      <c r="H1053" s="2081"/>
      <c r="I1053" s="2081"/>
      <c r="J1053" s="2081"/>
      <c r="K1053" s="2081"/>
      <c r="L1053" s="2081"/>
    </row>
    <row r="1054" spans="2:12">
      <c r="B1054" s="1661"/>
      <c r="C1054" s="2081"/>
      <c r="D1054" s="2081"/>
      <c r="E1054" s="2081"/>
      <c r="F1054" s="2081"/>
      <c r="G1054" s="2081"/>
      <c r="H1054" s="2081"/>
      <c r="I1054" s="2081"/>
      <c r="J1054" s="2081"/>
      <c r="K1054" s="2081"/>
      <c r="L1054" s="2081"/>
    </row>
    <row r="1055" spans="2:12">
      <c r="B1055" s="1661"/>
      <c r="C1055" s="2081"/>
      <c r="D1055" s="2081"/>
      <c r="E1055" s="2081"/>
      <c r="F1055" s="2081"/>
      <c r="G1055" s="2081"/>
      <c r="H1055" s="2081"/>
      <c r="I1055" s="2081"/>
      <c r="J1055" s="2081"/>
      <c r="K1055" s="2081"/>
      <c r="L1055" s="2081"/>
    </row>
    <row r="1056" spans="2:12">
      <c r="B1056" s="1661"/>
      <c r="C1056" s="2081"/>
      <c r="D1056" s="2081"/>
      <c r="E1056" s="2081"/>
      <c r="F1056" s="2081"/>
      <c r="G1056" s="2081"/>
      <c r="H1056" s="2081"/>
      <c r="I1056" s="2081"/>
      <c r="J1056" s="2081"/>
      <c r="K1056" s="2081"/>
      <c r="L1056" s="2081"/>
    </row>
    <row r="1057" spans="2:12">
      <c r="B1057" s="1661"/>
      <c r="C1057" s="2081"/>
      <c r="D1057" s="2081"/>
      <c r="E1057" s="2081"/>
      <c r="F1057" s="2081"/>
      <c r="G1057" s="2081"/>
      <c r="H1057" s="2081"/>
      <c r="I1057" s="2081"/>
      <c r="J1057" s="2081"/>
      <c r="K1057" s="2081"/>
      <c r="L1057" s="2081"/>
    </row>
    <row r="1058" spans="2:12">
      <c r="B1058" s="1661"/>
      <c r="C1058" s="2081"/>
      <c r="D1058" s="2081"/>
      <c r="E1058" s="2081"/>
      <c r="F1058" s="2081"/>
      <c r="G1058" s="2081"/>
      <c r="H1058" s="2081"/>
      <c r="I1058" s="2081"/>
      <c r="J1058" s="2081"/>
      <c r="K1058" s="2081"/>
      <c r="L1058" s="2081"/>
    </row>
    <row r="1059" spans="2:12">
      <c r="B1059" s="1661"/>
      <c r="C1059" s="2081"/>
      <c r="D1059" s="2081"/>
      <c r="E1059" s="2081"/>
      <c r="F1059" s="2081"/>
      <c r="G1059" s="2081"/>
      <c r="H1059" s="2081"/>
      <c r="I1059" s="2081"/>
      <c r="J1059" s="2081"/>
      <c r="K1059" s="2081"/>
      <c r="L1059" s="2081"/>
    </row>
    <row r="1060" spans="2:12">
      <c r="B1060" s="1661"/>
      <c r="C1060" s="2081"/>
      <c r="D1060" s="2081"/>
      <c r="E1060" s="2081"/>
      <c r="F1060" s="2081"/>
      <c r="G1060" s="2081"/>
      <c r="H1060" s="2081"/>
      <c r="I1060" s="2081"/>
      <c r="J1060" s="2081"/>
      <c r="K1060" s="2081"/>
      <c r="L1060" s="2081"/>
    </row>
    <row r="1061" spans="2:12">
      <c r="B1061" s="1661"/>
      <c r="C1061" s="2081"/>
      <c r="D1061" s="2081"/>
      <c r="E1061" s="2081"/>
      <c r="F1061" s="2081"/>
      <c r="G1061" s="2081"/>
      <c r="H1061" s="2081"/>
      <c r="I1061" s="2081"/>
      <c r="J1061" s="2081"/>
      <c r="K1061" s="2081"/>
      <c r="L1061" s="2081"/>
    </row>
    <row r="1062" spans="2:12">
      <c r="B1062" s="1661"/>
      <c r="C1062" s="2081"/>
      <c r="D1062" s="2081"/>
      <c r="E1062" s="2081"/>
      <c r="F1062" s="2081"/>
      <c r="G1062" s="2081"/>
      <c r="H1062" s="2081"/>
      <c r="I1062" s="2081"/>
      <c r="J1062" s="2081"/>
      <c r="K1062" s="2081"/>
      <c r="L1062" s="2081"/>
    </row>
    <row r="1063" spans="2:12">
      <c r="B1063" s="1661"/>
      <c r="C1063" s="2081"/>
      <c r="D1063" s="2081"/>
      <c r="E1063" s="2081"/>
      <c r="F1063" s="2081"/>
      <c r="G1063" s="2081"/>
      <c r="H1063" s="2081"/>
      <c r="I1063" s="2081"/>
      <c r="J1063" s="2081"/>
      <c r="K1063" s="2081"/>
      <c r="L1063" s="2081"/>
    </row>
    <row r="1064" spans="2:12">
      <c r="B1064" s="1661"/>
      <c r="C1064" s="2081"/>
      <c r="D1064" s="2081"/>
      <c r="E1064" s="2081"/>
      <c r="F1064" s="2081"/>
      <c r="G1064" s="2081"/>
      <c r="H1064" s="2081"/>
      <c r="I1064" s="2081"/>
      <c r="J1064" s="2081"/>
      <c r="K1064" s="2081"/>
      <c r="L1064" s="2081"/>
    </row>
    <row r="1065" spans="2:12">
      <c r="B1065" s="1661"/>
      <c r="C1065" s="2081"/>
      <c r="D1065" s="2081"/>
      <c r="E1065" s="2081"/>
      <c r="F1065" s="2081"/>
      <c r="G1065" s="2081"/>
      <c r="H1065" s="2081"/>
      <c r="I1065" s="2081"/>
      <c r="J1065" s="2081"/>
      <c r="K1065" s="2081"/>
      <c r="L1065" s="2081"/>
    </row>
    <row r="1066" spans="2:12">
      <c r="B1066" s="1661"/>
      <c r="C1066" s="2081"/>
      <c r="D1066" s="2081"/>
      <c r="E1066" s="2081"/>
      <c r="F1066" s="2081"/>
      <c r="G1066" s="2081"/>
      <c r="H1066" s="2081"/>
      <c r="I1066" s="2081"/>
      <c r="J1066" s="2081"/>
      <c r="K1066" s="2081"/>
      <c r="L1066" s="2081"/>
    </row>
    <row r="1067" spans="2:12">
      <c r="B1067" s="1661"/>
      <c r="C1067" s="2081"/>
      <c r="D1067" s="2081"/>
      <c r="E1067" s="2081"/>
      <c r="F1067" s="2081"/>
      <c r="G1067" s="2081"/>
      <c r="H1067" s="2081"/>
      <c r="I1067" s="2081"/>
      <c r="J1067" s="2081"/>
      <c r="K1067" s="2081"/>
      <c r="L1067" s="2081"/>
    </row>
    <row r="1068" spans="2:12">
      <c r="B1068" s="1661"/>
      <c r="C1068" s="2081"/>
      <c r="D1068" s="2081"/>
      <c r="E1068" s="2081"/>
      <c r="F1068" s="2081"/>
      <c r="G1068" s="2081"/>
      <c r="H1068" s="2081"/>
      <c r="I1068" s="2081"/>
      <c r="J1068" s="2081"/>
      <c r="K1068" s="2081"/>
      <c r="L1068" s="2081"/>
    </row>
    <row r="1069" spans="2:12">
      <c r="B1069" s="1661"/>
      <c r="C1069" s="2081"/>
      <c r="D1069" s="2081"/>
      <c r="E1069" s="2081"/>
      <c r="F1069" s="2081"/>
      <c r="G1069" s="2081"/>
      <c r="H1069" s="2081"/>
      <c r="I1069" s="2081"/>
      <c r="J1069" s="2081"/>
      <c r="K1069" s="2081"/>
      <c r="L1069" s="2081"/>
    </row>
    <row r="1070" spans="2:12">
      <c r="B1070" s="1661"/>
      <c r="C1070" s="2081"/>
      <c r="D1070" s="2081"/>
      <c r="E1070" s="2081"/>
      <c r="F1070" s="2081"/>
      <c r="G1070" s="2081"/>
      <c r="H1070" s="2081"/>
      <c r="I1070" s="2081"/>
      <c r="J1070" s="2081"/>
      <c r="K1070" s="2081"/>
      <c r="L1070" s="2081"/>
    </row>
    <row r="1071" spans="2:12">
      <c r="B1071" s="1661"/>
      <c r="C1071" s="2081"/>
      <c r="D1071" s="2081"/>
      <c r="E1071" s="2081"/>
      <c r="F1071" s="2081"/>
      <c r="G1071" s="2081"/>
      <c r="H1071" s="2081"/>
      <c r="I1071" s="2081"/>
      <c r="J1071" s="2081"/>
      <c r="K1071" s="2081"/>
      <c r="L1071" s="2081"/>
    </row>
    <row r="1072" spans="2:12">
      <c r="B1072" s="1661"/>
      <c r="C1072" s="2081"/>
      <c r="D1072" s="2081"/>
      <c r="E1072" s="2081"/>
      <c r="F1072" s="2081"/>
      <c r="G1072" s="2081"/>
      <c r="H1072" s="2081"/>
      <c r="I1072" s="2081"/>
      <c r="J1072" s="2081"/>
      <c r="K1072" s="2081"/>
      <c r="L1072" s="2081"/>
    </row>
    <row r="1073" spans="2:12">
      <c r="B1073" s="1661"/>
      <c r="C1073" s="2081"/>
      <c r="D1073" s="2081"/>
      <c r="E1073" s="2081"/>
      <c r="F1073" s="2081"/>
      <c r="G1073" s="2081"/>
      <c r="H1073" s="2081"/>
      <c r="I1073" s="2081"/>
      <c r="J1073" s="2081"/>
      <c r="K1073" s="2081"/>
      <c r="L1073" s="2081"/>
    </row>
    <row r="1074" spans="2:12">
      <c r="B1074" s="1661"/>
      <c r="C1074" s="2081"/>
      <c r="D1074" s="2081"/>
      <c r="E1074" s="2081"/>
      <c r="F1074" s="2081"/>
      <c r="G1074" s="2081"/>
      <c r="H1074" s="2081"/>
      <c r="I1074" s="2081"/>
      <c r="J1074" s="2081"/>
      <c r="K1074" s="2081"/>
      <c r="L1074" s="2081"/>
    </row>
    <row r="1075" spans="2:12">
      <c r="B1075" s="1661"/>
      <c r="C1075" s="2081"/>
      <c r="D1075" s="2081"/>
      <c r="E1075" s="2081"/>
      <c r="F1075" s="2081"/>
      <c r="G1075" s="2081"/>
      <c r="H1075" s="2081"/>
      <c r="I1075" s="2081"/>
      <c r="J1075" s="2081"/>
      <c r="K1075" s="2081"/>
      <c r="L1075" s="2081"/>
    </row>
    <row r="1076" spans="2:12">
      <c r="B1076" s="1661"/>
      <c r="C1076" s="2081"/>
      <c r="D1076" s="2081"/>
      <c r="E1076" s="2081"/>
      <c r="F1076" s="2081"/>
      <c r="G1076" s="2081"/>
      <c r="H1076" s="2081"/>
      <c r="I1076" s="2081"/>
      <c r="J1076" s="2081"/>
      <c r="K1076" s="2081"/>
      <c r="L1076" s="2081"/>
    </row>
    <row r="1077" spans="2:12">
      <c r="B1077" s="1661"/>
      <c r="C1077" s="2081"/>
      <c r="D1077" s="2081"/>
      <c r="E1077" s="2081"/>
      <c r="F1077" s="2081"/>
      <c r="G1077" s="2081"/>
      <c r="H1077" s="2081"/>
      <c r="I1077" s="2081"/>
      <c r="J1077" s="2081"/>
      <c r="K1077" s="2081"/>
      <c r="L1077" s="2081"/>
    </row>
    <row r="1078" spans="2:12">
      <c r="B1078" s="1661"/>
      <c r="C1078" s="2081"/>
      <c r="D1078" s="2081"/>
      <c r="E1078" s="2081"/>
      <c r="F1078" s="2081"/>
      <c r="G1078" s="2081"/>
      <c r="H1078" s="2081"/>
      <c r="I1078" s="2081"/>
      <c r="J1078" s="2081"/>
      <c r="K1078" s="2081"/>
      <c r="L1078" s="2081"/>
    </row>
    <row r="1079" spans="2:12">
      <c r="B1079" s="1661"/>
      <c r="C1079" s="2081"/>
      <c r="D1079" s="2081"/>
      <c r="E1079" s="2081"/>
      <c r="F1079" s="2081"/>
      <c r="G1079" s="2081"/>
      <c r="H1079" s="2081"/>
      <c r="I1079" s="2081"/>
      <c r="J1079" s="2081"/>
      <c r="K1079" s="2081"/>
      <c r="L1079" s="2081"/>
    </row>
    <row r="1080" spans="2:12">
      <c r="B1080" s="1661"/>
      <c r="C1080" s="2081"/>
      <c r="D1080" s="2081"/>
      <c r="E1080" s="2081"/>
      <c r="F1080" s="2081"/>
      <c r="G1080" s="2081"/>
      <c r="H1080" s="2081"/>
      <c r="I1080" s="2081"/>
      <c r="J1080" s="2081"/>
      <c r="K1080" s="2081"/>
      <c r="L1080" s="2081"/>
    </row>
    <row r="1081" spans="2:12">
      <c r="B1081" s="1661"/>
      <c r="C1081" s="2081"/>
      <c r="D1081" s="2081"/>
      <c r="E1081" s="2081"/>
      <c r="F1081" s="2081"/>
      <c r="G1081" s="2081"/>
      <c r="H1081" s="2081"/>
      <c r="I1081" s="2081"/>
      <c r="J1081" s="2081"/>
      <c r="K1081" s="2081"/>
      <c r="L1081" s="2081"/>
    </row>
    <row r="1082" spans="2:12">
      <c r="B1082" s="1661"/>
      <c r="C1082" s="2081"/>
      <c r="D1082" s="2081"/>
      <c r="E1082" s="2081"/>
      <c r="F1082" s="2081"/>
      <c r="G1082" s="2081"/>
      <c r="H1082" s="2081"/>
      <c r="I1082" s="2081"/>
      <c r="J1082" s="2081"/>
      <c r="K1082" s="2081"/>
      <c r="L1082" s="2081"/>
    </row>
    <row r="1083" spans="2:12">
      <c r="B1083" s="1661"/>
      <c r="C1083" s="2081"/>
      <c r="D1083" s="2081"/>
      <c r="E1083" s="2081"/>
      <c r="F1083" s="2081"/>
      <c r="G1083" s="2081"/>
      <c r="H1083" s="2081"/>
      <c r="I1083" s="2081"/>
      <c r="J1083" s="2081"/>
      <c r="K1083" s="2081"/>
      <c r="L1083" s="2081"/>
    </row>
    <row r="1084" spans="2:12">
      <c r="B1084" s="1661"/>
      <c r="C1084" s="2081"/>
      <c r="D1084" s="2081"/>
      <c r="E1084" s="2081"/>
      <c r="F1084" s="2081"/>
      <c r="G1084" s="2081"/>
      <c r="H1084" s="2081"/>
      <c r="I1084" s="2081"/>
      <c r="J1084" s="2081"/>
      <c r="K1084" s="2081"/>
      <c r="L1084" s="2081"/>
    </row>
    <row r="1085" spans="2:12">
      <c r="B1085" s="1661"/>
      <c r="C1085" s="2081"/>
      <c r="D1085" s="2081"/>
      <c r="E1085" s="2081"/>
      <c r="F1085" s="2081"/>
      <c r="G1085" s="2081"/>
      <c r="H1085" s="2081"/>
      <c r="I1085" s="2081"/>
      <c r="J1085" s="2081"/>
      <c r="K1085" s="2081"/>
      <c r="L1085" s="2081"/>
    </row>
    <row r="1086" spans="2:12">
      <c r="B1086" s="1661"/>
      <c r="C1086" s="2081"/>
      <c r="D1086" s="2081"/>
      <c r="E1086" s="2081"/>
      <c r="F1086" s="2081"/>
      <c r="G1086" s="2081"/>
      <c r="H1086" s="2081"/>
      <c r="I1086" s="2081"/>
      <c r="J1086" s="2081"/>
      <c r="K1086" s="2081"/>
      <c r="L1086" s="2081"/>
    </row>
    <row r="1087" spans="2:12">
      <c r="B1087" s="1661"/>
      <c r="C1087" s="2081"/>
      <c r="D1087" s="2081"/>
      <c r="E1087" s="2081"/>
      <c r="F1087" s="2081"/>
      <c r="G1087" s="2081"/>
      <c r="H1087" s="2081"/>
      <c r="I1087" s="2081"/>
      <c r="J1087" s="2081"/>
      <c r="K1087" s="2081"/>
      <c r="L1087" s="2081"/>
    </row>
    <row r="1088" spans="2:12">
      <c r="B1088" s="1661"/>
      <c r="C1088" s="2081"/>
      <c r="D1088" s="2081"/>
      <c r="E1088" s="2081"/>
      <c r="F1088" s="2081"/>
      <c r="G1088" s="2081"/>
      <c r="H1088" s="2081"/>
      <c r="I1088" s="2081"/>
      <c r="J1088" s="2081"/>
      <c r="K1088" s="2081"/>
      <c r="L1088" s="2081"/>
    </row>
    <row r="1089" spans="2:12">
      <c r="B1089" s="1661"/>
      <c r="C1089" s="2081"/>
      <c r="D1089" s="2081"/>
      <c r="E1089" s="2081"/>
      <c r="F1089" s="2081"/>
      <c r="G1089" s="2081"/>
      <c r="H1089" s="2081"/>
      <c r="I1089" s="2081"/>
      <c r="J1089" s="2081"/>
      <c r="K1089" s="2081"/>
      <c r="L1089" s="2081"/>
    </row>
    <row r="1090" spans="2:12">
      <c r="B1090" s="1661"/>
      <c r="C1090" s="2081"/>
      <c r="D1090" s="2081"/>
      <c r="E1090" s="2081"/>
      <c r="F1090" s="2081"/>
      <c r="G1090" s="2081"/>
      <c r="H1090" s="2081"/>
      <c r="I1090" s="2081"/>
      <c r="J1090" s="2081"/>
      <c r="K1090" s="2081"/>
      <c r="L1090" s="2081"/>
    </row>
    <row r="1091" spans="2:12">
      <c r="B1091" s="1661"/>
      <c r="C1091" s="2081"/>
      <c r="D1091" s="2081"/>
      <c r="E1091" s="2081"/>
      <c r="F1091" s="2081"/>
      <c r="G1091" s="2081"/>
      <c r="H1091" s="2081"/>
      <c r="I1091" s="2081"/>
      <c r="J1091" s="2081"/>
      <c r="K1091" s="2081"/>
      <c r="L1091" s="2081"/>
    </row>
    <row r="1092" spans="2:12">
      <c r="B1092" s="1661"/>
      <c r="C1092" s="2081"/>
      <c r="D1092" s="2081"/>
      <c r="E1092" s="2081"/>
      <c r="F1092" s="2081"/>
      <c r="G1092" s="2081"/>
      <c r="H1092" s="2081"/>
      <c r="I1092" s="2081"/>
      <c r="J1092" s="2081"/>
      <c r="K1092" s="2081"/>
      <c r="L1092" s="2081"/>
    </row>
    <row r="1093" spans="2:12">
      <c r="B1093" s="1661"/>
      <c r="C1093" s="2081"/>
      <c r="D1093" s="2081"/>
      <c r="E1093" s="2081"/>
      <c r="F1093" s="2081"/>
      <c r="G1093" s="2081"/>
      <c r="H1093" s="2081"/>
      <c r="I1093" s="2081"/>
      <c r="J1093" s="2081"/>
      <c r="K1093" s="2081"/>
      <c r="L1093" s="2081"/>
    </row>
    <row r="1094" spans="2:12">
      <c r="B1094" s="1661"/>
      <c r="C1094" s="2081"/>
      <c r="D1094" s="2081"/>
      <c r="E1094" s="2081"/>
      <c r="F1094" s="2081"/>
      <c r="G1094" s="2081"/>
      <c r="H1094" s="2081"/>
      <c r="I1094" s="2081"/>
      <c r="J1094" s="2081"/>
      <c r="K1094" s="2081"/>
      <c r="L1094" s="2081"/>
    </row>
    <row r="1095" spans="2:12">
      <c r="B1095" s="1661"/>
      <c r="C1095" s="2081"/>
      <c r="D1095" s="2081"/>
      <c r="E1095" s="2081"/>
      <c r="F1095" s="2081"/>
      <c r="G1095" s="2081"/>
      <c r="H1095" s="2081"/>
      <c r="I1095" s="2081"/>
      <c r="J1095" s="2081"/>
      <c r="K1095" s="2081"/>
      <c r="L1095" s="2081"/>
    </row>
    <row r="1096" spans="2:12">
      <c r="B1096" s="1661"/>
      <c r="C1096" s="2081"/>
      <c r="D1096" s="2081"/>
      <c r="E1096" s="2081"/>
      <c r="F1096" s="2081"/>
      <c r="G1096" s="2081"/>
      <c r="H1096" s="2081"/>
      <c r="I1096" s="2081"/>
      <c r="J1096" s="2081"/>
      <c r="K1096" s="2081"/>
      <c r="L1096" s="2081"/>
    </row>
    <row r="1097" spans="2:12">
      <c r="B1097" s="1661"/>
      <c r="C1097" s="2081"/>
      <c r="D1097" s="2081"/>
      <c r="E1097" s="2081"/>
      <c r="F1097" s="2081"/>
      <c r="G1097" s="2081"/>
      <c r="H1097" s="2081"/>
      <c r="I1097" s="2081"/>
      <c r="J1097" s="2081"/>
      <c r="K1097" s="2081"/>
      <c r="L1097" s="2081"/>
    </row>
    <row r="1098" spans="2:12">
      <c r="B1098" s="1661"/>
      <c r="C1098" s="2081"/>
      <c r="D1098" s="2081"/>
      <c r="E1098" s="2081"/>
      <c r="F1098" s="2081"/>
      <c r="G1098" s="2081"/>
      <c r="H1098" s="2081"/>
      <c r="I1098" s="2081"/>
      <c r="J1098" s="2081"/>
      <c r="K1098" s="2081"/>
      <c r="L1098" s="2081"/>
    </row>
    <row r="1099" spans="2:12">
      <c r="B1099" s="1661"/>
      <c r="C1099" s="2081"/>
      <c r="D1099" s="2081"/>
      <c r="E1099" s="2081"/>
      <c r="F1099" s="2081"/>
      <c r="G1099" s="2081"/>
      <c r="H1099" s="2081"/>
      <c r="I1099" s="2081"/>
      <c r="J1099" s="2081"/>
      <c r="K1099" s="2081"/>
      <c r="L1099" s="2081"/>
    </row>
    <row r="1100" spans="2:12">
      <c r="B1100" s="1661"/>
      <c r="C1100" s="2081"/>
      <c r="D1100" s="2081"/>
      <c r="E1100" s="2081"/>
      <c r="F1100" s="2081"/>
      <c r="G1100" s="2081"/>
      <c r="H1100" s="2081"/>
      <c r="I1100" s="2081"/>
      <c r="J1100" s="2081"/>
      <c r="K1100" s="2081"/>
      <c r="L1100" s="2081"/>
    </row>
    <row r="1101" spans="2:12">
      <c r="B1101" s="1661"/>
      <c r="C1101" s="2081"/>
      <c r="D1101" s="2081"/>
      <c r="E1101" s="2081"/>
      <c r="F1101" s="2081"/>
      <c r="G1101" s="2081"/>
      <c r="H1101" s="2081"/>
      <c r="I1101" s="2081"/>
      <c r="J1101" s="2081"/>
      <c r="K1101" s="2081"/>
      <c r="L1101" s="2081"/>
    </row>
    <row r="1102" spans="2:12">
      <c r="B1102" s="1661"/>
      <c r="C1102" s="2081"/>
      <c r="D1102" s="2081"/>
      <c r="E1102" s="2081"/>
      <c r="F1102" s="2081"/>
      <c r="G1102" s="2081"/>
      <c r="H1102" s="2081"/>
      <c r="I1102" s="2081"/>
      <c r="J1102" s="2081"/>
      <c r="K1102" s="2081"/>
      <c r="L1102" s="2081"/>
    </row>
    <row r="1103" spans="2:12">
      <c r="B1103" s="1661"/>
      <c r="C1103" s="2081"/>
      <c r="D1103" s="2081"/>
      <c r="E1103" s="2081"/>
      <c r="F1103" s="2081"/>
      <c r="G1103" s="2081"/>
      <c r="H1103" s="2081"/>
      <c r="I1103" s="2081"/>
      <c r="J1103" s="2081"/>
      <c r="K1103" s="2081"/>
      <c r="L1103" s="2081"/>
    </row>
    <row r="1104" spans="2:12">
      <c r="B1104" s="1661"/>
      <c r="C1104" s="2081"/>
      <c r="D1104" s="2081"/>
      <c r="E1104" s="2081"/>
      <c r="F1104" s="2081"/>
      <c r="G1104" s="2081"/>
      <c r="H1104" s="2081"/>
      <c r="I1104" s="2081"/>
      <c r="J1104" s="2081"/>
      <c r="K1104" s="2081"/>
      <c r="L1104" s="2081"/>
    </row>
    <row r="1105" spans="2:12">
      <c r="B1105" s="1661"/>
      <c r="C1105" s="2081"/>
      <c r="D1105" s="2081"/>
      <c r="E1105" s="2081"/>
      <c r="F1105" s="2081"/>
      <c r="G1105" s="2081"/>
      <c r="H1105" s="2081"/>
      <c r="I1105" s="2081"/>
      <c r="J1105" s="2081"/>
      <c r="K1105" s="2081"/>
      <c r="L1105" s="2081"/>
    </row>
    <row r="1106" spans="2:12">
      <c r="B1106" s="1661"/>
      <c r="C1106" s="2081"/>
      <c r="D1106" s="2081"/>
      <c r="E1106" s="2081"/>
      <c r="F1106" s="2081"/>
      <c r="G1106" s="2081"/>
      <c r="H1106" s="2081"/>
      <c r="I1106" s="2081"/>
      <c r="J1106" s="2081"/>
      <c r="K1106" s="2081"/>
      <c r="L1106" s="2081"/>
    </row>
    <row r="1107" spans="2:12">
      <c r="B1107" s="1661"/>
      <c r="C1107" s="2081"/>
      <c r="D1107" s="2081"/>
      <c r="E1107" s="2081"/>
      <c r="F1107" s="2081"/>
      <c r="G1107" s="2081"/>
      <c r="H1107" s="2081"/>
      <c r="I1107" s="2081"/>
      <c r="J1107" s="2081"/>
      <c r="K1107" s="2081"/>
      <c r="L1107" s="2081"/>
    </row>
    <row r="1108" spans="2:12">
      <c r="B1108" s="1661"/>
      <c r="C1108" s="2081"/>
      <c r="D1108" s="2081"/>
      <c r="E1108" s="2081"/>
      <c r="F1108" s="2081"/>
      <c r="G1108" s="2081"/>
      <c r="H1108" s="2081"/>
      <c r="I1108" s="2081"/>
      <c r="J1108" s="2081"/>
      <c r="K1108" s="2081"/>
      <c r="L1108" s="2081"/>
    </row>
    <row r="1109" spans="2:12">
      <c r="B1109" s="1661"/>
      <c r="C1109" s="2081"/>
      <c r="D1109" s="2081"/>
      <c r="E1109" s="2081"/>
      <c r="F1109" s="2081"/>
      <c r="G1109" s="2081"/>
      <c r="H1109" s="2081"/>
      <c r="I1109" s="2081"/>
      <c r="J1109" s="2081"/>
      <c r="K1109" s="2081"/>
      <c r="L1109" s="2081"/>
    </row>
    <row r="1110" spans="2:12">
      <c r="B1110" s="1661"/>
      <c r="C1110" s="2081"/>
      <c r="D1110" s="2081"/>
      <c r="E1110" s="2081"/>
      <c r="F1110" s="2081"/>
      <c r="G1110" s="2081"/>
      <c r="H1110" s="2081"/>
      <c r="I1110" s="2081"/>
      <c r="J1110" s="2081"/>
      <c r="K1110" s="2081"/>
      <c r="L1110" s="2081"/>
    </row>
    <row r="1111" spans="2:12">
      <c r="B1111" s="1661"/>
      <c r="C1111" s="2081"/>
      <c r="D1111" s="2081"/>
      <c r="E1111" s="2081"/>
      <c r="F1111" s="2081"/>
      <c r="G1111" s="2081"/>
      <c r="H1111" s="2081"/>
      <c r="I1111" s="2081"/>
      <c r="J1111" s="2081"/>
      <c r="K1111" s="2081"/>
      <c r="L1111" s="2081"/>
    </row>
    <row r="1112" spans="2:12">
      <c r="B1112" s="1661"/>
      <c r="C1112" s="2081"/>
      <c r="D1112" s="2081"/>
      <c r="E1112" s="2081"/>
      <c r="F1112" s="2081"/>
      <c r="G1112" s="2081"/>
      <c r="H1112" s="2081"/>
      <c r="I1112" s="2081"/>
      <c r="J1112" s="2081"/>
      <c r="K1112" s="2081"/>
      <c r="L1112" s="2081"/>
    </row>
    <row r="1113" spans="2:12">
      <c r="B1113" s="1661"/>
      <c r="C1113" s="2081"/>
      <c r="D1113" s="2081"/>
      <c r="E1113" s="2081"/>
      <c r="F1113" s="2081"/>
      <c r="G1113" s="2081"/>
      <c r="H1113" s="2081"/>
      <c r="I1113" s="2081"/>
      <c r="J1113" s="2081"/>
      <c r="K1113" s="2081"/>
      <c r="L1113" s="2081"/>
    </row>
    <row r="1114" spans="2:12">
      <c r="B1114" s="1661"/>
      <c r="C1114" s="2081"/>
      <c r="D1114" s="2081"/>
      <c r="E1114" s="2081"/>
      <c r="F1114" s="2081"/>
      <c r="G1114" s="2081"/>
      <c r="H1114" s="2081"/>
      <c r="I1114" s="2081"/>
      <c r="J1114" s="2081"/>
      <c r="K1114" s="2081"/>
      <c r="L1114" s="2081"/>
    </row>
    <row r="1115" spans="2:12">
      <c r="B1115" s="1661"/>
      <c r="C1115" s="2081"/>
      <c r="D1115" s="2081"/>
      <c r="E1115" s="2081"/>
      <c r="F1115" s="2081"/>
      <c r="G1115" s="2081"/>
      <c r="H1115" s="2081"/>
      <c r="I1115" s="2081"/>
      <c r="J1115" s="2081"/>
      <c r="K1115" s="2081"/>
      <c r="L1115" s="2081"/>
    </row>
    <row r="1116" spans="2:12">
      <c r="B1116" s="1661"/>
      <c r="C1116" s="2081"/>
      <c r="D1116" s="2081"/>
      <c r="E1116" s="2081"/>
      <c r="F1116" s="2081"/>
      <c r="G1116" s="2081"/>
      <c r="H1116" s="2081"/>
      <c r="I1116" s="2081"/>
      <c r="J1116" s="2081"/>
      <c r="K1116" s="2081"/>
      <c r="L1116" s="2081"/>
    </row>
    <row r="1117" spans="2:12">
      <c r="B1117" s="1661"/>
      <c r="C1117" s="2081"/>
      <c r="D1117" s="2081"/>
      <c r="E1117" s="2081"/>
      <c r="F1117" s="2081"/>
      <c r="G1117" s="2081"/>
      <c r="H1117" s="2081"/>
      <c r="I1117" s="2081"/>
      <c r="J1117" s="2081"/>
      <c r="K1117" s="2081"/>
      <c r="L1117" s="2081"/>
    </row>
    <row r="1118" spans="2:12">
      <c r="B1118" s="1661"/>
      <c r="C1118" s="2081"/>
      <c r="D1118" s="2081"/>
      <c r="E1118" s="2081"/>
      <c r="F1118" s="2081"/>
      <c r="G1118" s="2081"/>
      <c r="H1118" s="2081"/>
      <c r="I1118" s="2081"/>
      <c r="J1118" s="2081"/>
      <c r="K1118" s="2081"/>
      <c r="L1118" s="2081"/>
    </row>
    <row r="1119" spans="2:12">
      <c r="B1119" s="1661"/>
      <c r="C1119" s="2081"/>
      <c r="D1119" s="2081"/>
      <c r="E1119" s="2081"/>
      <c r="F1119" s="2081"/>
      <c r="G1119" s="2081"/>
      <c r="H1119" s="2081"/>
      <c r="I1119" s="2081"/>
      <c r="J1119" s="2081"/>
      <c r="K1119" s="2081"/>
      <c r="L1119" s="2081"/>
    </row>
    <row r="1120" spans="2:12">
      <c r="B1120" s="1661"/>
      <c r="C1120" s="2081"/>
      <c r="D1120" s="2081"/>
      <c r="E1120" s="2081"/>
      <c r="F1120" s="2081"/>
      <c r="G1120" s="2081"/>
      <c r="H1120" s="2081"/>
      <c r="I1120" s="2081"/>
      <c r="J1120" s="2081"/>
      <c r="K1120" s="2081"/>
      <c r="L1120" s="2081"/>
    </row>
    <row r="1121" spans="2:12">
      <c r="B1121" s="1661"/>
      <c r="C1121" s="2081"/>
      <c r="D1121" s="2081"/>
      <c r="E1121" s="2081"/>
      <c r="F1121" s="2081"/>
      <c r="G1121" s="2081"/>
      <c r="H1121" s="2081"/>
      <c r="I1121" s="2081"/>
      <c r="J1121" s="2081"/>
      <c r="K1121" s="2081"/>
      <c r="L1121" s="2081"/>
    </row>
    <row r="1122" spans="2:12">
      <c r="B1122" s="1661"/>
      <c r="C1122" s="2081"/>
      <c r="D1122" s="2081"/>
      <c r="E1122" s="2081"/>
      <c r="F1122" s="2081"/>
      <c r="G1122" s="2081"/>
      <c r="H1122" s="2081"/>
      <c r="I1122" s="2081"/>
      <c r="J1122" s="2081"/>
      <c r="K1122" s="2081"/>
      <c r="L1122" s="2081"/>
    </row>
    <row r="1123" spans="2:12">
      <c r="B1123" s="1661"/>
      <c r="C1123" s="2081"/>
      <c r="D1123" s="2081"/>
      <c r="E1123" s="2081"/>
      <c r="F1123" s="2081"/>
      <c r="G1123" s="2081"/>
      <c r="H1123" s="2081"/>
      <c r="I1123" s="2081"/>
      <c r="J1123" s="2081"/>
      <c r="K1123" s="2081"/>
      <c r="L1123" s="2081"/>
    </row>
    <row r="1124" spans="2:12">
      <c r="B1124" s="1661"/>
      <c r="C1124" s="2081"/>
      <c r="D1124" s="2081"/>
      <c r="E1124" s="2081"/>
      <c r="F1124" s="2081"/>
      <c r="G1124" s="2081"/>
      <c r="H1124" s="2081"/>
      <c r="I1124" s="2081"/>
      <c r="J1124" s="2081"/>
      <c r="K1124" s="2081"/>
      <c r="L1124" s="2081"/>
    </row>
    <row r="1125" spans="2:12">
      <c r="B1125" s="1661"/>
      <c r="C1125" s="2081"/>
      <c r="D1125" s="2081"/>
      <c r="E1125" s="2081"/>
      <c r="F1125" s="2081"/>
      <c r="G1125" s="2081"/>
      <c r="H1125" s="2081"/>
      <c r="I1125" s="2081"/>
      <c r="J1125" s="2081"/>
      <c r="K1125" s="2081"/>
      <c r="L1125" s="2081"/>
    </row>
    <row r="1126" spans="2:12">
      <c r="B1126" s="1661"/>
      <c r="C1126" s="2081"/>
      <c r="D1126" s="2081"/>
      <c r="E1126" s="2081"/>
      <c r="F1126" s="2081"/>
      <c r="G1126" s="2081"/>
      <c r="H1126" s="2081"/>
      <c r="I1126" s="2081"/>
      <c r="J1126" s="2081"/>
      <c r="K1126" s="2081"/>
      <c r="L1126" s="2081"/>
    </row>
    <row r="1127" spans="2:12">
      <c r="B1127" s="1661"/>
      <c r="C1127" s="2081"/>
      <c r="D1127" s="2081"/>
      <c r="E1127" s="2081"/>
      <c r="F1127" s="2081"/>
      <c r="G1127" s="2081"/>
      <c r="H1127" s="2081"/>
      <c r="I1127" s="2081"/>
      <c r="J1127" s="2081"/>
      <c r="K1127" s="2081"/>
      <c r="L1127" s="2081"/>
    </row>
    <row r="1128" spans="2:12">
      <c r="B1128" s="1661"/>
      <c r="C1128" s="2081"/>
      <c r="D1128" s="2081"/>
      <c r="E1128" s="2081"/>
      <c r="F1128" s="2081"/>
      <c r="G1128" s="2081"/>
      <c r="H1128" s="2081"/>
      <c r="I1128" s="2081"/>
      <c r="J1128" s="2081"/>
      <c r="K1128" s="2081"/>
      <c r="L1128" s="2081"/>
    </row>
    <row r="1129" spans="2:12">
      <c r="B1129" s="1661"/>
      <c r="C1129" s="2081"/>
      <c r="D1129" s="2081"/>
      <c r="E1129" s="2081"/>
      <c r="F1129" s="2081"/>
      <c r="G1129" s="2081"/>
      <c r="H1129" s="2081"/>
      <c r="I1129" s="2081"/>
      <c r="J1129" s="2081"/>
      <c r="K1129" s="2081"/>
      <c r="L1129" s="2081"/>
    </row>
    <row r="1130" spans="2:12">
      <c r="B1130" s="1661"/>
      <c r="C1130" s="2081"/>
      <c r="D1130" s="2081"/>
      <c r="E1130" s="2081"/>
      <c r="F1130" s="2081"/>
      <c r="G1130" s="2081"/>
      <c r="H1130" s="2081"/>
      <c r="I1130" s="2081"/>
      <c r="J1130" s="2081"/>
      <c r="K1130" s="2081"/>
      <c r="L1130" s="2081"/>
    </row>
    <row r="1131" spans="2:12">
      <c r="B1131" s="1661"/>
      <c r="C1131" s="2081"/>
      <c r="D1131" s="2081"/>
      <c r="E1131" s="2081"/>
      <c r="F1131" s="2081"/>
      <c r="G1131" s="2081"/>
      <c r="H1131" s="2081"/>
      <c r="I1131" s="2081"/>
      <c r="J1131" s="2081"/>
      <c r="K1131" s="2081"/>
      <c r="L1131" s="2081"/>
    </row>
    <row r="1132" spans="2:12">
      <c r="B1132" s="1661"/>
      <c r="C1132" s="2081"/>
      <c r="D1132" s="2081"/>
      <c r="E1132" s="2081"/>
      <c r="F1132" s="2081"/>
      <c r="G1132" s="2081"/>
      <c r="H1132" s="2081"/>
      <c r="I1132" s="2081"/>
      <c r="J1132" s="2081"/>
      <c r="K1132" s="2081"/>
      <c r="L1132" s="2081"/>
    </row>
    <row r="1133" spans="2:12">
      <c r="B1133" s="1661"/>
      <c r="C1133" s="2081"/>
      <c r="D1133" s="2081"/>
      <c r="E1133" s="2081"/>
      <c r="F1133" s="2081"/>
      <c r="G1133" s="2081"/>
      <c r="H1133" s="2081"/>
      <c r="I1133" s="2081"/>
      <c r="J1133" s="2081"/>
      <c r="K1133" s="2081"/>
      <c r="L1133" s="2081"/>
    </row>
    <row r="1134" spans="2:12">
      <c r="B1134" s="1661"/>
      <c r="C1134" s="2081"/>
      <c r="D1134" s="2081"/>
      <c r="E1134" s="2081"/>
      <c r="F1134" s="2081"/>
      <c r="G1134" s="2081"/>
      <c r="H1134" s="2081"/>
      <c r="I1134" s="2081"/>
      <c r="J1134" s="2081"/>
      <c r="K1134" s="2081"/>
      <c r="L1134" s="2081"/>
    </row>
    <row r="1135" spans="2:12">
      <c r="B1135" s="1661"/>
      <c r="C1135" s="2081"/>
      <c r="D1135" s="2081"/>
      <c r="E1135" s="2081"/>
      <c r="F1135" s="2081"/>
      <c r="G1135" s="2081"/>
      <c r="H1135" s="2081"/>
      <c r="I1135" s="2081"/>
      <c r="J1135" s="2081"/>
      <c r="K1135" s="2081"/>
      <c r="L1135" s="2081"/>
    </row>
    <row r="1136" spans="2:12">
      <c r="B1136" s="1661"/>
      <c r="C1136" s="2081"/>
      <c r="D1136" s="2081"/>
      <c r="E1136" s="2081"/>
      <c r="F1136" s="2081"/>
      <c r="G1136" s="2081"/>
      <c r="H1136" s="2081"/>
      <c r="I1136" s="2081"/>
      <c r="J1136" s="2081"/>
      <c r="K1136" s="2081"/>
      <c r="L1136" s="2081"/>
    </row>
    <row r="1137" spans="2:12">
      <c r="B1137" s="1661"/>
      <c r="C1137" s="2081"/>
      <c r="D1137" s="2081"/>
      <c r="E1137" s="2081"/>
      <c r="F1137" s="2081"/>
      <c r="G1137" s="2081"/>
      <c r="H1137" s="2081"/>
      <c r="I1137" s="2081"/>
      <c r="J1137" s="2081"/>
      <c r="K1137" s="2081"/>
      <c r="L1137" s="2081"/>
    </row>
    <row r="1138" spans="2:12">
      <c r="B1138" s="1661"/>
      <c r="C1138" s="2081"/>
      <c r="D1138" s="2081"/>
      <c r="E1138" s="2081"/>
      <c r="F1138" s="2081"/>
      <c r="G1138" s="2081"/>
      <c r="H1138" s="2081"/>
      <c r="I1138" s="2081"/>
      <c r="J1138" s="2081"/>
      <c r="K1138" s="2081"/>
      <c r="L1138" s="2081"/>
    </row>
    <row r="1139" spans="2:12">
      <c r="B1139" s="1661"/>
      <c r="C1139" s="2081"/>
      <c r="D1139" s="2081"/>
      <c r="E1139" s="2081"/>
      <c r="F1139" s="2081"/>
      <c r="G1139" s="2081"/>
      <c r="H1139" s="2081"/>
      <c r="I1139" s="2081"/>
      <c r="J1139" s="2081"/>
      <c r="K1139" s="2081"/>
      <c r="L1139" s="2081"/>
    </row>
    <row r="1140" spans="2:12">
      <c r="B1140" s="1661"/>
      <c r="C1140" s="2081"/>
      <c r="D1140" s="2081"/>
      <c r="E1140" s="2081"/>
      <c r="F1140" s="2081"/>
      <c r="G1140" s="2081"/>
      <c r="H1140" s="2081"/>
      <c r="I1140" s="2081"/>
      <c r="J1140" s="2081"/>
      <c r="K1140" s="2081"/>
      <c r="L1140" s="2081"/>
    </row>
    <row r="1141" spans="2:12">
      <c r="B1141" s="1661"/>
      <c r="C1141" s="2081"/>
      <c r="D1141" s="2081"/>
      <c r="E1141" s="2081"/>
      <c r="F1141" s="2081"/>
      <c r="G1141" s="2081"/>
      <c r="H1141" s="2081"/>
      <c r="I1141" s="2081"/>
      <c r="J1141" s="2081"/>
      <c r="K1141" s="2081"/>
      <c r="L1141" s="2081"/>
    </row>
    <row r="1142" spans="2:12">
      <c r="B1142" s="1661"/>
      <c r="C1142" s="2081"/>
      <c r="D1142" s="2081"/>
      <c r="E1142" s="2081"/>
      <c r="F1142" s="2081"/>
      <c r="G1142" s="2081"/>
      <c r="H1142" s="2081"/>
      <c r="I1142" s="2081"/>
      <c r="J1142" s="2081"/>
      <c r="K1142" s="2081"/>
      <c r="L1142" s="2081"/>
    </row>
    <row r="1143" spans="2:12">
      <c r="B1143" s="1661"/>
      <c r="C1143" s="2081"/>
      <c r="D1143" s="2081"/>
      <c r="E1143" s="2081"/>
      <c r="F1143" s="2081"/>
      <c r="G1143" s="2081"/>
      <c r="H1143" s="2081"/>
      <c r="I1143" s="2081"/>
      <c r="J1143" s="2081"/>
      <c r="K1143" s="2081"/>
      <c r="L1143" s="2081"/>
    </row>
    <row r="1144" spans="2:12">
      <c r="B1144" s="1661"/>
      <c r="C1144" s="2081"/>
      <c r="D1144" s="2081"/>
      <c r="E1144" s="2081"/>
      <c r="F1144" s="2081"/>
      <c r="G1144" s="2081"/>
      <c r="H1144" s="2081"/>
      <c r="I1144" s="2081"/>
      <c r="J1144" s="2081"/>
      <c r="K1144" s="2081"/>
      <c r="L1144" s="2081"/>
    </row>
    <row r="1145" spans="2:12">
      <c r="B1145" s="1661"/>
      <c r="C1145" s="2081"/>
      <c r="D1145" s="2081"/>
      <c r="E1145" s="2081"/>
      <c r="F1145" s="2081"/>
      <c r="G1145" s="2081"/>
      <c r="H1145" s="2081"/>
      <c r="I1145" s="2081"/>
      <c r="J1145" s="2081"/>
      <c r="K1145" s="2081"/>
      <c r="L1145" s="2081"/>
    </row>
    <row r="1146" spans="2:12">
      <c r="B1146" s="1661"/>
      <c r="C1146" s="2081"/>
      <c r="D1146" s="2081"/>
      <c r="E1146" s="2081"/>
      <c r="F1146" s="2081"/>
      <c r="G1146" s="2081"/>
      <c r="H1146" s="2081"/>
      <c r="I1146" s="2081"/>
      <c r="J1146" s="2081"/>
      <c r="K1146" s="2081"/>
      <c r="L1146" s="2081"/>
    </row>
    <row r="1147" spans="2:12">
      <c r="B1147" s="1661"/>
      <c r="C1147" s="2081"/>
      <c r="D1147" s="2081"/>
      <c r="E1147" s="2081"/>
      <c r="F1147" s="2081"/>
      <c r="G1147" s="2081"/>
      <c r="H1147" s="2081"/>
      <c r="I1147" s="2081"/>
      <c r="J1147" s="2081"/>
      <c r="K1147" s="2081"/>
      <c r="L1147" s="2081"/>
    </row>
    <row r="1148" spans="2:12">
      <c r="B1148" s="1661"/>
      <c r="C1148" s="2081"/>
      <c r="D1148" s="2081"/>
      <c r="E1148" s="2081"/>
      <c r="F1148" s="2081"/>
      <c r="G1148" s="2081"/>
      <c r="H1148" s="2081"/>
      <c r="I1148" s="2081"/>
      <c r="J1148" s="2081"/>
      <c r="K1148" s="2081"/>
      <c r="L1148" s="2081"/>
    </row>
    <row r="1149" spans="2:12">
      <c r="B1149" s="1661"/>
      <c r="C1149" s="2081"/>
      <c r="D1149" s="2081"/>
      <c r="E1149" s="2081"/>
      <c r="F1149" s="2081"/>
      <c r="G1149" s="2081"/>
      <c r="H1149" s="2081"/>
      <c r="I1149" s="2081"/>
      <c r="J1149" s="2081"/>
      <c r="K1149" s="2081"/>
      <c r="L1149" s="2081"/>
    </row>
    <row r="1150" spans="2:12">
      <c r="B1150" s="1661"/>
      <c r="C1150" s="2081"/>
      <c r="D1150" s="2081"/>
      <c r="E1150" s="2081"/>
      <c r="F1150" s="2081"/>
      <c r="G1150" s="2081"/>
      <c r="H1150" s="2081"/>
      <c r="I1150" s="2081"/>
      <c r="J1150" s="2081"/>
      <c r="K1150" s="2081"/>
      <c r="L1150" s="2081"/>
    </row>
    <row r="1151" spans="2:12">
      <c r="B1151" s="1661"/>
      <c r="C1151" s="2081"/>
      <c r="D1151" s="2081"/>
      <c r="E1151" s="2081"/>
      <c r="F1151" s="2081"/>
      <c r="G1151" s="2081"/>
      <c r="H1151" s="2081"/>
      <c r="I1151" s="2081"/>
      <c r="J1151" s="2081"/>
      <c r="K1151" s="2081"/>
      <c r="L1151" s="2081"/>
    </row>
    <row r="1152" spans="2:12">
      <c r="B1152" s="1661"/>
      <c r="C1152" s="2081"/>
      <c r="D1152" s="2081"/>
      <c r="E1152" s="2081"/>
      <c r="F1152" s="2081"/>
      <c r="G1152" s="2081"/>
      <c r="H1152" s="2081"/>
      <c r="I1152" s="2081"/>
      <c r="J1152" s="2081"/>
      <c r="K1152" s="2081"/>
      <c r="L1152" s="2081"/>
    </row>
    <row r="1153" spans="2:12">
      <c r="B1153" s="1661"/>
      <c r="C1153" s="2081"/>
      <c r="D1153" s="2081"/>
      <c r="E1153" s="2081"/>
      <c r="F1153" s="2081"/>
      <c r="G1153" s="2081"/>
      <c r="H1153" s="2081"/>
      <c r="I1153" s="2081"/>
      <c r="J1153" s="2081"/>
      <c r="K1153" s="2081"/>
      <c r="L1153" s="2081"/>
    </row>
    <row r="1154" spans="2:12">
      <c r="B1154" s="1661"/>
      <c r="C1154" s="2081"/>
      <c r="D1154" s="2081"/>
      <c r="E1154" s="2081"/>
      <c r="F1154" s="2081"/>
      <c r="G1154" s="2081"/>
      <c r="H1154" s="2081"/>
      <c r="I1154" s="2081"/>
      <c r="J1154" s="2081"/>
      <c r="K1154" s="2081"/>
      <c r="L1154" s="2081"/>
    </row>
    <row r="1155" spans="2:12">
      <c r="B1155" s="1661"/>
      <c r="C1155" s="2081"/>
      <c r="D1155" s="2081"/>
      <c r="E1155" s="2081"/>
      <c r="F1155" s="2081"/>
      <c r="G1155" s="2081"/>
      <c r="H1155" s="2081"/>
      <c r="I1155" s="2081"/>
      <c r="J1155" s="2081"/>
      <c r="K1155" s="2081"/>
      <c r="L1155" s="2081"/>
    </row>
    <row r="1156" spans="2:12">
      <c r="B1156" s="1661"/>
      <c r="C1156" s="2081"/>
      <c r="D1156" s="2081"/>
      <c r="E1156" s="2081"/>
      <c r="F1156" s="2081"/>
      <c r="G1156" s="2081"/>
      <c r="H1156" s="2081"/>
      <c r="I1156" s="2081"/>
      <c r="J1156" s="2081"/>
      <c r="K1156" s="2081"/>
      <c r="L1156" s="2081"/>
    </row>
    <row r="1157" spans="2:12">
      <c r="B1157" s="1661"/>
      <c r="C1157" s="2081"/>
      <c r="D1157" s="2081"/>
      <c r="E1157" s="2081"/>
      <c r="F1157" s="2081"/>
      <c r="G1157" s="2081"/>
      <c r="H1157" s="2081"/>
      <c r="I1157" s="2081"/>
      <c r="J1157" s="2081"/>
      <c r="K1157" s="2081"/>
      <c r="L1157" s="2081"/>
    </row>
    <row r="1158" spans="2:12">
      <c r="B1158" s="1661"/>
      <c r="C1158" s="2081"/>
      <c r="D1158" s="2081"/>
      <c r="E1158" s="2081"/>
      <c r="F1158" s="2081"/>
      <c r="G1158" s="2081"/>
      <c r="H1158" s="2081"/>
      <c r="I1158" s="2081"/>
      <c r="J1158" s="2081"/>
      <c r="K1158" s="2081"/>
      <c r="L1158" s="2081"/>
    </row>
    <row r="1159" spans="2:12">
      <c r="B1159" s="1661"/>
      <c r="C1159" s="2081"/>
      <c r="D1159" s="2081"/>
      <c r="E1159" s="2081"/>
      <c r="F1159" s="2081"/>
      <c r="G1159" s="2081"/>
      <c r="H1159" s="2081"/>
      <c r="I1159" s="2081"/>
      <c r="J1159" s="2081"/>
      <c r="K1159" s="2081"/>
      <c r="L1159" s="2081"/>
    </row>
    <row r="1160" spans="2:12">
      <c r="B1160" s="1661"/>
      <c r="C1160" s="2081"/>
      <c r="D1160" s="2081"/>
      <c r="E1160" s="2081"/>
      <c r="F1160" s="2081"/>
      <c r="G1160" s="2081"/>
      <c r="H1160" s="2081"/>
      <c r="I1160" s="2081"/>
      <c r="J1160" s="2081"/>
      <c r="K1160" s="2081"/>
      <c r="L1160" s="2081"/>
    </row>
    <row r="1161" spans="2:12">
      <c r="B1161" s="1661"/>
      <c r="C1161" s="2081"/>
      <c r="D1161" s="2081"/>
      <c r="E1161" s="2081"/>
      <c r="F1161" s="2081"/>
      <c r="G1161" s="2081"/>
      <c r="H1161" s="2081"/>
      <c r="I1161" s="2081"/>
      <c r="J1161" s="2081"/>
      <c r="K1161" s="2081"/>
      <c r="L1161" s="2081"/>
    </row>
    <row r="1162" spans="2:12">
      <c r="B1162" s="1661"/>
      <c r="C1162" s="2081"/>
      <c r="D1162" s="2081"/>
      <c r="E1162" s="2081"/>
      <c r="F1162" s="2081"/>
      <c r="G1162" s="2081"/>
      <c r="H1162" s="2081"/>
      <c r="I1162" s="2081"/>
      <c r="J1162" s="2081"/>
      <c r="K1162" s="2081"/>
      <c r="L1162" s="2081"/>
    </row>
    <row r="1163" spans="2:12">
      <c r="B1163" s="1661"/>
      <c r="C1163" s="2081"/>
      <c r="D1163" s="2081"/>
      <c r="E1163" s="2081"/>
      <c r="F1163" s="2081"/>
      <c r="G1163" s="2081"/>
      <c r="H1163" s="2081"/>
      <c r="I1163" s="2081"/>
      <c r="J1163" s="2081"/>
      <c r="K1163" s="2081"/>
      <c r="L1163" s="2081"/>
    </row>
    <row r="1164" spans="2:12">
      <c r="B1164" s="1661"/>
      <c r="C1164" s="2081"/>
      <c r="D1164" s="2081"/>
      <c r="E1164" s="2081"/>
      <c r="F1164" s="2081"/>
      <c r="G1164" s="2081"/>
      <c r="H1164" s="2081"/>
      <c r="I1164" s="2081"/>
      <c r="J1164" s="2081"/>
      <c r="K1164" s="2081"/>
      <c r="L1164" s="2081"/>
    </row>
    <row r="1165" spans="2:12">
      <c r="B1165" s="1661"/>
      <c r="C1165" s="2081"/>
      <c r="D1165" s="2081"/>
      <c r="E1165" s="2081"/>
      <c r="F1165" s="2081"/>
      <c r="G1165" s="2081"/>
      <c r="H1165" s="2081"/>
      <c r="I1165" s="2081"/>
      <c r="J1165" s="2081"/>
      <c r="K1165" s="2081"/>
      <c r="L1165" s="2081"/>
    </row>
    <row r="1166" spans="2:12">
      <c r="B1166" s="1661"/>
      <c r="C1166" s="2081"/>
      <c r="D1166" s="2081"/>
      <c r="E1166" s="2081"/>
      <c r="F1166" s="2081"/>
      <c r="G1166" s="2081"/>
      <c r="H1166" s="2081"/>
      <c r="I1166" s="2081"/>
      <c r="J1166" s="2081"/>
      <c r="K1166" s="2081"/>
      <c r="L1166" s="2081"/>
    </row>
    <row r="1167" spans="2:12">
      <c r="B1167" s="1661"/>
      <c r="C1167" s="2081"/>
      <c r="D1167" s="2081"/>
      <c r="E1167" s="2081"/>
      <c r="F1167" s="2081"/>
      <c r="G1167" s="2081"/>
      <c r="H1167" s="2081"/>
      <c r="I1167" s="2081"/>
      <c r="J1167" s="2081"/>
      <c r="K1167" s="2081"/>
      <c r="L1167" s="2081"/>
    </row>
    <row r="1168" spans="2:12">
      <c r="B1168" s="1661"/>
      <c r="C1168" s="2081"/>
      <c r="D1168" s="2081"/>
      <c r="E1168" s="2081"/>
      <c r="F1168" s="2081"/>
      <c r="G1168" s="2081"/>
      <c r="H1168" s="2081"/>
      <c r="I1168" s="2081"/>
      <c r="J1168" s="2081"/>
      <c r="K1168" s="2081"/>
      <c r="L1168" s="2081"/>
    </row>
    <row r="1169" spans="2:12">
      <c r="B1169" s="1661"/>
      <c r="C1169" s="2081"/>
      <c r="D1169" s="2081"/>
      <c r="E1169" s="2081"/>
      <c r="F1169" s="2081"/>
      <c r="G1169" s="2081"/>
      <c r="H1169" s="2081"/>
      <c r="I1169" s="2081"/>
      <c r="J1169" s="2081"/>
      <c r="K1169" s="2081"/>
      <c r="L1169" s="2081"/>
    </row>
    <row r="1170" spans="2:12">
      <c r="B1170" s="1661"/>
      <c r="C1170" s="2081"/>
      <c r="D1170" s="2081"/>
      <c r="E1170" s="2081"/>
      <c r="F1170" s="2081"/>
      <c r="G1170" s="2081"/>
      <c r="H1170" s="2081"/>
      <c r="I1170" s="2081"/>
      <c r="J1170" s="2081"/>
      <c r="K1170" s="2081"/>
      <c r="L1170" s="2081"/>
    </row>
    <row r="1171" spans="2:12">
      <c r="B1171" s="1661"/>
      <c r="C1171" s="2081"/>
      <c r="D1171" s="2081"/>
      <c r="E1171" s="2081"/>
      <c r="F1171" s="2081"/>
      <c r="G1171" s="2081"/>
      <c r="H1171" s="2081"/>
      <c r="I1171" s="2081"/>
      <c r="J1171" s="2081"/>
      <c r="K1171" s="2081"/>
      <c r="L1171" s="2081"/>
    </row>
    <row r="1172" spans="2:12">
      <c r="B1172" s="1661"/>
      <c r="C1172" s="2081"/>
      <c r="D1172" s="2081"/>
      <c r="E1172" s="2081"/>
      <c r="F1172" s="2081"/>
      <c r="G1172" s="2081"/>
      <c r="H1172" s="2081"/>
      <c r="I1172" s="2081"/>
      <c r="J1172" s="2081"/>
      <c r="K1172" s="2081"/>
      <c r="L1172" s="2081"/>
    </row>
    <row r="1173" spans="2:12">
      <c r="B1173" s="1661"/>
      <c r="C1173" s="2081"/>
      <c r="D1173" s="2081"/>
      <c r="E1173" s="2081"/>
      <c r="F1173" s="2081"/>
      <c r="G1173" s="2081"/>
      <c r="H1173" s="2081"/>
      <c r="I1173" s="2081"/>
      <c r="J1173" s="2081"/>
      <c r="K1173" s="2081"/>
      <c r="L1173" s="2081"/>
    </row>
    <row r="1174" spans="2:12">
      <c r="B1174" s="1661"/>
      <c r="C1174" s="2081"/>
      <c r="D1174" s="2081"/>
      <c r="E1174" s="2081"/>
      <c r="F1174" s="2081"/>
      <c r="G1174" s="2081"/>
      <c r="H1174" s="2081"/>
      <c r="I1174" s="2081"/>
      <c r="J1174" s="2081"/>
      <c r="K1174" s="2081"/>
      <c r="L1174" s="2081"/>
    </row>
    <row r="1175" spans="2:12">
      <c r="B1175" s="1661"/>
      <c r="C1175" s="2081"/>
      <c r="D1175" s="2081"/>
      <c r="E1175" s="2081"/>
      <c r="F1175" s="2081"/>
      <c r="G1175" s="2081"/>
      <c r="H1175" s="2081"/>
      <c r="I1175" s="2081"/>
      <c r="J1175" s="2081"/>
      <c r="K1175" s="2081"/>
      <c r="L1175" s="2081"/>
    </row>
    <row r="1176" spans="2:12">
      <c r="B1176" s="1661"/>
      <c r="C1176" s="2081"/>
      <c r="D1176" s="2081"/>
      <c r="E1176" s="2081"/>
      <c r="F1176" s="2081"/>
      <c r="G1176" s="2081"/>
      <c r="H1176" s="2081"/>
      <c r="I1176" s="2081"/>
      <c r="J1176" s="2081"/>
      <c r="K1176" s="2081"/>
      <c r="L1176" s="2081"/>
    </row>
    <row r="1177" spans="2:12">
      <c r="B1177" s="1661"/>
      <c r="C1177" s="2081"/>
      <c r="D1177" s="2081"/>
      <c r="E1177" s="2081"/>
      <c r="F1177" s="2081"/>
      <c r="G1177" s="2081"/>
      <c r="H1177" s="2081"/>
      <c r="I1177" s="2081"/>
      <c r="J1177" s="2081"/>
      <c r="K1177" s="2081"/>
      <c r="L1177" s="2081"/>
    </row>
    <row r="1178" spans="2:12">
      <c r="B1178" s="1661"/>
      <c r="C1178" s="2081"/>
      <c r="D1178" s="2081"/>
      <c r="E1178" s="2081"/>
      <c r="F1178" s="2081"/>
      <c r="G1178" s="2081"/>
      <c r="H1178" s="2081"/>
      <c r="I1178" s="2081"/>
      <c r="J1178" s="2081"/>
      <c r="K1178" s="2081"/>
      <c r="L1178" s="2081"/>
    </row>
    <row r="1179" spans="2:12">
      <c r="B1179" s="1661"/>
      <c r="C1179" s="2081"/>
      <c r="D1179" s="2081"/>
      <c r="E1179" s="2081"/>
      <c r="F1179" s="2081"/>
      <c r="G1179" s="2081"/>
      <c r="H1179" s="2081"/>
      <c r="I1179" s="2081"/>
      <c r="J1179" s="2081"/>
      <c r="K1179" s="2081"/>
      <c r="L1179" s="2081"/>
    </row>
    <row r="1180" spans="2:12">
      <c r="B1180" s="1661"/>
      <c r="C1180" s="2081"/>
      <c r="D1180" s="2081"/>
      <c r="E1180" s="2081"/>
      <c r="F1180" s="2081"/>
      <c r="G1180" s="2081"/>
      <c r="H1180" s="2081"/>
      <c r="I1180" s="2081"/>
      <c r="J1180" s="2081"/>
      <c r="K1180" s="2081"/>
      <c r="L1180" s="2081"/>
    </row>
    <row r="1181" spans="2:12">
      <c r="B1181" s="1661"/>
      <c r="C1181" s="2081"/>
      <c r="D1181" s="2081"/>
      <c r="E1181" s="2081"/>
      <c r="F1181" s="2081"/>
      <c r="G1181" s="2081"/>
      <c r="H1181" s="2081"/>
      <c r="I1181" s="2081"/>
      <c r="J1181" s="2081"/>
      <c r="K1181" s="2081"/>
      <c r="L1181" s="2081"/>
    </row>
    <row r="1182" spans="2:12">
      <c r="B1182" s="1661"/>
      <c r="C1182" s="2081"/>
      <c r="D1182" s="2081"/>
      <c r="E1182" s="2081"/>
      <c r="F1182" s="2081"/>
      <c r="G1182" s="2081"/>
      <c r="H1182" s="2081"/>
      <c r="I1182" s="2081"/>
      <c r="J1182" s="2081"/>
      <c r="K1182" s="2081"/>
      <c r="L1182" s="2081"/>
    </row>
    <row r="1183" spans="2:12">
      <c r="B1183" s="1661"/>
      <c r="C1183" s="2081"/>
      <c r="D1183" s="2081"/>
      <c r="E1183" s="2081"/>
      <c r="F1183" s="2081"/>
      <c r="G1183" s="2081"/>
      <c r="H1183" s="2081"/>
      <c r="I1183" s="2081"/>
      <c r="J1183" s="2081"/>
      <c r="K1183" s="2081"/>
      <c r="L1183" s="2081"/>
    </row>
    <row r="1184" spans="2:12">
      <c r="B1184" s="1661"/>
      <c r="C1184" s="2081"/>
      <c r="D1184" s="2081"/>
      <c r="E1184" s="2081"/>
      <c r="F1184" s="2081"/>
      <c r="G1184" s="2081"/>
      <c r="H1184" s="2081"/>
      <c r="I1184" s="2081"/>
      <c r="J1184" s="2081"/>
      <c r="K1184" s="2081"/>
      <c r="L1184" s="2081"/>
    </row>
    <row r="1185" spans="2:12">
      <c r="B1185" s="1661"/>
      <c r="C1185" s="2081"/>
      <c r="D1185" s="2081"/>
      <c r="E1185" s="2081"/>
      <c r="F1185" s="2081"/>
      <c r="G1185" s="2081"/>
      <c r="H1185" s="2081"/>
      <c r="I1185" s="2081"/>
      <c r="J1185" s="2081"/>
      <c r="K1185" s="2081"/>
      <c r="L1185" s="2081"/>
    </row>
    <row r="1186" spans="2:12">
      <c r="B1186" s="1661"/>
      <c r="C1186" s="2081"/>
      <c r="D1186" s="2081"/>
      <c r="E1186" s="2081"/>
      <c r="F1186" s="2081"/>
      <c r="G1186" s="2081"/>
      <c r="H1186" s="2081"/>
      <c r="I1186" s="2081"/>
      <c r="J1186" s="2081"/>
      <c r="K1186" s="2081"/>
      <c r="L1186" s="2081"/>
    </row>
    <row r="1187" spans="2:12">
      <c r="B1187" s="1661"/>
      <c r="C1187" s="2081"/>
      <c r="D1187" s="2081"/>
      <c r="E1187" s="2081"/>
      <c r="F1187" s="2081"/>
      <c r="G1187" s="2081"/>
      <c r="H1187" s="2081"/>
      <c r="I1187" s="2081"/>
      <c r="J1187" s="2081"/>
      <c r="K1187" s="2081"/>
      <c r="L1187" s="2081"/>
    </row>
    <row r="1188" spans="2:12">
      <c r="B1188" s="1661"/>
      <c r="C1188" s="2081"/>
      <c r="D1188" s="2081"/>
      <c r="E1188" s="2081"/>
      <c r="F1188" s="2081"/>
      <c r="G1188" s="2081"/>
      <c r="H1188" s="2081"/>
      <c r="I1188" s="2081"/>
      <c r="J1188" s="2081"/>
      <c r="K1188" s="2081"/>
      <c r="L1188" s="2081"/>
    </row>
    <row r="1189" spans="2:12">
      <c r="B1189" s="1661"/>
      <c r="C1189" s="2081"/>
      <c r="D1189" s="2081"/>
      <c r="E1189" s="2081"/>
      <c r="F1189" s="2081"/>
      <c r="G1189" s="2081"/>
      <c r="H1189" s="2081"/>
      <c r="I1189" s="2081"/>
      <c r="J1189" s="2081"/>
      <c r="K1189" s="2081"/>
      <c r="L1189" s="2081"/>
    </row>
    <row r="1190" spans="2:12">
      <c r="B1190" s="1661"/>
      <c r="C1190" s="2081"/>
      <c r="D1190" s="2081"/>
      <c r="E1190" s="2081"/>
      <c r="F1190" s="2081"/>
      <c r="G1190" s="2081"/>
      <c r="H1190" s="2081"/>
      <c r="I1190" s="2081"/>
      <c r="J1190" s="2081"/>
      <c r="K1190" s="2081"/>
      <c r="L1190" s="2081"/>
    </row>
    <row r="1191" spans="2:12">
      <c r="B1191" s="1661"/>
      <c r="C1191" s="2081"/>
      <c r="D1191" s="2081"/>
      <c r="E1191" s="2081"/>
      <c r="F1191" s="2081"/>
      <c r="G1191" s="2081"/>
      <c r="H1191" s="2081"/>
      <c r="I1191" s="2081"/>
      <c r="J1191" s="2081"/>
      <c r="K1191" s="2081"/>
      <c r="L1191" s="2081"/>
    </row>
    <row r="1192" spans="2:12">
      <c r="B1192" s="1661"/>
      <c r="C1192" s="2081"/>
      <c r="D1192" s="2081"/>
      <c r="E1192" s="2081"/>
      <c r="F1192" s="2081"/>
      <c r="G1192" s="2081"/>
      <c r="H1192" s="2081"/>
      <c r="I1192" s="2081"/>
      <c r="J1192" s="2081"/>
      <c r="K1192" s="2081"/>
      <c r="L1192" s="2081"/>
    </row>
    <row r="1193" spans="2:12">
      <c r="B1193" s="1661"/>
      <c r="C1193" s="2081"/>
      <c r="D1193" s="2081"/>
      <c r="E1193" s="2081"/>
      <c r="F1193" s="2081"/>
      <c r="G1193" s="2081"/>
      <c r="H1193" s="2081"/>
      <c r="I1193" s="2081"/>
      <c r="J1193" s="2081"/>
      <c r="K1193" s="2081"/>
      <c r="L1193" s="2081"/>
    </row>
    <row r="1194" spans="2:12">
      <c r="B1194" s="1661"/>
      <c r="C1194" s="2081"/>
      <c r="D1194" s="2081"/>
      <c r="E1194" s="2081"/>
      <c r="F1194" s="2081"/>
      <c r="G1194" s="2081"/>
      <c r="H1194" s="2081"/>
      <c r="I1194" s="2081"/>
      <c r="J1194" s="2081"/>
      <c r="K1194" s="2081"/>
      <c r="L1194" s="2081"/>
    </row>
    <row r="1195" spans="2:12">
      <c r="B1195" s="1661"/>
      <c r="C1195" s="2081"/>
      <c r="D1195" s="2081"/>
      <c r="E1195" s="2081"/>
      <c r="F1195" s="2081"/>
      <c r="G1195" s="2081"/>
      <c r="H1195" s="2081"/>
      <c r="I1195" s="2081"/>
      <c r="J1195" s="2081"/>
      <c r="K1195" s="2081"/>
      <c r="L1195" s="2081"/>
    </row>
    <row r="1196" spans="2:12">
      <c r="B1196" s="1661"/>
      <c r="C1196" s="2081"/>
      <c r="D1196" s="2081"/>
      <c r="E1196" s="2081"/>
      <c r="F1196" s="2081"/>
      <c r="G1196" s="2081"/>
      <c r="H1196" s="2081"/>
      <c r="I1196" s="2081"/>
      <c r="J1196" s="2081"/>
      <c r="K1196" s="2081"/>
      <c r="L1196" s="2081"/>
    </row>
    <row r="1197" spans="2:12">
      <c r="B1197" s="1661"/>
      <c r="C1197" s="2081"/>
      <c r="D1197" s="2081"/>
      <c r="E1197" s="2081"/>
      <c r="F1197" s="2081"/>
      <c r="G1197" s="2081"/>
      <c r="H1197" s="2081"/>
      <c r="I1197" s="2081"/>
      <c r="J1197" s="2081"/>
      <c r="K1197" s="2081"/>
      <c r="L1197" s="2081"/>
    </row>
    <row r="1198" spans="2:12">
      <c r="B1198" s="1661"/>
      <c r="C1198" s="2081"/>
      <c r="D1198" s="2081"/>
      <c r="E1198" s="2081"/>
      <c r="F1198" s="2081"/>
      <c r="G1198" s="2081"/>
      <c r="H1198" s="2081"/>
      <c r="I1198" s="2081"/>
      <c r="J1198" s="2081"/>
      <c r="K1198" s="2081"/>
      <c r="L1198" s="2081"/>
    </row>
    <row r="1199" spans="2:12">
      <c r="B1199" s="1661"/>
      <c r="C1199" s="2081"/>
      <c r="D1199" s="2081"/>
      <c r="E1199" s="2081"/>
      <c r="F1199" s="2081"/>
      <c r="G1199" s="2081"/>
      <c r="H1199" s="2081"/>
      <c r="I1199" s="2081"/>
      <c r="J1199" s="2081"/>
      <c r="K1199" s="2081"/>
      <c r="L1199" s="2081"/>
    </row>
    <row r="1200" spans="2:12">
      <c r="B1200" s="1661"/>
      <c r="C1200" s="2081"/>
      <c r="D1200" s="2081"/>
      <c r="E1200" s="2081"/>
      <c r="F1200" s="2081"/>
      <c r="G1200" s="2081"/>
      <c r="H1200" s="2081"/>
      <c r="I1200" s="2081"/>
      <c r="J1200" s="2081"/>
      <c r="K1200" s="2081"/>
      <c r="L1200" s="2081"/>
    </row>
    <row r="1201" spans="2:12">
      <c r="B1201" s="1661"/>
      <c r="C1201" s="2081"/>
      <c r="D1201" s="2081"/>
      <c r="E1201" s="2081"/>
      <c r="F1201" s="2081"/>
      <c r="G1201" s="2081"/>
      <c r="H1201" s="2081"/>
      <c r="I1201" s="2081"/>
      <c r="J1201" s="2081"/>
      <c r="K1201" s="2081"/>
      <c r="L1201" s="2081"/>
    </row>
    <row r="1202" spans="2:12">
      <c r="B1202" s="1661"/>
      <c r="C1202" s="2081"/>
      <c r="D1202" s="2081"/>
      <c r="E1202" s="2081"/>
      <c r="F1202" s="2081"/>
      <c r="G1202" s="2081"/>
      <c r="H1202" s="2081"/>
      <c r="I1202" s="2081"/>
      <c r="J1202" s="2081"/>
      <c r="K1202" s="2081"/>
      <c r="L1202" s="2081"/>
    </row>
    <row r="1203" spans="2:12">
      <c r="B1203" s="1661"/>
      <c r="C1203" s="2081"/>
      <c r="D1203" s="2081"/>
      <c r="E1203" s="2081"/>
      <c r="F1203" s="2081"/>
      <c r="G1203" s="2081"/>
      <c r="H1203" s="2081"/>
      <c r="I1203" s="2081"/>
      <c r="J1203" s="2081"/>
      <c r="K1203" s="2081"/>
      <c r="L1203" s="2081"/>
    </row>
    <row r="1204" spans="2:12">
      <c r="B1204" s="1661"/>
      <c r="C1204" s="2081"/>
      <c r="D1204" s="2081"/>
      <c r="E1204" s="2081"/>
      <c r="F1204" s="2081"/>
      <c r="G1204" s="2081"/>
      <c r="H1204" s="2081"/>
      <c r="I1204" s="2081"/>
      <c r="J1204" s="2081"/>
      <c r="K1204" s="2081"/>
      <c r="L1204" s="2081"/>
    </row>
    <row r="1205" spans="2:12">
      <c r="B1205" s="1661"/>
      <c r="C1205" s="2081"/>
      <c r="D1205" s="2081"/>
      <c r="E1205" s="2081"/>
      <c r="F1205" s="2081"/>
      <c r="G1205" s="2081"/>
      <c r="H1205" s="2081"/>
      <c r="I1205" s="2081"/>
      <c r="J1205" s="2081"/>
      <c r="K1205" s="2081"/>
      <c r="L1205" s="2081"/>
    </row>
    <row r="1206" spans="2:12">
      <c r="B1206" s="1661"/>
      <c r="C1206" s="2081"/>
      <c r="D1206" s="2081"/>
      <c r="E1206" s="2081"/>
      <c r="F1206" s="2081"/>
      <c r="G1206" s="2081"/>
      <c r="H1206" s="2081"/>
      <c r="I1206" s="2081"/>
      <c r="J1206" s="2081"/>
      <c r="K1206" s="2081"/>
      <c r="L1206" s="2081"/>
    </row>
    <row r="1207" spans="2:12">
      <c r="B1207" s="1661"/>
      <c r="C1207" s="2081"/>
      <c r="D1207" s="2081"/>
      <c r="E1207" s="2081"/>
      <c r="F1207" s="2081"/>
      <c r="G1207" s="2081"/>
      <c r="H1207" s="2081"/>
      <c r="I1207" s="2081"/>
      <c r="J1207" s="2081"/>
      <c r="K1207" s="2081"/>
      <c r="L1207" s="2081"/>
    </row>
    <row r="1208" spans="2:12">
      <c r="B1208" s="1661"/>
      <c r="C1208" s="2081"/>
      <c r="D1208" s="2081"/>
      <c r="E1208" s="2081"/>
      <c r="F1208" s="2081"/>
      <c r="G1208" s="2081"/>
      <c r="H1208" s="2081"/>
      <c r="I1208" s="2081"/>
      <c r="J1208" s="2081"/>
      <c r="K1208" s="2081"/>
      <c r="L1208" s="2081"/>
    </row>
    <row r="1209" spans="2:12">
      <c r="B1209" s="1661"/>
      <c r="C1209" s="2081"/>
      <c r="D1209" s="2081"/>
      <c r="E1209" s="2081"/>
      <c r="F1209" s="2081"/>
      <c r="G1209" s="2081"/>
      <c r="H1209" s="2081"/>
      <c r="I1209" s="2081"/>
      <c r="J1209" s="2081"/>
      <c r="K1209" s="2081"/>
      <c r="L1209" s="2081"/>
    </row>
    <row r="1210" spans="2:12">
      <c r="B1210" s="1661"/>
      <c r="C1210" s="2081"/>
      <c r="D1210" s="2081"/>
      <c r="E1210" s="2081"/>
      <c r="F1210" s="2081"/>
      <c r="G1210" s="2081"/>
      <c r="H1210" s="2081"/>
      <c r="I1210" s="2081"/>
      <c r="J1210" s="2081"/>
      <c r="K1210" s="2081"/>
      <c r="L1210" s="2081"/>
    </row>
    <row r="1211" spans="2:12">
      <c r="B1211" s="1661"/>
      <c r="C1211" s="2081"/>
      <c r="D1211" s="2081"/>
      <c r="E1211" s="2081"/>
      <c r="F1211" s="2081"/>
      <c r="G1211" s="2081"/>
      <c r="H1211" s="2081"/>
      <c r="I1211" s="2081"/>
      <c r="J1211" s="2081"/>
      <c r="K1211" s="2081"/>
      <c r="L1211" s="2081"/>
    </row>
    <row r="1212" spans="2:12">
      <c r="B1212" s="1661"/>
      <c r="C1212" s="2081"/>
      <c r="D1212" s="2081"/>
      <c r="E1212" s="2081"/>
      <c r="F1212" s="2081"/>
      <c r="G1212" s="2081"/>
      <c r="H1212" s="2081"/>
      <c r="I1212" s="2081"/>
      <c r="J1212" s="2081"/>
      <c r="K1212" s="2081"/>
      <c r="L1212" s="2081"/>
    </row>
    <row r="1213" spans="2:12">
      <c r="B1213" s="1661"/>
      <c r="C1213" s="2081"/>
      <c r="D1213" s="2081"/>
      <c r="E1213" s="2081"/>
      <c r="F1213" s="2081"/>
      <c r="G1213" s="2081"/>
      <c r="H1213" s="2081"/>
      <c r="I1213" s="2081"/>
      <c r="J1213" s="2081"/>
      <c r="K1213" s="2081"/>
      <c r="L1213" s="2081"/>
    </row>
    <row r="1214" spans="2:12">
      <c r="B1214" s="1661"/>
      <c r="C1214" s="2081"/>
      <c r="D1214" s="2081"/>
      <c r="E1214" s="2081"/>
      <c r="F1214" s="2081"/>
      <c r="G1214" s="2081"/>
      <c r="H1214" s="2081"/>
      <c r="I1214" s="2081"/>
      <c r="J1214" s="2081"/>
      <c r="K1214" s="2081"/>
      <c r="L1214" s="2081"/>
    </row>
    <row r="1215" spans="2:12">
      <c r="B1215" s="1661"/>
      <c r="C1215" s="1762"/>
      <c r="D1215" s="1762"/>
      <c r="E1215" s="1762"/>
      <c r="F1215" s="1762"/>
      <c r="G1215" s="1762"/>
      <c r="H1215" s="1762"/>
      <c r="I1215" s="1762"/>
      <c r="J1215" s="1762"/>
      <c r="K1215" s="1762"/>
      <c r="L1215" s="1762"/>
    </row>
    <row r="1216" spans="2:12">
      <c r="B1216" s="1661"/>
      <c r="C1216" s="1762"/>
      <c r="D1216" s="1762"/>
      <c r="E1216" s="1762"/>
      <c r="F1216" s="1762"/>
      <c r="G1216" s="1762"/>
      <c r="H1216" s="1762"/>
      <c r="I1216" s="1762"/>
      <c r="J1216" s="1687" t="s">
        <v>631</v>
      </c>
      <c r="K1216" s="1683"/>
      <c r="L1216" s="1688" t="s">
        <v>630</v>
      </c>
    </row>
    <row r="1217" spans="1:13">
      <c r="B1217" s="1678"/>
      <c r="C1217" s="1683"/>
      <c r="D1217" s="1683"/>
      <c r="E1217" s="1624"/>
      <c r="F1217" s="1624"/>
      <c r="G1217" s="1624"/>
      <c r="J1217" s="1960" t="s">
        <v>2779</v>
      </c>
      <c r="K1217" s="1686"/>
      <c r="L1217" s="1685" t="s">
        <v>2547</v>
      </c>
    </row>
    <row r="1218" spans="1:13">
      <c r="B1218" s="1678"/>
      <c r="C1218" s="1683"/>
      <c r="D1218" s="1683"/>
      <c r="E1218" s="1624"/>
      <c r="F1218" s="1624"/>
      <c r="G1218" s="1624"/>
      <c r="I1218" s="1684"/>
      <c r="J1218" s="1685" t="s">
        <v>2918</v>
      </c>
      <c r="L1218" s="1685" t="s">
        <v>2918</v>
      </c>
    </row>
    <row r="1219" spans="1:13">
      <c r="D1219" s="1689"/>
      <c r="E1219" s="1624"/>
      <c r="F1219" s="1624"/>
      <c r="G1219" s="1624"/>
      <c r="I1219" s="1684" t="s">
        <v>51</v>
      </c>
      <c r="J1219" s="2374" t="s">
        <v>2513</v>
      </c>
      <c r="K1219" s="2375"/>
      <c r="L1219" s="2375"/>
    </row>
    <row r="1220" spans="1:13">
      <c r="A1220" s="1660" t="s">
        <v>2573</v>
      </c>
      <c r="B1220" s="1689" t="s">
        <v>36</v>
      </c>
      <c r="C1220" s="1624"/>
      <c r="D1220" s="1624"/>
      <c r="E1220" s="1624"/>
      <c r="F1220" s="1624"/>
      <c r="G1220" s="1624"/>
      <c r="I1220" s="1624"/>
      <c r="J1220" s="1624"/>
      <c r="K1220" s="1624"/>
      <c r="L1220" s="1624"/>
    </row>
    <row r="1221" spans="1:13">
      <c r="A1221" s="1660"/>
      <c r="B1221" s="1689"/>
      <c r="C1221" s="1624"/>
      <c r="D1221" s="1624"/>
      <c r="E1221" s="1624"/>
      <c r="F1221" s="1624"/>
      <c r="G1221" s="1624"/>
      <c r="I1221" s="1624"/>
      <c r="J1221" s="1624"/>
      <c r="K1221" s="1624"/>
      <c r="L1221" s="1624"/>
    </row>
    <row r="1222" spans="1:13">
      <c r="B1222" s="1624" t="s">
        <v>2548</v>
      </c>
      <c r="D1222" s="1624"/>
      <c r="E1222" s="1624"/>
      <c r="F1222" s="1624"/>
      <c r="G1222" s="1624"/>
      <c r="I1222" s="1683">
        <f>A1226</f>
        <v>6.1</v>
      </c>
      <c r="J1222" s="1757">
        <f>'TB-31 Dec'!H8</f>
        <v>19255</v>
      </c>
      <c r="K1222" s="1624"/>
      <c r="L1222" s="1690">
        <v>22057</v>
      </c>
    </row>
    <row r="1223" spans="1:13">
      <c r="B1223" s="1624" t="s">
        <v>2549</v>
      </c>
      <c r="D1223" s="1624"/>
      <c r="E1223" s="1624"/>
      <c r="F1223" s="1624"/>
      <c r="G1223" s="1624"/>
      <c r="I1223" s="1683">
        <f>A1229</f>
        <v>6.1999999999999993</v>
      </c>
      <c r="J1223" s="1757">
        <f>'TB-31 Dec'!H7</f>
        <v>666859</v>
      </c>
      <c r="K1223" s="1624"/>
      <c r="L1223" s="1690">
        <v>329809</v>
      </c>
    </row>
    <row r="1224" spans="1:13" ht="14.4" thickBot="1">
      <c r="B1224" s="1678"/>
      <c r="C1224" s="1624"/>
      <c r="D1224" s="1624"/>
      <c r="E1224" s="1624"/>
      <c r="F1224" s="1624"/>
      <c r="G1224" s="1624"/>
      <c r="H1224" s="1683"/>
      <c r="I1224" s="1683"/>
      <c r="J1224" s="1771">
        <f>SUM(J1222:J1223)</f>
        <v>686114</v>
      </c>
      <c r="K1224" s="1624"/>
      <c r="L1224" s="1691">
        <f>SUM(L1222:L1223)</f>
        <v>351866</v>
      </c>
    </row>
    <row r="1225" spans="1:13" ht="14.4" thickTop="1">
      <c r="B1225" s="1678"/>
      <c r="C1225" s="1624"/>
      <c r="D1225" s="1624"/>
      <c r="E1225" s="1624"/>
      <c r="F1225" s="1624"/>
      <c r="G1225" s="1624"/>
      <c r="H1225" s="1683"/>
      <c r="I1225" s="1683"/>
      <c r="J1225" s="1827"/>
      <c r="K1225" s="1624"/>
      <c r="L1225" s="1668"/>
    </row>
    <row r="1226" spans="1:13" ht="15" customHeight="1">
      <c r="A1226" s="1678">
        <f>A1220+0.1</f>
        <v>6.1</v>
      </c>
      <c r="B1226" s="2371" t="s">
        <v>2938</v>
      </c>
      <c r="C1226" s="2371"/>
      <c r="D1226" s="2371"/>
      <c r="E1226" s="2371"/>
      <c r="F1226" s="2371"/>
      <c r="G1226" s="2371"/>
      <c r="H1226" s="2371"/>
      <c r="I1226" s="2371"/>
      <c r="J1226" s="2371"/>
      <c r="K1226" s="2371"/>
      <c r="L1226" s="2371"/>
      <c r="M1226" s="1592">
        <f>3309/1000</f>
        <v>3.3090000000000002</v>
      </c>
    </row>
    <row r="1227" spans="1:13">
      <c r="A1227" s="1678"/>
      <c r="B1227" s="2371"/>
      <c r="C1227" s="2371"/>
      <c r="D1227" s="2371"/>
      <c r="E1227" s="2371"/>
      <c r="F1227" s="2371"/>
      <c r="G1227" s="2371"/>
      <c r="H1227" s="2371"/>
      <c r="I1227" s="2371"/>
      <c r="J1227" s="2371"/>
      <c r="K1227" s="2371"/>
      <c r="L1227" s="2371"/>
    </row>
    <row r="1228" spans="1:13">
      <c r="A1228" s="1678"/>
      <c r="C1228" s="1624"/>
      <c r="D1228" s="1624"/>
      <c r="E1228" s="1624"/>
      <c r="F1228" s="1624"/>
      <c r="G1228" s="1624"/>
      <c r="H1228" s="1683"/>
      <c r="I1228" s="1683"/>
      <c r="J1228" s="1668"/>
      <c r="K1228" s="1624"/>
      <c r="L1228" s="1668"/>
      <c r="M1228" s="1592">
        <f>10851/1000</f>
        <v>10.851000000000001</v>
      </c>
    </row>
    <row r="1229" spans="1:13" ht="15.6" customHeight="1">
      <c r="A1229" s="1678">
        <f>A1226+0.1</f>
        <v>6.1999999999999993</v>
      </c>
      <c r="B1229" s="2372" t="s">
        <v>2939</v>
      </c>
      <c r="C1229" s="2372"/>
      <c r="D1229" s="2372"/>
      <c r="E1229" s="2372"/>
      <c r="F1229" s="2372"/>
      <c r="G1229" s="2372"/>
      <c r="H1229" s="2372"/>
      <c r="I1229" s="2372"/>
      <c r="J1229" s="2372"/>
      <c r="K1229" s="2372"/>
      <c r="L1229" s="2372"/>
      <c r="M1229" s="1592">
        <f>2386/1000</f>
        <v>2.3860000000000001</v>
      </c>
    </row>
    <row r="1230" spans="1:13">
      <c r="B1230" s="2372"/>
      <c r="C1230" s="2372"/>
      <c r="D1230" s="2372"/>
      <c r="E1230" s="2372"/>
      <c r="F1230" s="2372"/>
      <c r="G1230" s="2372"/>
      <c r="H1230" s="2372"/>
      <c r="I1230" s="2372"/>
      <c r="J1230" s="2372"/>
      <c r="K1230" s="2372"/>
      <c r="L1230" s="2372"/>
    </row>
    <row r="1231" spans="1:13" ht="30" customHeight="1">
      <c r="B1231" s="2372"/>
      <c r="C1231" s="2372"/>
      <c r="D1231" s="2372"/>
      <c r="E1231" s="2372"/>
      <c r="F1231" s="2372"/>
      <c r="G1231" s="2372"/>
      <c r="H1231" s="2372"/>
      <c r="I1231" s="2372"/>
      <c r="J1231" s="2372"/>
      <c r="K1231" s="2372"/>
      <c r="L1231" s="2372"/>
    </row>
    <row r="1232" spans="1:13">
      <c r="C1232" s="1991"/>
    </row>
    <row r="1233" spans="1:14">
      <c r="A1233" s="1660" t="s">
        <v>2574</v>
      </c>
      <c r="B1233" s="1689" t="s">
        <v>234</v>
      </c>
      <c r="C1233" s="1689"/>
      <c r="D1233" s="1689"/>
      <c r="E1233" s="1659"/>
      <c r="F1233" s="1659"/>
      <c r="G1233" s="1692"/>
      <c r="H1233" s="1624"/>
      <c r="I1233" s="1692"/>
      <c r="J1233" s="1692"/>
      <c r="K1233" s="1693"/>
      <c r="L1233" s="1694"/>
      <c r="M1233" s="1446"/>
    </row>
    <row r="1234" spans="1:14">
      <c r="A1234" s="1659"/>
      <c r="B1234" s="1659"/>
      <c r="C1234" s="1659"/>
      <c r="D1234" s="1659"/>
      <c r="E1234" s="1659"/>
      <c r="F1234" s="1659"/>
      <c r="G1234" s="1692"/>
      <c r="H1234" s="1659"/>
      <c r="I1234" s="1659"/>
      <c r="J1234" s="1659"/>
      <c r="K1234" s="1659"/>
      <c r="L1234" s="1446"/>
      <c r="M1234" s="1446"/>
    </row>
    <row r="1235" spans="1:14">
      <c r="A1235" s="1659"/>
      <c r="B1235" s="1660" t="s">
        <v>311</v>
      </c>
      <c r="C1235" s="1660"/>
      <c r="D1235" s="1660"/>
      <c r="E1235" s="1659"/>
      <c r="F1235" s="1659"/>
      <c r="G1235" s="1692"/>
      <c r="H1235" s="1659"/>
      <c r="I1235" s="1659"/>
      <c r="J1235" s="1659"/>
      <c r="K1235" s="1659"/>
      <c r="L1235" s="1446"/>
      <c r="M1235" s="1446"/>
    </row>
    <row r="1236" spans="1:14">
      <c r="A1236" s="1659"/>
      <c r="B1236" s="1826" t="s">
        <v>307</v>
      </c>
      <c r="C1236" s="1695"/>
      <c r="D1236" s="1695"/>
      <c r="E1236" s="1659"/>
      <c r="F1236" s="1659"/>
      <c r="G1236" s="1692"/>
      <c r="I1236" s="1683">
        <v>7.1</v>
      </c>
      <c r="J1236" s="1827">
        <f>+'5-5.1.1'!I155</f>
        <v>11260226.018000003</v>
      </c>
      <c r="K1236" s="1446"/>
      <c r="L1236" s="1668">
        <v>8666891</v>
      </c>
      <c r="M1236" s="1479">
        <f>BS!F12</f>
        <v>11260226.018000003</v>
      </c>
      <c r="N1236" s="1977">
        <f>M1236-J1236</f>
        <v>0</v>
      </c>
    </row>
    <row r="1237" spans="1:14">
      <c r="A1237" s="1659"/>
      <c r="B1237" s="1826" t="s">
        <v>2630</v>
      </c>
      <c r="C1237" s="1695"/>
      <c r="D1237" s="1695"/>
      <c r="E1237" s="1659"/>
      <c r="F1237" s="1659"/>
      <c r="G1237" s="1692"/>
      <c r="I1237" s="1683">
        <v>7.2</v>
      </c>
      <c r="J1237" s="1827">
        <f>'5.2'!J62</f>
        <v>0</v>
      </c>
      <c r="K1237" s="1446"/>
      <c r="L1237" s="1668">
        <v>0</v>
      </c>
      <c r="M1237" s="1446"/>
    </row>
    <row r="1238" spans="1:14" ht="14.4" thickBot="1">
      <c r="A1238" s="1659"/>
      <c r="B1238" s="1695"/>
      <c r="C1238" s="1695"/>
      <c r="D1238" s="1695"/>
      <c r="E1238" s="1683"/>
      <c r="F1238" s="1683"/>
      <c r="G1238" s="1668"/>
      <c r="H1238" s="1668"/>
      <c r="I1238" s="1692"/>
      <c r="J1238" s="1771">
        <f>SUM(J1236:J1237)</f>
        <v>11260226.018000003</v>
      </c>
      <c r="K1238" s="1446"/>
      <c r="L1238" s="1691">
        <f>SUM(L1236:L1237)</f>
        <v>8666891</v>
      </c>
      <c r="M1238" s="1479">
        <f>BS!F12</f>
        <v>11260226.018000003</v>
      </c>
      <c r="N1238" s="1977">
        <f>J1238-M1238</f>
        <v>0</v>
      </c>
    </row>
    <row r="1239" spans="1:14" ht="14.4" thickTop="1">
      <c r="A1239" s="1659"/>
      <c r="B1239" s="1695"/>
      <c r="C1239" s="1695"/>
      <c r="D1239" s="1695"/>
      <c r="E1239" s="1683"/>
      <c r="F1239" s="1683"/>
      <c r="G1239" s="1668"/>
      <c r="H1239" s="1668"/>
      <c r="I1239" s="1692"/>
      <c r="J1239" s="1827"/>
      <c r="K1239" s="1446"/>
      <c r="L1239" s="1668"/>
      <c r="M1239" s="1479"/>
      <c r="N1239" s="1977"/>
    </row>
    <row r="1241" spans="1:14">
      <c r="B1241" s="2368" t="s">
        <v>2794</v>
      </c>
      <c r="C1241" s="2368"/>
      <c r="D1241" s="2368"/>
      <c r="E1241" s="2368"/>
      <c r="F1241" s="2368"/>
      <c r="G1241" s="2368"/>
      <c r="H1241" s="2368"/>
      <c r="I1241" s="2368"/>
      <c r="J1241" s="2368"/>
      <c r="K1241" s="2368"/>
      <c r="L1241" s="2368"/>
    </row>
    <row r="1242" spans="1:14">
      <c r="B1242" s="2368"/>
      <c r="C1242" s="2368"/>
      <c r="D1242" s="2368"/>
      <c r="E1242" s="2368"/>
      <c r="F1242" s="2368"/>
      <c r="G1242" s="2368"/>
      <c r="H1242" s="2368"/>
      <c r="I1242" s="2368"/>
      <c r="J1242" s="2368"/>
      <c r="K1242" s="2368"/>
      <c r="L1242" s="2368"/>
    </row>
    <row r="1243" spans="1:14" ht="27.75" customHeight="1">
      <c r="B1243" s="2368"/>
      <c r="C1243" s="2368"/>
      <c r="D1243" s="2368"/>
      <c r="E1243" s="2368"/>
      <c r="F1243" s="2368"/>
      <c r="G1243" s="2368"/>
      <c r="H1243" s="2368"/>
      <c r="I1243" s="2368"/>
      <c r="J1243" s="2368"/>
      <c r="K1243" s="2368"/>
      <c r="L1243" s="2368"/>
    </row>
  </sheetData>
  <mergeCells count="29">
    <mergeCell ref="B1241:L1243"/>
    <mergeCell ref="C86:L88"/>
    <mergeCell ref="C89:L89"/>
    <mergeCell ref="C92:L97"/>
    <mergeCell ref="B1226:L1227"/>
    <mergeCell ref="B1229:L1231"/>
    <mergeCell ref="C101:L102"/>
    <mergeCell ref="J1219:L1219"/>
    <mergeCell ref="A1:L1"/>
    <mergeCell ref="A2:L2"/>
    <mergeCell ref="A3:L3"/>
    <mergeCell ref="C7:L12"/>
    <mergeCell ref="C14:L17"/>
    <mergeCell ref="C73:L74"/>
    <mergeCell ref="C82:L84"/>
    <mergeCell ref="C19:L22"/>
    <mergeCell ref="C24:L25"/>
    <mergeCell ref="C27:L29"/>
    <mergeCell ref="C36:L38"/>
    <mergeCell ref="C47:L51"/>
    <mergeCell ref="C39:L40"/>
    <mergeCell ref="C41:L42"/>
    <mergeCell ref="C44:L45"/>
    <mergeCell ref="C53:L55"/>
    <mergeCell ref="C57:L62"/>
    <mergeCell ref="C64:L66"/>
    <mergeCell ref="C68:L69"/>
    <mergeCell ref="C70:L70"/>
    <mergeCell ref="C78:L79"/>
  </mergeCells>
  <pageMargins left="0.75" right="0.25" top="0.75" bottom="0" header="0.25" footer="0"/>
  <pageSetup paperSize="9" scale="73" firstPageNumber="6" fitToHeight="0" orientation="portrait" useFirstPageNumber="1" r:id="rId1"/>
  <headerFooter differentFirst="1">
    <oddHeader>&amp;C&amp;"Arial Black,Regular"&amp;11&amp;P&amp;R&amp;"Arial Black,Regular"&amp;11MCB PAKISTAN STOCK MARKET FUND</oddHeader>
  </headerFooter>
  <rowBreaks count="1" manualBreakCount="1">
    <brk id="56"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37</vt:i4>
      </vt:variant>
    </vt:vector>
  </HeadingPairs>
  <TitlesOfParts>
    <vt:vector size="87" baseType="lpstr">
      <vt:lpstr>BS</vt:lpstr>
      <vt:lpstr>IS</vt:lpstr>
      <vt:lpstr>OCI</vt:lpstr>
      <vt:lpstr>DS</vt:lpstr>
      <vt:lpstr>UHF</vt:lpstr>
      <vt:lpstr>UHF New V2</vt:lpstr>
      <vt:lpstr>CFs</vt:lpstr>
      <vt:lpstr>Notes 1-6</vt:lpstr>
      <vt:lpstr>1-5</vt:lpstr>
      <vt:lpstr>5-5.1.1</vt:lpstr>
      <vt:lpstr>5.2</vt:lpstr>
      <vt:lpstr>7-16</vt:lpstr>
      <vt:lpstr>6-10</vt:lpstr>
      <vt:lpstr>5.4</vt:lpstr>
      <vt:lpstr>10.1</vt:lpstr>
      <vt:lpstr>10.2-10.3</vt:lpstr>
      <vt:lpstr>UHF New</vt:lpstr>
      <vt:lpstr>UHF OLD</vt:lpstr>
      <vt:lpstr>Sheet4</vt:lpstr>
      <vt:lpstr>5.1</vt:lpstr>
      <vt:lpstr>Sheet3</vt:lpstr>
      <vt:lpstr>11</vt:lpstr>
      <vt:lpstr>12-14</vt:lpstr>
      <vt:lpstr>RP</vt:lpstr>
      <vt:lpstr>CF Working</vt:lpstr>
      <vt:lpstr>TB MCBPSM</vt:lpstr>
      <vt:lpstr>Sheet2</vt:lpstr>
      <vt:lpstr>TB-31 Dec</vt:lpstr>
      <vt:lpstr>Associate</vt:lpstr>
      <vt:lpstr>SMA</vt:lpstr>
      <vt:lpstr>Executive</vt:lpstr>
      <vt:lpstr>Sheet1</vt:lpstr>
      <vt:lpstr>Note 1-5 (2)</vt:lpstr>
      <vt:lpstr>5.1-5.3</vt:lpstr>
      <vt:lpstr>5.4-8</vt:lpstr>
      <vt:lpstr>5.1-5.3 (2)</vt:lpstr>
      <vt:lpstr>20-25.1.2</vt:lpstr>
      <vt:lpstr>25.1.3-25.2</vt:lpstr>
      <vt:lpstr>Note 25.2.1-30.1</vt:lpstr>
      <vt:lpstr>Element income final</vt:lpstr>
      <vt:lpstr>Element income final 2015</vt:lpstr>
      <vt:lpstr>29-31.3</vt:lpstr>
      <vt:lpstr>credit 2011</vt:lpstr>
      <vt:lpstr>bank rating</vt:lpstr>
      <vt:lpstr>Element of Income </vt:lpstr>
      <vt:lpstr>Element working</vt:lpstr>
      <vt:lpstr>Set off</vt:lpstr>
      <vt:lpstr>Trial Balance</vt:lpstr>
      <vt:lpstr>investment topsheet</vt:lpstr>
      <vt:lpstr>invst Control Sheet</vt:lpstr>
      <vt:lpstr>'10.1'!Print_Area</vt:lpstr>
      <vt:lpstr>'10.2-10.3'!Print_Area</vt:lpstr>
      <vt:lpstr>'11'!Print_Area</vt:lpstr>
      <vt:lpstr>'12-14'!Print_Area</vt:lpstr>
      <vt:lpstr>'1-5'!Print_Area</vt:lpstr>
      <vt:lpstr>'20-25.1.2'!Print_Area</vt:lpstr>
      <vt:lpstr>'25.1.3-25.2'!Print_Area</vt:lpstr>
      <vt:lpstr>'29-31.3'!Print_Area</vt:lpstr>
      <vt:lpstr>'5.1'!Print_Area</vt:lpstr>
      <vt:lpstr>'5.1-5.3'!Print_Area</vt:lpstr>
      <vt:lpstr>'5.1-5.3 (2)'!Print_Area</vt:lpstr>
      <vt:lpstr>'5.2'!Print_Area</vt:lpstr>
      <vt:lpstr>'5.4-8'!Print_Area</vt:lpstr>
      <vt:lpstr>'5-5.1.1'!Print_Area</vt:lpstr>
      <vt:lpstr>'6-10'!Print_Area</vt:lpstr>
      <vt:lpstr>'7-16'!Print_Area</vt:lpstr>
      <vt:lpstr>'bank rating'!Print_Area</vt:lpstr>
      <vt:lpstr>BS!Print_Area</vt:lpstr>
      <vt:lpstr>'CF Working'!Print_Area</vt:lpstr>
      <vt:lpstr>CFs!Print_Area</vt:lpstr>
      <vt:lpstr>'credit 2011'!Print_Area</vt:lpstr>
      <vt:lpstr>DS!Print_Area</vt:lpstr>
      <vt:lpstr>'Element income final 2015'!Print_Area</vt:lpstr>
      <vt:lpstr>'investment topsheet'!Print_Area</vt:lpstr>
      <vt:lpstr>'invst Control Sheet'!Print_Area</vt:lpstr>
      <vt:lpstr>IS!Print_Area</vt:lpstr>
      <vt:lpstr>'Note 1-5 (2)'!Print_Area</vt:lpstr>
      <vt:lpstr>'Note 25.2.1-30.1'!Print_Area</vt:lpstr>
      <vt:lpstr>'Notes 1-6'!Print_Area</vt:lpstr>
      <vt:lpstr>OCI!Print_Area</vt:lpstr>
      <vt:lpstr>RP!Print_Area</vt:lpstr>
      <vt:lpstr>'Set off'!Print_Area</vt:lpstr>
      <vt:lpstr>UHF!Print_Area</vt:lpstr>
      <vt:lpstr>'UHF New'!Print_Area</vt:lpstr>
      <vt:lpstr>'UHF New V2'!Print_Area</vt:lpstr>
      <vt:lpstr>'UHF OLD'!Print_Area</vt:lpstr>
      <vt:lpstr>'5-5.1.1'!Print_Titles</vt:lpstr>
    </vt:vector>
  </TitlesOfParts>
  <Company>PICICAMC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qamber.raza</dc:creator>
  <cp:lastModifiedBy>Khurram Sharf</cp:lastModifiedBy>
  <cp:lastPrinted>2021-09-21T04:22:52Z</cp:lastPrinted>
  <dcterms:created xsi:type="dcterms:W3CDTF">2011-01-28T12:08:10Z</dcterms:created>
  <dcterms:modified xsi:type="dcterms:W3CDTF">2021-10-18T07:51:01Z</dcterms:modified>
</cp:coreProperties>
</file>